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FF61AEDE-183E-4F52-AE5F-FCFED6F09ECD}" xr6:coauthVersionLast="47" xr6:coauthVersionMax="47" xr10:uidLastSave="{00000000-0000-0000-0000-000000000000}"/>
  <bookViews>
    <workbookView xWindow="4410" yWindow="300" windowWidth="15375" windowHeight="10620" tabRatio="721" xr2:uid="{00000000-000D-0000-FFFF-FFFF00000000}"/>
  </bookViews>
  <sheets>
    <sheet name="④R2道路標識構造便覧の直接基礎設計" sheetId="4" r:id="rId1"/>
  </sheets>
  <definedNames>
    <definedName name="_xlnm.Print_Area" localSheetId="0">④R2道路標識構造便覧の直接基礎設計!$A$1:$DL$52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I32" i="4" l="1"/>
  <c r="BF49" i="4"/>
  <c r="BE50" i="4" s="1"/>
  <c r="DD25" i="4"/>
  <c r="DC17" i="4"/>
  <c r="DC16" i="4"/>
  <c r="DD15" i="4"/>
  <c r="CP36" i="4"/>
  <c r="CX22" i="4"/>
  <c r="CT22" i="4"/>
  <c r="CX16" i="4"/>
  <c r="CT16" i="4"/>
  <c r="CF43" i="4"/>
  <c r="CE44" i="4"/>
  <c r="CC35" i="4"/>
  <c r="CC7" i="4"/>
  <c r="CI23" i="4"/>
  <c r="CG24" i="4"/>
  <c r="CF15" i="4"/>
  <c r="BP46" i="4"/>
  <c r="BR16" i="4"/>
  <c r="BR17" i="4"/>
  <c r="BR5" i="4"/>
  <c r="CG43" i="4" l="1"/>
  <c r="CG15" i="4"/>
  <c r="E50" i="4"/>
  <c r="E48" i="4"/>
  <c r="E51" i="4" s="1"/>
  <c r="AJ47" i="4"/>
  <c r="BH43" i="4"/>
  <c r="AD33" i="4"/>
  <c r="AG32" i="4"/>
  <c r="AD32" i="4"/>
  <c r="AC33" i="4" s="1"/>
  <c r="AC32" i="4"/>
  <c r="AB32" i="4"/>
  <c r="AB33" i="4" s="1"/>
  <c r="AB34" i="4" s="1"/>
  <c r="AB36" i="4" s="1"/>
  <c r="F26" i="4"/>
  <c r="AX22" i="4"/>
  <c r="AI22" i="4"/>
  <c r="AK22" i="4" s="1"/>
  <c r="AD22" i="4"/>
  <c r="AF22" i="4" s="1"/>
  <c r="F25" i="4"/>
  <c r="H31" i="4" s="1"/>
  <c r="I31" i="4" s="1"/>
  <c r="AT21" i="4"/>
  <c r="AC19" i="4"/>
  <c r="AX18" i="4"/>
  <c r="AK15" i="4"/>
  <c r="C16" i="4"/>
  <c r="BH14" i="4"/>
  <c r="BD14" i="4"/>
  <c r="BC14" i="4"/>
  <c r="AK12" i="4"/>
  <c r="AR8" i="4"/>
  <c r="AE8" i="4"/>
  <c r="AU7" i="4"/>
  <c r="AR7" i="4"/>
  <c r="AQ7" i="4"/>
  <c r="AP7" i="4"/>
  <c r="AP8" i="4" s="1"/>
  <c r="AE7" i="4"/>
  <c r="DD6" i="4" s="1"/>
  <c r="AB6" i="4"/>
  <c r="AE5" i="4"/>
  <c r="BV13" i="4" l="1"/>
  <c r="BV16" i="4" s="1"/>
  <c r="CT32" i="4"/>
  <c r="CS7" i="4"/>
  <c r="CI43" i="4"/>
  <c r="CR22" i="4"/>
  <c r="CR16" i="4"/>
  <c r="BK14" i="4"/>
  <c r="CV22" i="4"/>
  <c r="CV16" i="4"/>
  <c r="BR12" i="4"/>
  <c r="CI15" i="4"/>
  <c r="AQ8" i="4"/>
  <c r="AP9" i="4" s="1"/>
  <c r="AP11" i="4" s="1"/>
  <c r="BE49" i="4"/>
  <c r="AR33" i="4"/>
  <c r="BH31" i="4"/>
  <c r="BC29" i="4"/>
  <c r="BI14" i="4"/>
  <c r="BE14" i="4"/>
  <c r="AQ11" i="4"/>
  <c r="AH19" i="4"/>
  <c r="AE6" i="4"/>
  <c r="DC6" i="4" s="1"/>
  <c r="DC8" i="4" s="1"/>
  <c r="DC10" i="4" s="1"/>
  <c r="DC25" i="4" s="1"/>
  <c r="DC26" i="4" s="1"/>
  <c r="AT39" i="4"/>
  <c r="AD36" i="4"/>
  <c r="AR32" i="4"/>
  <c r="BG14" i="4"/>
  <c r="J16" i="4"/>
  <c r="I16" i="4"/>
  <c r="H16" i="4"/>
  <c r="G16" i="4"/>
  <c r="F16" i="4"/>
  <c r="E16" i="4"/>
  <c r="D16" i="4"/>
  <c r="I40" i="4"/>
  <c r="H34" i="4"/>
  <c r="H33" i="4"/>
  <c r="H32" i="4"/>
  <c r="CR44" i="4" l="1"/>
  <c r="CP32" i="4"/>
  <c r="CH15" i="4"/>
  <c r="CE18" i="4" s="1"/>
  <c r="CD6" i="4" s="1"/>
  <c r="CC8" i="4" s="1"/>
  <c r="CH43" i="4"/>
  <c r="CE46" i="4" s="1"/>
  <c r="CD34" i="4" s="1"/>
  <c r="CC36" i="4" s="1"/>
  <c r="H41" i="4"/>
  <c r="H40" i="4"/>
  <c r="J40" i="4" s="1"/>
  <c r="G32" i="4"/>
  <c r="I32" i="4" s="1"/>
  <c r="H42" i="4"/>
  <c r="G33" i="4"/>
  <c r="I33" i="4" s="1"/>
  <c r="I42" i="4" s="1"/>
  <c r="H43" i="4"/>
  <c r="G34" i="4"/>
  <c r="I34" i="4" s="1"/>
  <c r="I43" i="4" s="1"/>
  <c r="BC41" i="4"/>
  <c r="AC36" i="4"/>
  <c r="AB37" i="4" s="1"/>
  <c r="BJ14" i="4"/>
  <c r="BF14" i="4"/>
  <c r="BC15" i="4" s="1"/>
  <c r="BP5" i="4" s="1"/>
  <c r="BP6" i="4" s="1"/>
  <c r="BQ45" i="4" s="1"/>
  <c r="BP47" i="4" s="1"/>
  <c r="AR11" i="4"/>
  <c r="AP12" i="4" s="1"/>
  <c r="AP33" i="4" l="1"/>
  <c r="BT16" i="4"/>
  <c r="AP32" i="4"/>
  <c r="BP12" i="4"/>
  <c r="BR15" i="4" s="1"/>
  <c r="BP18" i="4" s="1"/>
  <c r="BE40" i="4"/>
  <c r="BE23" i="4"/>
  <c r="AP34" i="4"/>
  <c r="J43" i="4"/>
  <c r="J42" i="4"/>
  <c r="I41" i="4"/>
  <c r="I35" i="4"/>
  <c r="J41" i="4"/>
  <c r="J44" i="4" s="1"/>
  <c r="BQ30" i="4" l="1"/>
  <c r="BQ38" i="4"/>
  <c r="BP37" i="4"/>
  <c r="AI24" i="4"/>
  <c r="AK24" i="4" s="1"/>
  <c r="AD24" i="4"/>
  <c r="AF24" i="4" s="1"/>
  <c r="AP39" i="4" s="1"/>
  <c r="AI23" i="4"/>
  <c r="AK23" i="4" s="1"/>
  <c r="AD23" i="4"/>
  <c r="AF23" i="4" s="1"/>
  <c r="BR37" i="4" s="1"/>
  <c r="AQ47" i="4"/>
  <c r="BD7" i="4"/>
  <c r="BC6" i="4"/>
  <c r="BP39" i="4" l="1"/>
  <c r="CH8" i="4" s="1"/>
  <c r="CK8" i="4" s="1"/>
  <c r="AR39" i="4"/>
  <c r="BR29" i="4"/>
  <c r="BP31" i="4" s="1"/>
  <c r="AP40" i="4"/>
  <c r="AP49" i="4" s="1"/>
  <c r="BU47" i="4" l="1"/>
  <c r="BX47" i="4" s="1"/>
  <c r="AR46" i="4"/>
  <c r="BE6" i="4"/>
  <c r="BC9" i="4" s="1"/>
  <c r="CH36" i="4" s="1"/>
  <c r="CK36" i="4" s="1"/>
  <c r="BC23" i="4"/>
  <c r="BC24" i="4" s="1"/>
  <c r="BD29" i="4" l="1"/>
  <c r="BC31" i="4" s="1"/>
  <c r="CT8" i="4" s="1"/>
  <c r="BC48" i="4"/>
  <c r="BK50" i="4" s="1"/>
  <c r="BE41" i="4"/>
  <c r="BC43" i="4" s="1"/>
  <c r="BK43" i="4" l="1"/>
  <c r="CP16" i="4"/>
  <c r="CP17" i="4" s="1"/>
  <c r="CP7" i="4"/>
  <c r="CP10" i="4" s="1"/>
  <c r="CP22" i="4" s="1"/>
  <c r="CP23" i="4" s="1"/>
  <c r="CV45" i="4" s="1"/>
  <c r="CT45" i="4" l="1"/>
  <c r="CR48" i="4" s="1"/>
  <c r="CS44" i="4"/>
  <c r="CR47" i="4" s="1"/>
  <c r="CR49" i="4" s="1"/>
  <c r="CQ32" i="4"/>
  <c r="CR32" i="4" l="1"/>
  <c r="CP35" i="4" s="1"/>
  <c r="CV32" i="4"/>
  <c r="CR35" i="4" s="1"/>
  <c r="CP37" i="4" l="1"/>
  <c r="DF30" i="4" s="1"/>
  <c r="DE32" i="4" s="1"/>
  <c r="DK32" i="4" s="1"/>
</calcChain>
</file>

<file path=xl/sharedStrings.xml><?xml version="1.0" encoding="utf-8"?>
<sst xmlns="http://schemas.openxmlformats.org/spreadsheetml/2006/main" count="538" uniqueCount="337">
  <si>
    <t>1.設計方法</t>
    <rPh sb="2" eb="4">
      <t>セッケイ</t>
    </rPh>
    <rPh sb="4" eb="6">
      <t>ホウホウ</t>
    </rPh>
    <phoneticPr fontId="2"/>
  </si>
  <si>
    <t>2.設計条件</t>
    <rPh sb="2" eb="4">
      <t>セッケイ</t>
    </rPh>
    <rPh sb="4" eb="6">
      <t>ジョウケン</t>
    </rPh>
    <phoneticPr fontId="2"/>
  </si>
  <si>
    <t>器具</t>
    <rPh sb="0" eb="2">
      <t>キグ</t>
    </rPh>
    <phoneticPr fontId="2"/>
  </si>
  <si>
    <t>支柱</t>
    <rPh sb="0" eb="2">
      <t>シチュウ</t>
    </rPh>
    <phoneticPr fontId="2"/>
  </si>
  <si>
    <t>付図３－道路照明用標準ポール　１灯用　連接型・直線形・可変型</t>
    <rPh sb="0" eb="2">
      <t>フズ</t>
    </rPh>
    <rPh sb="4" eb="6">
      <t>ドウロ</t>
    </rPh>
    <rPh sb="6" eb="9">
      <t>ショウメイヨウ</t>
    </rPh>
    <rPh sb="9" eb="11">
      <t>ヒョウジュン</t>
    </rPh>
    <rPh sb="16" eb="17">
      <t>トウ</t>
    </rPh>
    <rPh sb="17" eb="18">
      <t>ヨウ</t>
    </rPh>
    <rPh sb="19" eb="21">
      <t>レンセツ</t>
    </rPh>
    <rPh sb="21" eb="22">
      <t>ガタ</t>
    </rPh>
    <rPh sb="23" eb="25">
      <t>チョクセン</t>
    </rPh>
    <rPh sb="25" eb="26">
      <t>カタチ</t>
    </rPh>
    <rPh sb="27" eb="29">
      <t>カヘン</t>
    </rPh>
    <rPh sb="29" eb="30">
      <t>ガタ</t>
    </rPh>
    <phoneticPr fontId="2"/>
  </si>
  <si>
    <t>形状</t>
    <rPh sb="0" eb="2">
      <t>ケイジョウ</t>
    </rPh>
    <phoneticPr fontId="2"/>
  </si>
  <si>
    <t>ベース式露出型</t>
    <rPh sb="3" eb="4">
      <t>シキ</t>
    </rPh>
    <rPh sb="4" eb="6">
      <t>ロシュツ</t>
    </rPh>
    <rPh sb="6" eb="7">
      <t>ガタ</t>
    </rPh>
    <phoneticPr fontId="2"/>
  </si>
  <si>
    <t>ベース式埋設型</t>
    <rPh sb="3" eb="4">
      <t>シキ</t>
    </rPh>
    <rPh sb="4" eb="6">
      <t>マイセツ</t>
    </rPh>
    <rPh sb="6" eb="7">
      <t>ガタ</t>
    </rPh>
    <phoneticPr fontId="2"/>
  </si>
  <si>
    <t>形式</t>
    <rPh sb="0" eb="2">
      <t>ケイシキ</t>
    </rPh>
    <phoneticPr fontId="2"/>
  </si>
  <si>
    <t>IA8B-C</t>
    <phoneticPr fontId="2"/>
  </si>
  <si>
    <t>IA8.3B-C</t>
    <phoneticPr fontId="2"/>
  </si>
  <si>
    <t>IA10B-C</t>
    <phoneticPr fontId="2"/>
  </si>
  <si>
    <t xml:space="preserve">IA10.3B-C </t>
    <phoneticPr fontId="2"/>
  </si>
  <si>
    <t>IA12B-C</t>
    <phoneticPr fontId="2"/>
  </si>
  <si>
    <t xml:space="preserve">IA12.3B-C </t>
    <phoneticPr fontId="2"/>
  </si>
  <si>
    <t>h1</t>
    <phoneticPr fontId="2"/>
  </si>
  <si>
    <t>h2</t>
    <phoneticPr fontId="2"/>
  </si>
  <si>
    <t>h3</t>
    <phoneticPr fontId="2"/>
  </si>
  <si>
    <t>d1</t>
    <phoneticPr fontId="2"/>
  </si>
  <si>
    <t>d2</t>
    <phoneticPr fontId="2"/>
  </si>
  <si>
    <t>d3</t>
    <phoneticPr fontId="2"/>
  </si>
  <si>
    <t>d4</t>
    <phoneticPr fontId="2"/>
  </si>
  <si>
    <t>塗装面積</t>
    <rPh sb="0" eb="2">
      <t>トソウ</t>
    </rPh>
    <rPh sb="2" eb="4">
      <t>メンセキ</t>
    </rPh>
    <phoneticPr fontId="2"/>
  </si>
  <si>
    <t>単位　mm(塗装面積㎡)</t>
    <rPh sb="0" eb="2">
      <t>タンイ</t>
    </rPh>
    <rPh sb="6" eb="8">
      <t>トソウ</t>
    </rPh>
    <rPh sb="8" eb="10">
      <t>メンセキ</t>
    </rPh>
    <phoneticPr fontId="2"/>
  </si>
  <si>
    <t>直線型テーパーポール　可変型</t>
    <rPh sb="0" eb="3">
      <t>チョクセンガタ</t>
    </rPh>
    <rPh sb="11" eb="14">
      <t>カヘンガタ</t>
    </rPh>
    <phoneticPr fontId="2"/>
  </si>
  <si>
    <t>m</t>
    <phoneticPr fontId="2"/>
  </si>
  <si>
    <t>上段</t>
    <rPh sb="0" eb="2">
      <t>ジョウダン</t>
    </rPh>
    <phoneticPr fontId="2"/>
  </si>
  <si>
    <t>下段</t>
    <rPh sb="0" eb="2">
      <t>ゲダン</t>
    </rPh>
    <phoneticPr fontId="2"/>
  </si>
  <si>
    <t>中段</t>
    <rPh sb="0" eb="2">
      <t>チュウダン</t>
    </rPh>
    <phoneticPr fontId="2"/>
  </si>
  <si>
    <t>h1 × d1</t>
    <phoneticPr fontId="2"/>
  </si>
  <si>
    <t>h2×(d2 ＋ d3)／2</t>
    <phoneticPr fontId="2"/>
  </si>
  <si>
    <t>h3×d4</t>
  </si>
  <si>
    <t>JIL1001のp.5より</t>
    <phoneticPr fontId="2"/>
  </si>
  <si>
    <t>0.5×h1 + h2 + h3 + 300</t>
    <phoneticPr fontId="2"/>
  </si>
  <si>
    <t>h2(d3+2×d2)/(3×d3+3×d2) + h3+ 300</t>
    <phoneticPr fontId="2"/>
  </si>
  <si>
    <t>0.5×h3 + 300</t>
    <phoneticPr fontId="2"/>
  </si>
  <si>
    <t>合計</t>
    <rPh sb="0" eb="2">
      <t>ゴウケイ</t>
    </rPh>
    <phoneticPr fontId="2"/>
  </si>
  <si>
    <t>アーム長　L(m)</t>
    <rPh sb="3" eb="4">
      <t>チョウ</t>
    </rPh>
    <phoneticPr fontId="2"/>
  </si>
  <si>
    <t>出所：</t>
    <rPh sb="0" eb="2">
      <t>デドコロ</t>
    </rPh>
    <phoneticPr fontId="2"/>
  </si>
  <si>
    <t>器具：</t>
    <rPh sb="0" eb="2">
      <t>キグ</t>
    </rPh>
    <phoneticPr fontId="2"/>
  </si>
  <si>
    <t>支柱：</t>
    <rPh sb="0" eb="2">
      <t>シチュウ</t>
    </rPh>
    <phoneticPr fontId="2"/>
  </si>
  <si>
    <t>※赤字部は手入力箇所のため、要確認</t>
    <rPh sb="5" eb="8">
      <t>テニュウリョク</t>
    </rPh>
    <rPh sb="8" eb="10">
      <t>カショ</t>
    </rPh>
    <phoneticPr fontId="2"/>
  </si>
  <si>
    <t>https://www.jlma.or.jp/siryo/pdf/kokai/JIL1001taperpole.pdf</t>
    <phoneticPr fontId="2"/>
  </si>
  <si>
    <t>JIL1001:2019のp.24</t>
    <phoneticPr fontId="2"/>
  </si>
  <si>
    <t>路面高</t>
    <rPh sb="0" eb="2">
      <t>ロメン</t>
    </rPh>
    <rPh sb="2" eb="3">
      <t>タカ</t>
    </rPh>
    <phoneticPr fontId="2"/>
  </si>
  <si>
    <t>h1 + h2 + h3 + 300</t>
    <phoneticPr fontId="2"/>
  </si>
  <si>
    <t>単位:mm</t>
    <rPh sb="0" eb="2">
      <t>タンイ</t>
    </rPh>
    <phoneticPr fontId="2"/>
  </si>
  <si>
    <t>道路照明</t>
    <rPh sb="0" eb="2">
      <t>ドウロ</t>
    </rPh>
    <rPh sb="2" eb="4">
      <t>ショウメイ</t>
    </rPh>
    <phoneticPr fontId="2"/>
  </si>
  <si>
    <t>m</t>
  </si>
  <si>
    <t>仕様</t>
    <rPh sb="0" eb="2">
      <t>シヨウ</t>
    </rPh>
    <phoneticPr fontId="2"/>
  </si>
  <si>
    <t>長さ(m)</t>
    <rPh sb="0" eb="1">
      <t>ナガ</t>
    </rPh>
    <phoneticPr fontId="2"/>
  </si>
  <si>
    <t>梁材</t>
    <rPh sb="0" eb="1">
      <t>ハリ</t>
    </rPh>
    <rPh sb="1" eb="2">
      <t>ザイ</t>
    </rPh>
    <phoneticPr fontId="2"/>
  </si>
  <si>
    <t>受圧面積 A（㎡）</t>
    <phoneticPr fontId="2"/>
  </si>
  <si>
    <t>H=A×p</t>
    <phoneticPr fontId="2"/>
  </si>
  <si>
    <t>M=L×H</t>
    <phoneticPr fontId="2"/>
  </si>
  <si>
    <t>備考</t>
    <rPh sb="0" eb="2">
      <t>ビコウ</t>
    </rPh>
    <phoneticPr fontId="2"/>
  </si>
  <si>
    <t>設計風速 Vcr：</t>
    <rPh sb="0" eb="2">
      <t>セッケイ</t>
    </rPh>
    <rPh sb="2" eb="4">
      <t>フウソク</t>
    </rPh>
    <phoneticPr fontId="2"/>
  </si>
  <si>
    <t>m/sec</t>
    <phoneticPr fontId="2"/>
  </si>
  <si>
    <t>p=0.615・C・Vcr^2</t>
    <phoneticPr fontId="2"/>
  </si>
  <si>
    <t>Vcr：設計風速（m/sec）</t>
    <phoneticPr fontId="2"/>
  </si>
  <si>
    <t>C：風力係数（ポール丸形0.7、照明器具道路灯 1.0)</t>
    <rPh sb="2" eb="3">
      <t>カゼ</t>
    </rPh>
    <rPh sb="10" eb="12">
      <t>マルガタ</t>
    </rPh>
    <rPh sb="16" eb="18">
      <t>ショウメイ</t>
    </rPh>
    <rPh sb="18" eb="20">
      <t>キグ</t>
    </rPh>
    <rPh sb="20" eb="22">
      <t>ドウロ</t>
    </rPh>
    <rPh sb="22" eb="23">
      <t>トウ</t>
    </rPh>
    <phoneticPr fontId="2"/>
  </si>
  <si>
    <t>p(器具)= 0.615 × 1.0×60^2 =</t>
    <rPh sb="2" eb="4">
      <t>キグ</t>
    </rPh>
    <phoneticPr fontId="2"/>
  </si>
  <si>
    <t>p(支柱)= 0.615 × 0.7×60^2 =</t>
    <rPh sb="2" eb="4">
      <t>シチュウ</t>
    </rPh>
    <phoneticPr fontId="2"/>
  </si>
  <si>
    <t>（N/㎡）</t>
    <phoneticPr fontId="2"/>
  </si>
  <si>
    <t>p：有効投影面積当り風荷重（N/㎡）</t>
    <phoneticPr fontId="2"/>
  </si>
  <si>
    <t>p(N/㎡)</t>
    <phoneticPr fontId="2"/>
  </si>
  <si>
    <t>水平力 H(N)</t>
    <rPh sb="0" eb="2">
      <t>スイヘイ</t>
    </rPh>
    <rPh sb="2" eb="3">
      <t>リョク</t>
    </rPh>
    <phoneticPr fontId="2"/>
  </si>
  <si>
    <t>曲げﾓｰﾒﾝﾄ M(N・m)</t>
    <rPh sb="0" eb="1">
      <t>マ</t>
    </rPh>
    <phoneticPr fontId="2"/>
  </si>
  <si>
    <t>近畿地方整備局　設計便覧（案）　第４編電気通信編　第４章道路照明設備　p.4-41より</t>
    <rPh sb="0" eb="2">
      <t>キンキ</t>
    </rPh>
    <rPh sb="2" eb="4">
      <t>チホウ</t>
    </rPh>
    <rPh sb="4" eb="7">
      <t>セイビキョク</t>
    </rPh>
    <rPh sb="8" eb="10">
      <t>セッケイ</t>
    </rPh>
    <rPh sb="10" eb="12">
      <t>ビンラン</t>
    </rPh>
    <rPh sb="13" eb="14">
      <t>アン</t>
    </rPh>
    <rPh sb="16" eb="17">
      <t>ダイ</t>
    </rPh>
    <rPh sb="18" eb="19">
      <t>ヘン</t>
    </rPh>
    <rPh sb="19" eb="21">
      <t>デンキ</t>
    </rPh>
    <rPh sb="21" eb="23">
      <t>ツウシン</t>
    </rPh>
    <rPh sb="23" eb="24">
      <t>ヘン</t>
    </rPh>
    <rPh sb="25" eb="26">
      <t>ダイ</t>
    </rPh>
    <rPh sb="27" eb="28">
      <t>ショウ</t>
    </rPh>
    <rPh sb="28" eb="30">
      <t>ドウロ</t>
    </rPh>
    <rPh sb="30" eb="32">
      <t>ショウメイ</t>
    </rPh>
    <rPh sb="32" eb="34">
      <t>セツビ</t>
    </rPh>
    <phoneticPr fontId="2"/>
  </si>
  <si>
    <t>重量(N)</t>
    <rPh sb="0" eb="1">
      <t>ジュウ</t>
    </rPh>
    <rPh sb="1" eb="2">
      <t>リョウ</t>
    </rPh>
    <phoneticPr fontId="2"/>
  </si>
  <si>
    <t>240kg</t>
    <phoneticPr fontId="2"/>
  </si>
  <si>
    <t>10kg</t>
    <phoneticPr fontId="2"/>
  </si>
  <si>
    <t>鉛直力</t>
    <rPh sb="0" eb="2">
      <t>エンチョク</t>
    </rPh>
    <rPh sb="2" eb="3">
      <t>リョク</t>
    </rPh>
    <phoneticPr fontId="11"/>
  </si>
  <si>
    <t>水平力</t>
    <rPh sb="0" eb="2">
      <t>スイヘイ</t>
    </rPh>
    <rPh sb="2" eb="3">
      <t>リョク</t>
    </rPh>
    <phoneticPr fontId="11"/>
  </si>
  <si>
    <t>曲げモーメント</t>
    <rPh sb="0" eb="1">
      <t>マ</t>
    </rPh>
    <phoneticPr fontId="11"/>
  </si>
  <si>
    <t>BH</t>
    <phoneticPr fontId="11"/>
  </si>
  <si>
    <t>-3/4</t>
    <phoneticPr fontId="11"/>
  </si>
  <si>
    <t>=</t>
    <phoneticPr fontId="11"/>
  </si>
  <si>
    <t>BH:</t>
    <phoneticPr fontId="11"/>
  </si>
  <si>
    <t>BH=</t>
    <phoneticPr fontId="11"/>
  </si>
  <si>
    <t>AH</t>
    <phoneticPr fontId="11"/>
  </si>
  <si>
    <t>α:</t>
    <phoneticPr fontId="11"/>
  </si>
  <si>
    <t>地盤反力係数の推定に用いる係数</t>
    <rPh sb="0" eb="2">
      <t>ジバン</t>
    </rPh>
    <rPh sb="2" eb="3">
      <t>ハン</t>
    </rPh>
    <rPh sb="3" eb="4">
      <t>リョク</t>
    </rPh>
    <rPh sb="4" eb="6">
      <t>ケイスウ</t>
    </rPh>
    <rPh sb="7" eb="9">
      <t>スイテイ</t>
    </rPh>
    <rPh sb="10" eb="11">
      <t>モチ</t>
    </rPh>
    <rPh sb="13" eb="15">
      <t>ケイスウ</t>
    </rPh>
    <phoneticPr fontId="11"/>
  </si>
  <si>
    <t>AH:</t>
    <phoneticPr fontId="11"/>
  </si>
  <si>
    <t>B=</t>
    <phoneticPr fontId="2"/>
  </si>
  <si>
    <t>L=</t>
    <phoneticPr fontId="2"/>
  </si>
  <si>
    <t>Df=</t>
    <phoneticPr fontId="2"/>
  </si>
  <si>
    <t>N1 =</t>
    <phoneticPr fontId="11"/>
  </si>
  <si>
    <t>Hx =</t>
    <phoneticPr fontId="11"/>
  </si>
  <si>
    <t>N1 =</t>
    <phoneticPr fontId="2"/>
  </si>
  <si>
    <t>Hy =</t>
    <phoneticPr fontId="2"/>
  </si>
  <si>
    <t>Mx =</t>
    <phoneticPr fontId="11"/>
  </si>
  <si>
    <t>My =</t>
    <phoneticPr fontId="2"/>
  </si>
  <si>
    <t>kN</t>
    <phoneticPr fontId="2"/>
  </si>
  <si>
    <t>直風時</t>
    <rPh sb="0" eb="1">
      <t>チョク</t>
    </rPh>
    <rPh sb="1" eb="2">
      <t>カゼ</t>
    </rPh>
    <rPh sb="2" eb="3">
      <t>ジ</t>
    </rPh>
    <phoneticPr fontId="2"/>
  </si>
  <si>
    <t>KHo:</t>
    <phoneticPr fontId="11"/>
  </si>
  <si>
    <t>KHo</t>
    <phoneticPr fontId="11"/>
  </si>
  <si>
    <t>KHo=</t>
    <phoneticPr fontId="11"/>
  </si>
  <si>
    <t>直径0.3mの剛体円板による平板載荷試験の値に相当する水平方向の地盤反力係数(kN/m3)</t>
    <rPh sb="0" eb="1">
      <t>チョク</t>
    </rPh>
    <rPh sb="1" eb="2">
      <t>ケイ</t>
    </rPh>
    <rPh sb="7" eb="9">
      <t>ゴウタイ</t>
    </rPh>
    <rPh sb="9" eb="11">
      <t>エンバン</t>
    </rPh>
    <rPh sb="14" eb="16">
      <t>ヘイバン</t>
    </rPh>
    <rPh sb="16" eb="17">
      <t>ミツル</t>
    </rPh>
    <rPh sb="17" eb="18">
      <t>ニ</t>
    </rPh>
    <rPh sb="18" eb="20">
      <t>シケン</t>
    </rPh>
    <rPh sb="21" eb="22">
      <t>アタイ</t>
    </rPh>
    <rPh sb="23" eb="25">
      <t>ソウトウ</t>
    </rPh>
    <rPh sb="27" eb="29">
      <t>スイヘイ</t>
    </rPh>
    <rPh sb="29" eb="31">
      <t>ホウコウ</t>
    </rPh>
    <rPh sb="32" eb="34">
      <t>ジバン</t>
    </rPh>
    <rPh sb="34" eb="35">
      <t>ハン</t>
    </rPh>
    <rPh sb="35" eb="36">
      <t>チカラ</t>
    </rPh>
    <rPh sb="36" eb="38">
      <t>ケイスウ</t>
    </rPh>
    <phoneticPr fontId="11"/>
  </si>
  <si>
    <t>KH =</t>
    <phoneticPr fontId="11"/>
  </si>
  <si>
    <t>=</t>
    <phoneticPr fontId="2"/>
  </si>
  <si>
    <t>1/0.3</t>
    <phoneticPr fontId="2"/>
  </si>
  <si>
    <t>× α ×</t>
    <phoneticPr fontId="2"/>
  </si>
  <si>
    <t>AH^(-3/8) ×</t>
    <phoneticPr fontId="2"/>
  </si>
  <si>
    <t>(1/0.3)^(-3/4)</t>
    <phoneticPr fontId="2"/>
  </si>
  <si>
    <t>Eo ×</t>
    <phoneticPr fontId="2"/>
  </si>
  <si>
    <t>)^(-0375)</t>
    <phoneticPr fontId="2"/>
  </si>
  <si>
    <t>kN/m3</t>
    <phoneticPr fontId="2"/>
  </si>
  <si>
    <t>mm</t>
    <phoneticPr fontId="2"/>
  </si>
  <si>
    <t>設計の対象とする位置での地盤の変形係数(kN/m2)で次式による。</t>
    <rPh sb="0" eb="2">
      <t>セッケイ</t>
    </rPh>
    <rPh sb="3" eb="5">
      <t>タイショウ</t>
    </rPh>
    <rPh sb="8" eb="10">
      <t>イチ</t>
    </rPh>
    <rPh sb="12" eb="14">
      <t>ジバン</t>
    </rPh>
    <rPh sb="15" eb="17">
      <t>ヘンケイ</t>
    </rPh>
    <rPh sb="17" eb="19">
      <t>ケイスウ</t>
    </rPh>
    <rPh sb="27" eb="29">
      <t>ジシキ</t>
    </rPh>
    <phoneticPr fontId="11"/>
  </si>
  <si>
    <t>α × Eo</t>
    <phoneticPr fontId="11"/>
  </si>
  <si>
    <t>Eo:</t>
    <phoneticPr fontId="11"/>
  </si>
  <si>
    <t>Eo=</t>
    <phoneticPr fontId="11"/>
  </si>
  <si>
    <t>N</t>
    <phoneticPr fontId="2"/>
  </si>
  <si>
    <t>N:</t>
    <phoneticPr fontId="11"/>
  </si>
  <si>
    <t>標準貫入試験のN値</t>
    <rPh sb="0" eb="2">
      <t>ヒョウジュン</t>
    </rPh>
    <rPh sb="2" eb="3">
      <t>ツラヌ</t>
    </rPh>
    <rPh sb="3" eb="4">
      <t>イ</t>
    </rPh>
    <rPh sb="4" eb="6">
      <t>シケン</t>
    </rPh>
    <rPh sb="8" eb="9">
      <t>アタイ</t>
    </rPh>
    <phoneticPr fontId="11"/>
  </si>
  <si>
    <t>N=</t>
    <phoneticPr fontId="2"/>
  </si>
  <si>
    <t>α=</t>
    <phoneticPr fontId="2"/>
  </si>
  <si>
    <t>水平方向の載荷面積(m2)</t>
    <rPh sb="0" eb="2">
      <t>スイヘイ</t>
    </rPh>
    <rPh sb="2" eb="4">
      <t>ホウコウ</t>
    </rPh>
    <rPh sb="5" eb="6">
      <t>サイ</t>
    </rPh>
    <rPh sb="6" eb="7">
      <t>カ</t>
    </rPh>
    <rPh sb="7" eb="9">
      <t>メンセキ</t>
    </rPh>
    <phoneticPr fontId="11"/>
  </si>
  <si>
    <t>AH＝</t>
    <phoneticPr fontId="2"/>
  </si>
  <si>
    <t>荷重作用方向に直交する基礎の換算載荷幅(m)で次式より求める</t>
    <rPh sb="0" eb="2">
      <t>カジュウ</t>
    </rPh>
    <rPh sb="2" eb="4">
      <t>サヨウ</t>
    </rPh>
    <rPh sb="4" eb="6">
      <t>ホウコウ</t>
    </rPh>
    <rPh sb="7" eb="9">
      <t>チョッコウ</t>
    </rPh>
    <rPh sb="11" eb="13">
      <t>キソ</t>
    </rPh>
    <rPh sb="14" eb="16">
      <t>カンサン</t>
    </rPh>
    <rPh sb="16" eb="17">
      <t>サイ</t>
    </rPh>
    <rPh sb="17" eb="18">
      <t>カ</t>
    </rPh>
    <rPh sb="18" eb="19">
      <t>ハバ</t>
    </rPh>
    <rPh sb="23" eb="25">
      <t>ジシキ</t>
    </rPh>
    <rPh sb="27" eb="28">
      <t>モト</t>
    </rPh>
    <phoneticPr fontId="11"/>
  </si>
  <si>
    <t>常時・暴風時１、地震時２</t>
    <rPh sb="0" eb="2">
      <t>ジョウジ</t>
    </rPh>
    <rPh sb="3" eb="6">
      <t>ボウフウジ</t>
    </rPh>
    <rPh sb="8" eb="10">
      <t>ジシン</t>
    </rPh>
    <rPh sb="10" eb="11">
      <t>ジ</t>
    </rPh>
    <phoneticPr fontId="2"/>
  </si>
  <si>
    <t>KV=</t>
    <phoneticPr fontId="11"/>
  </si>
  <si>
    <t>BV</t>
    <phoneticPr fontId="11"/>
  </si>
  <si>
    <t>BV:</t>
    <phoneticPr fontId="11"/>
  </si>
  <si>
    <t>BV=</t>
    <phoneticPr fontId="11"/>
  </si>
  <si>
    <t>AV</t>
    <phoneticPr fontId="11"/>
  </si>
  <si>
    <t>AV:</t>
    <phoneticPr fontId="11"/>
  </si>
  <si>
    <t>βM=</t>
    <phoneticPr fontId="11"/>
  </si>
  <si>
    <t>KH</t>
    <phoneticPr fontId="11"/>
  </si>
  <si>
    <t>D'f</t>
    <phoneticPr fontId="11"/>
  </si>
  <si>
    <t>KV</t>
    <phoneticPr fontId="11"/>
  </si>
  <si>
    <t>B</t>
    <phoneticPr fontId="11"/>
  </si>
  <si>
    <t>*</t>
    <phoneticPr fontId="11"/>
  </si>
  <si>
    <t>1+βM</t>
    <phoneticPr fontId="11"/>
  </si>
  <si>
    <t>Kvo</t>
    <phoneticPr fontId="11"/>
  </si>
  <si>
    <t>KVo:</t>
    <phoneticPr fontId="11"/>
  </si>
  <si>
    <t>直径0.3mの剛体円板による平板載荷試験の値に相当する鉛直方向の地盤反力係数(kN/m3)</t>
    <rPh sb="0" eb="1">
      <t>チョク</t>
    </rPh>
    <rPh sb="1" eb="2">
      <t>ケイ</t>
    </rPh>
    <rPh sb="7" eb="9">
      <t>ゴウタイ</t>
    </rPh>
    <rPh sb="9" eb="11">
      <t>エンバン</t>
    </rPh>
    <rPh sb="14" eb="16">
      <t>ヘイバン</t>
    </rPh>
    <rPh sb="16" eb="17">
      <t>ミツル</t>
    </rPh>
    <rPh sb="17" eb="18">
      <t>ニ</t>
    </rPh>
    <rPh sb="18" eb="20">
      <t>シケン</t>
    </rPh>
    <rPh sb="21" eb="22">
      <t>アタイ</t>
    </rPh>
    <rPh sb="23" eb="25">
      <t>ソウトウ</t>
    </rPh>
    <rPh sb="27" eb="29">
      <t>エンチョク</t>
    </rPh>
    <rPh sb="29" eb="31">
      <t>ホウコウ</t>
    </rPh>
    <rPh sb="32" eb="34">
      <t>ジバン</t>
    </rPh>
    <rPh sb="34" eb="35">
      <t>ハン</t>
    </rPh>
    <rPh sb="35" eb="36">
      <t>チカラ</t>
    </rPh>
    <rPh sb="36" eb="38">
      <t>ケイスウ</t>
    </rPh>
    <phoneticPr fontId="11"/>
  </si>
  <si>
    <t>KVo=</t>
    <phoneticPr fontId="11"/>
  </si>
  <si>
    <t>基礎の換算載荷幅(m)で次式より求める。ただし、底面形状が円形の場合には直形とする。</t>
    <rPh sb="0" eb="2">
      <t>キソ</t>
    </rPh>
    <rPh sb="3" eb="5">
      <t>カンサン</t>
    </rPh>
    <rPh sb="5" eb="6">
      <t>サイ</t>
    </rPh>
    <rPh sb="6" eb="7">
      <t>カ</t>
    </rPh>
    <rPh sb="7" eb="8">
      <t>ハバ</t>
    </rPh>
    <rPh sb="12" eb="14">
      <t>ジシキ</t>
    </rPh>
    <rPh sb="16" eb="17">
      <t>モト</t>
    </rPh>
    <rPh sb="24" eb="25">
      <t>テイ</t>
    </rPh>
    <rPh sb="25" eb="26">
      <t>メン</t>
    </rPh>
    <rPh sb="26" eb="27">
      <t>ケイ</t>
    </rPh>
    <rPh sb="27" eb="28">
      <t>ジョウ</t>
    </rPh>
    <rPh sb="29" eb="31">
      <t>エンケイ</t>
    </rPh>
    <rPh sb="32" eb="34">
      <t>バアイ</t>
    </rPh>
    <rPh sb="36" eb="37">
      <t>チョク</t>
    </rPh>
    <rPh sb="37" eb="38">
      <t>ケイ</t>
    </rPh>
    <phoneticPr fontId="11"/>
  </si>
  <si>
    <t>鉛直方向の載荷面積(m2)</t>
    <rPh sb="0" eb="2">
      <t>エンチョク</t>
    </rPh>
    <rPh sb="2" eb="4">
      <t>ホウコウ</t>
    </rPh>
    <rPh sb="5" eb="6">
      <t>サイ</t>
    </rPh>
    <rPh sb="6" eb="7">
      <t>カ</t>
    </rPh>
    <rPh sb="7" eb="9">
      <t>メンセキ</t>
    </rPh>
    <phoneticPr fontId="11"/>
  </si>
  <si>
    <t>AV＝</t>
    <phoneticPr fontId="2"/>
  </si>
  <si>
    <t>B × L</t>
    <phoneticPr fontId="2"/>
  </si>
  <si>
    <t>AV^(-3/8) ×</t>
    <phoneticPr fontId="2"/>
  </si>
  <si>
    <t>(B・L)^(-3/8)×</t>
    <phoneticPr fontId="2"/>
  </si>
  <si>
    <t>(B・L)^(-3/8)</t>
    <phoneticPr fontId="2"/>
  </si>
  <si>
    <t>×(B・L)^(-0.375)</t>
    <phoneticPr fontId="2"/>
  </si>
  <si>
    <t>(L・Df)^(-3/8)×</t>
    <phoneticPr fontId="2"/>
  </si>
  <si>
    <t>(L・Df)^(-3/8)</t>
    <phoneticPr fontId="2"/>
  </si>
  <si>
    <t>×(L・Df)^(-0.375)</t>
    <phoneticPr fontId="2"/>
  </si>
  <si>
    <t>L × Df</t>
    <phoneticPr fontId="2"/>
  </si>
  <si>
    <t>Mx</t>
    <phoneticPr fontId="2"/>
  </si>
  <si>
    <t xml:space="preserve"> + </t>
    <phoneticPr fontId="2"/>
  </si>
  <si>
    <t>Hx ×Df</t>
    <phoneticPr fontId="2"/>
  </si>
  <si>
    <t>M =</t>
    <phoneticPr fontId="11"/>
  </si>
  <si>
    <t>×</t>
    <phoneticPr fontId="2"/>
  </si>
  <si>
    <t>1    +</t>
    <phoneticPr fontId="11"/>
  </si>
  <si>
    <t>βM</t>
    <phoneticPr fontId="11"/>
  </si>
  <si>
    <t>V=</t>
    <phoneticPr fontId="11"/>
  </si>
  <si>
    <t>-e</t>
    <phoneticPr fontId="11"/>
  </si>
  <si>
    <t>= 3</t>
    <phoneticPr fontId="11"/>
  </si>
  <si>
    <r>
      <t>q</t>
    </r>
    <r>
      <rPr>
        <vertAlign val="subscript"/>
        <sz val="10"/>
        <rFont val="ＭＳ ゴシック"/>
        <family val="3"/>
        <charset val="128"/>
      </rPr>
      <t xml:space="preserve">max </t>
    </r>
    <r>
      <rPr>
        <sz val="10"/>
        <rFont val="ＭＳ ゴシック"/>
        <family val="3"/>
        <charset val="128"/>
      </rPr>
      <t>=</t>
    </r>
    <phoneticPr fontId="2"/>
  </si>
  <si>
    <t>2*V</t>
    <phoneticPr fontId="11"/>
  </si>
  <si>
    <t>&lt;</t>
    <phoneticPr fontId="2"/>
  </si>
  <si>
    <t>L*x</t>
    <phoneticPr fontId="11"/>
  </si>
  <si>
    <t>MB =</t>
    <phoneticPr fontId="11"/>
  </si>
  <si>
    <t xml:space="preserve">*M </t>
    <phoneticPr fontId="11"/>
  </si>
  <si>
    <t>MS =</t>
    <phoneticPr fontId="11"/>
  </si>
  <si>
    <t>*M</t>
    <phoneticPr fontId="11"/>
  </si>
  <si>
    <t xml:space="preserve"> =</t>
    <phoneticPr fontId="11"/>
  </si>
  <si>
    <t>1    +</t>
    <phoneticPr fontId="2"/>
  </si>
  <si>
    <t xml:space="preserve"> MB / V</t>
    <phoneticPr fontId="2"/>
  </si>
  <si>
    <t>e =</t>
    <phoneticPr fontId="11"/>
  </si>
  <si>
    <t>/</t>
    <phoneticPr fontId="11"/>
  </si>
  <si>
    <t>kN/m2</t>
    <phoneticPr fontId="2"/>
  </si>
  <si>
    <t>コンクリートの単位体積重量</t>
    <rPh sb="7" eb="9">
      <t>タンイ</t>
    </rPh>
    <rPh sb="9" eb="11">
      <t>タイセキ</t>
    </rPh>
    <rPh sb="11" eb="13">
      <t>ジュウリョウ</t>
    </rPh>
    <phoneticPr fontId="11"/>
  </si>
  <si>
    <t>B</t>
    <phoneticPr fontId="2"/>
  </si>
  <si>
    <t>道路照明灯が標準根入れで設置できない場合の基礎部の設計（直接基礎で設計する場合）</t>
    <rPh sb="0" eb="2">
      <t>ドウロ</t>
    </rPh>
    <rPh sb="2" eb="5">
      <t>ショウメイトウ</t>
    </rPh>
    <rPh sb="6" eb="8">
      <t>ヒョウジュン</t>
    </rPh>
    <rPh sb="8" eb="10">
      <t>ネイ</t>
    </rPh>
    <rPh sb="12" eb="14">
      <t>セッチ</t>
    </rPh>
    <rPh sb="18" eb="20">
      <t>バアイ</t>
    </rPh>
    <rPh sb="21" eb="24">
      <t>キソブ</t>
    </rPh>
    <rPh sb="25" eb="27">
      <t>セッケイ</t>
    </rPh>
    <rPh sb="28" eb="30">
      <t>チョクセツ</t>
    </rPh>
    <rPh sb="30" eb="32">
      <t>キソ</t>
    </rPh>
    <rPh sb="33" eb="35">
      <t>セッケイ</t>
    </rPh>
    <rPh sb="37" eb="39">
      <t>バアイ</t>
    </rPh>
    <phoneticPr fontId="2"/>
  </si>
  <si>
    <t>斜風時（直線ポールなので、直風時と同じ）</t>
    <rPh sb="0" eb="1">
      <t>シャ</t>
    </rPh>
    <rPh sb="1" eb="2">
      <t>カゼ</t>
    </rPh>
    <rPh sb="2" eb="3">
      <t>ジ</t>
    </rPh>
    <rPh sb="4" eb="6">
      <t>チョクセン</t>
    </rPh>
    <rPh sb="13" eb="15">
      <t>チョクフウ</t>
    </rPh>
    <rPh sb="15" eb="16">
      <t>ジ</t>
    </rPh>
    <rPh sb="17" eb="18">
      <t>オナ</t>
    </rPh>
    <phoneticPr fontId="2"/>
  </si>
  <si>
    <t>Df'=</t>
    <phoneticPr fontId="2"/>
  </si>
  <si>
    <t>土の単位体積重量</t>
    <rPh sb="0" eb="1">
      <t>ツチ</t>
    </rPh>
    <rPh sb="2" eb="4">
      <t>タンイ</t>
    </rPh>
    <rPh sb="4" eb="6">
      <t>タイセキ</t>
    </rPh>
    <rPh sb="6" eb="8">
      <t>ジュウリョウ</t>
    </rPh>
    <phoneticPr fontId="11"/>
  </si>
  <si>
    <t>（N値</t>
    <rPh sb="2" eb="3">
      <t>アタイ</t>
    </rPh>
    <phoneticPr fontId="2"/>
  </si>
  <si>
    <t>)</t>
    <phoneticPr fontId="2"/>
  </si>
  <si>
    <t>許容地耐力:Qa=</t>
    <phoneticPr fontId="2"/>
  </si>
  <si>
    <t>設計地耐力：</t>
    <rPh sb="0" eb="2">
      <t>セッケイ</t>
    </rPh>
    <rPh sb="2" eb="3">
      <t>チ</t>
    </rPh>
    <rPh sb="3" eb="4">
      <t>タ</t>
    </rPh>
    <rPh sb="4" eb="5">
      <t>リョク</t>
    </rPh>
    <phoneticPr fontId="2"/>
  </si>
  <si>
    <t>水平力（H）、曲げモーメント（M）、鉛直力（N）を計算したうえ、基礎の寸法を定め、</t>
    <rPh sb="18" eb="21">
      <t>エンチョクリョク</t>
    </rPh>
    <phoneticPr fontId="2"/>
  </si>
  <si>
    <t>「鉛直支持力」、「転倒」、「滑動」、「水平支持力」に対する安定照査を行う。</t>
    <rPh sb="1" eb="3">
      <t>エンチョク</t>
    </rPh>
    <rPh sb="3" eb="6">
      <t>シジリョク</t>
    </rPh>
    <rPh sb="9" eb="11">
      <t>テントウ</t>
    </rPh>
    <rPh sb="14" eb="16">
      <t>カツドウ</t>
    </rPh>
    <rPh sb="26" eb="27">
      <t>タイ</t>
    </rPh>
    <rPh sb="29" eb="31">
      <t>アンテイ</t>
    </rPh>
    <rPh sb="31" eb="33">
      <t>ショウサ</t>
    </rPh>
    <rPh sb="34" eb="35">
      <t>オコナ</t>
    </rPh>
    <phoneticPr fontId="2"/>
  </si>
  <si>
    <t>&lt;=</t>
    <phoneticPr fontId="2"/>
  </si>
  <si>
    <t>Hu=</t>
    <phoneticPr fontId="11"/>
  </si>
  <si>
    <t>V・μ</t>
    <phoneticPr fontId="2"/>
  </si>
  <si>
    <t>μ:</t>
    <phoneticPr fontId="11"/>
  </si>
  <si>
    <t>基礎底面に作用する摩擦係数</t>
    <rPh sb="0" eb="4">
      <t>キソテイメン</t>
    </rPh>
    <rPh sb="5" eb="7">
      <t>サヨウ</t>
    </rPh>
    <rPh sb="9" eb="11">
      <t>マサツ</t>
    </rPh>
    <rPh sb="11" eb="13">
      <t>ケイスウ</t>
    </rPh>
    <phoneticPr fontId="11"/>
  </si>
  <si>
    <t>μ=</t>
    <phoneticPr fontId="2"/>
  </si>
  <si>
    <t>βH=</t>
    <phoneticPr fontId="2"/>
  </si>
  <si>
    <t>KH × Df</t>
    <phoneticPr fontId="2"/>
  </si>
  <si>
    <t>kS:</t>
    <phoneticPr fontId="11"/>
  </si>
  <si>
    <t>水平方向せん断地盤反力係数(kN/m3)</t>
    <rPh sb="0" eb="4">
      <t>スイヘイホウコウ</t>
    </rPh>
    <rPh sb="6" eb="7">
      <t>ダン</t>
    </rPh>
    <rPh sb="7" eb="9">
      <t>ジバン</t>
    </rPh>
    <rPh sb="9" eb="11">
      <t>ハンリョク</t>
    </rPh>
    <rPh sb="11" eb="13">
      <t>ケイスウ</t>
    </rPh>
    <phoneticPr fontId="11"/>
  </si>
  <si>
    <t>kS=</t>
    <phoneticPr fontId="2"/>
  </si>
  <si>
    <t>λ・KV</t>
    <phoneticPr fontId="2"/>
  </si>
  <si>
    <t>3.支柱下端から基礎天端への作用力</t>
    <phoneticPr fontId="2"/>
  </si>
  <si>
    <t>　3-1. 単位面積当たりの風荷重</t>
    <phoneticPr fontId="2"/>
  </si>
  <si>
    <t>　3-2. 水平力</t>
    <rPh sb="6" eb="8">
      <t>スイヘイ</t>
    </rPh>
    <rPh sb="8" eb="9">
      <t>リョク</t>
    </rPh>
    <phoneticPr fontId="2"/>
  </si>
  <si>
    <t>　3-3. 曲げモーメント</t>
    <rPh sb="6" eb="7">
      <t>マ</t>
    </rPh>
    <phoneticPr fontId="2"/>
  </si>
  <si>
    <t>　3-4. 鉛直力</t>
    <rPh sb="6" eb="9">
      <t>エンチョクリョク</t>
    </rPh>
    <phoneticPr fontId="2"/>
  </si>
  <si>
    <t>4.基礎の計算</t>
    <rPh sb="2" eb="4">
      <t>キソ</t>
    </rPh>
    <rPh sb="5" eb="7">
      <t>ケイサン</t>
    </rPh>
    <phoneticPr fontId="2"/>
  </si>
  <si>
    <t>　4-1. 基礎寸法の仮定</t>
    <rPh sb="6" eb="8">
      <t>キソ</t>
    </rPh>
    <rPh sb="8" eb="10">
      <t>スンポウ</t>
    </rPh>
    <rPh sb="11" eb="13">
      <t>カテイ</t>
    </rPh>
    <phoneticPr fontId="11"/>
  </si>
  <si>
    <t>　4-2.存在応力</t>
    <rPh sb="5" eb="7">
      <t>ソンザイ</t>
    </rPh>
    <rPh sb="7" eb="9">
      <t>オウリョク</t>
    </rPh>
    <phoneticPr fontId="11"/>
  </si>
  <si>
    <t>　4-3. 鉛直支持力に対する安定照査</t>
    <rPh sb="6" eb="8">
      <t>エンチョク</t>
    </rPh>
    <rPh sb="8" eb="10">
      <t>シジ</t>
    </rPh>
    <rPh sb="10" eb="11">
      <t>リョク</t>
    </rPh>
    <rPh sb="12" eb="13">
      <t>タイ</t>
    </rPh>
    <rPh sb="15" eb="17">
      <t>アンテイ</t>
    </rPh>
    <rPh sb="17" eb="19">
      <t>ショウサ</t>
    </rPh>
    <phoneticPr fontId="11"/>
  </si>
  <si>
    <t xml:space="preserve">　　4-3-1. 水平方向地盤反力係数 KH </t>
    <phoneticPr fontId="11"/>
  </si>
  <si>
    <t>N    =</t>
    <phoneticPr fontId="2"/>
  </si>
  <si>
    <t>　　4-3-2. 鉛直方向地盤反力係数 KV</t>
    <phoneticPr fontId="11"/>
  </si>
  <si>
    <t>　　4-3-3. 根入れ部分と底面に作用するモーメントの分担比 βM</t>
    <phoneticPr fontId="11"/>
  </si>
  <si>
    <t>　　4-3-4. 基礎底面における全作用モーメント M</t>
    <phoneticPr fontId="11"/>
  </si>
  <si>
    <t>kN・m</t>
    <phoneticPr fontId="2"/>
  </si>
  <si>
    <t xml:space="preserve">　　4-3-5. 基礎底面に作用するモーメント MB </t>
    <phoneticPr fontId="11"/>
  </si>
  <si>
    <t>　　4-3-6. 基礎底面を中心とする根入れ部分に作用するモーメント MS</t>
    <phoneticPr fontId="11"/>
  </si>
  <si>
    <t>　　4-3-7. 基礎底面に作用する鉛直荷重 V</t>
    <phoneticPr fontId="11"/>
  </si>
  <si>
    <t>　　4-3-8. 荷重の偏心距離 e</t>
    <phoneticPr fontId="11"/>
  </si>
  <si>
    <t>　　4-3-9. 底面反力の作用幅 X</t>
    <phoneticPr fontId="11"/>
  </si>
  <si>
    <t>X= 3</t>
    <phoneticPr fontId="11"/>
  </si>
  <si>
    <t>X&lt;Bより、三角分布</t>
    <rPh sb="6" eb="8">
      <t>サンカク</t>
    </rPh>
    <rPh sb="8" eb="10">
      <t>ブンプ</t>
    </rPh>
    <phoneticPr fontId="11"/>
  </si>
  <si>
    <t>　4-4. 転倒に対する安定照査</t>
    <rPh sb="6" eb="8">
      <t>テントウ</t>
    </rPh>
    <rPh sb="9" eb="10">
      <t>タイ</t>
    </rPh>
    <rPh sb="12" eb="14">
      <t>アンテイ</t>
    </rPh>
    <rPh sb="14" eb="16">
      <t>ショウサ</t>
    </rPh>
    <phoneticPr fontId="11"/>
  </si>
  <si>
    <t>　4-5. 滑動に対する安定照査</t>
    <rPh sb="6" eb="8">
      <t>カツドウ</t>
    </rPh>
    <rPh sb="9" eb="10">
      <t>タイ</t>
    </rPh>
    <rPh sb="12" eb="14">
      <t>アンテイ</t>
    </rPh>
    <rPh sb="14" eb="16">
      <t>ショウサ</t>
    </rPh>
    <phoneticPr fontId="11"/>
  </si>
  <si>
    <t>　　4-5-1. 基礎底面と地盤との間に働くせん断抵抗力 Hu</t>
    <phoneticPr fontId="11"/>
  </si>
  <si>
    <t>λ=</t>
    <phoneticPr fontId="2"/>
  </si>
  <si>
    <t>λ:</t>
    <phoneticPr fontId="2"/>
  </si>
  <si>
    <t>鉛直方向の地盤反力係数に対する水平せん断地盤反力係数の比</t>
    <rPh sb="0" eb="2">
      <t>エンチョク</t>
    </rPh>
    <rPh sb="2" eb="4">
      <t>ホウコウ</t>
    </rPh>
    <rPh sb="5" eb="7">
      <t>ジバン</t>
    </rPh>
    <rPh sb="7" eb="9">
      <t>ハンリョク</t>
    </rPh>
    <rPh sb="9" eb="11">
      <t>ケイスウ</t>
    </rPh>
    <rPh sb="12" eb="13">
      <t>タイ</t>
    </rPh>
    <rPh sb="15" eb="17">
      <t>スイヘイ</t>
    </rPh>
    <rPh sb="19" eb="20">
      <t>ダン</t>
    </rPh>
    <rPh sb="20" eb="22">
      <t>ジバン</t>
    </rPh>
    <rPh sb="22" eb="24">
      <t>ハンリョク</t>
    </rPh>
    <rPh sb="24" eb="26">
      <t>ケイスウ</t>
    </rPh>
    <rPh sb="27" eb="28">
      <t>ヒ</t>
    </rPh>
    <phoneticPr fontId="2"/>
  </si>
  <si>
    <t>λ</t>
    <phoneticPr fontId="2"/>
  </si>
  <si>
    <t>KV</t>
    <phoneticPr fontId="2"/>
  </si>
  <si>
    <t>　　4-3-10. 基礎底面における最大地盤反力度 qmax</t>
    <phoneticPr fontId="11"/>
  </si>
  <si>
    <t>　　4-5-2. 根入れ部分と底面に作用する水平力の分担比 βH</t>
    <phoneticPr fontId="11"/>
  </si>
  <si>
    <t>　　4-5-3. 基礎底面に作用する水平力 HB</t>
    <rPh sb="9" eb="11">
      <t>キソ</t>
    </rPh>
    <rPh sb="11" eb="13">
      <t>ソコメン</t>
    </rPh>
    <rPh sb="14" eb="16">
      <t>サヨウ</t>
    </rPh>
    <rPh sb="18" eb="21">
      <t>スイヘイリョク</t>
    </rPh>
    <phoneticPr fontId="11"/>
  </si>
  <si>
    <t>HB =</t>
    <phoneticPr fontId="11"/>
  </si>
  <si>
    <t>1+βH</t>
    <phoneticPr fontId="11"/>
  </si>
  <si>
    <t>*Hx</t>
    <phoneticPr fontId="11"/>
  </si>
  <si>
    <t>　　4-5-4. 根入れ部分に作用する水平力 HS</t>
    <rPh sb="9" eb="11">
      <t>ネイ</t>
    </rPh>
    <rPh sb="12" eb="14">
      <t>ブブン</t>
    </rPh>
    <rPh sb="15" eb="17">
      <t>サヨウ</t>
    </rPh>
    <rPh sb="19" eb="22">
      <t>スイヘイリョク</t>
    </rPh>
    <phoneticPr fontId="11"/>
  </si>
  <si>
    <t>HS =</t>
    <phoneticPr fontId="11"/>
  </si>
  <si>
    <t>βH</t>
    <phoneticPr fontId="2"/>
  </si>
  <si>
    <t>　　4-5-5. 基礎底面と地盤との間に働く許容せん断抵抗力 Hua</t>
    <rPh sb="9" eb="11">
      <t>キソ</t>
    </rPh>
    <rPh sb="11" eb="13">
      <t>テイメン</t>
    </rPh>
    <rPh sb="14" eb="16">
      <t>ジバン</t>
    </rPh>
    <rPh sb="18" eb="19">
      <t>アイダ</t>
    </rPh>
    <rPh sb="20" eb="21">
      <t>ハタラ</t>
    </rPh>
    <rPh sb="22" eb="24">
      <t>キョヨウ</t>
    </rPh>
    <rPh sb="26" eb="27">
      <t>ダン</t>
    </rPh>
    <rPh sb="27" eb="30">
      <t>テイコウリョク</t>
    </rPh>
    <phoneticPr fontId="11"/>
  </si>
  <si>
    <t>Hua =</t>
    <phoneticPr fontId="11"/>
  </si>
  <si>
    <t>nh</t>
    <phoneticPr fontId="11"/>
  </si>
  <si>
    <t>*Hu</t>
    <phoneticPr fontId="11"/>
  </si>
  <si>
    <t>&gt;=</t>
    <phoneticPr fontId="2"/>
  </si>
  <si>
    <t>HB</t>
    <phoneticPr fontId="2"/>
  </si>
  <si>
    <t>nh:</t>
    <phoneticPr fontId="11"/>
  </si>
  <si>
    <t>基礎底面地盤の許容せん断抵抗力の安全率（常時：1.5、暴風時及び地震時：1.2）</t>
    <rPh sb="0" eb="2">
      <t>キソ</t>
    </rPh>
    <rPh sb="2" eb="4">
      <t>テイメン</t>
    </rPh>
    <rPh sb="4" eb="6">
      <t>ジバン</t>
    </rPh>
    <rPh sb="7" eb="9">
      <t>キョヨウ</t>
    </rPh>
    <rPh sb="11" eb="12">
      <t>ダン</t>
    </rPh>
    <rPh sb="12" eb="15">
      <t>テイコウリョク</t>
    </rPh>
    <rPh sb="16" eb="19">
      <t>アンゼンリツ</t>
    </rPh>
    <rPh sb="20" eb="22">
      <t>ジョウジ</t>
    </rPh>
    <rPh sb="27" eb="30">
      <t>ボウフウジ</t>
    </rPh>
    <rPh sb="30" eb="31">
      <t>オヨ</t>
    </rPh>
    <rPh sb="32" eb="35">
      <t>ジシンジ</t>
    </rPh>
    <phoneticPr fontId="11"/>
  </si>
  <si>
    <t>nh=</t>
    <phoneticPr fontId="2"/>
  </si>
  <si>
    <t>　4-6. 水平支持力に対する安定照査（根入れ地盤で荷重を分担する場合）</t>
    <rPh sb="6" eb="8">
      <t>スイヘイ</t>
    </rPh>
    <rPh sb="8" eb="11">
      <t>シジリョク</t>
    </rPh>
    <rPh sb="12" eb="13">
      <t>タイ</t>
    </rPh>
    <rPh sb="15" eb="17">
      <t>アンテイ</t>
    </rPh>
    <rPh sb="17" eb="19">
      <t>ショウサ</t>
    </rPh>
    <rPh sb="20" eb="22">
      <t>ネイ</t>
    </rPh>
    <rPh sb="23" eb="25">
      <t>ジバン</t>
    </rPh>
    <rPh sb="26" eb="28">
      <t>カジュウ</t>
    </rPh>
    <rPh sb="29" eb="31">
      <t>ブンタン</t>
    </rPh>
    <rPh sb="33" eb="35">
      <t>バアイ</t>
    </rPh>
    <phoneticPr fontId="11"/>
  </si>
  <si>
    <t>　　4-6-1. 根入れ部分の地盤の許容水平支持力 Hpa</t>
    <rPh sb="9" eb="11">
      <t>ネイ</t>
    </rPh>
    <rPh sb="12" eb="14">
      <t>ブブン</t>
    </rPh>
    <rPh sb="15" eb="17">
      <t>ジバン</t>
    </rPh>
    <rPh sb="18" eb="20">
      <t>キョヨウ</t>
    </rPh>
    <rPh sb="20" eb="22">
      <t>スイヘイ</t>
    </rPh>
    <rPh sb="22" eb="24">
      <t>シジ</t>
    </rPh>
    <rPh sb="24" eb="25">
      <t>リョク</t>
    </rPh>
    <phoneticPr fontId="11"/>
  </si>
  <si>
    <t>Hpa=</t>
    <phoneticPr fontId="11"/>
  </si>
  <si>
    <t>np</t>
    <phoneticPr fontId="11"/>
  </si>
  <si>
    <t>Hp</t>
    <phoneticPr fontId="11"/>
  </si>
  <si>
    <t>HS</t>
    <phoneticPr fontId="2"/>
  </si>
  <si>
    <t>Hp:</t>
    <phoneticPr fontId="2"/>
  </si>
  <si>
    <t>根入れ部分の地盤の水平支持力（kN）</t>
    <rPh sb="0" eb="2">
      <t>ネイ</t>
    </rPh>
    <rPh sb="3" eb="5">
      <t>ブブン</t>
    </rPh>
    <rPh sb="6" eb="8">
      <t>ジバン</t>
    </rPh>
    <rPh sb="9" eb="11">
      <t>スイヘイ</t>
    </rPh>
    <rPh sb="11" eb="14">
      <t>シジリョク</t>
    </rPh>
    <phoneticPr fontId="2"/>
  </si>
  <si>
    <t>Hp=</t>
    <phoneticPr fontId="2"/>
  </si>
  <si>
    <t>^2</t>
    <phoneticPr fontId="2"/>
  </si>
  <si>
    <t>Kp:</t>
    <phoneticPr fontId="2"/>
  </si>
  <si>
    <t>クーロン土圧による受働土圧係数</t>
    <rPh sb="4" eb="6">
      <t>ドアツ</t>
    </rPh>
    <rPh sb="9" eb="11">
      <t>ジュドウ</t>
    </rPh>
    <rPh sb="11" eb="13">
      <t>ドアツ</t>
    </rPh>
    <rPh sb="13" eb="15">
      <t>ケイスウ</t>
    </rPh>
    <phoneticPr fontId="2"/>
  </si>
  <si>
    <t>Kp=</t>
    <phoneticPr fontId="2"/>
  </si>
  <si>
    <t>tan^2(</t>
    <phoneticPr fontId="2"/>
  </si>
  <si>
    <t>45°+</t>
    <phoneticPr fontId="2"/>
  </si>
  <si>
    <t>φ</t>
    <phoneticPr fontId="2"/>
  </si>
  <si>
    <t>/2)</t>
  </si>
  <si>
    <t>/2)</t>
    <phoneticPr fontId="2"/>
  </si>
  <si>
    <t>φ：</t>
    <phoneticPr fontId="2"/>
  </si>
  <si>
    <t>せん断抵抗角</t>
    <rPh sb="2" eb="3">
      <t>ダン</t>
    </rPh>
    <rPh sb="3" eb="5">
      <t>テイコウ</t>
    </rPh>
    <rPh sb="5" eb="6">
      <t>カク</t>
    </rPh>
    <phoneticPr fontId="2"/>
  </si>
  <si>
    <t>φ=</t>
    <phoneticPr fontId="2"/>
  </si>
  <si>
    <t>°</t>
    <phoneticPr fontId="2"/>
  </si>
  <si>
    <t>np:</t>
    <phoneticPr fontId="2"/>
  </si>
  <si>
    <t>地盤の許容水平支持力の安全率（常時1.5、暴風時及び地震時1.1)</t>
    <rPh sb="0" eb="2">
      <t>ジバン</t>
    </rPh>
    <rPh sb="3" eb="5">
      <t>キョヨウ</t>
    </rPh>
    <rPh sb="5" eb="7">
      <t>スイヘイ</t>
    </rPh>
    <rPh sb="7" eb="10">
      <t>シジリョク</t>
    </rPh>
    <rPh sb="11" eb="14">
      <t>アンゼンリツ</t>
    </rPh>
    <rPh sb="15" eb="17">
      <t>ジョウジ</t>
    </rPh>
    <rPh sb="21" eb="24">
      <t>ボウフウジ</t>
    </rPh>
    <rPh sb="24" eb="25">
      <t>オヨ</t>
    </rPh>
    <rPh sb="26" eb="29">
      <t>ジシンジ</t>
    </rPh>
    <phoneticPr fontId="2"/>
  </si>
  <si>
    <t>np =</t>
    <phoneticPr fontId="2"/>
  </si>
  <si>
    <t>　　4-6-2. 根入れ部分の地盤の許容曲げモーメント Mpa</t>
    <rPh sb="9" eb="11">
      <t>ネイ</t>
    </rPh>
    <rPh sb="12" eb="14">
      <t>ブブン</t>
    </rPh>
    <rPh sb="15" eb="17">
      <t>ジバン</t>
    </rPh>
    <rPh sb="18" eb="20">
      <t>キョヨウ</t>
    </rPh>
    <rPh sb="20" eb="21">
      <t>マ</t>
    </rPh>
    <phoneticPr fontId="11"/>
  </si>
  <si>
    <t>Mpa=</t>
    <phoneticPr fontId="11"/>
  </si>
  <si>
    <t>Mp</t>
    <phoneticPr fontId="11"/>
  </si>
  <si>
    <t>MS</t>
    <phoneticPr fontId="2"/>
  </si>
  <si>
    <t>Mp:</t>
    <phoneticPr fontId="2"/>
  </si>
  <si>
    <t>根入れ部分の地盤の曲げモーメント抵抗力（kN・m）</t>
    <rPh sb="0" eb="2">
      <t>ネイ</t>
    </rPh>
    <rPh sb="3" eb="5">
      <t>ブブン</t>
    </rPh>
    <rPh sb="6" eb="8">
      <t>ジバン</t>
    </rPh>
    <rPh sb="9" eb="10">
      <t>マ</t>
    </rPh>
    <rPh sb="16" eb="18">
      <t>テイコウ</t>
    </rPh>
    <rPh sb="18" eb="19">
      <t>チカラ</t>
    </rPh>
    <phoneticPr fontId="2"/>
  </si>
  <si>
    <t>Mp=</t>
    <phoneticPr fontId="2"/>
  </si>
  <si>
    <t>^3</t>
    <phoneticPr fontId="2"/>
  </si>
  <si>
    <t>　4-7. 部材照査</t>
    <rPh sb="6" eb="8">
      <t>ブザイ</t>
    </rPh>
    <rPh sb="8" eb="10">
      <t>ショウサ</t>
    </rPh>
    <phoneticPr fontId="11"/>
  </si>
  <si>
    <t>q '=</t>
    <phoneticPr fontId="11"/>
  </si>
  <si>
    <t>1 -</t>
    <phoneticPr fontId="2"/>
  </si>
  <si>
    <t>qmax 1 -</t>
    <phoneticPr fontId="2"/>
  </si>
  <si>
    <t>ω1=</t>
    <phoneticPr fontId="2"/>
  </si>
  <si>
    <t>-</t>
    <phoneticPr fontId="2"/>
  </si>
  <si>
    <t>ω2=</t>
    <phoneticPr fontId="2"/>
  </si>
  <si>
    <t>　　4-7-1. 基礎底面の中央における最大地盤反力度 q’</t>
    <rPh sb="14" eb="16">
      <t>チュウオウ</t>
    </rPh>
    <phoneticPr fontId="11"/>
  </si>
  <si>
    <t>2・X</t>
    <phoneticPr fontId="2"/>
  </si>
  <si>
    <t>　　4-7-2. 基礎底面における最大地盤反力度 qmaxの作用位置における地盤反力度 ω1</t>
    <rPh sb="30" eb="32">
      <t>サヨウ</t>
    </rPh>
    <rPh sb="32" eb="34">
      <t>イチ</t>
    </rPh>
    <rPh sb="38" eb="40">
      <t>ジバン</t>
    </rPh>
    <rPh sb="40" eb="43">
      <t>ハンリョクド</t>
    </rPh>
    <phoneticPr fontId="11"/>
  </si>
  <si>
    <t>なので</t>
    <phoneticPr fontId="2"/>
  </si>
  <si>
    <t>三角分布</t>
    <rPh sb="0" eb="2">
      <t>サンカク</t>
    </rPh>
    <rPh sb="2" eb="4">
      <t>ブンプ</t>
    </rPh>
    <phoneticPr fontId="2"/>
  </si>
  <si>
    <t>　　4-7-3. 基礎底面における最大地盤反力度 q'の作用位置における地盤反力度 ω2</t>
    <rPh sb="28" eb="30">
      <t>サヨウ</t>
    </rPh>
    <rPh sb="30" eb="32">
      <t>イチ</t>
    </rPh>
    <rPh sb="36" eb="38">
      <t>ジバン</t>
    </rPh>
    <rPh sb="38" eb="41">
      <t>ハンリョクド</t>
    </rPh>
    <phoneticPr fontId="11"/>
  </si>
  <si>
    <t>　　4-7-4. q'作用位置に働く曲げモーメント Mq'</t>
    <rPh sb="11" eb="13">
      <t>サヨウ</t>
    </rPh>
    <rPh sb="13" eb="15">
      <t>イチ</t>
    </rPh>
    <rPh sb="16" eb="17">
      <t>ハタラ</t>
    </rPh>
    <rPh sb="18" eb="19">
      <t>マ</t>
    </rPh>
    <phoneticPr fontId="11"/>
  </si>
  <si>
    <t>Mq’=</t>
    <phoneticPr fontId="2"/>
  </si>
  <si>
    <t>L × ω1 × X'</t>
    <phoneticPr fontId="2"/>
  </si>
  <si>
    <t>(B/2 - X'/3)</t>
    <phoneticPr fontId="2"/>
  </si>
  <si>
    <t>×　（</t>
    <phoneticPr fontId="2"/>
  </si>
  <si>
    <t>X':</t>
    <phoneticPr fontId="2"/>
  </si>
  <si>
    <t>基礎自重を控除した底面反力の作用幅（ｍ）</t>
    <rPh sb="0" eb="2">
      <t>キソ</t>
    </rPh>
    <rPh sb="2" eb="4">
      <t>ジジュウ</t>
    </rPh>
    <rPh sb="5" eb="7">
      <t>コウジョ</t>
    </rPh>
    <rPh sb="9" eb="11">
      <t>テイメン</t>
    </rPh>
    <rPh sb="11" eb="13">
      <t>ハンリョク</t>
    </rPh>
    <rPh sb="14" eb="16">
      <t>サヨウ</t>
    </rPh>
    <rPh sb="16" eb="17">
      <t>ハバ</t>
    </rPh>
    <phoneticPr fontId="2"/>
  </si>
  <si>
    <t>X’=</t>
    <phoneticPr fontId="2"/>
  </si>
  <si>
    <t>L × ω1</t>
    <phoneticPr fontId="2"/>
  </si>
  <si>
    <t>2 ×( ω1 - ω2 )</t>
    <phoneticPr fontId="2"/>
  </si>
  <si>
    <t>×（</t>
    <phoneticPr fontId="2"/>
  </si>
  <si>
    <t>Mc=</t>
    <phoneticPr fontId="11"/>
  </si>
  <si>
    <t>Zc=</t>
    <phoneticPr fontId="2"/>
  </si>
  <si>
    <t>L × Df^2</t>
    <phoneticPr fontId="2"/>
  </si>
  <si>
    <t>　　4-7-5. コンクリート部材の断面係数 Zc</t>
    <phoneticPr fontId="11"/>
  </si>
  <si>
    <t>m3</t>
    <phoneticPr fontId="2"/>
  </si>
  <si>
    <t>　　4-7-7. ひび割れ曲げモーメント Mc</t>
    <rPh sb="11" eb="12">
      <t>ワ</t>
    </rPh>
    <rPh sb="13" eb="14">
      <t>マ</t>
    </rPh>
    <phoneticPr fontId="11"/>
  </si>
  <si>
    <t>コンクリートの設計基準強度（N/mm2)</t>
    <rPh sb="7" eb="9">
      <t>セッケイ</t>
    </rPh>
    <rPh sb="9" eb="11">
      <t>キジュン</t>
    </rPh>
    <rPh sb="11" eb="13">
      <t>キョウド</t>
    </rPh>
    <phoneticPr fontId="2"/>
  </si>
  <si>
    <t>N/mm2</t>
    <phoneticPr fontId="2"/>
  </si>
  <si>
    <t>^(2/3)</t>
    <phoneticPr fontId="2"/>
  </si>
  <si>
    <t>　　4-7-8. 判定</t>
    <rPh sb="9" eb="11">
      <t>ハンテイ</t>
    </rPh>
    <phoneticPr fontId="11"/>
  </si>
  <si>
    <t>Mq'</t>
    <phoneticPr fontId="2"/>
  </si>
  <si>
    <t>kN・ｍ</t>
    <phoneticPr fontId="2"/>
  </si>
  <si>
    <t>　　4-7-6. コンクリートの曲げ引張強度 σbt</t>
    <phoneticPr fontId="11"/>
  </si>
  <si>
    <t>σbt=</t>
    <phoneticPr fontId="2"/>
  </si>
  <si>
    <t>σck^(2/3)</t>
    <phoneticPr fontId="2"/>
  </si>
  <si>
    <t>σck:</t>
    <phoneticPr fontId="2"/>
  </si>
  <si>
    <t>Zc × σck</t>
    <phoneticPr fontId="2"/>
  </si>
  <si>
    <t>kN/㎡</t>
    <phoneticPr fontId="2"/>
  </si>
  <si>
    <t>N + (γc × B × L × Df) + (γs × B × L × Df')</t>
    <phoneticPr fontId="11"/>
  </si>
  <si>
    <t>γc:</t>
    <phoneticPr fontId="11"/>
  </si>
  <si>
    <t>γs:</t>
    <phoneticPr fontId="11"/>
  </si>
  <si>
    <t>γc=</t>
    <phoneticPr fontId="2"/>
  </si>
  <si>
    <t>γs=</t>
    <phoneticPr fontId="2"/>
  </si>
  <si>
    <t>γs・Kp・L・Df^2</t>
    <phoneticPr fontId="2"/>
  </si>
  <si>
    <t>γs・Kp・L・Df^3</t>
    <phoneticPr fontId="2"/>
  </si>
  <si>
    <t>qmax - Df・γc - Df'・γs</t>
    <phoneticPr fontId="2"/>
  </si>
  <si>
    <t>q' - Df・γc - Df'・γs</t>
    <phoneticPr fontId="2"/>
  </si>
  <si>
    <t>kN・m</t>
  </si>
  <si>
    <t>2kS × B</t>
    <phoneticPr fontId="2"/>
  </si>
  <si>
    <t>ω2≦0</t>
    <phoneticPr fontId="2"/>
  </si>
  <si>
    <t>Mc　=</t>
    <phoneticPr fontId="2"/>
  </si>
  <si>
    <t>道路標識構造便覧（令和２年６月）に基づき、支柱の下端から基礎の天端に作用する</t>
    <rPh sb="0" eb="2">
      <t>ドウロ</t>
    </rPh>
    <rPh sb="2" eb="4">
      <t>ヒョウシキ</t>
    </rPh>
    <rPh sb="4" eb="8">
      <t>コウゾウビンラン</t>
    </rPh>
    <rPh sb="9" eb="11">
      <t>レイワ</t>
    </rPh>
    <rPh sb="12" eb="13">
      <t>ネン</t>
    </rPh>
    <rPh sb="14" eb="15">
      <t>ガツ</t>
    </rPh>
    <rPh sb="17" eb="18">
      <t>モト</t>
    </rPh>
    <rPh sb="21" eb="23">
      <t>シチュウ</t>
    </rPh>
    <rPh sb="24" eb="25">
      <t>シタ</t>
    </rPh>
    <rPh sb="25" eb="26">
      <t>ハシ</t>
    </rPh>
    <phoneticPr fontId="2"/>
  </si>
  <si>
    <t>© 2022 ce-note.com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</si>
</sst>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quot;× &quot;General&quot; ×&quot;"/>
    <numFmt numFmtId="178" formatCode="General&quot;N x&quot;"/>
    <numFmt numFmtId="179" formatCode="&quot;×&quot;General"/>
    <numFmt numFmtId="180" formatCode="&quot;×(&quot;General"/>
    <numFmt numFmtId="181" formatCode="0.000"/>
    <numFmt numFmtId="182" formatCode="&quot;× &quot;General"/>
    <numFmt numFmtId="183" formatCode="&quot;-&quot;0.00"/>
    <numFmt numFmtId="184" formatCode="&quot;+ (&quot;General"/>
    <numFmt numFmtId="185" formatCode="&quot;) + (&quot;General"/>
    <numFmt numFmtId="186" formatCode="&quot;× &quot;General&quot; )&quot;"/>
    <numFmt numFmtId="187" formatCode="&quot;/&quot;0"/>
    <numFmt numFmtId="188" formatCode="#,##0.0;[Red]\-#,##0.0"/>
    <numFmt numFmtId="189" formatCode="&quot;x &quot;0.00"/>
    <numFmt numFmtId="190" formatCode="&quot;x &quot;0"/>
  </numFmts>
  <fonts count="14" x14ac:knownFonts="1">
    <font>
      <sz val="11"/>
      <color theme="1"/>
      <name val="游ゴシック"/>
      <family val="2"/>
      <scheme val="minor"/>
    </font>
    <font>
      <sz val="11"/>
      <color theme="1"/>
      <name val="游ゴシック"/>
      <family val="2"/>
      <scheme val="minor"/>
    </font>
    <font>
      <sz val="6"/>
      <name val="游ゴシック"/>
      <family val="3"/>
      <charset val="128"/>
      <scheme val="minor"/>
    </font>
    <font>
      <u/>
      <sz val="11"/>
      <color theme="10"/>
      <name val="游ゴシック"/>
      <family val="2"/>
      <scheme val="minor"/>
    </font>
    <font>
      <b/>
      <sz val="11"/>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sz val="11"/>
      <name val="游ゴシック"/>
      <family val="2"/>
      <scheme val="minor"/>
    </font>
    <font>
      <sz val="11"/>
      <name val="游ゴシック"/>
      <family val="3"/>
      <charset val="128"/>
      <scheme val="minor"/>
    </font>
    <font>
      <sz val="8"/>
      <color rgb="FFFF0000"/>
      <name val="游ゴシック"/>
      <family val="2"/>
      <scheme val="minor"/>
    </font>
    <font>
      <sz val="12"/>
      <color theme="1"/>
      <name val="游ゴシック"/>
      <family val="2"/>
      <scheme val="minor"/>
    </font>
    <font>
      <sz val="6"/>
      <name val="ＭＳ ゴシック"/>
      <family val="3"/>
      <charset val="128"/>
    </font>
    <font>
      <sz val="10"/>
      <name val="ＭＳ ゴシック"/>
      <family val="3"/>
      <charset val="128"/>
    </font>
    <font>
      <vertAlign val="subscrip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38" fontId="1" fillId="0" borderId="0" applyFont="0" applyFill="0" applyBorder="0" applyAlignment="0" applyProtection="0">
      <alignment vertical="center"/>
    </xf>
    <xf numFmtId="0" fontId="3" fillId="0" borderId="0" applyNumberFormat="0" applyFill="0" applyBorder="0" applyAlignment="0" applyProtection="0"/>
  </cellStyleXfs>
  <cellXfs count="177">
    <xf numFmtId="0" fontId="0" fillId="0" borderId="0" xfId="0"/>
    <xf numFmtId="0" fontId="3" fillId="0" borderId="0" xfId="2"/>
    <xf numFmtId="0" fontId="0" fillId="0" borderId="1" xfId="0" applyBorder="1"/>
    <xf numFmtId="0" fontId="0" fillId="0" borderId="1" xfId="0" quotePrefix="1" applyBorder="1"/>
    <xf numFmtId="0" fontId="0" fillId="0" borderId="0" xfId="0" applyAlignment="1">
      <alignment horizontal="center"/>
    </xf>
    <xf numFmtId="0" fontId="0" fillId="0" borderId="0" xfId="0" quotePrefix="1"/>
    <xf numFmtId="38" fontId="0" fillId="0" borderId="0" xfId="1" applyFont="1" applyBorder="1" applyAlignment="1"/>
    <xf numFmtId="2" fontId="0" fillId="0" borderId="0" xfId="0" applyNumberFormat="1"/>
    <xf numFmtId="0" fontId="0" fillId="0" borderId="3" xfId="0" applyBorder="1"/>
    <xf numFmtId="0" fontId="0" fillId="0" borderId="2" xfId="0" applyBorder="1"/>
    <xf numFmtId="0" fontId="3" fillId="0" borderId="4" xfId="2" applyBorder="1"/>
    <xf numFmtId="0" fontId="0" fillId="0" borderId="4" xfId="0" applyBorder="1"/>
    <xf numFmtId="0" fontId="0" fillId="0" borderId="6" xfId="0" applyBorder="1"/>
    <xf numFmtId="0" fontId="0" fillId="0" borderId="5" xfId="0" applyBorder="1"/>
    <xf numFmtId="0" fontId="0" fillId="2" borderId="7" xfId="0" applyFill="1" applyBorder="1" applyAlignment="1">
      <alignment horizontal="center"/>
    </xf>
    <xf numFmtId="0" fontId="0" fillId="2" borderId="4" xfId="0" applyFill="1" applyBorder="1"/>
    <xf numFmtId="0" fontId="0" fillId="2" borderId="0" xfId="0" applyFill="1"/>
    <xf numFmtId="0" fontId="0" fillId="2" borderId="6" xfId="0" applyFill="1" applyBorder="1"/>
    <xf numFmtId="0" fontId="0" fillId="2" borderId="3" xfId="0" applyFill="1" applyBorder="1"/>
    <xf numFmtId="0" fontId="0" fillId="2" borderId="5" xfId="0" applyFill="1" applyBorder="1"/>
    <xf numFmtId="0" fontId="0" fillId="2" borderId="2" xfId="0" applyFill="1" applyBorder="1"/>
    <xf numFmtId="0" fontId="0" fillId="0" borderId="14" xfId="0" applyBorder="1"/>
    <xf numFmtId="0" fontId="0" fillId="2" borderId="1" xfId="0" applyFill="1" applyBorder="1"/>
    <xf numFmtId="0" fontId="4" fillId="0" borderId="0" xfId="0" applyFont="1"/>
    <xf numFmtId="0" fontId="0" fillId="0" borderId="0" xfId="0" applyAlignment="1">
      <alignment horizontal="right"/>
    </xf>
    <xf numFmtId="0" fontId="0" fillId="2" borderId="16" xfId="0" applyFill="1" applyBorder="1"/>
    <xf numFmtId="0" fontId="0" fillId="2" borderId="17" xfId="0" applyFill="1" applyBorder="1"/>
    <xf numFmtId="0" fontId="0" fillId="2" borderId="9" xfId="0" applyFill="1" applyBorder="1"/>
    <xf numFmtId="0" fontId="5" fillId="0" borderId="0" xfId="0" applyFont="1"/>
    <xf numFmtId="0" fontId="7" fillId="0" borderId="0" xfId="0" applyFont="1"/>
    <xf numFmtId="0" fontId="8" fillId="0" borderId="1" xfId="0" applyFont="1" applyBorder="1"/>
    <xf numFmtId="0" fontId="8" fillId="0" borderId="1" xfId="0" quotePrefix="1" applyFont="1" applyBorder="1"/>
    <xf numFmtId="0" fontId="5" fillId="0" borderId="0" xfId="0" applyFont="1" applyAlignment="1">
      <alignment horizontal="center"/>
    </xf>
    <xf numFmtId="0" fontId="0" fillId="2" borderId="8" xfId="0" applyFill="1" applyBorder="1" applyAlignment="1">
      <alignment horizontal="center"/>
    </xf>
    <xf numFmtId="0" fontId="0" fillId="2" borderId="12" xfId="0" applyFill="1" applyBorder="1" applyAlignment="1">
      <alignment horizontal="center"/>
    </xf>
    <xf numFmtId="0" fontId="7" fillId="0" borderId="3" xfId="0" applyFont="1" applyBorder="1"/>
    <xf numFmtId="0" fontId="7" fillId="0" borderId="13" xfId="0" applyFont="1" applyBorder="1"/>
    <xf numFmtId="0" fontId="7" fillId="0" borderId="15" xfId="0" applyFont="1" applyBorder="1"/>
    <xf numFmtId="0" fontId="9" fillId="0" borderId="0" xfId="0" applyFont="1"/>
    <xf numFmtId="0" fontId="0" fillId="0" borderId="0" xfId="0" applyAlignment="1">
      <alignment horizontal="left"/>
    </xf>
    <xf numFmtId="0" fontId="10" fillId="0" borderId="0" xfId="0" applyFont="1"/>
    <xf numFmtId="38" fontId="0" fillId="0" borderId="7" xfId="0" applyNumberFormat="1" applyBorder="1" applyAlignment="1">
      <alignment horizontal="center"/>
    </xf>
    <xf numFmtId="38" fontId="0" fillId="0" borderId="8" xfId="0" applyNumberFormat="1" applyBorder="1" applyAlignment="1">
      <alignment horizontal="center"/>
    </xf>
    <xf numFmtId="38" fontId="0" fillId="0" borderId="12" xfId="0" applyNumberFormat="1" applyBorder="1" applyAlignment="1">
      <alignment horizontal="center"/>
    </xf>
    <xf numFmtId="0" fontId="0" fillId="2" borderId="18" xfId="0" applyFill="1" applyBorder="1"/>
    <xf numFmtId="0" fontId="0" fillId="2" borderId="18" xfId="0" applyFill="1" applyBorder="1" applyAlignment="1">
      <alignment horizontal="center"/>
    </xf>
    <xf numFmtId="0" fontId="0" fillId="2" borderId="16" xfId="0" applyFill="1" applyBorder="1" applyAlignment="1">
      <alignment horizontal="center"/>
    </xf>
    <xf numFmtId="0" fontId="0" fillId="2" borderId="5" xfId="0" applyFill="1" applyBorder="1" applyAlignment="1">
      <alignment horizontal="center"/>
    </xf>
    <xf numFmtId="0" fontId="0" fillId="2" borderId="11" xfId="0" applyFill="1" applyBorder="1" applyAlignment="1">
      <alignment horizontal="center"/>
    </xf>
    <xf numFmtId="0" fontId="0" fillId="2" borderId="14" xfId="0" applyFill="1" applyBorder="1"/>
    <xf numFmtId="0" fontId="0" fillId="2" borderId="19" xfId="0" applyFill="1" applyBorder="1"/>
    <xf numFmtId="0" fontId="0" fillId="0" borderId="13" xfId="0" applyBorder="1" applyAlignment="1">
      <alignment horizontal="center"/>
    </xf>
    <xf numFmtId="0" fontId="5" fillId="0" borderId="17"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5" fillId="0" borderId="3" xfId="0" applyFont="1" applyBorder="1" applyAlignment="1">
      <alignment horizontal="center"/>
    </xf>
    <xf numFmtId="0" fontId="0" fillId="2" borderId="11" xfId="0" applyFill="1" applyBorder="1"/>
    <xf numFmtId="0" fontId="0" fillId="2" borderId="10" xfId="0" applyFill="1" applyBorder="1"/>
    <xf numFmtId="0" fontId="5" fillId="0" borderId="19" xfId="0" applyFont="1" applyBorder="1" applyAlignment="1">
      <alignment horizontal="center"/>
    </xf>
    <xf numFmtId="0" fontId="6" fillId="0" borderId="15" xfId="0" applyFont="1" applyBorder="1" applyAlignment="1">
      <alignment horizontal="center"/>
    </xf>
    <xf numFmtId="0" fontId="0" fillId="0" borderId="0" xfId="0" quotePrefix="1" applyAlignment="1">
      <alignment vertical="center"/>
    </xf>
    <xf numFmtId="0" fontId="0" fillId="0" borderId="17" xfId="0" applyBorder="1" applyAlignment="1">
      <alignment horizontal="center" vertical="center"/>
    </xf>
    <xf numFmtId="0" fontId="0" fillId="0" borderId="0" xfId="0" applyAlignment="1">
      <alignment horizontal="right" vertical="center"/>
    </xf>
    <xf numFmtId="0" fontId="0" fillId="0" borderId="0" xfId="0" quotePrefix="1" applyAlignment="1">
      <alignment horizontal="center" vertical="center"/>
    </xf>
    <xf numFmtId="0" fontId="5" fillId="0" borderId="0" xfId="0" applyFont="1" applyAlignment="1">
      <alignment vertical="center"/>
    </xf>
    <xf numFmtId="0" fontId="0" fillId="0" borderId="18"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4" xfId="0" applyBorder="1" applyAlignment="1">
      <alignment vertical="center"/>
    </xf>
    <xf numFmtId="0" fontId="0" fillId="0" borderId="13" xfId="0" applyBorder="1" applyAlignment="1">
      <alignment vertical="center"/>
    </xf>
    <xf numFmtId="0" fontId="0" fillId="0" borderId="5"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12" xfId="0" applyFill="1" applyBorder="1" applyAlignment="1">
      <alignment vertical="center"/>
    </xf>
    <xf numFmtId="0" fontId="0" fillId="2" borderId="12" xfId="0" applyFill="1" applyBorder="1"/>
    <xf numFmtId="0" fontId="0" fillId="2" borderId="18" xfId="0" applyFill="1" applyBorder="1" applyAlignment="1">
      <alignment vertical="center"/>
    </xf>
    <xf numFmtId="0" fontId="0" fillId="2" borderId="17" xfId="0"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0" fontId="0" fillId="2" borderId="5" xfId="0" applyFill="1" applyBorder="1" applyAlignment="1">
      <alignment vertical="center"/>
    </xf>
    <xf numFmtId="0" fontId="0" fillId="2" borderId="2" xfId="0" applyFill="1" applyBorder="1" applyAlignment="1">
      <alignment vertical="center"/>
    </xf>
    <xf numFmtId="2" fontId="0" fillId="0" borderId="0" xfId="0" applyNumberFormat="1" applyAlignment="1">
      <alignment vertical="center"/>
    </xf>
    <xf numFmtId="179" fontId="0" fillId="0" borderId="0" xfId="0" applyNumberFormat="1" applyAlignment="1">
      <alignment horizontal="center" vertical="center"/>
    </xf>
    <xf numFmtId="1" fontId="0" fillId="0" borderId="0" xfId="0" applyNumberFormat="1" applyAlignment="1">
      <alignment vertical="center"/>
    </xf>
    <xf numFmtId="180" fontId="0" fillId="0" borderId="0" xfId="0" applyNumberForma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7" fillId="0" borderId="0" xfId="0" applyFont="1" applyAlignment="1">
      <alignment vertical="center"/>
    </xf>
    <xf numFmtId="177" fontId="7" fillId="0" borderId="0" xfId="0" applyNumberFormat="1" applyFont="1" applyAlignment="1">
      <alignment horizontal="center" vertical="center"/>
    </xf>
    <xf numFmtId="178" fontId="7" fillId="0" borderId="0" xfId="0" applyNumberFormat="1" applyFont="1" applyAlignment="1">
      <alignment horizontal="left" vertical="center" shrinkToFit="1"/>
    </xf>
    <xf numFmtId="177" fontId="7" fillId="0" borderId="0" xfId="0" applyNumberFormat="1" applyFont="1" applyAlignment="1">
      <alignment horizontal="center" vertical="center" shrinkToFit="1"/>
    </xf>
    <xf numFmtId="1" fontId="0" fillId="0" borderId="0" xfId="0" applyNumberFormat="1" applyAlignment="1">
      <alignment horizontal="center" vertical="center"/>
    </xf>
    <xf numFmtId="181" fontId="0" fillId="0" borderId="0" xfId="0" applyNumberFormat="1" applyAlignment="1">
      <alignment vertical="center"/>
    </xf>
    <xf numFmtId="181" fontId="0" fillId="0" borderId="0" xfId="0" applyNumberFormat="1" applyAlignment="1">
      <alignment horizontal="left" vertical="center"/>
    </xf>
    <xf numFmtId="182" fontId="0" fillId="0" borderId="0" xfId="0" applyNumberFormat="1" applyAlignment="1">
      <alignment vertical="center"/>
    </xf>
    <xf numFmtId="0" fontId="12" fillId="0" borderId="0" xfId="0" applyFont="1" applyAlignment="1">
      <alignment vertical="center"/>
    </xf>
    <xf numFmtId="2" fontId="4" fillId="0" borderId="0" xfId="0" applyNumberFormat="1" applyFont="1" applyAlignment="1">
      <alignment vertical="center"/>
    </xf>
    <xf numFmtId="181" fontId="0" fillId="0" borderId="2" xfId="0" applyNumberFormat="1" applyBorder="1" applyAlignment="1">
      <alignment vertical="center"/>
    </xf>
    <xf numFmtId="183" fontId="0" fillId="0" borderId="0" xfId="0" applyNumberFormat="1" applyAlignment="1">
      <alignment horizontal="left" vertical="center"/>
    </xf>
    <xf numFmtId="176" fontId="0" fillId="0" borderId="0" xfId="0" applyNumberFormat="1" applyAlignment="1">
      <alignment horizontal="center" vertical="center"/>
    </xf>
    <xf numFmtId="0" fontId="0" fillId="0" borderId="2" xfId="0" applyBorder="1" applyAlignment="1">
      <alignment horizontal="center" vertical="center"/>
    </xf>
    <xf numFmtId="2" fontId="0" fillId="0" borderId="2" xfId="0" applyNumberFormat="1" applyBorder="1" applyAlignment="1">
      <alignment vertical="center"/>
    </xf>
    <xf numFmtId="0" fontId="6" fillId="0" borderId="0" xfId="0" applyFont="1" applyAlignment="1">
      <alignment vertical="center"/>
    </xf>
    <xf numFmtId="184" fontId="0" fillId="0" borderId="0" xfId="0" applyNumberFormat="1" applyAlignment="1">
      <alignment vertical="center"/>
    </xf>
    <xf numFmtId="185" fontId="0" fillId="0" borderId="0" xfId="0" applyNumberFormat="1" applyAlignment="1">
      <alignment vertical="center"/>
    </xf>
    <xf numFmtId="186" fontId="0" fillId="0" borderId="0" xfId="0" applyNumberFormat="1" applyAlignment="1">
      <alignment vertical="center"/>
    </xf>
    <xf numFmtId="187" fontId="0" fillId="0" borderId="0" xfId="0" quotePrefix="1" applyNumberFormat="1" applyAlignment="1">
      <alignment horizontal="left" vertical="center"/>
    </xf>
    <xf numFmtId="0" fontId="0" fillId="0" borderId="2" xfId="0" quotePrefix="1" applyBorder="1" applyAlignment="1">
      <alignment horizontal="center" vertical="center"/>
    </xf>
    <xf numFmtId="1" fontId="0" fillId="0" borderId="2" xfId="0" applyNumberFormat="1" applyBorder="1" applyAlignment="1">
      <alignment vertical="center"/>
    </xf>
    <xf numFmtId="38" fontId="0" fillId="0" borderId="0" xfId="0" applyNumberFormat="1" applyAlignment="1">
      <alignment horizontal="center"/>
    </xf>
    <xf numFmtId="40" fontId="0" fillId="0" borderId="4" xfId="1" applyNumberFormat="1" applyFont="1" applyBorder="1" applyAlignment="1"/>
    <xf numFmtId="40" fontId="0" fillId="0" borderId="9" xfId="1" applyNumberFormat="1" applyFont="1" applyBorder="1" applyAlignment="1"/>
    <xf numFmtId="40" fontId="0" fillId="0" borderId="10" xfId="1" applyNumberFormat="1" applyFont="1" applyBorder="1" applyAlignment="1"/>
    <xf numFmtId="40" fontId="0" fillId="0" borderId="5" xfId="1" applyNumberFormat="1" applyFont="1" applyBorder="1" applyAlignment="1"/>
    <xf numFmtId="40" fontId="4" fillId="0" borderId="11" xfId="1" applyNumberFormat="1" applyFont="1" applyBorder="1" applyAlignment="1"/>
    <xf numFmtId="40" fontId="5" fillId="0" borderId="17" xfId="1" applyNumberFormat="1" applyFont="1" applyBorder="1" applyAlignment="1">
      <alignment horizontal="right"/>
    </xf>
    <xf numFmtId="40" fontId="5" fillId="0" borderId="0" xfId="1" applyNumberFormat="1" applyFont="1" applyAlignment="1">
      <alignment horizontal="right"/>
    </xf>
    <xf numFmtId="40" fontId="5" fillId="0" borderId="3" xfId="1" applyNumberFormat="1" applyFont="1" applyBorder="1" applyAlignment="1">
      <alignment horizontal="right"/>
    </xf>
    <xf numFmtId="40" fontId="4" fillId="0" borderId="2" xfId="1" applyNumberFormat="1" applyFont="1" applyBorder="1" applyAlignment="1"/>
    <xf numFmtId="38" fontId="5" fillId="0" borderId="0" xfId="1" applyFont="1" applyAlignment="1">
      <alignment vertical="center"/>
    </xf>
    <xf numFmtId="38" fontId="7" fillId="0" borderId="0" xfId="1" applyFont="1" applyAlignment="1">
      <alignment vertical="center"/>
    </xf>
    <xf numFmtId="38" fontId="0" fillId="0" borderId="0" xfId="1" applyFont="1" applyAlignment="1">
      <alignment vertical="center"/>
    </xf>
    <xf numFmtId="40" fontId="0" fillId="0" borderId="17" xfId="1" applyNumberFormat="1" applyFont="1" applyBorder="1" applyAlignment="1">
      <alignment vertical="center"/>
    </xf>
    <xf numFmtId="40" fontId="0" fillId="0" borderId="0" xfId="1" applyNumberFormat="1" applyFont="1" applyAlignment="1">
      <alignment vertical="center"/>
    </xf>
    <xf numFmtId="40" fontId="0" fillId="0" borderId="17" xfId="1" applyNumberFormat="1" applyFont="1" applyBorder="1" applyAlignment="1">
      <alignment vertical="center" shrinkToFit="1"/>
    </xf>
    <xf numFmtId="40" fontId="0" fillId="0" borderId="0" xfId="1" applyNumberFormat="1" applyFont="1" applyAlignment="1">
      <alignment vertical="center" shrinkToFit="1"/>
    </xf>
    <xf numFmtId="40" fontId="0" fillId="0" borderId="2" xfId="1" applyNumberFormat="1" applyFont="1" applyBorder="1" applyAlignment="1">
      <alignment vertical="center" shrinkToFit="1"/>
    </xf>
    <xf numFmtId="38" fontId="4" fillId="0" borderId="0" xfId="1" applyFont="1" applyAlignment="1">
      <alignment vertical="center"/>
    </xf>
    <xf numFmtId="188" fontId="0" fillId="0" borderId="0" xfId="1" applyNumberFormat="1" applyFont="1" applyAlignment="1"/>
    <xf numFmtId="38" fontId="0" fillId="0" borderId="0" xfId="1" applyFont="1" applyAlignment="1">
      <alignment horizontal="center" vertical="center"/>
    </xf>
    <xf numFmtId="0" fontId="0" fillId="0" borderId="8" xfId="0"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0" fillId="0" borderId="2" xfId="0" applyBorder="1" applyAlignment="1">
      <alignment horizontal="right" vertical="center"/>
    </xf>
    <xf numFmtId="181" fontId="0" fillId="0" borderId="2" xfId="0" applyNumberFormat="1" applyBorder="1" applyAlignment="1">
      <alignment horizontal="right" vertical="center"/>
    </xf>
    <xf numFmtId="0" fontId="5" fillId="0" borderId="0" xfId="0" applyFont="1" applyAlignment="1">
      <alignment horizontal="left" vertical="center"/>
    </xf>
    <xf numFmtId="0" fontId="7" fillId="0" borderId="0" xfId="0" quotePrefix="1" applyFont="1" applyAlignment="1">
      <alignment horizontal="center" vertical="center"/>
    </xf>
    <xf numFmtId="2" fontId="0" fillId="0" borderId="0" xfId="0" applyNumberFormat="1" applyAlignment="1">
      <alignment horizontal="center" vertical="center"/>
    </xf>
    <xf numFmtId="181" fontId="0" fillId="0" borderId="0" xfId="0" applyNumberFormat="1" applyAlignment="1">
      <alignment horizontal="center" vertical="center"/>
    </xf>
    <xf numFmtId="189" fontId="0" fillId="0" borderId="2" xfId="0" applyNumberFormat="1" applyBorder="1" applyAlignment="1">
      <alignment vertical="center"/>
    </xf>
    <xf numFmtId="2" fontId="0" fillId="0" borderId="2" xfId="0" applyNumberFormat="1" applyBorder="1" applyAlignment="1">
      <alignment horizontal="center" vertical="center"/>
    </xf>
    <xf numFmtId="189" fontId="0" fillId="0" borderId="0" xfId="0" applyNumberFormat="1" applyAlignment="1">
      <alignment vertical="center"/>
    </xf>
    <xf numFmtId="190" fontId="0" fillId="0" borderId="0" xfId="0" applyNumberFormat="1" applyAlignment="1">
      <alignment vertical="center"/>
    </xf>
    <xf numFmtId="2" fontId="0" fillId="0" borderId="0" xfId="0" applyNumberFormat="1" applyAlignment="1">
      <alignment horizontal="left" vertical="center"/>
    </xf>
    <xf numFmtId="38" fontId="0" fillId="0" borderId="2" xfId="1" applyFont="1" applyBorder="1" applyAlignment="1">
      <alignment horizontal="center" vertical="center"/>
    </xf>
    <xf numFmtId="38" fontId="0" fillId="0" borderId="2" xfId="1" applyFont="1" applyBorder="1" applyAlignment="1">
      <alignment vertical="center"/>
    </xf>
    <xf numFmtId="0" fontId="0" fillId="0" borderId="0" xfId="0" applyAlignment="1">
      <alignment horizontal="right" vertical="center"/>
    </xf>
    <xf numFmtId="0" fontId="0" fillId="0" borderId="0" xfId="0" applyAlignment="1">
      <alignment horizontal="center" vertical="center"/>
    </xf>
    <xf numFmtId="2" fontId="0" fillId="0" borderId="0" xfId="0" applyNumberFormat="1" applyAlignment="1">
      <alignment horizontal="center" vertical="center"/>
    </xf>
    <xf numFmtId="181" fontId="0" fillId="0" borderId="0" xfId="0" applyNumberFormat="1" applyAlignment="1">
      <alignment horizontal="right" vertical="center"/>
    </xf>
    <xf numFmtId="2" fontId="0" fillId="0" borderId="0" xfId="0" applyNumberFormat="1" applyAlignment="1">
      <alignment horizontal="right" vertical="center"/>
    </xf>
    <xf numFmtId="0" fontId="0" fillId="0" borderId="0" xfId="0" applyAlignment="1">
      <alignment vertical="center"/>
    </xf>
    <xf numFmtId="181" fontId="0" fillId="0" borderId="0" xfId="0" applyNumberFormat="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0" fillId="0" borderId="17" xfId="0" applyBorder="1" applyAlignment="1">
      <alignment horizontal="center" vertical="center"/>
    </xf>
    <xf numFmtId="181" fontId="0" fillId="0" borderId="0" xfId="0" applyNumberFormat="1" applyAlignment="1">
      <alignment horizontal="left" vertical="center"/>
    </xf>
    <xf numFmtId="182" fontId="0" fillId="0" borderId="0" xfId="0" applyNumberFormat="1" applyAlignment="1">
      <alignment vertical="center"/>
    </xf>
    <xf numFmtId="182" fontId="7" fillId="0" borderId="0" xfId="0" applyNumberFormat="1" applyFont="1" applyAlignment="1">
      <alignment vertical="center"/>
    </xf>
    <xf numFmtId="0" fontId="0" fillId="0" borderId="0" xfId="0" quotePrefix="1" applyAlignment="1">
      <alignment horizontal="center" vertical="center"/>
    </xf>
    <xf numFmtId="0" fontId="0" fillId="0" borderId="17" xfId="0" applyBorder="1" applyAlignment="1">
      <alignment horizontal="center" vertical="top"/>
    </xf>
    <xf numFmtId="0" fontId="0" fillId="0" borderId="0" xfId="0" applyAlignment="1">
      <alignment horizontal="center" vertical="top"/>
    </xf>
    <xf numFmtId="38" fontId="0" fillId="0" borderId="17" xfId="0" applyNumberFormat="1" applyBorder="1" applyAlignment="1">
      <alignment horizontal="center" vertical="center"/>
    </xf>
    <xf numFmtId="0" fontId="0" fillId="0" borderId="0" xfId="0" quotePrefix="1" applyAlignment="1">
      <alignment horizontal="left"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0" xfId="0" quotePrefix="1" applyAlignment="1">
      <alignment horizontal="right" vertical="center"/>
    </xf>
    <xf numFmtId="183" fontId="0" fillId="0" borderId="0" xfId="0" quotePrefix="1" applyNumberFormat="1" applyAlignment="1">
      <alignment horizontal="left" vertical="center"/>
    </xf>
    <xf numFmtId="183" fontId="0" fillId="0" borderId="0" xfId="0" applyNumberFormat="1" applyAlignment="1">
      <alignment horizontal="left" vertical="center"/>
    </xf>
    <xf numFmtId="0" fontId="0" fillId="0" borderId="0" xfId="0" quotePrefix="1" applyAlignment="1">
      <alignment vertical="center"/>
    </xf>
    <xf numFmtId="0" fontId="4" fillId="0" borderId="0" xfId="0" applyFont="1" applyAlignment="1">
      <alignment horizontal="right" vertical="center"/>
    </xf>
    <xf numFmtId="38" fontId="0" fillId="0" borderId="16" xfId="1" applyFont="1" applyBorder="1" applyAlignment="1">
      <alignment horizontal="center" vertical="center"/>
    </xf>
    <xf numFmtId="38" fontId="0" fillId="0" borderId="11" xfId="1" applyFont="1" applyBorder="1" applyAlignment="1">
      <alignment horizontal="center" vertical="center"/>
    </xf>
    <xf numFmtId="181" fontId="4" fillId="0" borderId="0" xfId="0" applyNumberFormat="1"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640768</xdr:colOff>
      <xdr:row>2</xdr:row>
      <xdr:rowOff>173178</xdr:rowOff>
    </xdr:from>
    <xdr:to>
      <xdr:col>22</xdr:col>
      <xdr:colOff>565529</xdr:colOff>
      <xdr:row>34</xdr:row>
      <xdr:rowOff>4526</xdr:rowOff>
    </xdr:to>
    <xdr:grpSp>
      <xdr:nvGrpSpPr>
        <xdr:cNvPr id="2" name="グループ化 1">
          <a:extLst>
            <a:ext uri="{FF2B5EF4-FFF2-40B4-BE49-F238E27FC236}">
              <a16:creationId xmlns:a16="http://schemas.microsoft.com/office/drawing/2014/main" id="{7BCE4977-8424-43EA-9CDD-CF0CAC71DCF0}"/>
            </a:ext>
          </a:extLst>
        </xdr:cNvPr>
        <xdr:cNvGrpSpPr/>
      </xdr:nvGrpSpPr>
      <xdr:grpSpPr>
        <a:xfrm>
          <a:off x="9022768" y="665303"/>
          <a:ext cx="6243011" cy="7467223"/>
          <a:chOff x="7944077" y="138387"/>
          <a:chExt cx="5401636" cy="7392954"/>
        </a:xfrm>
      </xdr:grpSpPr>
      <xdr:sp macro="" textlink="">
        <xdr:nvSpPr>
          <xdr:cNvPr id="3" name="フリーフォーム: 図形 2">
            <a:extLst>
              <a:ext uri="{FF2B5EF4-FFF2-40B4-BE49-F238E27FC236}">
                <a16:creationId xmlns:a16="http://schemas.microsoft.com/office/drawing/2014/main" id="{1E9DC6F5-3390-2451-FBE7-833DC995946D}"/>
              </a:ext>
            </a:extLst>
          </xdr:cNvPr>
          <xdr:cNvSpPr/>
        </xdr:nvSpPr>
        <xdr:spPr>
          <a:xfrm>
            <a:off x="9819706" y="737050"/>
            <a:ext cx="113628" cy="5332077"/>
          </a:xfrm>
          <a:custGeom>
            <a:avLst/>
            <a:gdLst>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40821 w 122464"/>
              <a:gd name="connsiteY7" fmla="*/ 0 h 5497285"/>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85940 w 122464"/>
              <a:gd name="connsiteY7" fmla="*/ 658013 h 5497285"/>
              <a:gd name="connsiteX8" fmla="*/ 40821 w 122464"/>
              <a:gd name="connsiteY8" fmla="*/ 0 h 5497285"/>
              <a:gd name="connsiteX0" fmla="*/ 40821 w 251374"/>
              <a:gd name="connsiteY0" fmla="*/ 0 h 5497285"/>
              <a:gd name="connsiteX1" fmla="*/ 40821 w 251374"/>
              <a:gd name="connsiteY1" fmla="*/ 1034143 h 5497285"/>
              <a:gd name="connsiteX2" fmla="*/ 0 w 251374"/>
              <a:gd name="connsiteY2" fmla="*/ 4463143 h 5497285"/>
              <a:gd name="connsiteX3" fmla="*/ 0 w 251374"/>
              <a:gd name="connsiteY3" fmla="*/ 5497285 h 5497285"/>
              <a:gd name="connsiteX4" fmla="*/ 122464 w 251374"/>
              <a:gd name="connsiteY4" fmla="*/ 5497285 h 5497285"/>
              <a:gd name="connsiteX5" fmla="*/ 122464 w 251374"/>
              <a:gd name="connsiteY5" fmla="*/ 4449535 h 5497285"/>
              <a:gd name="connsiteX6" fmla="*/ 95250 w 251374"/>
              <a:gd name="connsiteY6" fmla="*/ 1034143 h 5497285"/>
              <a:gd name="connsiteX7" fmla="*/ 251374 w 251374"/>
              <a:gd name="connsiteY7" fmla="*/ 81614 h 5497285"/>
              <a:gd name="connsiteX8" fmla="*/ 40821 w 251374"/>
              <a:gd name="connsiteY8" fmla="*/ 0 h 5497285"/>
              <a:gd name="connsiteX0" fmla="*/ 40821 w 122464"/>
              <a:gd name="connsiteY0" fmla="*/ 9181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0821 w 122464"/>
              <a:gd name="connsiteY8" fmla="*/ 91816 h 5589101"/>
              <a:gd name="connsiteX0" fmla="*/ 44631 w 122464"/>
              <a:gd name="connsiteY0" fmla="*/ 2574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4631 w 122464"/>
              <a:gd name="connsiteY8" fmla="*/ 25746 h 5589101"/>
              <a:gd name="connsiteX0" fmla="*/ 44631 w 122464"/>
              <a:gd name="connsiteY0" fmla="*/ 0 h 5563355"/>
              <a:gd name="connsiteX1" fmla="*/ 40821 w 122464"/>
              <a:gd name="connsiteY1" fmla="*/ 1100213 h 5563355"/>
              <a:gd name="connsiteX2" fmla="*/ 0 w 122464"/>
              <a:gd name="connsiteY2" fmla="*/ 4529213 h 5563355"/>
              <a:gd name="connsiteX3" fmla="*/ 0 w 122464"/>
              <a:gd name="connsiteY3" fmla="*/ 5563355 h 5563355"/>
              <a:gd name="connsiteX4" fmla="*/ 122464 w 122464"/>
              <a:gd name="connsiteY4" fmla="*/ 5563355 h 5563355"/>
              <a:gd name="connsiteX5" fmla="*/ 122464 w 122464"/>
              <a:gd name="connsiteY5" fmla="*/ 4515605 h 5563355"/>
              <a:gd name="connsiteX6" fmla="*/ 95250 w 122464"/>
              <a:gd name="connsiteY6" fmla="*/ 1100213 h 5563355"/>
              <a:gd name="connsiteX7" fmla="*/ 108257 w 122464"/>
              <a:gd name="connsiteY7" fmla="*/ 102957 h 5563355"/>
              <a:gd name="connsiteX8" fmla="*/ 44631 w 122464"/>
              <a:gd name="connsiteY8" fmla="*/ 0 h 5563355"/>
              <a:gd name="connsiteX0" fmla="*/ 0 w 234535"/>
              <a:gd name="connsiteY0" fmla="*/ 75971 h 5460398"/>
              <a:gd name="connsiteX1" fmla="*/ 152892 w 234535"/>
              <a:gd name="connsiteY1" fmla="*/ 997256 h 5460398"/>
              <a:gd name="connsiteX2" fmla="*/ 112071 w 234535"/>
              <a:gd name="connsiteY2" fmla="*/ 4426256 h 5460398"/>
              <a:gd name="connsiteX3" fmla="*/ 112071 w 234535"/>
              <a:gd name="connsiteY3" fmla="*/ 5460398 h 5460398"/>
              <a:gd name="connsiteX4" fmla="*/ 234535 w 234535"/>
              <a:gd name="connsiteY4" fmla="*/ 5460398 h 5460398"/>
              <a:gd name="connsiteX5" fmla="*/ 234535 w 234535"/>
              <a:gd name="connsiteY5" fmla="*/ 4412648 h 5460398"/>
              <a:gd name="connsiteX6" fmla="*/ 207321 w 234535"/>
              <a:gd name="connsiteY6" fmla="*/ 997256 h 5460398"/>
              <a:gd name="connsiteX7" fmla="*/ 220328 w 234535"/>
              <a:gd name="connsiteY7" fmla="*/ 0 h 5460398"/>
              <a:gd name="connsiteX8" fmla="*/ 0 w 234535"/>
              <a:gd name="connsiteY8" fmla="*/ 75971 h 5460398"/>
              <a:gd name="connsiteX0" fmla="*/ 0 w 234535"/>
              <a:gd name="connsiteY0" fmla="*/ 85389 h 5469816"/>
              <a:gd name="connsiteX1" fmla="*/ 152892 w 234535"/>
              <a:gd name="connsiteY1" fmla="*/ 1006674 h 5469816"/>
              <a:gd name="connsiteX2" fmla="*/ 112071 w 234535"/>
              <a:gd name="connsiteY2" fmla="*/ 4435674 h 5469816"/>
              <a:gd name="connsiteX3" fmla="*/ 112071 w 234535"/>
              <a:gd name="connsiteY3" fmla="*/ 5469816 h 5469816"/>
              <a:gd name="connsiteX4" fmla="*/ 234535 w 234535"/>
              <a:gd name="connsiteY4" fmla="*/ 5469816 h 5469816"/>
              <a:gd name="connsiteX5" fmla="*/ 234535 w 234535"/>
              <a:gd name="connsiteY5" fmla="*/ 4422066 h 5469816"/>
              <a:gd name="connsiteX6" fmla="*/ 207321 w 234535"/>
              <a:gd name="connsiteY6" fmla="*/ 1006674 h 5469816"/>
              <a:gd name="connsiteX7" fmla="*/ 220328 w 234535"/>
              <a:gd name="connsiteY7" fmla="*/ 0 h 5469816"/>
              <a:gd name="connsiteX8" fmla="*/ 0 w 234535"/>
              <a:gd name="connsiteY8" fmla="*/ 85389 h 5469816"/>
              <a:gd name="connsiteX0" fmla="*/ 56921 w 122464"/>
              <a:gd name="connsiteY0" fmla="*/ 0 h 5478599"/>
              <a:gd name="connsiteX1" fmla="*/ 40821 w 122464"/>
              <a:gd name="connsiteY1" fmla="*/ 1015457 h 5478599"/>
              <a:gd name="connsiteX2" fmla="*/ 0 w 122464"/>
              <a:gd name="connsiteY2" fmla="*/ 4444457 h 5478599"/>
              <a:gd name="connsiteX3" fmla="*/ 0 w 122464"/>
              <a:gd name="connsiteY3" fmla="*/ 5478599 h 5478599"/>
              <a:gd name="connsiteX4" fmla="*/ 122464 w 122464"/>
              <a:gd name="connsiteY4" fmla="*/ 5478599 h 5478599"/>
              <a:gd name="connsiteX5" fmla="*/ 122464 w 122464"/>
              <a:gd name="connsiteY5" fmla="*/ 4430849 h 5478599"/>
              <a:gd name="connsiteX6" fmla="*/ 95250 w 122464"/>
              <a:gd name="connsiteY6" fmla="*/ 1015457 h 5478599"/>
              <a:gd name="connsiteX7" fmla="*/ 108257 w 122464"/>
              <a:gd name="connsiteY7" fmla="*/ 8783 h 5478599"/>
              <a:gd name="connsiteX8" fmla="*/ 56921 w 122464"/>
              <a:gd name="connsiteY8" fmla="*/ 0 h 5478599"/>
              <a:gd name="connsiteX0" fmla="*/ 52158 w 122464"/>
              <a:gd name="connsiteY0" fmla="*/ 8355 h 5469816"/>
              <a:gd name="connsiteX1" fmla="*/ 40821 w 122464"/>
              <a:gd name="connsiteY1" fmla="*/ 1006674 h 5469816"/>
              <a:gd name="connsiteX2" fmla="*/ 0 w 122464"/>
              <a:gd name="connsiteY2" fmla="*/ 4435674 h 5469816"/>
              <a:gd name="connsiteX3" fmla="*/ 0 w 122464"/>
              <a:gd name="connsiteY3" fmla="*/ 5469816 h 5469816"/>
              <a:gd name="connsiteX4" fmla="*/ 122464 w 122464"/>
              <a:gd name="connsiteY4" fmla="*/ 5469816 h 5469816"/>
              <a:gd name="connsiteX5" fmla="*/ 122464 w 122464"/>
              <a:gd name="connsiteY5" fmla="*/ 4422066 h 5469816"/>
              <a:gd name="connsiteX6" fmla="*/ 95250 w 122464"/>
              <a:gd name="connsiteY6" fmla="*/ 1006674 h 5469816"/>
              <a:gd name="connsiteX7" fmla="*/ 108257 w 122464"/>
              <a:gd name="connsiteY7" fmla="*/ 0 h 5469816"/>
              <a:gd name="connsiteX8" fmla="*/ 52158 w 122464"/>
              <a:gd name="connsiteY8" fmla="*/ 8355 h 5469816"/>
              <a:gd name="connsiteX0" fmla="*/ 52158 w 122464"/>
              <a:gd name="connsiteY0" fmla="*/ 0 h 5473702"/>
              <a:gd name="connsiteX1" fmla="*/ 40821 w 122464"/>
              <a:gd name="connsiteY1" fmla="*/ 1010560 h 5473702"/>
              <a:gd name="connsiteX2" fmla="*/ 0 w 122464"/>
              <a:gd name="connsiteY2" fmla="*/ 4439560 h 5473702"/>
              <a:gd name="connsiteX3" fmla="*/ 0 w 122464"/>
              <a:gd name="connsiteY3" fmla="*/ 5473702 h 5473702"/>
              <a:gd name="connsiteX4" fmla="*/ 122464 w 122464"/>
              <a:gd name="connsiteY4" fmla="*/ 5473702 h 5473702"/>
              <a:gd name="connsiteX5" fmla="*/ 122464 w 122464"/>
              <a:gd name="connsiteY5" fmla="*/ 4425952 h 5473702"/>
              <a:gd name="connsiteX6" fmla="*/ 95250 w 122464"/>
              <a:gd name="connsiteY6" fmla="*/ 1010560 h 5473702"/>
              <a:gd name="connsiteX7" fmla="*/ 108257 w 122464"/>
              <a:gd name="connsiteY7" fmla="*/ 3886 h 5473702"/>
              <a:gd name="connsiteX8" fmla="*/ 52158 w 122464"/>
              <a:gd name="connsiteY8" fmla="*/ 0 h 5473702"/>
              <a:gd name="connsiteX0" fmla="*/ 52158 w 122464"/>
              <a:gd name="connsiteY0" fmla="*/ 5907 h 5479609"/>
              <a:gd name="connsiteX1" fmla="*/ 40821 w 122464"/>
              <a:gd name="connsiteY1" fmla="*/ 1016467 h 5479609"/>
              <a:gd name="connsiteX2" fmla="*/ 0 w 122464"/>
              <a:gd name="connsiteY2" fmla="*/ 4445467 h 5479609"/>
              <a:gd name="connsiteX3" fmla="*/ 0 w 122464"/>
              <a:gd name="connsiteY3" fmla="*/ 5479609 h 5479609"/>
              <a:gd name="connsiteX4" fmla="*/ 122464 w 122464"/>
              <a:gd name="connsiteY4" fmla="*/ 5479609 h 5479609"/>
              <a:gd name="connsiteX5" fmla="*/ 122464 w 122464"/>
              <a:gd name="connsiteY5" fmla="*/ 4431859 h 5479609"/>
              <a:gd name="connsiteX6" fmla="*/ 95250 w 122464"/>
              <a:gd name="connsiteY6" fmla="*/ 1016467 h 5479609"/>
              <a:gd name="connsiteX7" fmla="*/ 108257 w 122464"/>
              <a:gd name="connsiteY7" fmla="*/ 0 h 5479609"/>
              <a:gd name="connsiteX8" fmla="*/ 52158 w 122464"/>
              <a:gd name="connsiteY8" fmla="*/ 5907 h 5479609"/>
              <a:gd name="connsiteX0" fmla="*/ 52158 w 122464"/>
              <a:gd name="connsiteY0" fmla="*/ 3459 h 5477161"/>
              <a:gd name="connsiteX1" fmla="*/ 40821 w 122464"/>
              <a:gd name="connsiteY1" fmla="*/ 1014019 h 5477161"/>
              <a:gd name="connsiteX2" fmla="*/ 0 w 122464"/>
              <a:gd name="connsiteY2" fmla="*/ 4443019 h 5477161"/>
              <a:gd name="connsiteX3" fmla="*/ 0 w 122464"/>
              <a:gd name="connsiteY3" fmla="*/ 5477161 h 5477161"/>
              <a:gd name="connsiteX4" fmla="*/ 122464 w 122464"/>
              <a:gd name="connsiteY4" fmla="*/ 5477161 h 5477161"/>
              <a:gd name="connsiteX5" fmla="*/ 122464 w 122464"/>
              <a:gd name="connsiteY5" fmla="*/ 4429411 h 5477161"/>
              <a:gd name="connsiteX6" fmla="*/ 95250 w 122464"/>
              <a:gd name="connsiteY6" fmla="*/ 1014019 h 5477161"/>
              <a:gd name="connsiteX7" fmla="*/ 103495 w 122464"/>
              <a:gd name="connsiteY7" fmla="*/ 0 h 5477161"/>
              <a:gd name="connsiteX8" fmla="*/ 52158 w 122464"/>
              <a:gd name="connsiteY8" fmla="*/ 3459 h 5477161"/>
              <a:gd name="connsiteX0" fmla="*/ 52158 w 127227"/>
              <a:gd name="connsiteY0" fmla="*/ 3459 h 5477161"/>
              <a:gd name="connsiteX1" fmla="*/ 40821 w 127227"/>
              <a:gd name="connsiteY1" fmla="*/ 1014019 h 5477161"/>
              <a:gd name="connsiteX2" fmla="*/ 0 w 127227"/>
              <a:gd name="connsiteY2" fmla="*/ 4443019 h 5477161"/>
              <a:gd name="connsiteX3" fmla="*/ 0 w 127227"/>
              <a:gd name="connsiteY3" fmla="*/ 5477161 h 5477161"/>
              <a:gd name="connsiteX4" fmla="*/ 122464 w 127227"/>
              <a:gd name="connsiteY4" fmla="*/ 5477161 h 5477161"/>
              <a:gd name="connsiteX5" fmla="*/ 127227 w 127227"/>
              <a:gd name="connsiteY5" fmla="*/ 4439204 h 5477161"/>
              <a:gd name="connsiteX6" fmla="*/ 95250 w 127227"/>
              <a:gd name="connsiteY6" fmla="*/ 1014019 h 5477161"/>
              <a:gd name="connsiteX7" fmla="*/ 103495 w 127227"/>
              <a:gd name="connsiteY7" fmla="*/ 0 h 5477161"/>
              <a:gd name="connsiteX8" fmla="*/ 52158 w 127227"/>
              <a:gd name="connsiteY8" fmla="*/ 3459 h 5477161"/>
              <a:gd name="connsiteX0" fmla="*/ 52158 w 139134"/>
              <a:gd name="connsiteY0" fmla="*/ 3459 h 5477161"/>
              <a:gd name="connsiteX1" fmla="*/ 40821 w 139134"/>
              <a:gd name="connsiteY1" fmla="*/ 1014019 h 5477161"/>
              <a:gd name="connsiteX2" fmla="*/ 0 w 139134"/>
              <a:gd name="connsiteY2" fmla="*/ 4443019 h 5477161"/>
              <a:gd name="connsiteX3" fmla="*/ 0 w 139134"/>
              <a:gd name="connsiteY3" fmla="*/ 5477161 h 5477161"/>
              <a:gd name="connsiteX4" fmla="*/ 122464 w 139134"/>
              <a:gd name="connsiteY4" fmla="*/ 5477161 h 5477161"/>
              <a:gd name="connsiteX5" fmla="*/ 139134 w 139134"/>
              <a:gd name="connsiteY5" fmla="*/ 4444100 h 5477161"/>
              <a:gd name="connsiteX6" fmla="*/ 95250 w 139134"/>
              <a:gd name="connsiteY6" fmla="*/ 1014019 h 5477161"/>
              <a:gd name="connsiteX7" fmla="*/ 103495 w 139134"/>
              <a:gd name="connsiteY7" fmla="*/ 0 h 5477161"/>
              <a:gd name="connsiteX8" fmla="*/ 52158 w 139134"/>
              <a:gd name="connsiteY8" fmla="*/ 3459 h 5477161"/>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95250 w 139591"/>
              <a:gd name="connsiteY6" fmla="*/ 1014019 h 5482057"/>
              <a:gd name="connsiteX7" fmla="*/ 103495 w 139591"/>
              <a:gd name="connsiteY7" fmla="*/ 0 h 5482057"/>
              <a:gd name="connsiteX8" fmla="*/ 52158 w 139591"/>
              <a:gd name="connsiteY8" fmla="*/ 3459 h 5482057"/>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8708 h 5482057"/>
              <a:gd name="connsiteX7" fmla="*/ 103495 w 139591"/>
              <a:gd name="connsiteY7" fmla="*/ 0 h 5482057"/>
              <a:gd name="connsiteX8" fmla="*/ 52158 w 139591"/>
              <a:gd name="connsiteY8" fmla="*/ 3459 h 5482057"/>
              <a:gd name="connsiteX0" fmla="*/ 52158 w 139591"/>
              <a:gd name="connsiteY0" fmla="*/ 1011 h 5479609"/>
              <a:gd name="connsiteX1" fmla="*/ 36059 w 139591"/>
              <a:gd name="connsiteY1" fmla="*/ 1026261 h 5479609"/>
              <a:gd name="connsiteX2" fmla="*/ 0 w 139591"/>
              <a:gd name="connsiteY2" fmla="*/ 4440571 h 5479609"/>
              <a:gd name="connsiteX3" fmla="*/ 0 w 139591"/>
              <a:gd name="connsiteY3" fmla="*/ 5474713 h 5479609"/>
              <a:gd name="connsiteX4" fmla="*/ 139133 w 139591"/>
              <a:gd name="connsiteY4" fmla="*/ 5479609 h 5479609"/>
              <a:gd name="connsiteX5" fmla="*/ 139134 w 139591"/>
              <a:gd name="connsiteY5" fmla="*/ 4441652 h 5479609"/>
              <a:gd name="connsiteX6" fmla="*/ 102394 w 139591"/>
              <a:gd name="connsiteY6" fmla="*/ 1026260 h 5479609"/>
              <a:gd name="connsiteX7" fmla="*/ 103495 w 139591"/>
              <a:gd name="connsiteY7" fmla="*/ 0 h 5479609"/>
              <a:gd name="connsiteX8" fmla="*/ 52158 w 139591"/>
              <a:gd name="connsiteY8" fmla="*/ 1011 h 5479609"/>
              <a:gd name="connsiteX0" fmla="*/ 52158 w 139591"/>
              <a:gd name="connsiteY0" fmla="*/ 1011 h 5482058"/>
              <a:gd name="connsiteX1" fmla="*/ 36059 w 139591"/>
              <a:gd name="connsiteY1" fmla="*/ 1026261 h 5482058"/>
              <a:gd name="connsiteX2" fmla="*/ 0 w 139591"/>
              <a:gd name="connsiteY2" fmla="*/ 4440571 h 5482058"/>
              <a:gd name="connsiteX3" fmla="*/ 0 w 139591"/>
              <a:gd name="connsiteY3" fmla="*/ 5482058 h 5482058"/>
              <a:gd name="connsiteX4" fmla="*/ 139133 w 139591"/>
              <a:gd name="connsiteY4" fmla="*/ 5479609 h 5482058"/>
              <a:gd name="connsiteX5" fmla="*/ 139134 w 139591"/>
              <a:gd name="connsiteY5" fmla="*/ 4441652 h 5482058"/>
              <a:gd name="connsiteX6" fmla="*/ 102394 w 139591"/>
              <a:gd name="connsiteY6" fmla="*/ 1026260 h 5482058"/>
              <a:gd name="connsiteX7" fmla="*/ 103495 w 139591"/>
              <a:gd name="connsiteY7" fmla="*/ 0 h 5482058"/>
              <a:gd name="connsiteX8" fmla="*/ 52158 w 139591"/>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79609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21431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33108 w 122752"/>
              <a:gd name="connsiteY0" fmla="*/ 1011 h 5482058"/>
              <a:gd name="connsiteX1" fmla="*/ 17009 w 122752"/>
              <a:gd name="connsiteY1" fmla="*/ 1026261 h 5482058"/>
              <a:gd name="connsiteX2" fmla="*/ 0 w 122752"/>
              <a:gd name="connsiteY2" fmla="*/ 4452812 h 5482058"/>
              <a:gd name="connsiteX3" fmla="*/ 2381 w 122752"/>
              <a:gd name="connsiteY3" fmla="*/ 5482058 h 5482058"/>
              <a:gd name="connsiteX4" fmla="*/ 122464 w 122752"/>
              <a:gd name="connsiteY4" fmla="*/ 5482057 h 5482058"/>
              <a:gd name="connsiteX5" fmla="*/ 120084 w 122752"/>
              <a:gd name="connsiteY5" fmla="*/ 4441652 h 5482058"/>
              <a:gd name="connsiteX6" fmla="*/ 83344 w 122752"/>
              <a:gd name="connsiteY6" fmla="*/ 1026260 h 5482058"/>
              <a:gd name="connsiteX7" fmla="*/ 84445 w 122752"/>
              <a:gd name="connsiteY7" fmla="*/ 0 h 5482058"/>
              <a:gd name="connsiteX8" fmla="*/ 33108 w 122752"/>
              <a:gd name="connsiteY8" fmla="*/ 1011 h 5482058"/>
              <a:gd name="connsiteX0" fmla="*/ 33108 w 122675"/>
              <a:gd name="connsiteY0" fmla="*/ 1011 h 5482058"/>
              <a:gd name="connsiteX1" fmla="*/ 17009 w 122675"/>
              <a:gd name="connsiteY1" fmla="*/ 1026261 h 5482058"/>
              <a:gd name="connsiteX2" fmla="*/ 0 w 122675"/>
              <a:gd name="connsiteY2" fmla="*/ 4452812 h 5482058"/>
              <a:gd name="connsiteX3" fmla="*/ 2381 w 122675"/>
              <a:gd name="connsiteY3" fmla="*/ 5482058 h 5482058"/>
              <a:gd name="connsiteX4" fmla="*/ 122464 w 122675"/>
              <a:gd name="connsiteY4" fmla="*/ 5482057 h 5482058"/>
              <a:gd name="connsiteX5" fmla="*/ 117703 w 122675"/>
              <a:gd name="connsiteY5" fmla="*/ 4453893 h 5482058"/>
              <a:gd name="connsiteX6" fmla="*/ 83344 w 122675"/>
              <a:gd name="connsiteY6" fmla="*/ 1026260 h 5482058"/>
              <a:gd name="connsiteX7" fmla="*/ 84445 w 122675"/>
              <a:gd name="connsiteY7" fmla="*/ 0 h 5482058"/>
              <a:gd name="connsiteX8" fmla="*/ 33108 w 122675"/>
              <a:gd name="connsiteY8" fmla="*/ 1011 h 5482058"/>
              <a:gd name="connsiteX0" fmla="*/ 33108 w 117703"/>
              <a:gd name="connsiteY0" fmla="*/ 1011 h 5482058"/>
              <a:gd name="connsiteX1" fmla="*/ 17009 w 117703"/>
              <a:gd name="connsiteY1" fmla="*/ 1026261 h 5482058"/>
              <a:gd name="connsiteX2" fmla="*/ 0 w 117703"/>
              <a:gd name="connsiteY2" fmla="*/ 4452812 h 5482058"/>
              <a:gd name="connsiteX3" fmla="*/ 2381 w 117703"/>
              <a:gd name="connsiteY3" fmla="*/ 5482058 h 5482058"/>
              <a:gd name="connsiteX4" fmla="*/ 115321 w 117703"/>
              <a:gd name="connsiteY4" fmla="*/ 5482057 h 5482058"/>
              <a:gd name="connsiteX5" fmla="*/ 117703 w 117703"/>
              <a:gd name="connsiteY5" fmla="*/ 4453893 h 5482058"/>
              <a:gd name="connsiteX6" fmla="*/ 83344 w 117703"/>
              <a:gd name="connsiteY6" fmla="*/ 1026260 h 5482058"/>
              <a:gd name="connsiteX7" fmla="*/ 84445 w 117703"/>
              <a:gd name="connsiteY7" fmla="*/ 0 h 5482058"/>
              <a:gd name="connsiteX8" fmla="*/ 33108 w 117703"/>
              <a:gd name="connsiteY8" fmla="*/ 1011 h 5482058"/>
              <a:gd name="connsiteX0" fmla="*/ 33108 w 115532"/>
              <a:gd name="connsiteY0" fmla="*/ 1011 h 5482058"/>
              <a:gd name="connsiteX1" fmla="*/ 17009 w 115532"/>
              <a:gd name="connsiteY1" fmla="*/ 1026261 h 5482058"/>
              <a:gd name="connsiteX2" fmla="*/ 0 w 115532"/>
              <a:gd name="connsiteY2" fmla="*/ 4452812 h 5482058"/>
              <a:gd name="connsiteX3" fmla="*/ 2381 w 115532"/>
              <a:gd name="connsiteY3" fmla="*/ 5482058 h 5482058"/>
              <a:gd name="connsiteX4" fmla="*/ 115321 w 115532"/>
              <a:gd name="connsiteY4" fmla="*/ 5482057 h 5482058"/>
              <a:gd name="connsiteX5" fmla="*/ 110559 w 115532"/>
              <a:gd name="connsiteY5" fmla="*/ 4456341 h 5482058"/>
              <a:gd name="connsiteX6" fmla="*/ 83344 w 115532"/>
              <a:gd name="connsiteY6" fmla="*/ 1026260 h 5482058"/>
              <a:gd name="connsiteX7" fmla="*/ 84445 w 115532"/>
              <a:gd name="connsiteY7" fmla="*/ 0 h 5482058"/>
              <a:gd name="connsiteX8" fmla="*/ 33108 w 115532"/>
              <a:gd name="connsiteY8" fmla="*/ 1011 h 5482058"/>
              <a:gd name="connsiteX0" fmla="*/ 33108 w 127228"/>
              <a:gd name="connsiteY0" fmla="*/ 1011 h 5482058"/>
              <a:gd name="connsiteX1" fmla="*/ 17009 w 127228"/>
              <a:gd name="connsiteY1" fmla="*/ 1026261 h 5482058"/>
              <a:gd name="connsiteX2" fmla="*/ 0 w 127228"/>
              <a:gd name="connsiteY2" fmla="*/ 4452812 h 5482058"/>
              <a:gd name="connsiteX3" fmla="*/ 2381 w 127228"/>
              <a:gd name="connsiteY3" fmla="*/ 5482058 h 5482058"/>
              <a:gd name="connsiteX4" fmla="*/ 115321 w 127228"/>
              <a:gd name="connsiteY4" fmla="*/ 5482057 h 5482058"/>
              <a:gd name="connsiteX5" fmla="*/ 127228 w 127228"/>
              <a:gd name="connsiteY5" fmla="*/ 4453893 h 5482058"/>
              <a:gd name="connsiteX6" fmla="*/ 83344 w 127228"/>
              <a:gd name="connsiteY6" fmla="*/ 1026260 h 5482058"/>
              <a:gd name="connsiteX7" fmla="*/ 84445 w 127228"/>
              <a:gd name="connsiteY7" fmla="*/ 0 h 5482058"/>
              <a:gd name="connsiteX8" fmla="*/ 33108 w 127228"/>
              <a:gd name="connsiteY8" fmla="*/ 1011 h 5482058"/>
              <a:gd name="connsiteX0" fmla="*/ 33108 w 115779"/>
              <a:gd name="connsiteY0" fmla="*/ 1011 h 5482058"/>
              <a:gd name="connsiteX1" fmla="*/ 17009 w 115779"/>
              <a:gd name="connsiteY1" fmla="*/ 1026261 h 5482058"/>
              <a:gd name="connsiteX2" fmla="*/ 0 w 115779"/>
              <a:gd name="connsiteY2" fmla="*/ 4452812 h 5482058"/>
              <a:gd name="connsiteX3" fmla="*/ 2381 w 115779"/>
              <a:gd name="connsiteY3" fmla="*/ 5482058 h 5482058"/>
              <a:gd name="connsiteX4" fmla="*/ 115321 w 115779"/>
              <a:gd name="connsiteY4" fmla="*/ 5482057 h 5482058"/>
              <a:gd name="connsiteX5" fmla="*/ 115322 w 115779"/>
              <a:gd name="connsiteY5" fmla="*/ 4453893 h 5482058"/>
              <a:gd name="connsiteX6" fmla="*/ 83344 w 115779"/>
              <a:gd name="connsiteY6" fmla="*/ 1026260 h 5482058"/>
              <a:gd name="connsiteX7" fmla="*/ 84445 w 115779"/>
              <a:gd name="connsiteY7" fmla="*/ 0 h 5482058"/>
              <a:gd name="connsiteX8" fmla="*/ 33108 w 115779"/>
              <a:gd name="connsiteY8" fmla="*/ 1011 h 5482058"/>
              <a:gd name="connsiteX0" fmla="*/ 45014 w 127685"/>
              <a:gd name="connsiteY0" fmla="*/ 1011 h 5482058"/>
              <a:gd name="connsiteX1" fmla="*/ 28915 w 127685"/>
              <a:gd name="connsiteY1" fmla="*/ 1026261 h 5482058"/>
              <a:gd name="connsiteX2" fmla="*/ 0 w 127685"/>
              <a:gd name="connsiteY2" fmla="*/ 4452812 h 5482058"/>
              <a:gd name="connsiteX3" fmla="*/ 14287 w 127685"/>
              <a:gd name="connsiteY3" fmla="*/ 5482058 h 5482058"/>
              <a:gd name="connsiteX4" fmla="*/ 127227 w 127685"/>
              <a:gd name="connsiteY4" fmla="*/ 5482057 h 5482058"/>
              <a:gd name="connsiteX5" fmla="*/ 127228 w 127685"/>
              <a:gd name="connsiteY5" fmla="*/ 4453893 h 5482058"/>
              <a:gd name="connsiteX6" fmla="*/ 95250 w 127685"/>
              <a:gd name="connsiteY6" fmla="*/ 1026260 h 5482058"/>
              <a:gd name="connsiteX7" fmla="*/ 96351 w 127685"/>
              <a:gd name="connsiteY7" fmla="*/ 0 h 5482058"/>
              <a:gd name="connsiteX8" fmla="*/ 45014 w 127685"/>
              <a:gd name="connsiteY8" fmla="*/ 1011 h 5482058"/>
              <a:gd name="connsiteX0" fmla="*/ 30957 w 113628"/>
              <a:gd name="connsiteY0" fmla="*/ 1011 h 5482058"/>
              <a:gd name="connsiteX1" fmla="*/ 14858 w 113628"/>
              <a:gd name="connsiteY1" fmla="*/ 1026261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 name="connsiteX0" fmla="*/ 30957 w 113628"/>
              <a:gd name="connsiteY0" fmla="*/ 1011 h 5482058"/>
              <a:gd name="connsiteX1" fmla="*/ 31527 w 113628"/>
              <a:gd name="connsiteY1" fmla="*/ 1031157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3628" h="5482058">
                <a:moveTo>
                  <a:pt x="30957" y="1011"/>
                </a:moveTo>
                <a:lnTo>
                  <a:pt x="31527" y="1031157"/>
                </a:lnTo>
                <a:cubicBezTo>
                  <a:pt x="25857" y="2173341"/>
                  <a:pt x="5901" y="3310628"/>
                  <a:pt x="231" y="4452812"/>
                </a:cubicBezTo>
                <a:cubicBezTo>
                  <a:pt x="1025" y="4795894"/>
                  <a:pt x="-564" y="5138976"/>
                  <a:pt x="230" y="5482058"/>
                </a:cubicBezTo>
                <a:lnTo>
                  <a:pt x="113170" y="5482057"/>
                </a:lnTo>
                <a:cubicBezTo>
                  <a:pt x="114758" y="5136071"/>
                  <a:pt x="111583" y="4799879"/>
                  <a:pt x="113171" y="4453893"/>
                </a:cubicBezTo>
                <a:lnTo>
                  <a:pt x="81193" y="1026260"/>
                </a:lnTo>
                <a:cubicBezTo>
                  <a:pt x="81432" y="650940"/>
                  <a:pt x="82055" y="375320"/>
                  <a:pt x="82294" y="0"/>
                </a:cubicBezTo>
                <a:lnTo>
                  <a:pt x="30957" y="1011"/>
                </a:lnTo>
                <a:close/>
              </a:path>
            </a:pathLst>
          </a:cu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A0D320A-43D6-3A93-C3C2-E7BD0802A2AE}"/>
              </a:ext>
            </a:extLst>
          </xdr:cNvPr>
          <xdr:cNvSpPr/>
        </xdr:nvSpPr>
        <xdr:spPr>
          <a:xfrm>
            <a:off x="9858374" y="654844"/>
            <a:ext cx="36000" cy="7858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D7190774-BF3B-BE38-5FE3-F35080951B05}"/>
              </a:ext>
            </a:extLst>
          </xdr:cNvPr>
          <xdr:cNvSpPr/>
        </xdr:nvSpPr>
        <xdr:spPr>
          <a:xfrm>
            <a:off x="9710738" y="607456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1CCB7475-B796-401F-A4FF-2AA79147B54C}"/>
              </a:ext>
            </a:extLst>
          </xdr:cNvPr>
          <xdr:cNvCxnSpPr/>
        </xdr:nvCxnSpPr>
        <xdr:spPr>
          <a:xfrm flipV="1">
            <a:off x="9865519" y="571738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123A7C71-B9BC-0627-CB36-AEA79257D7F8}"/>
              </a:ext>
            </a:extLst>
          </xdr:cNvPr>
          <xdr:cNvCxnSpPr/>
        </xdr:nvCxnSpPr>
        <xdr:spPr>
          <a:xfrm flipV="1">
            <a:off x="9977442" y="571499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D7E527AE-2557-E31E-02FB-DBAE53D476D3}"/>
              </a:ext>
            </a:extLst>
          </xdr:cNvPr>
          <xdr:cNvCxnSpPr/>
        </xdr:nvCxnSpPr>
        <xdr:spPr>
          <a:xfrm>
            <a:off x="10117931" y="5715000"/>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0BC36995-CDF4-582B-8349-C09A0BD487C7}"/>
              </a:ext>
            </a:extLst>
          </xdr:cNvPr>
          <xdr:cNvCxnSpPr/>
        </xdr:nvCxnSpPr>
        <xdr:spPr>
          <a:xfrm>
            <a:off x="10351297" y="5714996"/>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3B2292DF-0E13-C2F2-4414-AE12B819DD59}"/>
              </a:ext>
            </a:extLst>
          </xdr:cNvPr>
          <xdr:cNvCxnSpPr/>
        </xdr:nvCxnSpPr>
        <xdr:spPr>
          <a:xfrm>
            <a:off x="10236994" y="571500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A09A7030-BD04-A521-E8F5-2058A5B2CB45}"/>
              </a:ext>
            </a:extLst>
          </xdr:cNvPr>
          <xdr:cNvCxnSpPr/>
        </xdr:nvCxnSpPr>
        <xdr:spPr>
          <a:xfrm>
            <a:off x="8717756" y="5572125"/>
            <a:ext cx="95488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67A60D40-19DB-B028-E36E-F9118F124E6B}"/>
              </a:ext>
            </a:extLst>
          </xdr:cNvPr>
          <xdr:cNvCxnSpPr/>
        </xdr:nvCxnSpPr>
        <xdr:spPr>
          <a:xfrm>
            <a:off x="8179594" y="6074568"/>
            <a:ext cx="149304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E6278A13-3536-11DA-4FBF-01F6A154CB7F}"/>
              </a:ext>
            </a:extLst>
          </xdr:cNvPr>
          <xdr:cNvCxnSpPr/>
        </xdr:nvCxnSpPr>
        <xdr:spPr>
          <a:xfrm>
            <a:off x="8717757" y="5574508"/>
            <a:ext cx="0" cy="500061"/>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787FA0B0-AB8F-E659-ADF4-36D1665CF080}"/>
              </a:ext>
            </a:extLst>
          </xdr:cNvPr>
          <xdr:cNvSpPr txBox="1">
            <a:spLocks/>
          </xdr:cNvSpPr>
        </xdr:nvSpPr>
        <xdr:spPr>
          <a:xfrm>
            <a:off x="10525122" y="5474491"/>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5" name="テキスト ボックス 14">
            <a:extLst>
              <a:ext uri="{FF2B5EF4-FFF2-40B4-BE49-F238E27FC236}">
                <a16:creationId xmlns:a16="http://schemas.microsoft.com/office/drawing/2014/main" id="{C26653BE-77F8-C84F-3B39-823B0AB47C15}"/>
              </a:ext>
            </a:extLst>
          </xdr:cNvPr>
          <xdr:cNvSpPr txBox="1">
            <a:spLocks/>
          </xdr:cNvSpPr>
        </xdr:nvSpPr>
        <xdr:spPr>
          <a:xfrm rot="16200000">
            <a:off x="8390699" y="5636418"/>
            <a:ext cx="45762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750</a:t>
            </a:r>
            <a:endParaRPr kumimoji="1" lang="ja-JP" altLang="en-US" sz="1400"/>
          </a:p>
        </xdr:txBody>
      </xdr:sp>
      <xdr:cxnSp macro="">
        <xdr:nvCxnSpPr>
          <xdr:cNvPr id="16" name="直線コネクタ 15">
            <a:extLst>
              <a:ext uri="{FF2B5EF4-FFF2-40B4-BE49-F238E27FC236}">
                <a16:creationId xmlns:a16="http://schemas.microsoft.com/office/drawing/2014/main" id="{18997142-DBA2-C2F4-B6AE-67141714AFB9}"/>
              </a:ext>
            </a:extLst>
          </xdr:cNvPr>
          <xdr:cNvCxnSpPr/>
        </xdr:nvCxnSpPr>
        <xdr:spPr>
          <a:xfrm flipV="1">
            <a:off x="9862344" y="4711959"/>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23396B46-D0D8-AF5D-2075-D3921414B97D}"/>
              </a:ext>
            </a:extLst>
          </xdr:cNvPr>
          <xdr:cNvCxnSpPr/>
        </xdr:nvCxnSpPr>
        <xdr:spPr>
          <a:xfrm flipV="1">
            <a:off x="9974267" y="4711955"/>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DA7C1EED-5048-BFEC-564B-134FB4F2934B}"/>
              </a:ext>
            </a:extLst>
          </xdr:cNvPr>
          <xdr:cNvCxnSpPr/>
        </xdr:nvCxnSpPr>
        <xdr:spPr>
          <a:xfrm>
            <a:off x="10114756" y="4709577"/>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90D16B0E-6EB2-5ACD-A11F-11311B10CAE4}"/>
              </a:ext>
            </a:extLst>
          </xdr:cNvPr>
          <xdr:cNvCxnSpPr/>
        </xdr:nvCxnSpPr>
        <xdr:spPr>
          <a:xfrm>
            <a:off x="10348122" y="4709573"/>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41999E4F-186E-B8C1-32F3-A3ACAF316FC1}"/>
              </a:ext>
            </a:extLst>
          </xdr:cNvPr>
          <xdr:cNvCxnSpPr/>
        </xdr:nvCxnSpPr>
        <xdr:spPr>
          <a:xfrm>
            <a:off x="10233819" y="4709584"/>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a:extLst>
              <a:ext uri="{FF2B5EF4-FFF2-40B4-BE49-F238E27FC236}">
                <a16:creationId xmlns:a16="http://schemas.microsoft.com/office/drawing/2014/main" id="{EDF68CB6-338F-0D3A-8AC6-43DAA2519A52}"/>
              </a:ext>
            </a:extLst>
          </xdr:cNvPr>
          <xdr:cNvSpPr txBox="1">
            <a:spLocks/>
          </xdr:cNvSpPr>
        </xdr:nvSpPr>
        <xdr:spPr>
          <a:xfrm>
            <a:off x="10462421" y="4471449"/>
            <a:ext cx="6729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d3x4.0</a:t>
            </a:r>
            <a:endParaRPr kumimoji="1" lang="ja-JP" altLang="en-US" sz="1400"/>
          </a:p>
        </xdr:txBody>
      </xdr:sp>
      <xdr:cxnSp macro="">
        <xdr:nvCxnSpPr>
          <xdr:cNvPr id="22" name="直線コネクタ 21">
            <a:extLst>
              <a:ext uri="{FF2B5EF4-FFF2-40B4-BE49-F238E27FC236}">
                <a16:creationId xmlns:a16="http://schemas.microsoft.com/office/drawing/2014/main" id="{E562CBE3-91C3-9894-A847-E13403CD26DA}"/>
              </a:ext>
            </a:extLst>
          </xdr:cNvPr>
          <xdr:cNvCxnSpPr/>
        </xdr:nvCxnSpPr>
        <xdr:spPr>
          <a:xfrm flipV="1">
            <a:off x="9884732" y="138553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C87B3368-1237-4CAC-084F-89516522FA1B}"/>
              </a:ext>
            </a:extLst>
          </xdr:cNvPr>
          <xdr:cNvCxnSpPr/>
        </xdr:nvCxnSpPr>
        <xdr:spPr>
          <a:xfrm flipV="1">
            <a:off x="9933151" y="1385528"/>
            <a:ext cx="375330"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1A942396-7F26-3576-2CBC-3DB11E03FF76}"/>
              </a:ext>
            </a:extLst>
          </xdr:cNvPr>
          <xdr:cNvCxnSpPr/>
        </xdr:nvCxnSpPr>
        <xdr:spPr>
          <a:xfrm>
            <a:off x="10134763" y="1380769"/>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F4C4DC3A-45D6-3285-718B-8C8C00898D21}"/>
              </a:ext>
            </a:extLst>
          </xdr:cNvPr>
          <xdr:cNvCxnSpPr/>
        </xdr:nvCxnSpPr>
        <xdr:spPr>
          <a:xfrm>
            <a:off x="10324243" y="1383146"/>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C788EC0-E60F-912C-4A8D-BDF9B31B155F}"/>
              </a:ext>
            </a:extLst>
          </xdr:cNvPr>
          <xdr:cNvCxnSpPr/>
        </xdr:nvCxnSpPr>
        <xdr:spPr>
          <a:xfrm>
            <a:off x="10251445" y="138315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テキスト ボックス 26">
            <a:extLst>
              <a:ext uri="{FF2B5EF4-FFF2-40B4-BE49-F238E27FC236}">
                <a16:creationId xmlns:a16="http://schemas.microsoft.com/office/drawing/2014/main" id="{7F91CB27-4F05-2370-4AB8-E2244E38D63D}"/>
              </a:ext>
            </a:extLst>
          </xdr:cNvPr>
          <xdr:cNvSpPr txBox="1">
            <a:spLocks/>
          </xdr:cNvSpPr>
        </xdr:nvSpPr>
        <xdr:spPr>
          <a:xfrm>
            <a:off x="10430935" y="1140259"/>
            <a:ext cx="675964" cy="30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d2x4.0</a:t>
            </a:r>
            <a:endParaRPr kumimoji="1" lang="ja-JP" altLang="en-US" sz="1400"/>
          </a:p>
        </xdr:txBody>
      </xdr:sp>
      <xdr:cxnSp macro="">
        <xdr:nvCxnSpPr>
          <xdr:cNvPr id="28" name="直線コネクタ 27">
            <a:extLst>
              <a:ext uri="{FF2B5EF4-FFF2-40B4-BE49-F238E27FC236}">
                <a16:creationId xmlns:a16="http://schemas.microsoft.com/office/drawing/2014/main" id="{ABCFD6A8-95D6-CC73-2ADA-8A940C91DCE9}"/>
              </a:ext>
            </a:extLst>
          </xdr:cNvPr>
          <xdr:cNvCxnSpPr/>
        </xdr:nvCxnSpPr>
        <xdr:spPr>
          <a:xfrm flipV="1">
            <a:off x="9904178" y="378898"/>
            <a:ext cx="376237"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B02A867F-9EF9-6182-E399-4F4C288D03A2}"/>
              </a:ext>
            </a:extLst>
          </xdr:cNvPr>
          <xdr:cNvCxnSpPr/>
        </xdr:nvCxnSpPr>
        <xdr:spPr>
          <a:xfrm flipV="1">
            <a:off x="9952597" y="378894"/>
            <a:ext cx="375330"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9E91D402-DC7B-16E5-0C46-56A82CAAC115}"/>
              </a:ext>
            </a:extLst>
          </xdr:cNvPr>
          <xdr:cNvCxnSpPr/>
        </xdr:nvCxnSpPr>
        <xdr:spPr>
          <a:xfrm>
            <a:off x="10156590" y="37413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529317AF-7F63-8B51-8B2C-3EAEEACFDA02}"/>
              </a:ext>
            </a:extLst>
          </xdr:cNvPr>
          <xdr:cNvCxnSpPr/>
        </xdr:nvCxnSpPr>
        <xdr:spPr>
          <a:xfrm>
            <a:off x="10333483" y="376512"/>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87EEEEC4-8B80-0E57-965B-F1BA75D8736D}"/>
              </a:ext>
            </a:extLst>
          </xdr:cNvPr>
          <xdr:cNvCxnSpPr/>
        </xdr:nvCxnSpPr>
        <xdr:spPr>
          <a:xfrm>
            <a:off x="10270891" y="376523"/>
            <a:ext cx="8754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テキスト ボックス 32">
            <a:extLst>
              <a:ext uri="{FF2B5EF4-FFF2-40B4-BE49-F238E27FC236}">
                <a16:creationId xmlns:a16="http://schemas.microsoft.com/office/drawing/2014/main" id="{16BDC788-B106-D9C4-F29E-EFA1A05298E0}"/>
              </a:ext>
            </a:extLst>
          </xdr:cNvPr>
          <xdr:cNvSpPr txBox="1">
            <a:spLocks/>
          </xdr:cNvSpPr>
        </xdr:nvSpPr>
        <xdr:spPr>
          <a:xfrm>
            <a:off x="10433714" y="138387"/>
            <a:ext cx="67369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d1x4.0</a:t>
            </a:r>
            <a:endParaRPr kumimoji="1" lang="ja-JP" altLang="en-US" sz="1400"/>
          </a:p>
        </xdr:txBody>
      </xdr:sp>
      <xdr:cxnSp macro="">
        <xdr:nvCxnSpPr>
          <xdr:cNvPr id="34" name="直線矢印コネクタ 33">
            <a:extLst>
              <a:ext uri="{FF2B5EF4-FFF2-40B4-BE49-F238E27FC236}">
                <a16:creationId xmlns:a16="http://schemas.microsoft.com/office/drawing/2014/main" id="{2F21181A-8C8F-3712-3FF4-40C8A56F6FAD}"/>
              </a:ext>
            </a:extLst>
          </xdr:cNvPr>
          <xdr:cNvCxnSpPr/>
        </xdr:nvCxnSpPr>
        <xdr:spPr>
          <a:xfrm>
            <a:off x="8451786" y="5069010"/>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a:extLst>
              <a:ext uri="{FF2B5EF4-FFF2-40B4-BE49-F238E27FC236}">
                <a16:creationId xmlns:a16="http://schemas.microsoft.com/office/drawing/2014/main" id="{9F6E1B46-1D41-FC7D-199B-B954044A02BB}"/>
              </a:ext>
            </a:extLst>
          </xdr:cNvPr>
          <xdr:cNvCxnSpPr/>
        </xdr:nvCxnSpPr>
        <xdr:spPr>
          <a:xfrm>
            <a:off x="8187042" y="736356"/>
            <a:ext cx="0" cy="533796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6123F675-FC7E-1C9D-C744-FCE63E9A9EEB}"/>
              </a:ext>
            </a:extLst>
          </xdr:cNvPr>
          <xdr:cNvCxnSpPr/>
        </xdr:nvCxnSpPr>
        <xdr:spPr>
          <a:xfrm>
            <a:off x="8452396" y="1740958"/>
            <a:ext cx="0" cy="332858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a:extLst>
              <a:ext uri="{FF2B5EF4-FFF2-40B4-BE49-F238E27FC236}">
                <a16:creationId xmlns:a16="http://schemas.microsoft.com/office/drawing/2014/main" id="{C1F04132-A019-F2E7-FB6A-F1E01BC4D0DE}"/>
              </a:ext>
            </a:extLst>
          </xdr:cNvPr>
          <xdr:cNvCxnSpPr/>
        </xdr:nvCxnSpPr>
        <xdr:spPr>
          <a:xfrm>
            <a:off x="8452397" y="736687"/>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1CCF2C3D-E3B3-09AB-C840-5BD3F5D3E659}"/>
              </a:ext>
            </a:extLst>
          </xdr:cNvPr>
          <xdr:cNvCxnSpPr/>
        </xdr:nvCxnSpPr>
        <xdr:spPr>
          <a:xfrm>
            <a:off x="8454229" y="5072059"/>
            <a:ext cx="133218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5F7C1724-418C-ADD9-A25A-0107663BB5D8}"/>
              </a:ext>
            </a:extLst>
          </xdr:cNvPr>
          <xdr:cNvCxnSpPr/>
        </xdr:nvCxnSpPr>
        <xdr:spPr>
          <a:xfrm>
            <a:off x="8450034" y="1741055"/>
            <a:ext cx="1368581"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20ED4AD9-326D-0F5D-B362-6FB310A59586}"/>
              </a:ext>
            </a:extLst>
          </xdr:cNvPr>
          <xdr:cNvCxnSpPr/>
        </xdr:nvCxnSpPr>
        <xdr:spPr>
          <a:xfrm>
            <a:off x="8182691" y="741802"/>
            <a:ext cx="16306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テキスト ボックス 40">
            <a:extLst>
              <a:ext uri="{FF2B5EF4-FFF2-40B4-BE49-F238E27FC236}">
                <a16:creationId xmlns:a16="http://schemas.microsoft.com/office/drawing/2014/main" id="{09E51759-27B1-E487-4F95-5AAE4E186D1E}"/>
              </a:ext>
            </a:extLst>
          </xdr:cNvPr>
          <xdr:cNvSpPr txBox="1">
            <a:spLocks/>
          </xdr:cNvSpPr>
        </xdr:nvSpPr>
        <xdr:spPr>
          <a:xfrm rot="16200000">
            <a:off x="8178792" y="5414741"/>
            <a:ext cx="367087" cy="31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h3</a:t>
            </a:r>
            <a:endParaRPr kumimoji="1" lang="ja-JP" altLang="en-US" sz="1400"/>
          </a:p>
        </xdr:txBody>
      </xdr:sp>
      <xdr:sp macro="" textlink="">
        <xdr:nvSpPr>
          <xdr:cNvPr id="42" name="テキスト ボックス 41">
            <a:extLst>
              <a:ext uri="{FF2B5EF4-FFF2-40B4-BE49-F238E27FC236}">
                <a16:creationId xmlns:a16="http://schemas.microsoft.com/office/drawing/2014/main" id="{9FBE215A-6F06-31BA-7BEB-3583CB33FDFB}"/>
              </a:ext>
            </a:extLst>
          </xdr:cNvPr>
          <xdr:cNvSpPr txBox="1">
            <a:spLocks/>
          </xdr:cNvSpPr>
        </xdr:nvSpPr>
        <xdr:spPr>
          <a:xfrm rot="16200000">
            <a:off x="8169127" y="3236469"/>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h2</a:t>
            </a:r>
            <a:endParaRPr kumimoji="1" lang="ja-JP" altLang="en-US" sz="1400"/>
          </a:p>
        </xdr:txBody>
      </xdr:sp>
      <xdr:sp macro="" textlink="">
        <xdr:nvSpPr>
          <xdr:cNvPr id="43" name="テキスト ボックス 42">
            <a:extLst>
              <a:ext uri="{FF2B5EF4-FFF2-40B4-BE49-F238E27FC236}">
                <a16:creationId xmlns:a16="http://schemas.microsoft.com/office/drawing/2014/main" id="{071D351C-E2D2-6F49-8135-1A888B0A94DF}"/>
              </a:ext>
            </a:extLst>
          </xdr:cNvPr>
          <xdr:cNvSpPr txBox="1">
            <a:spLocks/>
          </xdr:cNvSpPr>
        </xdr:nvSpPr>
        <xdr:spPr>
          <a:xfrm rot="16200000">
            <a:off x="7703378" y="2994599"/>
            <a:ext cx="7928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路面高</a:t>
            </a:r>
            <a:endParaRPr kumimoji="1" lang="en-US" altLang="ja-JP" sz="1400"/>
          </a:p>
        </xdr:txBody>
      </xdr:sp>
      <xdr:sp macro="" textlink="">
        <xdr:nvSpPr>
          <xdr:cNvPr id="44" name="テキスト ボックス 43">
            <a:extLst>
              <a:ext uri="{FF2B5EF4-FFF2-40B4-BE49-F238E27FC236}">
                <a16:creationId xmlns:a16="http://schemas.microsoft.com/office/drawing/2014/main" id="{76D12C0A-16AB-1C20-D95C-6B463769FB53}"/>
              </a:ext>
            </a:extLst>
          </xdr:cNvPr>
          <xdr:cNvSpPr txBox="1">
            <a:spLocks/>
          </xdr:cNvSpPr>
        </xdr:nvSpPr>
        <xdr:spPr>
          <a:xfrm rot="16200000">
            <a:off x="8176958" y="1058643"/>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h1</a:t>
            </a:r>
            <a:endParaRPr kumimoji="1" lang="ja-JP" altLang="en-US" sz="1400"/>
          </a:p>
        </xdr:txBody>
      </xdr:sp>
      <xdr:sp macro="" textlink="">
        <xdr:nvSpPr>
          <xdr:cNvPr id="45" name="テキスト ボックス 44">
            <a:extLst>
              <a:ext uri="{FF2B5EF4-FFF2-40B4-BE49-F238E27FC236}">
                <a16:creationId xmlns:a16="http://schemas.microsoft.com/office/drawing/2014/main" id="{9C2E7BE2-824F-68E6-479D-E8369360F32A}"/>
              </a:ext>
            </a:extLst>
          </xdr:cNvPr>
          <xdr:cNvSpPr txBox="1">
            <a:spLocks/>
          </xdr:cNvSpPr>
        </xdr:nvSpPr>
        <xdr:spPr>
          <a:xfrm>
            <a:off x="8444191" y="5064343"/>
            <a:ext cx="1170961" cy="326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制御装置取付用</a:t>
            </a:r>
            <a:endParaRPr kumimoji="1" lang="en-US" altLang="ja-JP" sz="1100"/>
          </a:p>
        </xdr:txBody>
      </xdr:sp>
      <xdr:sp macro="" textlink="">
        <xdr:nvSpPr>
          <xdr:cNvPr id="46" name="テキスト ボックス 45">
            <a:extLst>
              <a:ext uri="{FF2B5EF4-FFF2-40B4-BE49-F238E27FC236}">
                <a16:creationId xmlns:a16="http://schemas.microsoft.com/office/drawing/2014/main" id="{9DB04CBB-1E7E-0339-9AD8-E4691A5BCF54}"/>
              </a:ext>
            </a:extLst>
          </xdr:cNvPr>
          <xdr:cNvSpPr txBox="1">
            <a:spLocks/>
          </xdr:cNvSpPr>
        </xdr:nvSpPr>
        <xdr:spPr>
          <a:xfrm>
            <a:off x="8443603" y="5239833"/>
            <a:ext cx="606704" cy="325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開口部</a:t>
            </a:r>
          </a:p>
        </xdr:txBody>
      </xdr:sp>
      <xdr:cxnSp macro="">
        <xdr:nvCxnSpPr>
          <xdr:cNvPr id="47" name="直線コネクタ 46">
            <a:extLst>
              <a:ext uri="{FF2B5EF4-FFF2-40B4-BE49-F238E27FC236}">
                <a16:creationId xmlns:a16="http://schemas.microsoft.com/office/drawing/2014/main" id="{0900CB8B-54DA-83E0-D9FF-B622453063E9}"/>
              </a:ext>
            </a:extLst>
          </xdr:cNvPr>
          <xdr:cNvCxnSpPr/>
        </xdr:nvCxnSpPr>
        <xdr:spPr>
          <a:xfrm>
            <a:off x="8520113" y="5311623"/>
            <a:ext cx="98843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072D19C7-A116-286C-CD7C-E483D0C9E552}"/>
              </a:ext>
            </a:extLst>
          </xdr:cNvPr>
          <xdr:cNvCxnSpPr/>
        </xdr:nvCxnSpPr>
        <xdr:spPr>
          <a:xfrm flipH="1" flipV="1">
            <a:off x="9505661" y="5311353"/>
            <a:ext cx="298956" cy="257474"/>
          </a:xfrm>
          <a:prstGeom prst="line">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9" name="正方形/長方形 48">
            <a:extLst>
              <a:ext uri="{FF2B5EF4-FFF2-40B4-BE49-F238E27FC236}">
                <a16:creationId xmlns:a16="http://schemas.microsoft.com/office/drawing/2014/main" id="{784AADF5-8801-EB06-2202-5B3D8FD87962}"/>
              </a:ext>
            </a:extLst>
          </xdr:cNvPr>
          <xdr:cNvSpPr/>
        </xdr:nvSpPr>
        <xdr:spPr>
          <a:xfrm>
            <a:off x="9802628" y="5343710"/>
            <a:ext cx="53731" cy="454269"/>
          </a:xfrm>
          <a:prstGeom prst="rect">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50" name="直角三角形 49">
            <a:extLst>
              <a:ext uri="{FF2B5EF4-FFF2-40B4-BE49-F238E27FC236}">
                <a16:creationId xmlns:a16="http://schemas.microsoft.com/office/drawing/2014/main" id="{836F59D3-1E8A-AE22-66DC-C57B0E64FC40}"/>
              </a:ext>
            </a:extLst>
          </xdr:cNvPr>
          <xdr:cNvSpPr/>
        </xdr:nvSpPr>
        <xdr:spPr>
          <a:xfrm>
            <a:off x="9932191" y="593169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直角三角形 50">
            <a:extLst>
              <a:ext uri="{FF2B5EF4-FFF2-40B4-BE49-F238E27FC236}">
                <a16:creationId xmlns:a16="http://schemas.microsoft.com/office/drawing/2014/main" id="{7354DAB4-D7FF-2A4E-68EF-72532413C8AE}"/>
              </a:ext>
            </a:extLst>
          </xdr:cNvPr>
          <xdr:cNvSpPr/>
        </xdr:nvSpPr>
        <xdr:spPr>
          <a:xfrm flipH="1">
            <a:off x="9755982" y="592931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矢印: 折線 51">
            <a:extLst>
              <a:ext uri="{FF2B5EF4-FFF2-40B4-BE49-F238E27FC236}">
                <a16:creationId xmlns:a16="http://schemas.microsoft.com/office/drawing/2014/main" id="{D365B3B5-4886-20CA-8FAB-934B6D594266}"/>
              </a:ext>
            </a:extLst>
          </xdr:cNvPr>
          <xdr:cNvSpPr/>
        </xdr:nvSpPr>
        <xdr:spPr>
          <a:xfrm rot="16200000">
            <a:off x="9755981" y="633412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3" name="矢印: 折線 52">
            <a:extLst>
              <a:ext uri="{FF2B5EF4-FFF2-40B4-BE49-F238E27FC236}">
                <a16:creationId xmlns:a16="http://schemas.microsoft.com/office/drawing/2014/main" id="{42BEF156-8132-D19E-346A-CE1AA5B164C2}"/>
              </a:ext>
            </a:extLst>
          </xdr:cNvPr>
          <xdr:cNvSpPr/>
        </xdr:nvSpPr>
        <xdr:spPr>
          <a:xfrm rot="16200000" flipV="1">
            <a:off x="9888142" y="633531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54" name="直線コネクタ 53">
            <a:extLst>
              <a:ext uri="{FF2B5EF4-FFF2-40B4-BE49-F238E27FC236}">
                <a16:creationId xmlns:a16="http://schemas.microsoft.com/office/drawing/2014/main" id="{9D506866-3FF9-43A6-A143-02381320878F}"/>
              </a:ext>
            </a:extLst>
          </xdr:cNvPr>
          <xdr:cNvCxnSpPr/>
        </xdr:nvCxnSpPr>
        <xdr:spPr>
          <a:xfrm flipV="1">
            <a:off x="9786938"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E9154849-235C-8F62-3E4E-7D0CC3D76964}"/>
              </a:ext>
            </a:extLst>
          </xdr:cNvPr>
          <xdr:cNvCxnSpPr/>
        </xdr:nvCxnSpPr>
        <xdr:spPr>
          <a:xfrm flipV="1">
            <a:off x="9803607"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1ED66934-A6E0-5DD0-101F-40D2646BAB1C}"/>
              </a:ext>
            </a:extLst>
          </xdr:cNvPr>
          <xdr:cNvCxnSpPr/>
        </xdr:nvCxnSpPr>
        <xdr:spPr>
          <a:xfrm flipV="1">
            <a:off x="9951243"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EC49CBCC-C988-1C1A-521E-2C2053A6D432}"/>
              </a:ext>
            </a:extLst>
          </xdr:cNvPr>
          <xdr:cNvCxnSpPr/>
        </xdr:nvCxnSpPr>
        <xdr:spPr>
          <a:xfrm flipV="1">
            <a:off x="9967912"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2B570B49-66AC-E574-531F-D18332CB373E}"/>
              </a:ext>
            </a:extLst>
          </xdr:cNvPr>
          <xdr:cNvCxnSpPr/>
        </xdr:nvCxnSpPr>
        <xdr:spPr>
          <a:xfrm>
            <a:off x="9844095" y="614125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56497D55-FA7F-E4FA-A6BF-8C43FD8131BB}"/>
              </a:ext>
            </a:extLst>
          </xdr:cNvPr>
          <xdr:cNvCxnSpPr/>
        </xdr:nvCxnSpPr>
        <xdr:spPr>
          <a:xfrm>
            <a:off x="9844091" y="631031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BD376486-B8AE-9AFD-AAC9-086A6C828D6A}"/>
              </a:ext>
            </a:extLst>
          </xdr:cNvPr>
          <xdr:cNvCxnSpPr/>
        </xdr:nvCxnSpPr>
        <xdr:spPr>
          <a:xfrm>
            <a:off x="9934583" y="630555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1D4E4F0B-BA4D-FAD7-364A-DEB61F061A37}"/>
              </a:ext>
            </a:extLst>
          </xdr:cNvPr>
          <xdr:cNvCxnSpPr/>
        </xdr:nvCxnSpPr>
        <xdr:spPr>
          <a:xfrm>
            <a:off x="9934588" y="614124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E6761C6-F6BA-AAB0-52C5-2F73ADB0FF71}"/>
              </a:ext>
            </a:extLst>
          </xdr:cNvPr>
          <xdr:cNvCxnSpPr/>
        </xdr:nvCxnSpPr>
        <xdr:spPr>
          <a:xfrm>
            <a:off x="9765512" y="630555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5C3ED8D-B4FD-42A7-5C4B-AECF1889C46C}"/>
              </a:ext>
            </a:extLst>
          </xdr:cNvPr>
          <xdr:cNvCxnSpPr/>
        </xdr:nvCxnSpPr>
        <xdr:spPr>
          <a:xfrm>
            <a:off x="9765517" y="614124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767045C0-077C-AE6A-1B4F-08F8438173BA}"/>
              </a:ext>
            </a:extLst>
          </xdr:cNvPr>
          <xdr:cNvCxnSpPr/>
        </xdr:nvCxnSpPr>
        <xdr:spPr>
          <a:xfrm>
            <a:off x="9713119" y="677942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矢印コネクタ 64">
            <a:extLst>
              <a:ext uri="{FF2B5EF4-FFF2-40B4-BE49-F238E27FC236}">
                <a16:creationId xmlns:a16="http://schemas.microsoft.com/office/drawing/2014/main" id="{3468D6BF-6149-A46A-EAD3-EE73E639488E}"/>
              </a:ext>
            </a:extLst>
          </xdr:cNvPr>
          <xdr:cNvCxnSpPr/>
        </xdr:nvCxnSpPr>
        <xdr:spPr>
          <a:xfrm flipH="1">
            <a:off x="9874798" y="600075"/>
            <a:ext cx="2627" cy="6320996"/>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6" name="楕円 65">
            <a:extLst>
              <a:ext uri="{FF2B5EF4-FFF2-40B4-BE49-F238E27FC236}">
                <a16:creationId xmlns:a16="http://schemas.microsoft.com/office/drawing/2014/main" id="{E2D4F2F8-C5B9-E796-D8FE-0587BD667F3B}"/>
              </a:ext>
            </a:extLst>
          </xdr:cNvPr>
          <xdr:cNvSpPr/>
        </xdr:nvSpPr>
        <xdr:spPr>
          <a:xfrm rot="1800000">
            <a:off x="9721701" y="678085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7" name="楕円 66">
            <a:extLst>
              <a:ext uri="{FF2B5EF4-FFF2-40B4-BE49-F238E27FC236}">
                <a16:creationId xmlns:a16="http://schemas.microsoft.com/office/drawing/2014/main" id="{82C82CC0-4223-A7D7-C86E-F045680DD3E7}"/>
              </a:ext>
            </a:extLst>
          </xdr:cNvPr>
          <xdr:cNvSpPr/>
        </xdr:nvSpPr>
        <xdr:spPr>
          <a:xfrm rot="1800000">
            <a:off x="9762183"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8" name="楕円 67">
            <a:extLst>
              <a:ext uri="{FF2B5EF4-FFF2-40B4-BE49-F238E27FC236}">
                <a16:creationId xmlns:a16="http://schemas.microsoft.com/office/drawing/2014/main" id="{720F35AD-6053-41A6-5038-27C50464EC9C}"/>
              </a:ext>
            </a:extLst>
          </xdr:cNvPr>
          <xdr:cNvSpPr/>
        </xdr:nvSpPr>
        <xdr:spPr>
          <a:xfrm rot="1800000">
            <a:off x="9805044"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9" name="楕円 68">
            <a:extLst>
              <a:ext uri="{FF2B5EF4-FFF2-40B4-BE49-F238E27FC236}">
                <a16:creationId xmlns:a16="http://schemas.microsoft.com/office/drawing/2014/main" id="{98B7A1DD-DDF8-DA6E-73B4-BA8EA75DFA33}"/>
              </a:ext>
            </a:extLst>
          </xdr:cNvPr>
          <xdr:cNvSpPr/>
        </xdr:nvSpPr>
        <xdr:spPr>
          <a:xfrm rot="1800000">
            <a:off x="9912197" y="678085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0" name="楕円 69">
            <a:extLst>
              <a:ext uri="{FF2B5EF4-FFF2-40B4-BE49-F238E27FC236}">
                <a16:creationId xmlns:a16="http://schemas.microsoft.com/office/drawing/2014/main" id="{8CFC8BAB-AA38-2222-BF3F-ADBDA4A504D2}"/>
              </a:ext>
            </a:extLst>
          </xdr:cNvPr>
          <xdr:cNvSpPr/>
        </xdr:nvSpPr>
        <xdr:spPr>
          <a:xfrm rot="1800000">
            <a:off x="9952679"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1" name="楕円 70">
            <a:extLst>
              <a:ext uri="{FF2B5EF4-FFF2-40B4-BE49-F238E27FC236}">
                <a16:creationId xmlns:a16="http://schemas.microsoft.com/office/drawing/2014/main" id="{EA3159D0-E492-B1FF-E0A4-01A8D597B426}"/>
              </a:ext>
            </a:extLst>
          </xdr:cNvPr>
          <xdr:cNvSpPr/>
        </xdr:nvSpPr>
        <xdr:spPr>
          <a:xfrm rot="1800000">
            <a:off x="9995540"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2" name="テキスト ボックス 71">
            <a:extLst>
              <a:ext uri="{FF2B5EF4-FFF2-40B4-BE49-F238E27FC236}">
                <a16:creationId xmlns:a16="http://schemas.microsoft.com/office/drawing/2014/main" id="{E743646F-DB19-5EDB-A468-B9102C5648C8}"/>
              </a:ext>
            </a:extLst>
          </xdr:cNvPr>
          <xdr:cNvSpPr txBox="1">
            <a:spLocks/>
          </xdr:cNvSpPr>
        </xdr:nvSpPr>
        <xdr:spPr>
          <a:xfrm>
            <a:off x="10477493" y="585787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73" name="テキスト ボックス 72">
            <a:extLst>
              <a:ext uri="{FF2B5EF4-FFF2-40B4-BE49-F238E27FC236}">
                <a16:creationId xmlns:a16="http://schemas.microsoft.com/office/drawing/2014/main" id="{91DB47C9-402D-1040-502C-855211A8E894}"/>
              </a:ext>
            </a:extLst>
          </xdr:cNvPr>
          <xdr:cNvSpPr txBox="1">
            <a:spLocks/>
          </xdr:cNvSpPr>
        </xdr:nvSpPr>
        <xdr:spPr>
          <a:xfrm>
            <a:off x="10622750" y="5831681"/>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xnSp macro="">
        <xdr:nvCxnSpPr>
          <xdr:cNvPr id="74" name="直線コネクタ 73">
            <a:extLst>
              <a:ext uri="{FF2B5EF4-FFF2-40B4-BE49-F238E27FC236}">
                <a16:creationId xmlns:a16="http://schemas.microsoft.com/office/drawing/2014/main" id="{7CBD568B-026D-860D-0485-D5FF0C3D8996}"/>
              </a:ext>
            </a:extLst>
          </xdr:cNvPr>
          <xdr:cNvCxnSpPr/>
        </xdr:nvCxnSpPr>
        <xdr:spPr>
          <a:xfrm>
            <a:off x="10017916" y="6072195"/>
            <a:ext cx="308610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8F5F7A9F-2C0A-1242-3BCF-04CF9D70DA4D}"/>
              </a:ext>
            </a:extLst>
          </xdr:cNvPr>
          <xdr:cNvCxnSpPr/>
        </xdr:nvCxnSpPr>
        <xdr:spPr>
          <a:xfrm>
            <a:off x="9877425" y="5943599"/>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7723E1BB-D99D-BB9A-7613-D9503D2485D8}"/>
              </a:ext>
            </a:extLst>
          </xdr:cNvPr>
          <xdr:cNvCxnSpPr/>
        </xdr:nvCxnSpPr>
        <xdr:spPr>
          <a:xfrm>
            <a:off x="9958392" y="601027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69B4B6D9-8B85-33B7-8074-03CFEECA2FE8}"/>
              </a:ext>
            </a:extLst>
          </xdr:cNvPr>
          <xdr:cNvCxnSpPr/>
        </xdr:nvCxnSpPr>
        <xdr:spPr>
          <a:xfrm>
            <a:off x="9796465" y="601027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テキスト ボックス 77">
            <a:extLst>
              <a:ext uri="{FF2B5EF4-FFF2-40B4-BE49-F238E27FC236}">
                <a16:creationId xmlns:a16="http://schemas.microsoft.com/office/drawing/2014/main" id="{1A2A0599-D8B7-827A-D233-DEBA1D27E8D3}"/>
              </a:ext>
            </a:extLst>
          </xdr:cNvPr>
          <xdr:cNvSpPr txBox="1">
            <a:spLocks/>
          </xdr:cNvSpPr>
        </xdr:nvSpPr>
        <xdr:spPr>
          <a:xfrm rot="16200000">
            <a:off x="12779819" y="6364128"/>
            <a:ext cx="45381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300</a:t>
            </a:r>
            <a:endParaRPr kumimoji="1" lang="ja-JP" altLang="en-US" sz="1400"/>
          </a:p>
        </xdr:txBody>
      </xdr:sp>
      <xdr:cxnSp macro="">
        <xdr:nvCxnSpPr>
          <xdr:cNvPr id="79" name="直線矢印コネクタ 78">
            <a:extLst>
              <a:ext uri="{FF2B5EF4-FFF2-40B4-BE49-F238E27FC236}">
                <a16:creationId xmlns:a16="http://schemas.microsoft.com/office/drawing/2014/main" id="{18C98EE0-35BB-8938-24FD-D4176CE34BBE}"/>
              </a:ext>
            </a:extLst>
          </xdr:cNvPr>
          <xdr:cNvCxnSpPr/>
        </xdr:nvCxnSpPr>
        <xdr:spPr>
          <a:xfrm>
            <a:off x="13099733" y="5932170"/>
            <a:ext cx="0" cy="140494"/>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80" name="直線矢印コネクタ 79">
            <a:extLst>
              <a:ext uri="{FF2B5EF4-FFF2-40B4-BE49-F238E27FC236}">
                <a16:creationId xmlns:a16="http://schemas.microsoft.com/office/drawing/2014/main" id="{4B9A1583-2838-E26E-872C-934881517AD6}"/>
              </a:ext>
            </a:extLst>
          </xdr:cNvPr>
          <xdr:cNvCxnSpPr/>
        </xdr:nvCxnSpPr>
        <xdr:spPr>
          <a:xfrm>
            <a:off x="13099733" y="6276499"/>
            <a:ext cx="0" cy="38862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81" name="直線矢印コネクタ 80">
            <a:extLst>
              <a:ext uri="{FF2B5EF4-FFF2-40B4-BE49-F238E27FC236}">
                <a16:creationId xmlns:a16="http://schemas.microsoft.com/office/drawing/2014/main" id="{7C2BB8AA-5EFA-EC08-5EB6-E99170B8AE8E}"/>
              </a:ext>
            </a:extLst>
          </xdr:cNvPr>
          <xdr:cNvCxnSpPr/>
        </xdr:nvCxnSpPr>
        <xdr:spPr>
          <a:xfrm>
            <a:off x="13099733" y="6067425"/>
            <a:ext cx="0" cy="207645"/>
          </a:xfrm>
          <a:prstGeom prst="straightConnector1">
            <a:avLst/>
          </a:prstGeom>
          <a:ln>
            <a:solidFill>
              <a:schemeClr val="bg1">
                <a:lumMod val="50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B5DB0AE6-4C97-01EC-11BC-E6C059A99F15}"/>
              </a:ext>
            </a:extLst>
          </xdr:cNvPr>
          <xdr:cNvCxnSpPr/>
        </xdr:nvCxnSpPr>
        <xdr:spPr>
          <a:xfrm>
            <a:off x="12224385" y="6275077"/>
            <a:ext cx="8791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正方形/長方形 82">
            <a:extLst>
              <a:ext uri="{FF2B5EF4-FFF2-40B4-BE49-F238E27FC236}">
                <a16:creationId xmlns:a16="http://schemas.microsoft.com/office/drawing/2014/main" id="{27B11C84-CEAB-A815-70FF-7BD6A91B947A}"/>
              </a:ext>
            </a:extLst>
          </xdr:cNvPr>
          <xdr:cNvSpPr/>
        </xdr:nvSpPr>
        <xdr:spPr>
          <a:xfrm>
            <a:off x="11861022" y="627458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直角三角形 83">
            <a:extLst>
              <a:ext uri="{FF2B5EF4-FFF2-40B4-BE49-F238E27FC236}">
                <a16:creationId xmlns:a16="http://schemas.microsoft.com/office/drawing/2014/main" id="{BDE3A61C-6218-5949-F6D2-7F6BDE674C26}"/>
              </a:ext>
            </a:extLst>
          </xdr:cNvPr>
          <xdr:cNvSpPr/>
        </xdr:nvSpPr>
        <xdr:spPr>
          <a:xfrm>
            <a:off x="12082475" y="613171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直角三角形 84">
            <a:extLst>
              <a:ext uri="{FF2B5EF4-FFF2-40B4-BE49-F238E27FC236}">
                <a16:creationId xmlns:a16="http://schemas.microsoft.com/office/drawing/2014/main" id="{C37A909F-2966-EACA-BBFB-40535C2620A8}"/>
              </a:ext>
            </a:extLst>
          </xdr:cNvPr>
          <xdr:cNvSpPr/>
        </xdr:nvSpPr>
        <xdr:spPr>
          <a:xfrm flipH="1">
            <a:off x="11906266" y="612933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6" name="矢印: 折線 85">
            <a:extLst>
              <a:ext uri="{FF2B5EF4-FFF2-40B4-BE49-F238E27FC236}">
                <a16:creationId xmlns:a16="http://schemas.microsoft.com/office/drawing/2014/main" id="{275BE4D4-A0B0-6DE3-192B-A4A194C044D4}"/>
              </a:ext>
            </a:extLst>
          </xdr:cNvPr>
          <xdr:cNvSpPr/>
        </xdr:nvSpPr>
        <xdr:spPr>
          <a:xfrm rot="16200000">
            <a:off x="11906265" y="653414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7" name="矢印: 折線 86">
            <a:extLst>
              <a:ext uri="{FF2B5EF4-FFF2-40B4-BE49-F238E27FC236}">
                <a16:creationId xmlns:a16="http://schemas.microsoft.com/office/drawing/2014/main" id="{70A00F37-22AE-8C70-DC5D-36CFDD4CEC4C}"/>
              </a:ext>
            </a:extLst>
          </xdr:cNvPr>
          <xdr:cNvSpPr/>
        </xdr:nvSpPr>
        <xdr:spPr>
          <a:xfrm rot="16200000" flipV="1">
            <a:off x="12038426" y="653533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88" name="直線コネクタ 87">
            <a:extLst>
              <a:ext uri="{FF2B5EF4-FFF2-40B4-BE49-F238E27FC236}">
                <a16:creationId xmlns:a16="http://schemas.microsoft.com/office/drawing/2014/main" id="{320764C5-527D-CBDD-D81C-7DEE6C59158B}"/>
              </a:ext>
            </a:extLst>
          </xdr:cNvPr>
          <xdr:cNvCxnSpPr/>
        </xdr:nvCxnSpPr>
        <xdr:spPr>
          <a:xfrm flipV="1">
            <a:off x="11937222"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 name="直線コネクタ 88">
            <a:extLst>
              <a:ext uri="{FF2B5EF4-FFF2-40B4-BE49-F238E27FC236}">
                <a16:creationId xmlns:a16="http://schemas.microsoft.com/office/drawing/2014/main" id="{A506B9D0-F617-486E-3219-E488FF0D6832}"/>
              </a:ext>
            </a:extLst>
          </xdr:cNvPr>
          <xdr:cNvCxnSpPr/>
        </xdr:nvCxnSpPr>
        <xdr:spPr>
          <a:xfrm flipV="1">
            <a:off x="11953891"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直線コネクタ 89">
            <a:extLst>
              <a:ext uri="{FF2B5EF4-FFF2-40B4-BE49-F238E27FC236}">
                <a16:creationId xmlns:a16="http://schemas.microsoft.com/office/drawing/2014/main" id="{61A35EF3-5F40-CB8F-C5EA-4244432D16A4}"/>
              </a:ext>
            </a:extLst>
          </xdr:cNvPr>
          <xdr:cNvCxnSpPr/>
        </xdr:nvCxnSpPr>
        <xdr:spPr>
          <a:xfrm flipV="1">
            <a:off x="12101527"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A35885D0-C0A8-01BE-496D-8A870C8905F5}"/>
              </a:ext>
            </a:extLst>
          </xdr:cNvPr>
          <xdr:cNvCxnSpPr/>
        </xdr:nvCxnSpPr>
        <xdr:spPr>
          <a:xfrm flipV="1">
            <a:off x="12118196"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0F875F91-4200-DB1D-B3AA-A6ABA512550D}"/>
              </a:ext>
            </a:extLst>
          </xdr:cNvPr>
          <xdr:cNvCxnSpPr/>
        </xdr:nvCxnSpPr>
        <xdr:spPr>
          <a:xfrm>
            <a:off x="11994379" y="634127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F56BAD1F-1924-557B-F71F-08DEB60AC4FB}"/>
              </a:ext>
            </a:extLst>
          </xdr:cNvPr>
          <xdr:cNvCxnSpPr/>
        </xdr:nvCxnSpPr>
        <xdr:spPr>
          <a:xfrm>
            <a:off x="11994375" y="651033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4" name="直線コネクタ 93">
            <a:extLst>
              <a:ext uri="{FF2B5EF4-FFF2-40B4-BE49-F238E27FC236}">
                <a16:creationId xmlns:a16="http://schemas.microsoft.com/office/drawing/2014/main" id="{FD431968-4AFD-F65D-BDD8-4D07EC4E66D2}"/>
              </a:ext>
            </a:extLst>
          </xdr:cNvPr>
          <xdr:cNvCxnSpPr/>
        </xdr:nvCxnSpPr>
        <xdr:spPr>
          <a:xfrm>
            <a:off x="12084867" y="650557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a:extLst>
              <a:ext uri="{FF2B5EF4-FFF2-40B4-BE49-F238E27FC236}">
                <a16:creationId xmlns:a16="http://schemas.microsoft.com/office/drawing/2014/main" id="{55AE57D9-BADC-A054-69E7-2FCD8AEFBA14}"/>
              </a:ext>
            </a:extLst>
          </xdr:cNvPr>
          <xdr:cNvCxnSpPr/>
        </xdr:nvCxnSpPr>
        <xdr:spPr>
          <a:xfrm>
            <a:off x="12084872" y="634126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FE5785C1-FE4E-8EA0-50C8-A97638721A38}"/>
              </a:ext>
            </a:extLst>
          </xdr:cNvPr>
          <xdr:cNvCxnSpPr/>
        </xdr:nvCxnSpPr>
        <xdr:spPr>
          <a:xfrm>
            <a:off x="11915796" y="650557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2AC6F24E-FDB3-F30C-EA36-A454A32E8537}"/>
              </a:ext>
            </a:extLst>
          </xdr:cNvPr>
          <xdr:cNvCxnSpPr/>
        </xdr:nvCxnSpPr>
        <xdr:spPr>
          <a:xfrm>
            <a:off x="11915801" y="634126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909D477A-F30E-F16C-E1A9-BE717E942D98}"/>
              </a:ext>
            </a:extLst>
          </xdr:cNvPr>
          <xdr:cNvCxnSpPr/>
        </xdr:nvCxnSpPr>
        <xdr:spPr>
          <a:xfrm>
            <a:off x="11863403" y="697944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矢印コネクタ 98">
            <a:extLst>
              <a:ext uri="{FF2B5EF4-FFF2-40B4-BE49-F238E27FC236}">
                <a16:creationId xmlns:a16="http://schemas.microsoft.com/office/drawing/2014/main" id="{FC081642-6E59-90A0-9FC7-86B28F4B55AB}"/>
              </a:ext>
            </a:extLst>
          </xdr:cNvPr>
          <xdr:cNvCxnSpPr/>
        </xdr:nvCxnSpPr>
        <xdr:spPr>
          <a:xfrm>
            <a:off x="12025082" y="5732859"/>
            <a:ext cx="0" cy="1388232"/>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100" name="楕円 99">
            <a:extLst>
              <a:ext uri="{FF2B5EF4-FFF2-40B4-BE49-F238E27FC236}">
                <a16:creationId xmlns:a16="http://schemas.microsoft.com/office/drawing/2014/main" id="{6036C084-4949-D078-FC9C-3C762AE3A605}"/>
              </a:ext>
            </a:extLst>
          </xdr:cNvPr>
          <xdr:cNvSpPr/>
        </xdr:nvSpPr>
        <xdr:spPr>
          <a:xfrm rot="1800000">
            <a:off x="11871985" y="698087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1" name="楕円 100">
            <a:extLst>
              <a:ext uri="{FF2B5EF4-FFF2-40B4-BE49-F238E27FC236}">
                <a16:creationId xmlns:a16="http://schemas.microsoft.com/office/drawing/2014/main" id="{F90E455C-DB69-9B78-7957-EB994B7DE4F8}"/>
              </a:ext>
            </a:extLst>
          </xdr:cNvPr>
          <xdr:cNvSpPr/>
        </xdr:nvSpPr>
        <xdr:spPr>
          <a:xfrm rot="1800000">
            <a:off x="11912467"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2" name="楕円 101">
            <a:extLst>
              <a:ext uri="{FF2B5EF4-FFF2-40B4-BE49-F238E27FC236}">
                <a16:creationId xmlns:a16="http://schemas.microsoft.com/office/drawing/2014/main" id="{F104B536-10F2-312C-6AB7-9CDCFFC3B472}"/>
              </a:ext>
            </a:extLst>
          </xdr:cNvPr>
          <xdr:cNvSpPr/>
        </xdr:nvSpPr>
        <xdr:spPr>
          <a:xfrm rot="1800000">
            <a:off x="11955328"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3" name="楕円 102">
            <a:extLst>
              <a:ext uri="{FF2B5EF4-FFF2-40B4-BE49-F238E27FC236}">
                <a16:creationId xmlns:a16="http://schemas.microsoft.com/office/drawing/2014/main" id="{9EE36B36-CFCF-CE81-CE02-F540B785ECD3}"/>
              </a:ext>
            </a:extLst>
          </xdr:cNvPr>
          <xdr:cNvSpPr/>
        </xdr:nvSpPr>
        <xdr:spPr>
          <a:xfrm rot="1800000">
            <a:off x="12062481" y="698087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4" name="楕円 103">
            <a:extLst>
              <a:ext uri="{FF2B5EF4-FFF2-40B4-BE49-F238E27FC236}">
                <a16:creationId xmlns:a16="http://schemas.microsoft.com/office/drawing/2014/main" id="{4F9B62A5-AEB3-815A-324E-B88E38B28903}"/>
              </a:ext>
            </a:extLst>
          </xdr:cNvPr>
          <xdr:cNvSpPr/>
        </xdr:nvSpPr>
        <xdr:spPr>
          <a:xfrm rot="1800000">
            <a:off x="12102963"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5" name="楕円 104">
            <a:extLst>
              <a:ext uri="{FF2B5EF4-FFF2-40B4-BE49-F238E27FC236}">
                <a16:creationId xmlns:a16="http://schemas.microsoft.com/office/drawing/2014/main" id="{6C7974D7-E93A-444B-93C4-D4C2D689332E}"/>
              </a:ext>
            </a:extLst>
          </xdr:cNvPr>
          <xdr:cNvSpPr/>
        </xdr:nvSpPr>
        <xdr:spPr>
          <a:xfrm rot="1800000">
            <a:off x="12145824"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cxnSp macro="">
        <xdr:nvCxnSpPr>
          <xdr:cNvPr id="106" name="直線コネクタ 105">
            <a:extLst>
              <a:ext uri="{FF2B5EF4-FFF2-40B4-BE49-F238E27FC236}">
                <a16:creationId xmlns:a16="http://schemas.microsoft.com/office/drawing/2014/main" id="{5A773B0A-D800-BE23-2365-7B2655CF9D8F}"/>
              </a:ext>
            </a:extLst>
          </xdr:cNvPr>
          <xdr:cNvCxnSpPr/>
        </xdr:nvCxnSpPr>
        <xdr:spPr>
          <a:xfrm>
            <a:off x="12027709" y="6150762"/>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626E1E8A-4766-75D6-1576-608D3A9A294F}"/>
              </a:ext>
            </a:extLst>
          </xdr:cNvPr>
          <xdr:cNvCxnSpPr/>
        </xdr:nvCxnSpPr>
        <xdr:spPr>
          <a:xfrm>
            <a:off x="12108676" y="621029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D081232E-2024-1ED9-C3CB-6114B98876EC}"/>
              </a:ext>
            </a:extLst>
          </xdr:cNvPr>
          <xdr:cNvCxnSpPr/>
        </xdr:nvCxnSpPr>
        <xdr:spPr>
          <a:xfrm>
            <a:off x="11946749" y="621029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7516F32C-FCFB-FC43-3C6C-01389CAD8E9C}"/>
              </a:ext>
            </a:extLst>
          </xdr:cNvPr>
          <xdr:cNvCxnSpPr/>
        </xdr:nvCxnSpPr>
        <xdr:spPr>
          <a:xfrm flipV="1">
            <a:off x="12011053" y="571737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9D801A22-B325-F1F2-8755-4AC8A0384442}"/>
              </a:ext>
            </a:extLst>
          </xdr:cNvPr>
          <xdr:cNvCxnSpPr/>
        </xdr:nvCxnSpPr>
        <xdr:spPr>
          <a:xfrm flipV="1">
            <a:off x="12122976" y="571499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矢印コネクタ 110">
            <a:extLst>
              <a:ext uri="{FF2B5EF4-FFF2-40B4-BE49-F238E27FC236}">
                <a16:creationId xmlns:a16="http://schemas.microsoft.com/office/drawing/2014/main" id="{ADDD1CF3-E428-D52B-921F-1CE6085213E5}"/>
              </a:ext>
            </a:extLst>
          </xdr:cNvPr>
          <xdr:cNvCxnSpPr/>
        </xdr:nvCxnSpPr>
        <xdr:spPr>
          <a:xfrm>
            <a:off x="12263465" y="571499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12" name="直線矢印コネクタ 111">
            <a:extLst>
              <a:ext uri="{FF2B5EF4-FFF2-40B4-BE49-F238E27FC236}">
                <a16:creationId xmlns:a16="http://schemas.microsoft.com/office/drawing/2014/main" id="{517AF98F-FC05-5047-F853-804C3FD85246}"/>
              </a:ext>
            </a:extLst>
          </xdr:cNvPr>
          <xdr:cNvCxnSpPr/>
        </xdr:nvCxnSpPr>
        <xdr:spPr>
          <a:xfrm>
            <a:off x="12496831" y="5714991"/>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C6289490-7B7A-F7BD-1655-B8F68C100311}"/>
              </a:ext>
            </a:extLst>
          </xdr:cNvPr>
          <xdr:cNvCxnSpPr/>
        </xdr:nvCxnSpPr>
        <xdr:spPr>
          <a:xfrm>
            <a:off x="12382528" y="5715002"/>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4" name="テキスト ボックス 113">
            <a:extLst>
              <a:ext uri="{FF2B5EF4-FFF2-40B4-BE49-F238E27FC236}">
                <a16:creationId xmlns:a16="http://schemas.microsoft.com/office/drawing/2014/main" id="{764D285D-1715-3667-EC53-42ACC72BBA15}"/>
              </a:ext>
            </a:extLst>
          </xdr:cNvPr>
          <xdr:cNvSpPr txBox="1">
            <a:spLocks/>
          </xdr:cNvSpPr>
        </xdr:nvSpPr>
        <xdr:spPr>
          <a:xfrm>
            <a:off x="12670656" y="5474486"/>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15" name="テキスト ボックス 114">
            <a:extLst>
              <a:ext uri="{FF2B5EF4-FFF2-40B4-BE49-F238E27FC236}">
                <a16:creationId xmlns:a16="http://schemas.microsoft.com/office/drawing/2014/main" id="{E4FA8226-5043-C7FD-8C2B-71DFAD465B2F}"/>
              </a:ext>
            </a:extLst>
          </xdr:cNvPr>
          <xdr:cNvSpPr txBox="1">
            <a:spLocks/>
          </xdr:cNvSpPr>
        </xdr:nvSpPr>
        <xdr:spPr>
          <a:xfrm>
            <a:off x="12463492" y="5857864"/>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116" name="テキスト ボックス 115">
            <a:extLst>
              <a:ext uri="{FF2B5EF4-FFF2-40B4-BE49-F238E27FC236}">
                <a16:creationId xmlns:a16="http://schemas.microsoft.com/office/drawing/2014/main" id="{97C411AE-D070-FF63-9E58-1F363724A52E}"/>
              </a:ext>
            </a:extLst>
          </xdr:cNvPr>
          <xdr:cNvSpPr txBox="1">
            <a:spLocks/>
          </xdr:cNvSpPr>
        </xdr:nvSpPr>
        <xdr:spPr>
          <a:xfrm>
            <a:off x="12608749" y="5831675"/>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sp macro="" textlink="">
        <xdr:nvSpPr>
          <xdr:cNvPr id="117" name="円弧 116">
            <a:extLst>
              <a:ext uri="{FF2B5EF4-FFF2-40B4-BE49-F238E27FC236}">
                <a16:creationId xmlns:a16="http://schemas.microsoft.com/office/drawing/2014/main" id="{F1889D63-7078-3B89-E84E-76CA2F45112D}"/>
              </a:ext>
            </a:extLst>
          </xdr:cNvPr>
          <xdr:cNvSpPr/>
        </xdr:nvSpPr>
        <xdr:spPr>
          <a:xfrm rot="8100000">
            <a:off x="12007170" y="5720884"/>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8" name="円弧 117">
            <a:extLst>
              <a:ext uri="{FF2B5EF4-FFF2-40B4-BE49-F238E27FC236}">
                <a16:creationId xmlns:a16="http://schemas.microsoft.com/office/drawing/2014/main" id="{E2BEFF60-29BD-0563-89EA-1B524C8247F9}"/>
              </a:ext>
            </a:extLst>
          </xdr:cNvPr>
          <xdr:cNvSpPr/>
        </xdr:nvSpPr>
        <xdr:spPr>
          <a:xfrm rot="18900000">
            <a:off x="11954780" y="5794699"/>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9" name="円弧 118">
            <a:extLst>
              <a:ext uri="{FF2B5EF4-FFF2-40B4-BE49-F238E27FC236}">
                <a16:creationId xmlns:a16="http://schemas.microsoft.com/office/drawing/2014/main" id="{52FF7F9B-4D7C-C16A-05A5-09C258D07A5F}"/>
              </a:ext>
            </a:extLst>
          </xdr:cNvPr>
          <xdr:cNvSpPr/>
        </xdr:nvSpPr>
        <xdr:spPr>
          <a:xfrm rot="18900000">
            <a:off x="12004784" y="5789937"/>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120" name="直線コネクタ 119">
            <a:extLst>
              <a:ext uri="{FF2B5EF4-FFF2-40B4-BE49-F238E27FC236}">
                <a16:creationId xmlns:a16="http://schemas.microsoft.com/office/drawing/2014/main" id="{36B4DE2E-B8D3-C2F9-7583-01C90146A65A}"/>
              </a:ext>
            </a:extLst>
          </xdr:cNvPr>
          <xdr:cNvCxnSpPr/>
        </xdr:nvCxnSpPr>
        <xdr:spPr>
          <a:xfrm>
            <a:off x="11970541" y="5800725"/>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3F51F66D-93A3-97C9-DE92-DE8218341827}"/>
              </a:ext>
            </a:extLst>
          </xdr:cNvPr>
          <xdr:cNvCxnSpPr/>
        </xdr:nvCxnSpPr>
        <xdr:spPr>
          <a:xfrm>
            <a:off x="12082464" y="5800729"/>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a:extLst>
              <a:ext uri="{FF2B5EF4-FFF2-40B4-BE49-F238E27FC236}">
                <a16:creationId xmlns:a16="http://schemas.microsoft.com/office/drawing/2014/main" id="{70F6CF42-DF69-684B-9F36-986E797E279A}"/>
              </a:ext>
            </a:extLst>
          </xdr:cNvPr>
          <xdr:cNvCxnSpPr/>
        </xdr:nvCxnSpPr>
        <xdr:spPr>
          <a:xfrm>
            <a:off x="11972929" y="6274598"/>
            <a:ext cx="11193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CEA35036-7ABF-1089-CFD1-6C0E2E2F58E9}"/>
              </a:ext>
            </a:extLst>
          </xdr:cNvPr>
          <xdr:cNvCxnSpPr/>
        </xdr:nvCxnSpPr>
        <xdr:spPr>
          <a:xfrm>
            <a:off x="11458575" y="6069807"/>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682B7AF7-04E3-062A-326B-CFCE1D14BB04}"/>
              </a:ext>
            </a:extLst>
          </xdr:cNvPr>
          <xdr:cNvCxnSpPr/>
        </xdr:nvCxnSpPr>
        <xdr:spPr>
          <a:xfrm>
            <a:off x="11620500"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310395C2-4187-5C86-8AB2-14ADA00A5993}"/>
              </a:ext>
            </a:extLst>
          </xdr:cNvPr>
          <xdr:cNvCxnSpPr/>
        </xdr:nvCxnSpPr>
        <xdr:spPr>
          <a:xfrm>
            <a:off x="11777662"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1ED74292-7CE6-7171-8810-BB467020EE5F}"/>
              </a:ext>
            </a:extLst>
          </xdr:cNvPr>
          <xdr:cNvCxnSpPr/>
        </xdr:nvCxnSpPr>
        <xdr:spPr>
          <a:xfrm>
            <a:off x="11520484" y="6072190"/>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7" name="直線コネクタ 126">
            <a:extLst>
              <a:ext uri="{FF2B5EF4-FFF2-40B4-BE49-F238E27FC236}">
                <a16:creationId xmlns:a16="http://schemas.microsoft.com/office/drawing/2014/main" id="{D32F62EA-B6B0-8CF9-B6EF-F883E26718E3}"/>
              </a:ext>
            </a:extLst>
          </xdr:cNvPr>
          <xdr:cNvCxnSpPr/>
        </xdr:nvCxnSpPr>
        <xdr:spPr>
          <a:xfrm>
            <a:off x="11834811" y="6072193"/>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8" name="直線コネクタ 127">
            <a:extLst>
              <a:ext uri="{FF2B5EF4-FFF2-40B4-BE49-F238E27FC236}">
                <a16:creationId xmlns:a16="http://schemas.microsoft.com/office/drawing/2014/main" id="{CF808765-DF5D-2152-1344-C57EF27181B8}"/>
              </a:ext>
            </a:extLst>
          </xdr:cNvPr>
          <xdr:cNvCxnSpPr/>
        </xdr:nvCxnSpPr>
        <xdr:spPr>
          <a:xfrm>
            <a:off x="11680027" y="6072188"/>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9" name="直線コネクタ 128">
            <a:extLst>
              <a:ext uri="{FF2B5EF4-FFF2-40B4-BE49-F238E27FC236}">
                <a16:creationId xmlns:a16="http://schemas.microsoft.com/office/drawing/2014/main" id="{D0743630-93BA-E0F0-262F-FB23955CDF4E}"/>
              </a:ext>
            </a:extLst>
          </xdr:cNvPr>
          <xdr:cNvCxnSpPr/>
        </xdr:nvCxnSpPr>
        <xdr:spPr>
          <a:xfrm>
            <a:off x="115704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0" name="直線コネクタ 129">
            <a:extLst>
              <a:ext uri="{FF2B5EF4-FFF2-40B4-BE49-F238E27FC236}">
                <a16:creationId xmlns:a16="http://schemas.microsoft.com/office/drawing/2014/main" id="{60A8A51D-1EE6-5E28-293B-F68D78B17ADA}"/>
              </a:ext>
            </a:extLst>
          </xdr:cNvPr>
          <xdr:cNvCxnSpPr/>
        </xdr:nvCxnSpPr>
        <xdr:spPr>
          <a:xfrm>
            <a:off x="117228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 name="直線コネクタ 130">
            <a:extLst>
              <a:ext uri="{FF2B5EF4-FFF2-40B4-BE49-F238E27FC236}">
                <a16:creationId xmlns:a16="http://schemas.microsoft.com/office/drawing/2014/main" id="{74DE9F74-1E27-E1CA-1508-B5ADA28F4E1E}"/>
              </a:ext>
            </a:extLst>
          </xdr:cNvPr>
          <xdr:cNvCxnSpPr/>
        </xdr:nvCxnSpPr>
        <xdr:spPr>
          <a:xfrm flipH="1">
            <a:off x="11496675" y="6079331"/>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A47A26FF-E8D5-55BB-407B-96EFB844CFDE}"/>
              </a:ext>
            </a:extLst>
          </xdr:cNvPr>
          <xdr:cNvCxnSpPr/>
        </xdr:nvCxnSpPr>
        <xdr:spPr>
          <a:xfrm flipH="1">
            <a:off x="11653837" y="6079334"/>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3" name="直線コネクタ 132">
            <a:extLst>
              <a:ext uri="{FF2B5EF4-FFF2-40B4-BE49-F238E27FC236}">
                <a16:creationId xmlns:a16="http://schemas.microsoft.com/office/drawing/2014/main" id="{123BA478-DC96-50FB-59C2-7B6FB97A1DDA}"/>
              </a:ext>
            </a:extLst>
          </xdr:cNvPr>
          <xdr:cNvCxnSpPr/>
        </xdr:nvCxnSpPr>
        <xdr:spPr>
          <a:xfrm flipH="1">
            <a:off x="11551444" y="6100759"/>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 name="直線コネクタ 133">
            <a:extLst>
              <a:ext uri="{FF2B5EF4-FFF2-40B4-BE49-F238E27FC236}">
                <a16:creationId xmlns:a16="http://schemas.microsoft.com/office/drawing/2014/main" id="{4DF43A90-511E-D4A4-C180-93EE22EE528B}"/>
              </a:ext>
            </a:extLst>
          </xdr:cNvPr>
          <xdr:cNvCxnSpPr/>
        </xdr:nvCxnSpPr>
        <xdr:spPr>
          <a:xfrm flipH="1">
            <a:off x="11608594" y="6129334"/>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a:extLst>
              <a:ext uri="{FF2B5EF4-FFF2-40B4-BE49-F238E27FC236}">
                <a16:creationId xmlns:a16="http://schemas.microsoft.com/office/drawing/2014/main" id="{1968ED5A-A9B6-4ABE-9080-CB2FEDB3A8FB}"/>
              </a:ext>
            </a:extLst>
          </xdr:cNvPr>
          <xdr:cNvCxnSpPr/>
        </xdr:nvCxnSpPr>
        <xdr:spPr>
          <a:xfrm>
            <a:off x="12558727"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a:extLst>
              <a:ext uri="{FF2B5EF4-FFF2-40B4-BE49-F238E27FC236}">
                <a16:creationId xmlns:a16="http://schemas.microsoft.com/office/drawing/2014/main" id="{1D506981-28D5-81DE-55C6-3AA316FD15F5}"/>
              </a:ext>
            </a:extLst>
          </xdr:cNvPr>
          <xdr:cNvCxnSpPr/>
        </xdr:nvCxnSpPr>
        <xdr:spPr>
          <a:xfrm>
            <a:off x="12720652"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7" name="直線コネクタ 136">
            <a:extLst>
              <a:ext uri="{FF2B5EF4-FFF2-40B4-BE49-F238E27FC236}">
                <a16:creationId xmlns:a16="http://schemas.microsoft.com/office/drawing/2014/main" id="{7F8FE3A4-BF10-6FE2-C90D-4E577CBD9CE8}"/>
              </a:ext>
            </a:extLst>
          </xdr:cNvPr>
          <xdr:cNvCxnSpPr/>
        </xdr:nvCxnSpPr>
        <xdr:spPr>
          <a:xfrm>
            <a:off x="12877814"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8" name="直線コネクタ 137">
            <a:extLst>
              <a:ext uri="{FF2B5EF4-FFF2-40B4-BE49-F238E27FC236}">
                <a16:creationId xmlns:a16="http://schemas.microsoft.com/office/drawing/2014/main" id="{4B36F17F-49AC-84D0-849A-4A526CCEF703}"/>
              </a:ext>
            </a:extLst>
          </xdr:cNvPr>
          <xdr:cNvCxnSpPr/>
        </xdr:nvCxnSpPr>
        <xdr:spPr>
          <a:xfrm>
            <a:off x="12620636" y="6072186"/>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9" name="直線コネクタ 138">
            <a:extLst>
              <a:ext uri="{FF2B5EF4-FFF2-40B4-BE49-F238E27FC236}">
                <a16:creationId xmlns:a16="http://schemas.microsoft.com/office/drawing/2014/main" id="{B9EEFFB6-5DA3-12AF-DC3F-6C06F65A8D4D}"/>
              </a:ext>
            </a:extLst>
          </xdr:cNvPr>
          <xdr:cNvCxnSpPr/>
        </xdr:nvCxnSpPr>
        <xdr:spPr>
          <a:xfrm>
            <a:off x="12934963" y="6072189"/>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 name="直線コネクタ 139">
            <a:extLst>
              <a:ext uri="{FF2B5EF4-FFF2-40B4-BE49-F238E27FC236}">
                <a16:creationId xmlns:a16="http://schemas.microsoft.com/office/drawing/2014/main" id="{F6D7EC4D-DD1E-6C39-BD30-5EB5890E293A}"/>
              </a:ext>
            </a:extLst>
          </xdr:cNvPr>
          <xdr:cNvCxnSpPr/>
        </xdr:nvCxnSpPr>
        <xdr:spPr>
          <a:xfrm>
            <a:off x="12780179" y="6072184"/>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1" name="直線コネクタ 140">
            <a:extLst>
              <a:ext uri="{FF2B5EF4-FFF2-40B4-BE49-F238E27FC236}">
                <a16:creationId xmlns:a16="http://schemas.microsoft.com/office/drawing/2014/main" id="{BF25502D-B26A-55FF-F718-84DFAD9672A9}"/>
              </a:ext>
            </a:extLst>
          </xdr:cNvPr>
          <xdr:cNvCxnSpPr/>
        </xdr:nvCxnSpPr>
        <xdr:spPr>
          <a:xfrm>
            <a:off x="126706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コネクタ 141">
            <a:extLst>
              <a:ext uri="{FF2B5EF4-FFF2-40B4-BE49-F238E27FC236}">
                <a16:creationId xmlns:a16="http://schemas.microsoft.com/office/drawing/2014/main" id="{609B5B8A-3BF5-A9F6-7A81-606248099564}"/>
              </a:ext>
            </a:extLst>
          </xdr:cNvPr>
          <xdr:cNvCxnSpPr/>
        </xdr:nvCxnSpPr>
        <xdr:spPr>
          <a:xfrm>
            <a:off x="128230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a:extLst>
              <a:ext uri="{FF2B5EF4-FFF2-40B4-BE49-F238E27FC236}">
                <a16:creationId xmlns:a16="http://schemas.microsoft.com/office/drawing/2014/main" id="{4B0184D8-1043-A212-B036-1E677B3CAC81}"/>
              </a:ext>
            </a:extLst>
          </xdr:cNvPr>
          <xdr:cNvCxnSpPr/>
        </xdr:nvCxnSpPr>
        <xdr:spPr>
          <a:xfrm flipH="1">
            <a:off x="12594446" y="6076945"/>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a:extLst>
              <a:ext uri="{FF2B5EF4-FFF2-40B4-BE49-F238E27FC236}">
                <a16:creationId xmlns:a16="http://schemas.microsoft.com/office/drawing/2014/main" id="{75016CA0-3DDE-5B71-22D6-A4FEDF7983E3}"/>
              </a:ext>
            </a:extLst>
          </xdr:cNvPr>
          <xdr:cNvCxnSpPr/>
        </xdr:nvCxnSpPr>
        <xdr:spPr>
          <a:xfrm flipH="1">
            <a:off x="12753989" y="6079330"/>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5" name="直線コネクタ 144">
            <a:extLst>
              <a:ext uri="{FF2B5EF4-FFF2-40B4-BE49-F238E27FC236}">
                <a16:creationId xmlns:a16="http://schemas.microsoft.com/office/drawing/2014/main" id="{D1FF3321-6731-5BCA-93A0-CB4D29B98A61}"/>
              </a:ext>
            </a:extLst>
          </xdr:cNvPr>
          <xdr:cNvCxnSpPr/>
        </xdr:nvCxnSpPr>
        <xdr:spPr>
          <a:xfrm flipH="1">
            <a:off x="12651596" y="6100755"/>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6" name="直線コネクタ 145">
            <a:extLst>
              <a:ext uri="{FF2B5EF4-FFF2-40B4-BE49-F238E27FC236}">
                <a16:creationId xmlns:a16="http://schemas.microsoft.com/office/drawing/2014/main" id="{EDB31D74-BA87-D95C-19BB-CD786B2D0776}"/>
              </a:ext>
            </a:extLst>
          </xdr:cNvPr>
          <xdr:cNvCxnSpPr/>
        </xdr:nvCxnSpPr>
        <xdr:spPr>
          <a:xfrm flipH="1">
            <a:off x="12708746" y="6129330"/>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7" name="直線コネクタ 146">
            <a:extLst>
              <a:ext uri="{FF2B5EF4-FFF2-40B4-BE49-F238E27FC236}">
                <a16:creationId xmlns:a16="http://schemas.microsoft.com/office/drawing/2014/main" id="{517D0458-893D-E6B5-61D9-EDB8DA610673}"/>
              </a:ext>
            </a:extLst>
          </xdr:cNvPr>
          <xdr:cNvCxnSpPr/>
        </xdr:nvCxnSpPr>
        <xdr:spPr>
          <a:xfrm>
            <a:off x="10044113" y="6072187"/>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8" name="直線コネクタ 147">
            <a:extLst>
              <a:ext uri="{FF2B5EF4-FFF2-40B4-BE49-F238E27FC236}">
                <a16:creationId xmlns:a16="http://schemas.microsoft.com/office/drawing/2014/main" id="{D513E637-D60F-6482-B69F-C37A06F977FA}"/>
              </a:ext>
            </a:extLst>
          </xdr:cNvPr>
          <xdr:cNvCxnSpPr/>
        </xdr:nvCxnSpPr>
        <xdr:spPr>
          <a:xfrm>
            <a:off x="10044116" y="6777033"/>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9" name="テキスト ボックス 148">
            <a:extLst>
              <a:ext uri="{FF2B5EF4-FFF2-40B4-BE49-F238E27FC236}">
                <a16:creationId xmlns:a16="http://schemas.microsoft.com/office/drawing/2014/main" id="{0F35B8A0-81D5-FF5C-0BA7-BE64387E3804}"/>
              </a:ext>
            </a:extLst>
          </xdr:cNvPr>
          <xdr:cNvSpPr txBox="1">
            <a:spLocks/>
          </xdr:cNvSpPr>
        </xdr:nvSpPr>
        <xdr:spPr>
          <a:xfrm>
            <a:off x="9371345" y="7138541"/>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ベース式露出型</a:t>
            </a:r>
          </a:p>
        </xdr:txBody>
      </xdr:sp>
      <xdr:sp macro="" textlink="">
        <xdr:nvSpPr>
          <xdr:cNvPr id="150" name="テキスト ボックス 149">
            <a:extLst>
              <a:ext uri="{FF2B5EF4-FFF2-40B4-BE49-F238E27FC236}">
                <a16:creationId xmlns:a16="http://schemas.microsoft.com/office/drawing/2014/main" id="{53A4B43C-AD00-6586-661E-60A597E14523}"/>
              </a:ext>
            </a:extLst>
          </xdr:cNvPr>
          <xdr:cNvSpPr txBox="1">
            <a:spLocks/>
          </xdr:cNvSpPr>
        </xdr:nvSpPr>
        <xdr:spPr>
          <a:xfrm>
            <a:off x="11556726" y="7138538"/>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ベース式埋設型</a:t>
            </a:r>
          </a:p>
        </xdr:txBody>
      </xdr:sp>
      <xdr:cxnSp macro="">
        <xdr:nvCxnSpPr>
          <xdr:cNvPr id="151" name="直線コネクタ 150">
            <a:extLst>
              <a:ext uri="{FF2B5EF4-FFF2-40B4-BE49-F238E27FC236}">
                <a16:creationId xmlns:a16="http://schemas.microsoft.com/office/drawing/2014/main" id="{2CE9B589-DCCD-3606-DE80-5365931BA9F2}"/>
              </a:ext>
            </a:extLst>
          </xdr:cNvPr>
          <xdr:cNvCxnSpPr/>
        </xdr:nvCxnSpPr>
        <xdr:spPr>
          <a:xfrm>
            <a:off x="9258300" y="7410450"/>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a:extLst>
              <a:ext uri="{FF2B5EF4-FFF2-40B4-BE49-F238E27FC236}">
                <a16:creationId xmlns:a16="http://schemas.microsoft.com/office/drawing/2014/main" id="{8530C038-5BC6-95EA-6C3E-D6D419D97C37}"/>
              </a:ext>
            </a:extLst>
          </xdr:cNvPr>
          <xdr:cNvCxnSpPr/>
        </xdr:nvCxnSpPr>
        <xdr:spPr>
          <a:xfrm>
            <a:off x="11439525" y="7400925"/>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0</xdr:colOff>
      <xdr:row>27</xdr:row>
      <xdr:rowOff>19050</xdr:rowOff>
    </xdr:from>
    <xdr:to>
      <xdr:col>29</xdr:col>
      <xdr:colOff>9525</xdr:colOff>
      <xdr:row>29</xdr:row>
      <xdr:rowOff>0</xdr:rowOff>
    </xdr:to>
    <xdr:sp macro="" textlink="">
      <xdr:nvSpPr>
        <xdr:cNvPr id="153" name="AutoShape 1">
          <a:extLst>
            <a:ext uri="{FF2B5EF4-FFF2-40B4-BE49-F238E27FC236}">
              <a16:creationId xmlns:a16="http://schemas.microsoft.com/office/drawing/2014/main" id="{D81F7578-DE80-4D50-A2C2-6B9847A89A2B}"/>
            </a:ext>
          </a:extLst>
        </xdr:cNvPr>
        <xdr:cNvSpPr>
          <a:spLocks noChangeArrowheads="1"/>
        </xdr:cNvSpPr>
      </xdr:nvSpPr>
      <xdr:spPr bwMode="auto">
        <a:xfrm>
          <a:off x="18135600" y="6457950"/>
          <a:ext cx="6096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408217</xdr:colOff>
      <xdr:row>49</xdr:row>
      <xdr:rowOff>9525</xdr:rowOff>
    </xdr:from>
    <xdr:to>
      <xdr:col>29</xdr:col>
      <xdr:colOff>439511</xdr:colOff>
      <xdr:row>49</xdr:row>
      <xdr:rowOff>209550</xdr:rowOff>
    </xdr:to>
    <xdr:grpSp>
      <xdr:nvGrpSpPr>
        <xdr:cNvPr id="155" name="グループ化 154">
          <a:extLst>
            <a:ext uri="{FF2B5EF4-FFF2-40B4-BE49-F238E27FC236}">
              <a16:creationId xmlns:a16="http://schemas.microsoft.com/office/drawing/2014/main" id="{3C3D075D-303F-4636-BEA6-71B156B49421}"/>
            </a:ext>
          </a:extLst>
        </xdr:cNvPr>
        <xdr:cNvGrpSpPr/>
      </xdr:nvGrpSpPr>
      <xdr:grpSpPr>
        <a:xfrm>
          <a:off x="18569217" y="11757025"/>
          <a:ext cx="634544" cy="200025"/>
          <a:chOff x="17848489" y="10591800"/>
          <a:chExt cx="1054554" cy="200025"/>
        </a:xfrm>
      </xdr:grpSpPr>
      <xdr:sp macro="" textlink="">
        <xdr:nvSpPr>
          <xdr:cNvPr id="156" name="Line 3">
            <a:extLst>
              <a:ext uri="{FF2B5EF4-FFF2-40B4-BE49-F238E27FC236}">
                <a16:creationId xmlns:a16="http://schemas.microsoft.com/office/drawing/2014/main" id="{C3BBCE1D-5D6E-1017-698C-9FFE385FCD74}"/>
              </a:ext>
            </a:extLst>
          </xdr:cNvPr>
          <xdr:cNvSpPr>
            <a:spLocks noChangeShapeType="1"/>
          </xdr:cNvSpPr>
        </xdr:nvSpPr>
        <xdr:spPr bwMode="auto">
          <a:xfrm flipV="1">
            <a:off x="17848489" y="10677525"/>
            <a:ext cx="3810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7" name="Line 4">
            <a:extLst>
              <a:ext uri="{FF2B5EF4-FFF2-40B4-BE49-F238E27FC236}">
                <a16:creationId xmlns:a16="http://schemas.microsoft.com/office/drawing/2014/main" id="{8D8FCCD6-8E14-E66A-E4C6-6A4D9BF6EAC4}"/>
              </a:ext>
            </a:extLst>
          </xdr:cNvPr>
          <xdr:cNvSpPr>
            <a:spLocks noChangeShapeType="1"/>
          </xdr:cNvSpPr>
        </xdr:nvSpPr>
        <xdr:spPr bwMode="auto">
          <a:xfrm>
            <a:off x="17886589" y="10668000"/>
            <a:ext cx="952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8" name="Line 5">
            <a:extLst>
              <a:ext uri="{FF2B5EF4-FFF2-40B4-BE49-F238E27FC236}">
                <a16:creationId xmlns:a16="http://schemas.microsoft.com/office/drawing/2014/main" id="{03EE1111-8293-3591-7664-283154C2BAE1}"/>
              </a:ext>
            </a:extLst>
          </xdr:cNvPr>
          <xdr:cNvSpPr>
            <a:spLocks noChangeShapeType="1"/>
          </xdr:cNvSpPr>
        </xdr:nvSpPr>
        <xdr:spPr bwMode="auto">
          <a:xfrm flipV="1">
            <a:off x="17981839" y="10591800"/>
            <a:ext cx="17009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9" name="Line 6">
            <a:extLst>
              <a:ext uri="{FF2B5EF4-FFF2-40B4-BE49-F238E27FC236}">
                <a16:creationId xmlns:a16="http://schemas.microsoft.com/office/drawing/2014/main" id="{B6BCEB5F-D6BE-2D79-68DB-81D1F51E9B8B}"/>
              </a:ext>
            </a:extLst>
          </xdr:cNvPr>
          <xdr:cNvSpPr>
            <a:spLocks noChangeShapeType="1"/>
          </xdr:cNvSpPr>
        </xdr:nvSpPr>
        <xdr:spPr bwMode="auto">
          <a:xfrm>
            <a:off x="18151929" y="10591800"/>
            <a:ext cx="7511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32</xdr:col>
      <xdr:colOff>529399</xdr:colOff>
      <xdr:row>17</xdr:row>
      <xdr:rowOff>179982</xdr:rowOff>
    </xdr:from>
    <xdr:to>
      <xdr:col>34</xdr:col>
      <xdr:colOff>166783</xdr:colOff>
      <xdr:row>19</xdr:row>
      <xdr:rowOff>20667</xdr:rowOff>
    </xdr:to>
    <xdr:sp macro="" textlink="">
      <xdr:nvSpPr>
        <xdr:cNvPr id="160" name="テキスト ボックス 159">
          <a:extLst>
            <a:ext uri="{FF2B5EF4-FFF2-40B4-BE49-F238E27FC236}">
              <a16:creationId xmlns:a16="http://schemas.microsoft.com/office/drawing/2014/main" id="{C13A79D4-6064-4BC2-95A7-931872F55637}"/>
            </a:ext>
          </a:extLst>
        </xdr:cNvPr>
        <xdr:cNvSpPr txBox="1">
          <a:spLocks/>
        </xdr:cNvSpPr>
      </xdr:nvSpPr>
      <xdr:spPr>
        <a:xfrm>
          <a:off x="21065299" y="4237632"/>
          <a:ext cx="837534" cy="316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L = </a:t>
          </a:r>
          <a:endParaRPr kumimoji="1" lang="ja-JP" altLang="en-US" sz="1400"/>
        </a:p>
      </xdr:txBody>
    </xdr:sp>
    <xdr:clientData/>
  </xdr:twoCellAnchor>
  <xdr:twoCellAnchor editAs="absolute">
    <xdr:from>
      <xdr:col>35</xdr:col>
      <xdr:colOff>94933</xdr:colOff>
      <xdr:row>13</xdr:row>
      <xdr:rowOff>188689</xdr:rowOff>
    </xdr:from>
    <xdr:to>
      <xdr:col>36</xdr:col>
      <xdr:colOff>431815</xdr:colOff>
      <xdr:row>15</xdr:row>
      <xdr:rowOff>25301</xdr:rowOff>
    </xdr:to>
    <xdr:sp macro="" textlink="">
      <xdr:nvSpPr>
        <xdr:cNvPr id="161" name="テキスト ボックス 160">
          <a:extLst>
            <a:ext uri="{FF2B5EF4-FFF2-40B4-BE49-F238E27FC236}">
              <a16:creationId xmlns:a16="http://schemas.microsoft.com/office/drawing/2014/main" id="{70B062AB-DFBE-4B9A-B943-A2DBDA867C72}"/>
            </a:ext>
          </a:extLst>
        </xdr:cNvPr>
        <xdr:cNvSpPr txBox="1">
          <a:spLocks/>
        </xdr:cNvSpPr>
      </xdr:nvSpPr>
      <xdr:spPr>
        <a:xfrm>
          <a:off x="22526308" y="3293839"/>
          <a:ext cx="848057" cy="3128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Df = </a:t>
          </a:r>
          <a:endParaRPr kumimoji="1" lang="ja-JP" altLang="en-US" sz="1400"/>
        </a:p>
      </xdr:txBody>
    </xdr:sp>
    <xdr:clientData/>
  </xdr:twoCellAnchor>
  <xdr:twoCellAnchor editAs="absolute">
    <xdr:from>
      <xdr:col>33</xdr:col>
      <xdr:colOff>157089</xdr:colOff>
      <xdr:row>8</xdr:row>
      <xdr:rowOff>182158</xdr:rowOff>
    </xdr:from>
    <xdr:to>
      <xdr:col>34</xdr:col>
      <xdr:colOff>36819</xdr:colOff>
      <xdr:row>10</xdr:row>
      <xdr:rowOff>22842</xdr:rowOff>
    </xdr:to>
    <xdr:sp macro="" textlink="">
      <xdr:nvSpPr>
        <xdr:cNvPr id="162" name="テキスト ボックス 161">
          <a:extLst>
            <a:ext uri="{FF2B5EF4-FFF2-40B4-BE49-F238E27FC236}">
              <a16:creationId xmlns:a16="http://schemas.microsoft.com/office/drawing/2014/main" id="{337E4C91-77A1-4F4A-BB0D-6E7783DAB77F}"/>
            </a:ext>
          </a:extLst>
        </xdr:cNvPr>
        <xdr:cNvSpPr txBox="1">
          <a:spLocks/>
        </xdr:cNvSpPr>
      </xdr:nvSpPr>
      <xdr:spPr>
        <a:xfrm>
          <a:off x="21293064" y="2096683"/>
          <a:ext cx="479805" cy="316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N1</a:t>
          </a:r>
          <a:endParaRPr kumimoji="1" lang="ja-JP" altLang="en-US" sz="1400"/>
        </a:p>
      </xdr:txBody>
    </xdr:sp>
    <xdr:clientData/>
  </xdr:twoCellAnchor>
  <xdr:twoCellAnchor editAs="absolute">
    <xdr:from>
      <xdr:col>32</xdr:col>
      <xdr:colOff>248889</xdr:colOff>
      <xdr:row>12</xdr:row>
      <xdr:rowOff>119767</xdr:rowOff>
    </xdr:from>
    <xdr:to>
      <xdr:col>34</xdr:col>
      <xdr:colOff>400246</xdr:colOff>
      <xdr:row>16</xdr:row>
      <xdr:rowOff>145208</xdr:rowOff>
    </xdr:to>
    <xdr:sp macro="" textlink="">
      <xdr:nvSpPr>
        <xdr:cNvPr id="163" name="Rectangle 70">
          <a:extLst>
            <a:ext uri="{FF2B5EF4-FFF2-40B4-BE49-F238E27FC236}">
              <a16:creationId xmlns:a16="http://schemas.microsoft.com/office/drawing/2014/main" id="{045E8526-69AE-481F-8F53-147B82047484}"/>
            </a:ext>
          </a:extLst>
        </xdr:cNvPr>
        <xdr:cNvSpPr>
          <a:spLocks noChangeArrowheads="1"/>
        </xdr:cNvSpPr>
      </xdr:nvSpPr>
      <xdr:spPr bwMode="auto">
        <a:xfrm>
          <a:off x="20784789" y="2986792"/>
          <a:ext cx="1351507" cy="9779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absolute">
    <xdr:from>
      <xdr:col>33</xdr:col>
      <xdr:colOff>324568</xdr:colOff>
      <xdr:row>12</xdr:row>
      <xdr:rowOff>48566</xdr:rowOff>
    </xdr:from>
    <xdr:to>
      <xdr:col>33</xdr:col>
      <xdr:colOff>324568</xdr:colOff>
      <xdr:row>16</xdr:row>
      <xdr:rowOff>127409</xdr:rowOff>
    </xdr:to>
    <xdr:sp macro="" textlink="">
      <xdr:nvSpPr>
        <xdr:cNvPr id="164" name="Line 29">
          <a:extLst>
            <a:ext uri="{FF2B5EF4-FFF2-40B4-BE49-F238E27FC236}">
              <a16:creationId xmlns:a16="http://schemas.microsoft.com/office/drawing/2014/main" id="{019ECE7B-ED7F-4FCC-9AEB-696581EA88F5}"/>
            </a:ext>
          </a:extLst>
        </xdr:cNvPr>
        <xdr:cNvSpPr>
          <a:spLocks noChangeShapeType="1"/>
        </xdr:cNvSpPr>
      </xdr:nvSpPr>
      <xdr:spPr bwMode="auto">
        <a:xfrm>
          <a:off x="21460543" y="2915591"/>
          <a:ext cx="0" cy="1031343"/>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absolute">
    <xdr:from>
      <xdr:col>34</xdr:col>
      <xdr:colOff>580431</xdr:colOff>
      <xdr:row>12</xdr:row>
      <xdr:rowOff>113834</xdr:rowOff>
    </xdr:from>
    <xdr:to>
      <xdr:col>35</xdr:col>
      <xdr:colOff>200487</xdr:colOff>
      <xdr:row>12</xdr:row>
      <xdr:rowOff>113834</xdr:rowOff>
    </xdr:to>
    <xdr:sp macro="" textlink="">
      <xdr:nvSpPr>
        <xdr:cNvPr id="165" name="Line 39">
          <a:extLst>
            <a:ext uri="{FF2B5EF4-FFF2-40B4-BE49-F238E27FC236}">
              <a16:creationId xmlns:a16="http://schemas.microsoft.com/office/drawing/2014/main" id="{A8D5CA0F-E077-4593-882B-8DC131B06233}"/>
            </a:ext>
          </a:extLst>
        </xdr:cNvPr>
        <xdr:cNvSpPr>
          <a:spLocks noChangeShapeType="1"/>
        </xdr:cNvSpPr>
      </xdr:nvSpPr>
      <xdr:spPr bwMode="auto">
        <a:xfrm>
          <a:off x="22316481" y="2980859"/>
          <a:ext cx="315381"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35</xdr:col>
      <xdr:colOff>146433</xdr:colOff>
      <xdr:row>12</xdr:row>
      <xdr:rowOff>113834</xdr:rowOff>
    </xdr:from>
    <xdr:to>
      <xdr:col>35</xdr:col>
      <xdr:colOff>146433</xdr:colOff>
      <xdr:row>16</xdr:row>
      <xdr:rowOff>133342</xdr:rowOff>
    </xdr:to>
    <xdr:sp macro="" textlink="">
      <xdr:nvSpPr>
        <xdr:cNvPr id="166" name="Line 41">
          <a:extLst>
            <a:ext uri="{FF2B5EF4-FFF2-40B4-BE49-F238E27FC236}">
              <a16:creationId xmlns:a16="http://schemas.microsoft.com/office/drawing/2014/main" id="{BD244121-9CD0-4090-A5C7-E589CC142DD6}"/>
            </a:ext>
          </a:extLst>
        </xdr:cNvPr>
        <xdr:cNvSpPr>
          <a:spLocks noChangeShapeType="1"/>
        </xdr:cNvSpPr>
      </xdr:nvSpPr>
      <xdr:spPr bwMode="auto">
        <a:xfrm>
          <a:off x="22577808" y="2980859"/>
          <a:ext cx="0" cy="972008"/>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34</xdr:col>
      <xdr:colOff>394240</xdr:colOff>
      <xdr:row>17</xdr:row>
      <xdr:rowOff>19946</xdr:rowOff>
    </xdr:from>
    <xdr:to>
      <xdr:col>34</xdr:col>
      <xdr:colOff>394240</xdr:colOff>
      <xdr:row>18</xdr:row>
      <xdr:rowOff>66336</xdr:rowOff>
    </xdr:to>
    <xdr:sp macro="" textlink="">
      <xdr:nvSpPr>
        <xdr:cNvPr id="167" name="Line 57">
          <a:extLst>
            <a:ext uri="{FF2B5EF4-FFF2-40B4-BE49-F238E27FC236}">
              <a16:creationId xmlns:a16="http://schemas.microsoft.com/office/drawing/2014/main" id="{A2BA7E7F-49EB-451A-A593-6B41BD98735F}"/>
            </a:ext>
          </a:extLst>
        </xdr:cNvPr>
        <xdr:cNvSpPr>
          <a:spLocks noChangeShapeType="1"/>
        </xdr:cNvSpPr>
      </xdr:nvSpPr>
      <xdr:spPr bwMode="auto">
        <a:xfrm>
          <a:off x="22130290" y="4077596"/>
          <a:ext cx="0" cy="284515"/>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editAs="absolute">
    <xdr:from>
      <xdr:col>32</xdr:col>
      <xdr:colOff>248889</xdr:colOff>
      <xdr:row>18</xdr:row>
      <xdr:rowOff>17943</xdr:rowOff>
    </xdr:from>
    <xdr:to>
      <xdr:col>34</xdr:col>
      <xdr:colOff>400246</xdr:colOff>
      <xdr:row>18</xdr:row>
      <xdr:rowOff>17943</xdr:rowOff>
    </xdr:to>
    <xdr:sp macro="" textlink="">
      <xdr:nvSpPr>
        <xdr:cNvPr id="168" name="Line 58">
          <a:extLst>
            <a:ext uri="{FF2B5EF4-FFF2-40B4-BE49-F238E27FC236}">
              <a16:creationId xmlns:a16="http://schemas.microsoft.com/office/drawing/2014/main" id="{E82B731C-CB97-4CDB-B493-64AF22CE1387}"/>
            </a:ext>
          </a:extLst>
        </xdr:cNvPr>
        <xdr:cNvSpPr>
          <a:spLocks noChangeShapeType="1"/>
        </xdr:cNvSpPr>
      </xdr:nvSpPr>
      <xdr:spPr bwMode="auto">
        <a:xfrm>
          <a:off x="20784789" y="4313718"/>
          <a:ext cx="1351507" cy="0"/>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34</xdr:col>
      <xdr:colOff>592444</xdr:colOff>
      <xdr:row>16</xdr:row>
      <xdr:rowOff>133342</xdr:rowOff>
    </xdr:from>
    <xdr:to>
      <xdr:col>35</xdr:col>
      <xdr:colOff>212500</xdr:colOff>
      <xdr:row>16</xdr:row>
      <xdr:rowOff>133342</xdr:rowOff>
    </xdr:to>
    <xdr:sp macro="" textlink="">
      <xdr:nvSpPr>
        <xdr:cNvPr id="169" name="Line 60">
          <a:extLst>
            <a:ext uri="{FF2B5EF4-FFF2-40B4-BE49-F238E27FC236}">
              <a16:creationId xmlns:a16="http://schemas.microsoft.com/office/drawing/2014/main" id="{CEDEB843-8444-42BD-ACED-CD43249EC8D1}"/>
            </a:ext>
          </a:extLst>
        </xdr:cNvPr>
        <xdr:cNvSpPr>
          <a:spLocks noChangeShapeType="1"/>
        </xdr:cNvSpPr>
      </xdr:nvSpPr>
      <xdr:spPr bwMode="auto">
        <a:xfrm>
          <a:off x="22328494" y="3952867"/>
          <a:ext cx="315381"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32</xdr:col>
      <xdr:colOff>158796</xdr:colOff>
      <xdr:row>16</xdr:row>
      <xdr:rowOff>145208</xdr:rowOff>
    </xdr:from>
    <xdr:to>
      <xdr:col>34</xdr:col>
      <xdr:colOff>490339</xdr:colOff>
      <xdr:row>16</xdr:row>
      <xdr:rowOff>216409</xdr:rowOff>
    </xdr:to>
    <xdr:sp macro="" textlink="">
      <xdr:nvSpPr>
        <xdr:cNvPr id="170" name="Rectangle 71">
          <a:extLst>
            <a:ext uri="{FF2B5EF4-FFF2-40B4-BE49-F238E27FC236}">
              <a16:creationId xmlns:a16="http://schemas.microsoft.com/office/drawing/2014/main" id="{5C6434C8-480C-4097-89FF-343CC1349D79}"/>
            </a:ext>
          </a:extLst>
        </xdr:cNvPr>
        <xdr:cNvSpPr>
          <a:spLocks noChangeArrowheads="1"/>
        </xdr:cNvSpPr>
      </xdr:nvSpPr>
      <xdr:spPr bwMode="auto">
        <a:xfrm>
          <a:off x="20694696" y="3964733"/>
          <a:ext cx="1531693" cy="71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absolute">
    <xdr:from>
      <xdr:col>33</xdr:col>
      <xdr:colOff>324568</xdr:colOff>
      <xdr:row>9</xdr:row>
      <xdr:rowOff>231222</xdr:rowOff>
    </xdr:from>
    <xdr:to>
      <xdr:col>33</xdr:col>
      <xdr:colOff>324568</xdr:colOff>
      <xdr:row>12</xdr:row>
      <xdr:rowOff>18898</xdr:rowOff>
    </xdr:to>
    <xdr:sp macro="" textlink="">
      <xdr:nvSpPr>
        <xdr:cNvPr id="171" name="Line 30">
          <a:extLst>
            <a:ext uri="{FF2B5EF4-FFF2-40B4-BE49-F238E27FC236}">
              <a16:creationId xmlns:a16="http://schemas.microsoft.com/office/drawing/2014/main" id="{C4A482A2-60B2-4526-A6F7-55E6038A01DE}"/>
            </a:ext>
          </a:extLst>
        </xdr:cNvPr>
        <xdr:cNvSpPr>
          <a:spLocks noChangeShapeType="1"/>
        </xdr:cNvSpPr>
      </xdr:nvSpPr>
      <xdr:spPr bwMode="auto">
        <a:xfrm>
          <a:off x="21460543" y="2383872"/>
          <a:ext cx="0" cy="502051"/>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absolute">
    <xdr:from>
      <xdr:col>32</xdr:col>
      <xdr:colOff>7880</xdr:colOff>
      <xdr:row>12</xdr:row>
      <xdr:rowOff>60433</xdr:rowOff>
    </xdr:from>
    <xdr:to>
      <xdr:col>32</xdr:col>
      <xdr:colOff>585235</xdr:colOff>
      <xdr:row>12</xdr:row>
      <xdr:rowOff>60433</xdr:rowOff>
    </xdr:to>
    <xdr:sp macro="" textlink="">
      <xdr:nvSpPr>
        <xdr:cNvPr id="172" name="Line 46">
          <a:extLst>
            <a:ext uri="{FF2B5EF4-FFF2-40B4-BE49-F238E27FC236}">
              <a16:creationId xmlns:a16="http://schemas.microsoft.com/office/drawing/2014/main" id="{3DD782D3-CCC2-4DC4-B619-B59A97D1FBA8}"/>
            </a:ext>
          </a:extLst>
        </xdr:cNvPr>
        <xdr:cNvSpPr>
          <a:spLocks noChangeShapeType="1"/>
        </xdr:cNvSpPr>
      </xdr:nvSpPr>
      <xdr:spPr bwMode="auto">
        <a:xfrm flipH="1">
          <a:off x="20543780" y="2927458"/>
          <a:ext cx="57735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editAs="absolute">
    <xdr:from>
      <xdr:col>33</xdr:col>
      <xdr:colOff>59534</xdr:colOff>
      <xdr:row>10</xdr:row>
      <xdr:rowOff>208396</xdr:rowOff>
    </xdr:from>
    <xdr:to>
      <xdr:col>34</xdr:col>
      <xdr:colOff>33107</xdr:colOff>
      <xdr:row>13</xdr:row>
      <xdr:rowOff>67273</xdr:rowOff>
    </xdr:to>
    <xdr:sp macro="" textlink="">
      <xdr:nvSpPr>
        <xdr:cNvPr id="173" name="円弧 172">
          <a:extLst>
            <a:ext uri="{FF2B5EF4-FFF2-40B4-BE49-F238E27FC236}">
              <a16:creationId xmlns:a16="http://schemas.microsoft.com/office/drawing/2014/main" id="{A23F5692-1601-48F4-A841-4E3C1769F414}"/>
            </a:ext>
          </a:extLst>
        </xdr:cNvPr>
        <xdr:cNvSpPr/>
      </xdr:nvSpPr>
      <xdr:spPr>
        <a:xfrm rot="12553646">
          <a:off x="21195509" y="2599171"/>
          <a:ext cx="573648" cy="573252"/>
        </a:xfrm>
        <a:prstGeom prst="arc">
          <a:avLst>
            <a:gd name="adj1" fmla="val 16200000"/>
            <a:gd name="adj2" fmla="val 12979610"/>
          </a:avLst>
        </a:prstGeom>
        <a:ln w="381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33</xdr:col>
      <xdr:colOff>577294</xdr:colOff>
      <xdr:row>12</xdr:row>
      <xdr:rowOff>106246</xdr:rowOff>
    </xdr:from>
    <xdr:to>
      <xdr:col>34</xdr:col>
      <xdr:colOff>453287</xdr:colOff>
      <xdr:row>13</xdr:row>
      <xdr:rowOff>181376</xdr:rowOff>
    </xdr:to>
    <xdr:sp macro="" textlink="">
      <xdr:nvSpPr>
        <xdr:cNvPr id="174" name="テキスト ボックス 173">
          <a:extLst>
            <a:ext uri="{FF2B5EF4-FFF2-40B4-BE49-F238E27FC236}">
              <a16:creationId xmlns:a16="http://schemas.microsoft.com/office/drawing/2014/main" id="{48204D54-4E0A-4605-A8DD-467F0E5D7A42}"/>
            </a:ext>
          </a:extLst>
        </xdr:cNvPr>
        <xdr:cNvSpPr txBox="1">
          <a:spLocks/>
        </xdr:cNvSpPr>
      </xdr:nvSpPr>
      <xdr:spPr>
        <a:xfrm>
          <a:off x="21713269" y="2973271"/>
          <a:ext cx="476068" cy="3132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My</a:t>
          </a:r>
          <a:endParaRPr kumimoji="1" lang="ja-JP" altLang="en-US" sz="1400"/>
        </a:p>
      </xdr:txBody>
    </xdr:sp>
    <xdr:clientData/>
  </xdr:twoCellAnchor>
  <xdr:twoCellAnchor editAs="absolute">
    <xdr:from>
      <xdr:col>32</xdr:col>
      <xdr:colOff>137845</xdr:colOff>
      <xdr:row>10</xdr:row>
      <xdr:rowOff>191042</xdr:rowOff>
    </xdr:from>
    <xdr:to>
      <xdr:col>33</xdr:col>
      <xdr:colOff>17575</xdr:colOff>
      <xdr:row>12</xdr:row>
      <xdr:rowOff>31728</xdr:rowOff>
    </xdr:to>
    <xdr:sp macro="" textlink="">
      <xdr:nvSpPr>
        <xdr:cNvPr id="175" name="テキスト ボックス 174">
          <a:extLst>
            <a:ext uri="{FF2B5EF4-FFF2-40B4-BE49-F238E27FC236}">
              <a16:creationId xmlns:a16="http://schemas.microsoft.com/office/drawing/2014/main" id="{DAC100BA-D386-4115-88B4-B6EBDD14D71E}"/>
            </a:ext>
          </a:extLst>
        </xdr:cNvPr>
        <xdr:cNvSpPr txBox="1">
          <a:spLocks/>
        </xdr:cNvSpPr>
      </xdr:nvSpPr>
      <xdr:spPr>
        <a:xfrm>
          <a:off x="20673745" y="2581817"/>
          <a:ext cx="479805" cy="316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Hy</a:t>
          </a:r>
          <a:endParaRPr kumimoji="1" lang="ja-JP" altLang="en-US" sz="1400"/>
        </a:p>
      </xdr:txBody>
    </xdr:sp>
    <xdr:clientData/>
  </xdr:twoCellAnchor>
  <xdr:twoCellAnchor editAs="absolute">
    <xdr:from>
      <xdr:col>32</xdr:col>
      <xdr:colOff>248187</xdr:colOff>
      <xdr:row>17</xdr:row>
      <xdr:rowOff>19946</xdr:rowOff>
    </xdr:from>
    <xdr:to>
      <xdr:col>32</xdr:col>
      <xdr:colOff>248187</xdr:colOff>
      <xdr:row>18</xdr:row>
      <xdr:rowOff>66336</xdr:rowOff>
    </xdr:to>
    <xdr:sp macro="" textlink="">
      <xdr:nvSpPr>
        <xdr:cNvPr id="176" name="Line 57">
          <a:extLst>
            <a:ext uri="{FF2B5EF4-FFF2-40B4-BE49-F238E27FC236}">
              <a16:creationId xmlns:a16="http://schemas.microsoft.com/office/drawing/2014/main" id="{2B313074-3B87-44DF-9098-44C25A70EA8F}"/>
            </a:ext>
          </a:extLst>
        </xdr:cNvPr>
        <xdr:cNvSpPr>
          <a:spLocks noChangeShapeType="1"/>
        </xdr:cNvSpPr>
      </xdr:nvSpPr>
      <xdr:spPr bwMode="auto">
        <a:xfrm>
          <a:off x="20784087" y="4077596"/>
          <a:ext cx="0" cy="284515"/>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editAs="absolute">
    <xdr:from>
      <xdr:col>26</xdr:col>
      <xdr:colOff>405852</xdr:colOff>
      <xdr:row>8</xdr:row>
      <xdr:rowOff>182158</xdr:rowOff>
    </xdr:from>
    <xdr:to>
      <xdr:col>30</xdr:col>
      <xdr:colOff>285755</xdr:colOff>
      <xdr:row>19</xdr:row>
      <xdr:rowOff>20667</xdr:rowOff>
    </xdr:to>
    <xdr:grpSp>
      <xdr:nvGrpSpPr>
        <xdr:cNvPr id="177" name="グループ化 176">
          <a:extLst>
            <a:ext uri="{FF2B5EF4-FFF2-40B4-BE49-F238E27FC236}">
              <a16:creationId xmlns:a16="http://schemas.microsoft.com/office/drawing/2014/main" id="{242EFCCE-E1D6-4B85-BBF8-3087DC8BC1EE}"/>
            </a:ext>
          </a:extLst>
        </xdr:cNvPr>
        <xdr:cNvGrpSpPr/>
      </xdr:nvGrpSpPr>
      <xdr:grpSpPr>
        <a:xfrm>
          <a:off x="17360352" y="2103033"/>
          <a:ext cx="2388153" cy="2457884"/>
          <a:chOff x="17194698" y="679174"/>
          <a:chExt cx="2360544" cy="2480661"/>
        </a:xfrm>
      </xdr:grpSpPr>
      <xdr:sp macro="" textlink="">
        <xdr:nvSpPr>
          <xdr:cNvPr id="178" name="テキスト ボックス 177">
            <a:extLst>
              <a:ext uri="{FF2B5EF4-FFF2-40B4-BE49-F238E27FC236}">
                <a16:creationId xmlns:a16="http://schemas.microsoft.com/office/drawing/2014/main" id="{2199863A-F4D2-561A-2EF9-18E70E63F2C0}"/>
              </a:ext>
            </a:extLst>
          </xdr:cNvPr>
          <xdr:cNvSpPr txBox="1">
            <a:spLocks/>
          </xdr:cNvSpPr>
        </xdr:nvSpPr>
        <xdr:spPr>
          <a:xfrm>
            <a:off x="17921505" y="2840935"/>
            <a:ext cx="830746" cy="318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B = </a:t>
            </a:r>
            <a:endParaRPr kumimoji="1" lang="ja-JP" altLang="en-US" sz="1400"/>
          </a:p>
        </xdr:txBody>
      </xdr:sp>
      <xdr:sp macro="" textlink="">
        <xdr:nvSpPr>
          <xdr:cNvPr id="179" name="テキスト ボックス 178">
            <a:extLst>
              <a:ext uri="{FF2B5EF4-FFF2-40B4-BE49-F238E27FC236}">
                <a16:creationId xmlns:a16="http://schemas.microsoft.com/office/drawing/2014/main" id="{1D275C40-1138-7DDB-608B-899EDB59962B}"/>
              </a:ext>
            </a:extLst>
          </xdr:cNvPr>
          <xdr:cNvSpPr txBox="1">
            <a:spLocks/>
          </xdr:cNvSpPr>
        </xdr:nvSpPr>
        <xdr:spPr>
          <a:xfrm>
            <a:off x="18220927" y="679174"/>
            <a:ext cx="476250" cy="318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N1</a:t>
            </a:r>
            <a:endParaRPr kumimoji="1" lang="ja-JP" altLang="en-US" sz="1400"/>
          </a:p>
        </xdr:txBody>
      </xdr:sp>
      <xdr:sp macro="" textlink="">
        <xdr:nvSpPr>
          <xdr:cNvPr id="180" name="Line 57">
            <a:extLst>
              <a:ext uri="{FF2B5EF4-FFF2-40B4-BE49-F238E27FC236}">
                <a16:creationId xmlns:a16="http://schemas.microsoft.com/office/drawing/2014/main" id="{DDBD5349-A437-9BC2-7957-22B6A930C025}"/>
              </a:ext>
            </a:extLst>
          </xdr:cNvPr>
          <xdr:cNvSpPr>
            <a:spLocks noChangeShapeType="1"/>
          </xdr:cNvSpPr>
        </xdr:nvSpPr>
        <xdr:spPr bwMode="auto">
          <a:xfrm>
            <a:off x="19459501" y="2678220"/>
            <a:ext cx="0" cy="287608"/>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181" name="Rectangle 70">
            <a:extLst>
              <a:ext uri="{FF2B5EF4-FFF2-40B4-BE49-F238E27FC236}">
                <a16:creationId xmlns:a16="http://schemas.microsoft.com/office/drawing/2014/main" id="{FB7A6817-6DD2-066A-2BAE-249457E334B8}"/>
              </a:ext>
            </a:extLst>
          </xdr:cNvPr>
          <xdr:cNvSpPr>
            <a:spLocks noChangeArrowheads="1"/>
          </xdr:cNvSpPr>
        </xdr:nvSpPr>
        <xdr:spPr bwMode="auto">
          <a:xfrm>
            <a:off x="17301039" y="1577504"/>
            <a:ext cx="2147862" cy="9876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 name="Line 58">
            <a:extLst>
              <a:ext uri="{FF2B5EF4-FFF2-40B4-BE49-F238E27FC236}">
                <a16:creationId xmlns:a16="http://schemas.microsoft.com/office/drawing/2014/main" id="{B0F85026-DDF2-CD47-6A98-904C3AFA2A94}"/>
              </a:ext>
            </a:extLst>
          </xdr:cNvPr>
          <xdr:cNvSpPr>
            <a:spLocks noChangeShapeType="1"/>
          </xdr:cNvSpPr>
        </xdr:nvSpPr>
        <xdr:spPr bwMode="auto">
          <a:xfrm>
            <a:off x="17305233" y="2916625"/>
            <a:ext cx="2147862" cy="0"/>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sp macro="" textlink="">
        <xdr:nvSpPr>
          <xdr:cNvPr id="183" name="Rectangle 71">
            <a:extLst>
              <a:ext uri="{FF2B5EF4-FFF2-40B4-BE49-F238E27FC236}">
                <a16:creationId xmlns:a16="http://schemas.microsoft.com/office/drawing/2014/main" id="{4C0C52C8-3500-3AE4-79C0-24A61A46B6BC}"/>
              </a:ext>
            </a:extLst>
          </xdr:cNvPr>
          <xdr:cNvSpPr>
            <a:spLocks noChangeArrowheads="1"/>
          </xdr:cNvSpPr>
        </xdr:nvSpPr>
        <xdr:spPr bwMode="auto">
          <a:xfrm>
            <a:off x="17194698" y="2565137"/>
            <a:ext cx="2360544" cy="7701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 name="Line 30">
            <a:extLst>
              <a:ext uri="{FF2B5EF4-FFF2-40B4-BE49-F238E27FC236}">
                <a16:creationId xmlns:a16="http://schemas.microsoft.com/office/drawing/2014/main" id="{402E4172-C42D-E86E-DB2F-D4CA13CFCF42}"/>
              </a:ext>
            </a:extLst>
          </xdr:cNvPr>
          <xdr:cNvSpPr>
            <a:spLocks noChangeShapeType="1"/>
          </xdr:cNvSpPr>
        </xdr:nvSpPr>
        <xdr:spPr bwMode="auto">
          <a:xfrm>
            <a:off x="18387965" y="969501"/>
            <a:ext cx="0" cy="505446"/>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5" name="Line 46">
            <a:extLst>
              <a:ext uri="{FF2B5EF4-FFF2-40B4-BE49-F238E27FC236}">
                <a16:creationId xmlns:a16="http://schemas.microsoft.com/office/drawing/2014/main" id="{B3F44F17-93E4-AF76-B30A-07D916C6C645}"/>
              </a:ext>
            </a:extLst>
          </xdr:cNvPr>
          <xdr:cNvSpPr>
            <a:spLocks noChangeShapeType="1"/>
          </xdr:cNvSpPr>
        </xdr:nvSpPr>
        <xdr:spPr bwMode="auto">
          <a:xfrm flipH="1">
            <a:off x="17451057" y="1517177"/>
            <a:ext cx="575837"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186" name="円弧 185">
            <a:extLst>
              <a:ext uri="{FF2B5EF4-FFF2-40B4-BE49-F238E27FC236}">
                <a16:creationId xmlns:a16="http://schemas.microsoft.com/office/drawing/2014/main" id="{10BD6394-4945-3630-5F3B-07AB3A630250}"/>
              </a:ext>
            </a:extLst>
          </xdr:cNvPr>
          <xdr:cNvSpPr/>
        </xdr:nvSpPr>
        <xdr:spPr>
          <a:xfrm rot="12553646">
            <a:off x="18098779" y="1186735"/>
            <a:ext cx="569847" cy="577839"/>
          </a:xfrm>
          <a:prstGeom prst="arc">
            <a:avLst>
              <a:gd name="adj1" fmla="val 16200000"/>
              <a:gd name="adj2" fmla="val 12979610"/>
            </a:avLst>
          </a:prstGeom>
          <a:ln w="381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87" name="テキスト ボックス 186">
            <a:extLst>
              <a:ext uri="{FF2B5EF4-FFF2-40B4-BE49-F238E27FC236}">
                <a16:creationId xmlns:a16="http://schemas.microsoft.com/office/drawing/2014/main" id="{EFF45641-2D61-6CB5-D1B1-25DCEE4DD76F}"/>
              </a:ext>
            </a:extLst>
          </xdr:cNvPr>
          <xdr:cNvSpPr txBox="1">
            <a:spLocks/>
          </xdr:cNvSpPr>
        </xdr:nvSpPr>
        <xdr:spPr>
          <a:xfrm>
            <a:off x="18573763" y="1563757"/>
            <a:ext cx="472523" cy="316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Mx</a:t>
            </a:r>
            <a:endParaRPr kumimoji="1" lang="ja-JP" altLang="en-US" sz="1400"/>
          </a:p>
        </xdr:txBody>
      </xdr:sp>
      <xdr:sp macro="" textlink="">
        <xdr:nvSpPr>
          <xdr:cNvPr id="188" name="テキスト ボックス 187">
            <a:extLst>
              <a:ext uri="{FF2B5EF4-FFF2-40B4-BE49-F238E27FC236}">
                <a16:creationId xmlns:a16="http://schemas.microsoft.com/office/drawing/2014/main" id="{98A24503-8F3B-FE4C-9A7F-85D28733F799}"/>
              </a:ext>
            </a:extLst>
          </xdr:cNvPr>
          <xdr:cNvSpPr txBox="1">
            <a:spLocks/>
          </xdr:cNvSpPr>
        </xdr:nvSpPr>
        <xdr:spPr>
          <a:xfrm>
            <a:off x="17580680" y="1169090"/>
            <a:ext cx="476250" cy="318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Hx</a:t>
            </a:r>
            <a:endParaRPr kumimoji="1" lang="ja-JP" altLang="en-US" sz="1400"/>
          </a:p>
        </xdr:txBody>
      </xdr:sp>
      <xdr:sp macro="" textlink="">
        <xdr:nvSpPr>
          <xdr:cNvPr id="189" name="Line 57">
            <a:extLst>
              <a:ext uri="{FF2B5EF4-FFF2-40B4-BE49-F238E27FC236}">
                <a16:creationId xmlns:a16="http://schemas.microsoft.com/office/drawing/2014/main" id="{083C89CB-D5A8-6768-3F3C-B2A6DEFB7C60}"/>
              </a:ext>
            </a:extLst>
          </xdr:cNvPr>
          <xdr:cNvSpPr>
            <a:spLocks noChangeShapeType="1"/>
          </xdr:cNvSpPr>
        </xdr:nvSpPr>
        <xdr:spPr bwMode="auto">
          <a:xfrm>
            <a:off x="17309729" y="2678220"/>
            <a:ext cx="0" cy="287608"/>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190" name="Line 29">
            <a:extLst>
              <a:ext uri="{FF2B5EF4-FFF2-40B4-BE49-F238E27FC236}">
                <a16:creationId xmlns:a16="http://schemas.microsoft.com/office/drawing/2014/main" id="{35787392-0334-4B69-D970-5C532A85FED8}"/>
              </a:ext>
            </a:extLst>
          </xdr:cNvPr>
          <xdr:cNvSpPr>
            <a:spLocks noChangeShapeType="1"/>
          </xdr:cNvSpPr>
        </xdr:nvSpPr>
        <xdr:spPr bwMode="auto">
          <a:xfrm>
            <a:off x="18374970" y="1505111"/>
            <a:ext cx="0" cy="1041928"/>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2</xdr:row>
      <xdr:rowOff>19050</xdr:rowOff>
    </xdr:from>
    <xdr:to>
      <xdr:col>43</xdr:col>
      <xdr:colOff>9525</xdr:colOff>
      <xdr:row>4</xdr:row>
      <xdr:rowOff>0</xdr:rowOff>
    </xdr:to>
    <xdr:sp macro="" textlink="">
      <xdr:nvSpPr>
        <xdr:cNvPr id="191" name="AutoShape 7">
          <a:extLst>
            <a:ext uri="{FF2B5EF4-FFF2-40B4-BE49-F238E27FC236}">
              <a16:creationId xmlns:a16="http://schemas.microsoft.com/office/drawing/2014/main" id="{8A3DF8A0-9492-4FCB-B670-83C0D1B4CF08}"/>
            </a:ext>
          </a:extLst>
        </xdr:cNvPr>
        <xdr:cNvSpPr>
          <a:spLocks noChangeArrowheads="1"/>
        </xdr:cNvSpPr>
      </xdr:nvSpPr>
      <xdr:spPr bwMode="auto">
        <a:xfrm>
          <a:off x="26422350" y="504825"/>
          <a:ext cx="695325"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19050</xdr:colOff>
      <xdr:row>29</xdr:row>
      <xdr:rowOff>9525</xdr:rowOff>
    </xdr:from>
    <xdr:to>
      <xdr:col>42</xdr:col>
      <xdr:colOff>600075</xdr:colOff>
      <xdr:row>30</xdr:row>
      <xdr:rowOff>200025</xdr:rowOff>
    </xdr:to>
    <xdr:sp macro="" textlink="">
      <xdr:nvSpPr>
        <xdr:cNvPr id="193" name="AutoShape 13">
          <a:extLst>
            <a:ext uri="{FF2B5EF4-FFF2-40B4-BE49-F238E27FC236}">
              <a16:creationId xmlns:a16="http://schemas.microsoft.com/office/drawing/2014/main" id="{BFAF8744-1B13-410F-8387-78F2EDC7690D}"/>
            </a:ext>
          </a:extLst>
        </xdr:cNvPr>
        <xdr:cNvSpPr>
          <a:spLocks noChangeArrowheads="1"/>
        </xdr:cNvSpPr>
      </xdr:nvSpPr>
      <xdr:spPr bwMode="auto">
        <a:xfrm>
          <a:off x="26441400" y="6924675"/>
          <a:ext cx="581025" cy="4286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19050</xdr:colOff>
      <xdr:row>31</xdr:row>
      <xdr:rowOff>19050</xdr:rowOff>
    </xdr:from>
    <xdr:to>
      <xdr:col>43</xdr:col>
      <xdr:colOff>590550</xdr:colOff>
      <xdr:row>32</xdr:row>
      <xdr:rowOff>180975</xdr:rowOff>
    </xdr:to>
    <xdr:sp macro="" textlink="">
      <xdr:nvSpPr>
        <xdr:cNvPr id="195" name="AutoShape 15">
          <a:extLst>
            <a:ext uri="{FF2B5EF4-FFF2-40B4-BE49-F238E27FC236}">
              <a16:creationId xmlns:a16="http://schemas.microsoft.com/office/drawing/2014/main" id="{4BE33355-C28A-4A2E-8DE4-78C04ECB430D}"/>
            </a:ext>
          </a:extLst>
        </xdr:cNvPr>
        <xdr:cNvSpPr>
          <a:spLocks noChangeArrowheads="1"/>
        </xdr:cNvSpPr>
      </xdr:nvSpPr>
      <xdr:spPr bwMode="auto">
        <a:xfrm>
          <a:off x="27127200" y="7410450"/>
          <a:ext cx="571500"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465367</xdr:colOff>
      <xdr:row>24</xdr:row>
      <xdr:rowOff>19050</xdr:rowOff>
    </xdr:from>
    <xdr:to>
      <xdr:col>43</xdr:col>
      <xdr:colOff>417286</xdr:colOff>
      <xdr:row>24</xdr:row>
      <xdr:rowOff>219075</xdr:rowOff>
    </xdr:to>
    <xdr:grpSp>
      <xdr:nvGrpSpPr>
        <xdr:cNvPr id="199" name="グループ化 198">
          <a:extLst>
            <a:ext uri="{FF2B5EF4-FFF2-40B4-BE49-F238E27FC236}">
              <a16:creationId xmlns:a16="http://schemas.microsoft.com/office/drawing/2014/main" id="{CF81DEC4-37FE-4A90-89D2-103814EC4441}"/>
            </a:ext>
          </a:extLst>
        </xdr:cNvPr>
        <xdr:cNvGrpSpPr/>
      </xdr:nvGrpSpPr>
      <xdr:grpSpPr>
        <a:xfrm>
          <a:off x="26944867" y="5749925"/>
          <a:ext cx="634544" cy="200025"/>
          <a:chOff x="17848489" y="10591800"/>
          <a:chExt cx="1054554" cy="200025"/>
        </a:xfrm>
      </xdr:grpSpPr>
      <xdr:sp macro="" textlink="">
        <xdr:nvSpPr>
          <xdr:cNvPr id="200" name="Line 3">
            <a:extLst>
              <a:ext uri="{FF2B5EF4-FFF2-40B4-BE49-F238E27FC236}">
                <a16:creationId xmlns:a16="http://schemas.microsoft.com/office/drawing/2014/main" id="{BA212C18-8D22-5275-20CA-C1DA84FC2484}"/>
              </a:ext>
            </a:extLst>
          </xdr:cNvPr>
          <xdr:cNvSpPr>
            <a:spLocks noChangeShapeType="1"/>
          </xdr:cNvSpPr>
        </xdr:nvSpPr>
        <xdr:spPr bwMode="auto">
          <a:xfrm flipV="1">
            <a:off x="17848489" y="10677525"/>
            <a:ext cx="3810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1" name="Line 4">
            <a:extLst>
              <a:ext uri="{FF2B5EF4-FFF2-40B4-BE49-F238E27FC236}">
                <a16:creationId xmlns:a16="http://schemas.microsoft.com/office/drawing/2014/main" id="{7513AD9A-6E23-2AEE-EB53-171072D81FDE}"/>
              </a:ext>
            </a:extLst>
          </xdr:cNvPr>
          <xdr:cNvSpPr>
            <a:spLocks noChangeShapeType="1"/>
          </xdr:cNvSpPr>
        </xdr:nvSpPr>
        <xdr:spPr bwMode="auto">
          <a:xfrm>
            <a:off x="17886589" y="10668000"/>
            <a:ext cx="952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2" name="Line 5">
            <a:extLst>
              <a:ext uri="{FF2B5EF4-FFF2-40B4-BE49-F238E27FC236}">
                <a16:creationId xmlns:a16="http://schemas.microsoft.com/office/drawing/2014/main" id="{921B2D7A-A891-C5DA-5C5C-312BB6AB20D4}"/>
              </a:ext>
            </a:extLst>
          </xdr:cNvPr>
          <xdr:cNvSpPr>
            <a:spLocks noChangeShapeType="1"/>
          </xdr:cNvSpPr>
        </xdr:nvSpPr>
        <xdr:spPr bwMode="auto">
          <a:xfrm flipV="1">
            <a:off x="17981839" y="10591800"/>
            <a:ext cx="17009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3" name="Line 6">
            <a:extLst>
              <a:ext uri="{FF2B5EF4-FFF2-40B4-BE49-F238E27FC236}">
                <a16:creationId xmlns:a16="http://schemas.microsoft.com/office/drawing/2014/main" id="{22D02E62-CB2B-FD1D-9545-10B94D6DEC5D}"/>
              </a:ext>
            </a:extLst>
          </xdr:cNvPr>
          <xdr:cNvSpPr>
            <a:spLocks noChangeShapeType="1"/>
          </xdr:cNvSpPr>
        </xdr:nvSpPr>
        <xdr:spPr bwMode="auto">
          <a:xfrm>
            <a:off x="18151929" y="10591800"/>
            <a:ext cx="7511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54</xdr:col>
      <xdr:colOff>9525</xdr:colOff>
      <xdr:row>26</xdr:row>
      <xdr:rowOff>19050</xdr:rowOff>
    </xdr:from>
    <xdr:to>
      <xdr:col>55</xdr:col>
      <xdr:colOff>247650</xdr:colOff>
      <xdr:row>27</xdr:row>
      <xdr:rowOff>171450</xdr:rowOff>
    </xdr:to>
    <xdr:sp macro="" textlink="">
      <xdr:nvSpPr>
        <xdr:cNvPr id="205" name="AutoShape 20">
          <a:extLst>
            <a:ext uri="{FF2B5EF4-FFF2-40B4-BE49-F238E27FC236}">
              <a16:creationId xmlns:a16="http://schemas.microsoft.com/office/drawing/2014/main" id="{17736E99-4271-4F6F-92CC-FE18DB4BE862}"/>
            </a:ext>
          </a:extLst>
        </xdr:cNvPr>
        <xdr:cNvSpPr>
          <a:spLocks noChangeArrowheads="1"/>
        </xdr:cNvSpPr>
      </xdr:nvSpPr>
      <xdr:spPr bwMode="auto">
        <a:xfrm>
          <a:off x="34147125" y="6219825"/>
          <a:ext cx="923925"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54</xdr:col>
      <xdr:colOff>19050</xdr:colOff>
      <xdr:row>28</xdr:row>
      <xdr:rowOff>28575</xdr:rowOff>
    </xdr:from>
    <xdr:to>
      <xdr:col>55</xdr:col>
      <xdr:colOff>438150</xdr:colOff>
      <xdr:row>29</xdr:row>
      <xdr:rowOff>180975</xdr:rowOff>
    </xdr:to>
    <xdr:sp macro="" textlink="">
      <xdr:nvSpPr>
        <xdr:cNvPr id="206" name="AutoShape 21">
          <a:extLst>
            <a:ext uri="{FF2B5EF4-FFF2-40B4-BE49-F238E27FC236}">
              <a16:creationId xmlns:a16="http://schemas.microsoft.com/office/drawing/2014/main" id="{103BD692-1F72-4B60-AE87-10573DC5E503}"/>
            </a:ext>
          </a:extLst>
        </xdr:cNvPr>
        <xdr:cNvSpPr>
          <a:spLocks noChangeArrowheads="1"/>
        </xdr:cNvSpPr>
      </xdr:nvSpPr>
      <xdr:spPr bwMode="auto">
        <a:xfrm>
          <a:off x="34156650" y="6705600"/>
          <a:ext cx="1104900"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absolute">
    <xdr:from>
      <xdr:col>35</xdr:col>
      <xdr:colOff>96246</xdr:colOff>
      <xdr:row>10</xdr:row>
      <xdr:rowOff>203136</xdr:rowOff>
    </xdr:from>
    <xdr:to>
      <xdr:col>36</xdr:col>
      <xdr:colOff>433128</xdr:colOff>
      <xdr:row>12</xdr:row>
      <xdr:rowOff>39748</xdr:rowOff>
    </xdr:to>
    <xdr:sp macro="" textlink="">
      <xdr:nvSpPr>
        <xdr:cNvPr id="209" name="テキスト ボックス 208">
          <a:extLst>
            <a:ext uri="{FF2B5EF4-FFF2-40B4-BE49-F238E27FC236}">
              <a16:creationId xmlns:a16="http://schemas.microsoft.com/office/drawing/2014/main" id="{2EE678F6-5C73-4F9C-A018-194C8BEC724E}"/>
            </a:ext>
          </a:extLst>
        </xdr:cNvPr>
        <xdr:cNvSpPr txBox="1">
          <a:spLocks/>
        </xdr:cNvSpPr>
      </xdr:nvSpPr>
      <xdr:spPr>
        <a:xfrm>
          <a:off x="22527621" y="2593911"/>
          <a:ext cx="848057" cy="3128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Df'= </a:t>
          </a:r>
          <a:endParaRPr kumimoji="1" lang="ja-JP" altLang="en-US" sz="1400"/>
        </a:p>
      </xdr:txBody>
    </xdr:sp>
    <xdr:clientData/>
  </xdr:twoCellAnchor>
  <xdr:twoCellAnchor editAs="absolute">
    <xdr:from>
      <xdr:col>35</xdr:col>
      <xdr:colOff>147746</xdr:colOff>
      <xdr:row>10</xdr:row>
      <xdr:rowOff>223344</xdr:rowOff>
    </xdr:from>
    <xdr:to>
      <xdr:col>35</xdr:col>
      <xdr:colOff>147746</xdr:colOff>
      <xdr:row>12</xdr:row>
      <xdr:rowOff>101805</xdr:rowOff>
    </xdr:to>
    <xdr:sp macro="" textlink="">
      <xdr:nvSpPr>
        <xdr:cNvPr id="210" name="Line 41">
          <a:extLst>
            <a:ext uri="{FF2B5EF4-FFF2-40B4-BE49-F238E27FC236}">
              <a16:creationId xmlns:a16="http://schemas.microsoft.com/office/drawing/2014/main" id="{9D65C995-F951-40FA-BCDB-95631E1F1C86}"/>
            </a:ext>
          </a:extLst>
        </xdr:cNvPr>
        <xdr:cNvSpPr>
          <a:spLocks noChangeShapeType="1"/>
        </xdr:cNvSpPr>
      </xdr:nvSpPr>
      <xdr:spPr bwMode="auto">
        <a:xfrm>
          <a:off x="22579121" y="2614119"/>
          <a:ext cx="0" cy="354711"/>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25</xdr:col>
      <xdr:colOff>420415</xdr:colOff>
      <xdr:row>10</xdr:row>
      <xdr:rowOff>220248</xdr:rowOff>
    </xdr:from>
    <xdr:to>
      <xdr:col>37</xdr:col>
      <xdr:colOff>306004</xdr:colOff>
      <xdr:row>10</xdr:row>
      <xdr:rowOff>220248</xdr:rowOff>
    </xdr:to>
    <xdr:sp macro="" textlink="">
      <xdr:nvSpPr>
        <xdr:cNvPr id="211" name="Line 39">
          <a:extLst>
            <a:ext uri="{FF2B5EF4-FFF2-40B4-BE49-F238E27FC236}">
              <a16:creationId xmlns:a16="http://schemas.microsoft.com/office/drawing/2014/main" id="{524B7A6A-65AA-4A29-A394-D27CC30326AB}"/>
            </a:ext>
          </a:extLst>
        </xdr:cNvPr>
        <xdr:cNvSpPr>
          <a:spLocks noChangeShapeType="1"/>
        </xdr:cNvSpPr>
      </xdr:nvSpPr>
      <xdr:spPr bwMode="auto">
        <a:xfrm>
          <a:off x="16755790" y="2611023"/>
          <a:ext cx="7092839"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36</xdr:col>
      <xdr:colOff>497251</xdr:colOff>
      <xdr:row>9</xdr:row>
      <xdr:rowOff>222886</xdr:rowOff>
    </xdr:from>
    <xdr:to>
      <xdr:col>37</xdr:col>
      <xdr:colOff>376981</xdr:colOff>
      <xdr:row>11</xdr:row>
      <xdr:rowOff>63571</xdr:rowOff>
    </xdr:to>
    <xdr:sp macro="" textlink="">
      <xdr:nvSpPr>
        <xdr:cNvPr id="212" name="テキスト ボックス 211">
          <a:extLst>
            <a:ext uri="{FF2B5EF4-FFF2-40B4-BE49-F238E27FC236}">
              <a16:creationId xmlns:a16="http://schemas.microsoft.com/office/drawing/2014/main" id="{9B27F23A-78E4-4A3A-8E9E-7148AED03723}"/>
            </a:ext>
          </a:extLst>
        </xdr:cNvPr>
        <xdr:cNvSpPr txBox="1">
          <a:spLocks/>
        </xdr:cNvSpPr>
      </xdr:nvSpPr>
      <xdr:spPr>
        <a:xfrm>
          <a:off x="23439801" y="2375536"/>
          <a:ext cx="479805" cy="316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lientData/>
  </xdr:twoCellAnchor>
  <xdr:twoCellAnchor editAs="absolute">
    <xdr:from>
      <xdr:col>36</xdr:col>
      <xdr:colOff>327770</xdr:colOff>
      <xdr:row>9</xdr:row>
      <xdr:rowOff>197923</xdr:rowOff>
    </xdr:from>
    <xdr:to>
      <xdr:col>37</xdr:col>
      <xdr:colOff>207500</xdr:colOff>
      <xdr:row>11</xdr:row>
      <xdr:rowOff>38608</xdr:rowOff>
    </xdr:to>
    <xdr:sp macro="" textlink="">
      <xdr:nvSpPr>
        <xdr:cNvPr id="213" name="テキスト ボックス 212">
          <a:extLst>
            <a:ext uri="{FF2B5EF4-FFF2-40B4-BE49-F238E27FC236}">
              <a16:creationId xmlns:a16="http://schemas.microsoft.com/office/drawing/2014/main" id="{2580DCA1-5970-43E4-B8FA-8FB1D316F4FD}"/>
            </a:ext>
          </a:extLst>
        </xdr:cNvPr>
        <xdr:cNvSpPr txBox="1">
          <a:spLocks/>
        </xdr:cNvSpPr>
      </xdr:nvSpPr>
      <xdr:spPr>
        <a:xfrm>
          <a:off x="23270320" y="2350573"/>
          <a:ext cx="479805" cy="316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a:t>
          </a:r>
        </a:p>
      </xdr:txBody>
    </xdr:sp>
    <xdr:clientData/>
  </xdr:twoCellAnchor>
  <xdr:twoCellAnchor>
    <xdr:from>
      <xdr:col>31</xdr:col>
      <xdr:colOff>123165</xdr:colOff>
      <xdr:row>10</xdr:row>
      <xdr:rowOff>224557</xdr:rowOff>
    </xdr:from>
    <xdr:to>
      <xdr:col>31</xdr:col>
      <xdr:colOff>194827</xdr:colOff>
      <xdr:row>11</xdr:row>
      <xdr:rowOff>46326</xdr:rowOff>
    </xdr:to>
    <xdr:cxnSp macro="">
      <xdr:nvCxnSpPr>
        <xdr:cNvPr id="214" name="直線コネクタ 213">
          <a:extLst>
            <a:ext uri="{FF2B5EF4-FFF2-40B4-BE49-F238E27FC236}">
              <a16:creationId xmlns:a16="http://schemas.microsoft.com/office/drawing/2014/main" id="{20D07AEA-CD9E-4D57-8C64-44AEC6DE92B8}"/>
            </a:ext>
          </a:extLst>
        </xdr:cNvPr>
        <xdr:cNvCxnSpPr/>
      </xdr:nvCxnSpPr>
      <xdr:spPr>
        <a:xfrm>
          <a:off x="20058990" y="2615332"/>
          <a:ext cx="71662"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310590</xdr:colOff>
      <xdr:row>10</xdr:row>
      <xdr:rowOff>224553</xdr:rowOff>
    </xdr:from>
    <xdr:to>
      <xdr:col>31</xdr:col>
      <xdr:colOff>388519</xdr:colOff>
      <xdr:row>11</xdr:row>
      <xdr:rowOff>46322</xdr:rowOff>
    </xdr:to>
    <xdr:cxnSp macro="">
      <xdr:nvCxnSpPr>
        <xdr:cNvPr id="215" name="直線コネクタ 214">
          <a:extLst>
            <a:ext uri="{FF2B5EF4-FFF2-40B4-BE49-F238E27FC236}">
              <a16:creationId xmlns:a16="http://schemas.microsoft.com/office/drawing/2014/main" id="{8F1332E9-420B-4547-8C5F-D269E1190ABD}"/>
            </a:ext>
          </a:extLst>
        </xdr:cNvPr>
        <xdr:cNvCxnSpPr/>
      </xdr:nvCxnSpPr>
      <xdr:spPr>
        <a:xfrm>
          <a:off x="20246415" y="2615328"/>
          <a:ext cx="77929"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498769</xdr:colOff>
      <xdr:row>10</xdr:row>
      <xdr:rowOff>224553</xdr:rowOff>
    </xdr:from>
    <xdr:to>
      <xdr:col>31</xdr:col>
      <xdr:colOff>570431</xdr:colOff>
      <xdr:row>11</xdr:row>
      <xdr:rowOff>46322</xdr:rowOff>
    </xdr:to>
    <xdr:cxnSp macro="">
      <xdr:nvCxnSpPr>
        <xdr:cNvPr id="216" name="直線コネクタ 215">
          <a:extLst>
            <a:ext uri="{FF2B5EF4-FFF2-40B4-BE49-F238E27FC236}">
              <a16:creationId xmlns:a16="http://schemas.microsoft.com/office/drawing/2014/main" id="{29E615EC-0AA4-49A1-8EBC-46FC65B7F6BF}"/>
            </a:ext>
          </a:extLst>
        </xdr:cNvPr>
        <xdr:cNvCxnSpPr/>
      </xdr:nvCxnSpPr>
      <xdr:spPr>
        <a:xfrm>
          <a:off x="20434594" y="2615328"/>
          <a:ext cx="71662"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194823</xdr:colOff>
      <xdr:row>10</xdr:row>
      <xdr:rowOff>226959</xdr:rowOff>
    </xdr:from>
    <xdr:to>
      <xdr:col>31</xdr:col>
      <xdr:colOff>227903</xdr:colOff>
      <xdr:row>11</xdr:row>
      <xdr:rowOff>15132</xdr:rowOff>
    </xdr:to>
    <xdr:cxnSp macro="">
      <xdr:nvCxnSpPr>
        <xdr:cNvPr id="217" name="直線コネクタ 216">
          <a:extLst>
            <a:ext uri="{FF2B5EF4-FFF2-40B4-BE49-F238E27FC236}">
              <a16:creationId xmlns:a16="http://schemas.microsoft.com/office/drawing/2014/main" id="{781F3421-5ED2-4235-9943-F1DDBD9ED99A}"/>
            </a:ext>
          </a:extLst>
        </xdr:cNvPr>
        <xdr:cNvCxnSpPr/>
      </xdr:nvCxnSpPr>
      <xdr:spPr>
        <a:xfrm>
          <a:off x="20130648" y="2617734"/>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564918</xdr:colOff>
      <xdr:row>10</xdr:row>
      <xdr:rowOff>226962</xdr:rowOff>
    </xdr:from>
    <xdr:to>
      <xdr:col>31</xdr:col>
      <xdr:colOff>597998</xdr:colOff>
      <xdr:row>11</xdr:row>
      <xdr:rowOff>15135</xdr:rowOff>
    </xdr:to>
    <xdr:cxnSp macro="">
      <xdr:nvCxnSpPr>
        <xdr:cNvPr id="218" name="直線コネクタ 217">
          <a:extLst>
            <a:ext uri="{FF2B5EF4-FFF2-40B4-BE49-F238E27FC236}">
              <a16:creationId xmlns:a16="http://schemas.microsoft.com/office/drawing/2014/main" id="{5E8E8E27-26E8-4B54-8901-E5F6DD0DBD42}"/>
            </a:ext>
          </a:extLst>
        </xdr:cNvPr>
        <xdr:cNvCxnSpPr/>
      </xdr:nvCxnSpPr>
      <xdr:spPr>
        <a:xfrm>
          <a:off x="20500743" y="2617737"/>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385758</xdr:colOff>
      <xdr:row>10</xdr:row>
      <xdr:rowOff>226957</xdr:rowOff>
    </xdr:from>
    <xdr:to>
      <xdr:col>31</xdr:col>
      <xdr:colOff>418838</xdr:colOff>
      <xdr:row>11</xdr:row>
      <xdr:rowOff>15130</xdr:rowOff>
    </xdr:to>
    <xdr:cxnSp macro="">
      <xdr:nvCxnSpPr>
        <xdr:cNvPr id="219" name="直線コネクタ 218">
          <a:extLst>
            <a:ext uri="{FF2B5EF4-FFF2-40B4-BE49-F238E27FC236}">
              <a16:creationId xmlns:a16="http://schemas.microsoft.com/office/drawing/2014/main" id="{533B1B9E-F8D8-4E91-A9CE-DC24AB1FB3D8}"/>
            </a:ext>
          </a:extLst>
        </xdr:cNvPr>
        <xdr:cNvCxnSpPr/>
      </xdr:nvCxnSpPr>
      <xdr:spPr>
        <a:xfrm>
          <a:off x="20321583" y="2617732"/>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252707</xdr:colOff>
      <xdr:row>10</xdr:row>
      <xdr:rowOff>226961</xdr:rowOff>
    </xdr:from>
    <xdr:to>
      <xdr:col>31</xdr:col>
      <xdr:colOff>352687</xdr:colOff>
      <xdr:row>11</xdr:row>
      <xdr:rowOff>68664</xdr:rowOff>
    </xdr:to>
    <xdr:cxnSp macro="">
      <xdr:nvCxnSpPr>
        <xdr:cNvPr id="220" name="直線コネクタ 219">
          <a:extLst>
            <a:ext uri="{FF2B5EF4-FFF2-40B4-BE49-F238E27FC236}">
              <a16:creationId xmlns:a16="http://schemas.microsoft.com/office/drawing/2014/main" id="{D309E20D-7323-40D8-B2A9-0DF7DDF57D2D}"/>
            </a:ext>
          </a:extLst>
        </xdr:cNvPr>
        <xdr:cNvCxnSpPr/>
      </xdr:nvCxnSpPr>
      <xdr:spPr>
        <a:xfrm>
          <a:off x="20188532" y="2617736"/>
          <a:ext cx="99980" cy="798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435375</xdr:colOff>
      <xdr:row>10</xdr:row>
      <xdr:rowOff>226961</xdr:rowOff>
    </xdr:from>
    <xdr:to>
      <xdr:col>31</xdr:col>
      <xdr:colOff>529088</xdr:colOff>
      <xdr:row>11</xdr:row>
      <xdr:rowOff>68664</xdr:rowOff>
    </xdr:to>
    <xdr:cxnSp macro="">
      <xdr:nvCxnSpPr>
        <xdr:cNvPr id="221" name="直線コネクタ 220">
          <a:extLst>
            <a:ext uri="{FF2B5EF4-FFF2-40B4-BE49-F238E27FC236}">
              <a16:creationId xmlns:a16="http://schemas.microsoft.com/office/drawing/2014/main" id="{D8B515D5-D72B-42E3-AE5F-C8E8E8FC193B}"/>
            </a:ext>
          </a:extLst>
        </xdr:cNvPr>
        <xdr:cNvCxnSpPr/>
      </xdr:nvCxnSpPr>
      <xdr:spPr>
        <a:xfrm>
          <a:off x="20371200" y="2617736"/>
          <a:ext cx="93713" cy="798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164509</xdr:colOff>
      <xdr:row>10</xdr:row>
      <xdr:rowOff>231755</xdr:rowOff>
    </xdr:from>
    <xdr:to>
      <xdr:col>31</xdr:col>
      <xdr:colOff>252709</xdr:colOff>
      <xdr:row>11</xdr:row>
      <xdr:rowOff>68658</xdr:rowOff>
    </xdr:to>
    <xdr:cxnSp macro="">
      <xdr:nvCxnSpPr>
        <xdr:cNvPr id="222" name="直線コネクタ 221">
          <a:extLst>
            <a:ext uri="{FF2B5EF4-FFF2-40B4-BE49-F238E27FC236}">
              <a16:creationId xmlns:a16="http://schemas.microsoft.com/office/drawing/2014/main" id="{48CF8542-A7D5-4F98-8676-E6AA72580E19}"/>
            </a:ext>
          </a:extLst>
        </xdr:cNvPr>
        <xdr:cNvCxnSpPr/>
      </xdr:nvCxnSpPr>
      <xdr:spPr>
        <a:xfrm flipH="1">
          <a:off x="20100334" y="2622530"/>
          <a:ext cx="88200" cy="750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355444</xdr:colOff>
      <xdr:row>10</xdr:row>
      <xdr:rowOff>234159</xdr:rowOff>
    </xdr:from>
    <xdr:to>
      <xdr:col>31</xdr:col>
      <xdr:colOff>443644</xdr:colOff>
      <xdr:row>11</xdr:row>
      <xdr:rowOff>71062</xdr:rowOff>
    </xdr:to>
    <xdr:cxnSp macro="">
      <xdr:nvCxnSpPr>
        <xdr:cNvPr id="223" name="直線コネクタ 222">
          <a:extLst>
            <a:ext uri="{FF2B5EF4-FFF2-40B4-BE49-F238E27FC236}">
              <a16:creationId xmlns:a16="http://schemas.microsoft.com/office/drawing/2014/main" id="{68D65B6A-5920-4C15-8F24-F08E7A9712AB}"/>
            </a:ext>
          </a:extLst>
        </xdr:cNvPr>
        <xdr:cNvCxnSpPr/>
      </xdr:nvCxnSpPr>
      <xdr:spPr>
        <a:xfrm flipH="1">
          <a:off x="20291269" y="2624934"/>
          <a:ext cx="88200" cy="750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230659</xdr:colOff>
      <xdr:row>11</xdr:row>
      <xdr:rowOff>15121</xdr:rowOff>
    </xdr:from>
    <xdr:to>
      <xdr:col>31</xdr:col>
      <xdr:colOff>288539</xdr:colOff>
      <xdr:row>11</xdr:row>
      <xdr:rowOff>66254</xdr:rowOff>
    </xdr:to>
    <xdr:cxnSp macro="">
      <xdr:nvCxnSpPr>
        <xdr:cNvPr id="224" name="直線コネクタ 223">
          <a:extLst>
            <a:ext uri="{FF2B5EF4-FFF2-40B4-BE49-F238E27FC236}">
              <a16:creationId xmlns:a16="http://schemas.microsoft.com/office/drawing/2014/main" id="{5AA859F5-F0B7-4C03-AC40-DCDA2D2F05F8}"/>
            </a:ext>
          </a:extLst>
        </xdr:cNvPr>
        <xdr:cNvCxnSpPr/>
      </xdr:nvCxnSpPr>
      <xdr:spPr>
        <a:xfrm flipH="1">
          <a:off x="20166484" y="2644021"/>
          <a:ext cx="57880" cy="5113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296809</xdr:colOff>
      <xdr:row>11</xdr:row>
      <xdr:rowOff>43922</xdr:rowOff>
    </xdr:from>
    <xdr:to>
      <xdr:col>31</xdr:col>
      <xdr:colOff>321610</xdr:colOff>
      <xdr:row>11</xdr:row>
      <xdr:rowOff>66251</xdr:rowOff>
    </xdr:to>
    <xdr:cxnSp macro="">
      <xdr:nvCxnSpPr>
        <xdr:cNvPr id="225" name="直線コネクタ 224">
          <a:extLst>
            <a:ext uri="{FF2B5EF4-FFF2-40B4-BE49-F238E27FC236}">
              <a16:creationId xmlns:a16="http://schemas.microsoft.com/office/drawing/2014/main" id="{AF40143F-6112-4CCE-B8B3-449205AC5725}"/>
            </a:ext>
          </a:extLst>
        </xdr:cNvPr>
        <xdr:cNvCxnSpPr/>
      </xdr:nvCxnSpPr>
      <xdr:spPr>
        <a:xfrm flipH="1">
          <a:off x="20232634" y="2672822"/>
          <a:ext cx="24801" cy="22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290615</xdr:colOff>
      <xdr:row>10</xdr:row>
      <xdr:rowOff>226565</xdr:rowOff>
    </xdr:from>
    <xdr:to>
      <xdr:col>36</xdr:col>
      <xdr:colOff>362277</xdr:colOff>
      <xdr:row>11</xdr:row>
      <xdr:rowOff>48334</xdr:rowOff>
    </xdr:to>
    <xdr:cxnSp macro="">
      <xdr:nvCxnSpPr>
        <xdr:cNvPr id="226" name="直線コネクタ 225">
          <a:extLst>
            <a:ext uri="{FF2B5EF4-FFF2-40B4-BE49-F238E27FC236}">
              <a16:creationId xmlns:a16="http://schemas.microsoft.com/office/drawing/2014/main" id="{C95A7169-B327-4EF8-9C30-566155A74F6B}"/>
            </a:ext>
          </a:extLst>
        </xdr:cNvPr>
        <xdr:cNvCxnSpPr/>
      </xdr:nvCxnSpPr>
      <xdr:spPr>
        <a:xfrm>
          <a:off x="23217290" y="2617340"/>
          <a:ext cx="71662"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478040</xdr:colOff>
      <xdr:row>10</xdr:row>
      <xdr:rowOff>226561</xdr:rowOff>
    </xdr:from>
    <xdr:to>
      <xdr:col>36</xdr:col>
      <xdr:colOff>555969</xdr:colOff>
      <xdr:row>11</xdr:row>
      <xdr:rowOff>48330</xdr:rowOff>
    </xdr:to>
    <xdr:cxnSp macro="">
      <xdr:nvCxnSpPr>
        <xdr:cNvPr id="227" name="直線コネクタ 226">
          <a:extLst>
            <a:ext uri="{FF2B5EF4-FFF2-40B4-BE49-F238E27FC236}">
              <a16:creationId xmlns:a16="http://schemas.microsoft.com/office/drawing/2014/main" id="{3D1A7F96-AC44-4368-9DF7-E3D102DDB42C}"/>
            </a:ext>
          </a:extLst>
        </xdr:cNvPr>
        <xdr:cNvCxnSpPr/>
      </xdr:nvCxnSpPr>
      <xdr:spPr>
        <a:xfrm>
          <a:off x="23404715" y="2617336"/>
          <a:ext cx="77929"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64640</xdr:colOff>
      <xdr:row>10</xdr:row>
      <xdr:rowOff>226561</xdr:rowOff>
    </xdr:from>
    <xdr:to>
      <xdr:col>37</xdr:col>
      <xdr:colOff>136302</xdr:colOff>
      <xdr:row>11</xdr:row>
      <xdr:rowOff>48330</xdr:rowOff>
    </xdr:to>
    <xdr:cxnSp macro="">
      <xdr:nvCxnSpPr>
        <xdr:cNvPr id="228" name="直線コネクタ 227">
          <a:extLst>
            <a:ext uri="{FF2B5EF4-FFF2-40B4-BE49-F238E27FC236}">
              <a16:creationId xmlns:a16="http://schemas.microsoft.com/office/drawing/2014/main" id="{B953D940-800B-476E-9EAA-0ADFE8995403}"/>
            </a:ext>
          </a:extLst>
        </xdr:cNvPr>
        <xdr:cNvCxnSpPr/>
      </xdr:nvCxnSpPr>
      <xdr:spPr>
        <a:xfrm>
          <a:off x="23591390" y="2617336"/>
          <a:ext cx="71662"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362273</xdr:colOff>
      <xdr:row>10</xdr:row>
      <xdr:rowOff>228967</xdr:rowOff>
    </xdr:from>
    <xdr:to>
      <xdr:col>36</xdr:col>
      <xdr:colOff>395353</xdr:colOff>
      <xdr:row>11</xdr:row>
      <xdr:rowOff>17140</xdr:rowOff>
    </xdr:to>
    <xdr:cxnSp macro="">
      <xdr:nvCxnSpPr>
        <xdr:cNvPr id="229" name="直線コネクタ 228">
          <a:extLst>
            <a:ext uri="{FF2B5EF4-FFF2-40B4-BE49-F238E27FC236}">
              <a16:creationId xmlns:a16="http://schemas.microsoft.com/office/drawing/2014/main" id="{9644ABF0-0E3F-4C6D-A46D-6E547D27E3DD}"/>
            </a:ext>
          </a:extLst>
        </xdr:cNvPr>
        <xdr:cNvCxnSpPr/>
      </xdr:nvCxnSpPr>
      <xdr:spPr>
        <a:xfrm>
          <a:off x="23288948" y="2619742"/>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130789</xdr:colOff>
      <xdr:row>10</xdr:row>
      <xdr:rowOff>228970</xdr:rowOff>
    </xdr:from>
    <xdr:to>
      <xdr:col>37</xdr:col>
      <xdr:colOff>163869</xdr:colOff>
      <xdr:row>11</xdr:row>
      <xdr:rowOff>17143</xdr:rowOff>
    </xdr:to>
    <xdr:cxnSp macro="">
      <xdr:nvCxnSpPr>
        <xdr:cNvPr id="230" name="直線コネクタ 229">
          <a:extLst>
            <a:ext uri="{FF2B5EF4-FFF2-40B4-BE49-F238E27FC236}">
              <a16:creationId xmlns:a16="http://schemas.microsoft.com/office/drawing/2014/main" id="{E7F1A879-5B7E-4AB0-BE56-E41D71ADA37E}"/>
            </a:ext>
          </a:extLst>
        </xdr:cNvPr>
        <xdr:cNvCxnSpPr/>
      </xdr:nvCxnSpPr>
      <xdr:spPr>
        <a:xfrm>
          <a:off x="23657539" y="2619745"/>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553208</xdr:colOff>
      <xdr:row>10</xdr:row>
      <xdr:rowOff>228965</xdr:rowOff>
    </xdr:from>
    <xdr:to>
      <xdr:col>36</xdr:col>
      <xdr:colOff>586288</xdr:colOff>
      <xdr:row>11</xdr:row>
      <xdr:rowOff>17138</xdr:rowOff>
    </xdr:to>
    <xdr:cxnSp macro="">
      <xdr:nvCxnSpPr>
        <xdr:cNvPr id="231" name="直線コネクタ 230">
          <a:extLst>
            <a:ext uri="{FF2B5EF4-FFF2-40B4-BE49-F238E27FC236}">
              <a16:creationId xmlns:a16="http://schemas.microsoft.com/office/drawing/2014/main" id="{44D4A147-67FB-4D5B-A025-C50CFCC51840}"/>
            </a:ext>
          </a:extLst>
        </xdr:cNvPr>
        <xdr:cNvCxnSpPr/>
      </xdr:nvCxnSpPr>
      <xdr:spPr>
        <a:xfrm>
          <a:off x="23479883" y="2619740"/>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420157</xdr:colOff>
      <xdr:row>10</xdr:row>
      <xdr:rowOff>228969</xdr:rowOff>
    </xdr:from>
    <xdr:to>
      <xdr:col>36</xdr:col>
      <xdr:colOff>520137</xdr:colOff>
      <xdr:row>11</xdr:row>
      <xdr:rowOff>70672</xdr:rowOff>
    </xdr:to>
    <xdr:cxnSp macro="">
      <xdr:nvCxnSpPr>
        <xdr:cNvPr id="232" name="直線コネクタ 231">
          <a:extLst>
            <a:ext uri="{FF2B5EF4-FFF2-40B4-BE49-F238E27FC236}">
              <a16:creationId xmlns:a16="http://schemas.microsoft.com/office/drawing/2014/main" id="{8DF1DDB8-63F0-455F-86C0-D46C08D88B26}"/>
            </a:ext>
          </a:extLst>
        </xdr:cNvPr>
        <xdr:cNvCxnSpPr/>
      </xdr:nvCxnSpPr>
      <xdr:spPr>
        <a:xfrm>
          <a:off x="23346832" y="2619744"/>
          <a:ext cx="99980" cy="798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1246</xdr:colOff>
      <xdr:row>10</xdr:row>
      <xdr:rowOff>228969</xdr:rowOff>
    </xdr:from>
    <xdr:to>
      <xdr:col>37</xdr:col>
      <xdr:colOff>94959</xdr:colOff>
      <xdr:row>11</xdr:row>
      <xdr:rowOff>70672</xdr:rowOff>
    </xdr:to>
    <xdr:cxnSp macro="">
      <xdr:nvCxnSpPr>
        <xdr:cNvPr id="233" name="直線コネクタ 232">
          <a:extLst>
            <a:ext uri="{FF2B5EF4-FFF2-40B4-BE49-F238E27FC236}">
              <a16:creationId xmlns:a16="http://schemas.microsoft.com/office/drawing/2014/main" id="{80D0F609-A055-47F8-BEAF-5BBF2C8EC991}"/>
            </a:ext>
          </a:extLst>
        </xdr:cNvPr>
        <xdr:cNvCxnSpPr/>
      </xdr:nvCxnSpPr>
      <xdr:spPr>
        <a:xfrm>
          <a:off x="23527996" y="2619744"/>
          <a:ext cx="93713" cy="798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331959</xdr:colOff>
      <xdr:row>10</xdr:row>
      <xdr:rowOff>233763</xdr:rowOff>
    </xdr:from>
    <xdr:to>
      <xdr:col>36</xdr:col>
      <xdr:colOff>420159</xdr:colOff>
      <xdr:row>11</xdr:row>
      <xdr:rowOff>70666</xdr:rowOff>
    </xdr:to>
    <xdr:cxnSp macro="">
      <xdr:nvCxnSpPr>
        <xdr:cNvPr id="234" name="直線コネクタ 233">
          <a:extLst>
            <a:ext uri="{FF2B5EF4-FFF2-40B4-BE49-F238E27FC236}">
              <a16:creationId xmlns:a16="http://schemas.microsoft.com/office/drawing/2014/main" id="{1FB0DCF4-E235-48F4-BDB9-38D00D439C7F}"/>
            </a:ext>
          </a:extLst>
        </xdr:cNvPr>
        <xdr:cNvCxnSpPr/>
      </xdr:nvCxnSpPr>
      <xdr:spPr>
        <a:xfrm flipH="1">
          <a:off x="23258634" y="2624538"/>
          <a:ext cx="88200" cy="750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522894</xdr:colOff>
      <xdr:row>10</xdr:row>
      <xdr:rowOff>236167</xdr:rowOff>
    </xdr:from>
    <xdr:to>
      <xdr:col>37</xdr:col>
      <xdr:colOff>9515</xdr:colOff>
      <xdr:row>11</xdr:row>
      <xdr:rowOff>73070</xdr:rowOff>
    </xdr:to>
    <xdr:cxnSp macro="">
      <xdr:nvCxnSpPr>
        <xdr:cNvPr id="235" name="直線コネクタ 234">
          <a:extLst>
            <a:ext uri="{FF2B5EF4-FFF2-40B4-BE49-F238E27FC236}">
              <a16:creationId xmlns:a16="http://schemas.microsoft.com/office/drawing/2014/main" id="{847EDC3C-71F7-4891-B1AF-EBE01591ABA3}"/>
            </a:ext>
          </a:extLst>
        </xdr:cNvPr>
        <xdr:cNvCxnSpPr/>
      </xdr:nvCxnSpPr>
      <xdr:spPr>
        <a:xfrm flipH="1">
          <a:off x="23449569" y="2626942"/>
          <a:ext cx="86696" cy="750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398109</xdr:colOff>
      <xdr:row>11</xdr:row>
      <xdr:rowOff>17129</xdr:rowOff>
    </xdr:from>
    <xdr:to>
      <xdr:col>36</xdr:col>
      <xdr:colOff>455989</xdr:colOff>
      <xdr:row>11</xdr:row>
      <xdr:rowOff>68262</xdr:rowOff>
    </xdr:to>
    <xdr:cxnSp macro="">
      <xdr:nvCxnSpPr>
        <xdr:cNvPr id="236" name="直線コネクタ 235">
          <a:extLst>
            <a:ext uri="{FF2B5EF4-FFF2-40B4-BE49-F238E27FC236}">
              <a16:creationId xmlns:a16="http://schemas.microsoft.com/office/drawing/2014/main" id="{2A7657D1-6EE9-4BB8-9090-C25AAFB5F000}"/>
            </a:ext>
          </a:extLst>
        </xdr:cNvPr>
        <xdr:cNvCxnSpPr/>
      </xdr:nvCxnSpPr>
      <xdr:spPr>
        <a:xfrm flipH="1">
          <a:off x="23324784" y="2646029"/>
          <a:ext cx="57880" cy="5113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464259</xdr:colOff>
      <xdr:row>11</xdr:row>
      <xdr:rowOff>45930</xdr:rowOff>
    </xdr:from>
    <xdr:to>
      <xdr:col>36</xdr:col>
      <xdr:colOff>489060</xdr:colOff>
      <xdr:row>11</xdr:row>
      <xdr:rowOff>68259</xdr:rowOff>
    </xdr:to>
    <xdr:cxnSp macro="">
      <xdr:nvCxnSpPr>
        <xdr:cNvPr id="237" name="直線コネクタ 236">
          <a:extLst>
            <a:ext uri="{FF2B5EF4-FFF2-40B4-BE49-F238E27FC236}">
              <a16:creationId xmlns:a16="http://schemas.microsoft.com/office/drawing/2014/main" id="{A60D1D17-8FBA-4D89-B426-03D73DA35607}"/>
            </a:ext>
          </a:extLst>
        </xdr:cNvPr>
        <xdr:cNvCxnSpPr/>
      </xdr:nvCxnSpPr>
      <xdr:spPr>
        <a:xfrm flipH="1">
          <a:off x="23390934" y="2674830"/>
          <a:ext cx="24801" cy="22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428625</xdr:colOff>
      <xdr:row>3</xdr:row>
      <xdr:rowOff>38100</xdr:rowOff>
    </xdr:from>
    <xdr:to>
      <xdr:col>95</xdr:col>
      <xdr:colOff>123824</xdr:colOff>
      <xdr:row>4</xdr:row>
      <xdr:rowOff>190500</xdr:rowOff>
    </xdr:to>
    <xdr:sp macro="" textlink="">
      <xdr:nvSpPr>
        <xdr:cNvPr id="197" name="AutoShape 20">
          <a:extLst>
            <a:ext uri="{FF2B5EF4-FFF2-40B4-BE49-F238E27FC236}">
              <a16:creationId xmlns:a16="http://schemas.microsoft.com/office/drawing/2014/main" id="{BE1482F2-ED43-47E9-8582-751D029F8B84}"/>
            </a:ext>
          </a:extLst>
        </xdr:cNvPr>
        <xdr:cNvSpPr>
          <a:spLocks noChangeArrowheads="1"/>
        </xdr:cNvSpPr>
      </xdr:nvSpPr>
      <xdr:spPr bwMode="auto">
        <a:xfrm>
          <a:off x="59512200" y="762000"/>
          <a:ext cx="1066799"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93</xdr:col>
      <xdr:colOff>671079</xdr:colOff>
      <xdr:row>6</xdr:row>
      <xdr:rowOff>20781</xdr:rowOff>
    </xdr:from>
    <xdr:to>
      <xdr:col>98</xdr:col>
      <xdr:colOff>173180</xdr:colOff>
      <xdr:row>7</xdr:row>
      <xdr:rowOff>190500</xdr:rowOff>
    </xdr:to>
    <xdr:sp macro="" textlink="">
      <xdr:nvSpPr>
        <xdr:cNvPr id="204" name="AutoShape 20">
          <a:extLst>
            <a:ext uri="{FF2B5EF4-FFF2-40B4-BE49-F238E27FC236}">
              <a16:creationId xmlns:a16="http://schemas.microsoft.com/office/drawing/2014/main" id="{BCDC67D0-EEE5-E020-706B-407898AE20F7}"/>
            </a:ext>
          </a:extLst>
        </xdr:cNvPr>
        <xdr:cNvSpPr>
          <a:spLocks noChangeArrowheads="1"/>
        </xdr:cNvSpPr>
      </xdr:nvSpPr>
      <xdr:spPr bwMode="auto">
        <a:xfrm>
          <a:off x="59845142" y="1461437"/>
          <a:ext cx="3038257" cy="40784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6350"/>
      </a:spPr>
      <a:bodyPr vertOverflow="clip" horzOverflow="clip" rtlCol="0" anchor="t"/>
      <a:lstStyle>
        <a:defPPr algn="l">
          <a:defRPr kumimoji="1" sz="1100">
            <a:solidFill>
              <a:schemeClr val="tx1"/>
            </a:solidFill>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lma.or.jp/siryo/kokai.htm" TargetMode="External"/><Relationship Id="rId7" Type="http://schemas.openxmlformats.org/officeDocument/2006/relationships/drawing" Target="../drawings/drawing1.xml"/><Relationship Id="rId2" Type="http://schemas.openxmlformats.org/officeDocument/2006/relationships/hyperlink" Target="https://www.jlma.or.jp/siryo/kokai.htm" TargetMode="External"/><Relationship Id="rId1" Type="http://schemas.openxmlformats.org/officeDocument/2006/relationships/hyperlink" Target="https://www.jlma.or.jp/siryo/pdf/kokai/JIL1001taperpole.pdf" TargetMode="External"/><Relationship Id="rId6" Type="http://schemas.openxmlformats.org/officeDocument/2006/relationships/printerSettings" Target="../printerSettings/printerSettings1.bin"/><Relationship Id="rId5" Type="http://schemas.openxmlformats.org/officeDocument/2006/relationships/hyperlink" Target="https://ce-note.com/light-foundation-r2hyousikibinran-chokusetsu" TargetMode="External"/><Relationship Id="rId4" Type="http://schemas.openxmlformats.org/officeDocument/2006/relationships/hyperlink" Target="https://www.kkr.mlit.go.jp/plan/jigyousya/technical_information/consultant/binran/etsuran/page0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6C39-5F0C-4159-9F9A-1A68833EF510}">
  <dimension ref="A1:DR52"/>
  <sheetViews>
    <sheetView tabSelected="1" view="pageBreakPreview" zoomScale="60" zoomScaleNormal="70" workbookViewId="0"/>
  </sheetViews>
  <sheetFormatPr defaultRowHeight="18.75" x14ac:dyDescent="0.4"/>
  <cols>
    <col min="1" max="1" width="2.875" customWidth="1"/>
    <col min="2" max="2" width="4.875" customWidth="1"/>
    <col min="4" max="4" width="6.375" customWidth="1"/>
    <col min="5" max="5" width="13.125" customWidth="1"/>
    <col min="6" max="6" width="9.125" customWidth="1"/>
    <col min="7" max="7" width="14.75" customWidth="1"/>
    <col min="8" max="8" width="9.375" customWidth="1"/>
    <col min="9" max="9" width="13.125" customWidth="1"/>
    <col min="10" max="10" width="20.125" customWidth="1"/>
    <col min="11" max="11" width="3.25" customWidth="1"/>
    <col min="12" max="12" width="3.75" customWidth="1"/>
    <col min="13" max="13" width="16.125" customWidth="1"/>
    <col min="14" max="14" width="12.25" customWidth="1"/>
    <col min="15" max="15" width="7.875" bestFit="1" customWidth="1"/>
    <col min="16" max="17" width="6.75" bestFit="1" customWidth="1"/>
    <col min="18" max="18" width="6.75" customWidth="1"/>
    <col min="19" max="22" width="6.625" customWidth="1"/>
    <col min="23" max="23" width="8.875" customWidth="1"/>
    <col min="24" max="24" width="10.375" customWidth="1"/>
    <col min="25" max="25" width="2.375" customWidth="1"/>
    <col min="26" max="29" width="7.875" style="53" customWidth="1"/>
    <col min="30" max="30" width="9.125" style="53" customWidth="1"/>
    <col min="31" max="31" width="6.625" style="53" customWidth="1"/>
    <col min="32" max="34" width="7.875" style="53" customWidth="1"/>
    <col min="35" max="35" width="9.125" style="53" customWidth="1"/>
    <col min="36" max="36" width="6.75" style="53" customWidth="1"/>
    <col min="37" max="37" width="7.875" style="53" customWidth="1"/>
    <col min="38" max="38" width="9" customWidth="1"/>
    <col min="39" max="39" width="2" customWidth="1"/>
    <col min="40" max="40" width="9" customWidth="1"/>
    <col min="41" max="49" width="9" style="53"/>
    <col min="50" max="51" width="9" customWidth="1"/>
    <col min="52" max="52" width="2.25" customWidth="1"/>
    <col min="53" max="56" width="9" style="53"/>
    <col min="57" max="57" width="9.375" style="53" bestFit="1" customWidth="1"/>
    <col min="58" max="62" width="9" style="53"/>
    <col min="63" max="63" width="9" customWidth="1"/>
    <col min="64" max="64" width="7.375" customWidth="1"/>
    <col min="65" max="65" width="2.25" customWidth="1"/>
    <col min="66" max="75" width="9" style="53"/>
    <col min="76" max="76" width="9" customWidth="1"/>
    <col min="77" max="77" width="7.375" customWidth="1"/>
    <col min="78" max="78" width="2.25" customWidth="1"/>
    <col min="79" max="82" width="9" style="53"/>
    <col min="83" max="83" width="10.375" style="53" bestFit="1" customWidth="1"/>
    <col min="84" max="84" width="9" style="53"/>
    <col min="85" max="85" width="8.875" style="53" customWidth="1"/>
    <col min="86" max="88" width="9" style="53"/>
    <col min="89" max="89" width="9" customWidth="1"/>
    <col min="90" max="90" width="7.375" customWidth="1"/>
    <col min="91" max="91" width="2.25" customWidth="1"/>
    <col min="92" max="93" width="9" style="53"/>
    <col min="94" max="94" width="9" style="53" customWidth="1"/>
    <col min="95" max="95" width="9" style="53"/>
    <col min="96" max="96" width="10.375" style="53" bestFit="1" customWidth="1"/>
    <col min="97" max="97" width="9" style="53"/>
    <col min="98" max="98" width="8.875" style="53" customWidth="1"/>
    <col min="99" max="101" width="9" style="53"/>
    <col min="102" max="102" width="9" customWidth="1"/>
    <col min="103" max="103" width="7.375" customWidth="1"/>
    <col min="104" max="104" width="2.25" customWidth="1"/>
    <col min="105" max="106" width="9" style="53"/>
    <col min="107" max="107" width="9" style="53" customWidth="1"/>
    <col min="108" max="108" width="9" style="53"/>
    <col min="109" max="109" width="10.375" style="53" bestFit="1" customWidth="1"/>
    <col min="110" max="110" width="9" style="53"/>
    <col min="111" max="111" width="8.875" style="53" customWidth="1"/>
    <col min="112" max="114" width="9" style="53"/>
    <col min="115" max="115" width="9" customWidth="1"/>
    <col min="116" max="116" width="7.375" customWidth="1"/>
    <col min="117" max="121" width="9" customWidth="1"/>
  </cols>
  <sheetData>
    <row r="1" spans="1:121" x14ac:dyDescent="0.4">
      <c r="B1" s="1" t="s">
        <v>336</v>
      </c>
      <c r="I1" s="38" t="s">
        <v>41</v>
      </c>
    </row>
    <row r="2" spans="1:121" ht="19.5" x14ac:dyDescent="0.4">
      <c r="A2" s="40" t="s">
        <v>177</v>
      </c>
      <c r="Z2" s="53" t="s">
        <v>204</v>
      </c>
      <c r="AN2" s="53" t="s">
        <v>210</v>
      </c>
      <c r="BA2" s="53" t="s">
        <v>215</v>
      </c>
      <c r="BN2" s="53" t="s">
        <v>222</v>
      </c>
      <c r="BX2" s="53"/>
      <c r="CA2" s="53" t="s">
        <v>247</v>
      </c>
      <c r="CK2" s="53"/>
      <c r="CN2" s="53" t="s">
        <v>280</v>
      </c>
      <c r="CX2" s="53"/>
      <c r="DK2" s="53"/>
    </row>
    <row r="3" spans="1:121" x14ac:dyDescent="0.4">
      <c r="AM3" s="5"/>
      <c r="AN3" s="5"/>
      <c r="AO3" s="149" t="s">
        <v>122</v>
      </c>
      <c r="AP3" s="150" t="s">
        <v>135</v>
      </c>
      <c r="AQ3" s="54" t="s">
        <v>123</v>
      </c>
      <c r="AR3" s="61" t="s">
        <v>76</v>
      </c>
      <c r="AX3" s="6"/>
      <c r="AY3" s="6"/>
      <c r="AZ3" s="6"/>
      <c r="BB3" s="149" t="s">
        <v>167</v>
      </c>
      <c r="BC3" s="110" t="s">
        <v>157</v>
      </c>
      <c r="BD3" s="154" t="s">
        <v>168</v>
      </c>
      <c r="BE3" s="54"/>
      <c r="BL3" s="6"/>
      <c r="BN3" s="53" t="s">
        <v>223</v>
      </c>
      <c r="BX3" s="53"/>
      <c r="CA3" s="53" t="s">
        <v>248</v>
      </c>
      <c r="CK3" s="53"/>
      <c r="CN3" s="53" t="s">
        <v>287</v>
      </c>
      <c r="CX3" s="53"/>
      <c r="DA3" s="53" t="s">
        <v>307</v>
      </c>
      <c r="DK3" s="53"/>
      <c r="DQ3" s="7"/>
    </row>
    <row r="4" spans="1:121" x14ac:dyDescent="0.4">
      <c r="B4" t="s">
        <v>0</v>
      </c>
      <c r="Z4" s="53" t="s">
        <v>205</v>
      </c>
      <c r="AM4" s="5"/>
      <c r="AN4" s="5"/>
      <c r="AO4" s="149"/>
      <c r="AP4" s="150"/>
      <c r="AQ4" s="62">
        <v>0.3</v>
      </c>
      <c r="AX4" s="6"/>
      <c r="AY4" s="6"/>
      <c r="AZ4" s="6"/>
      <c r="BB4" s="149"/>
      <c r="BC4" s="64" t="s">
        <v>134</v>
      </c>
      <c r="BD4" s="154"/>
      <c r="BE4" s="54"/>
      <c r="BL4" s="6"/>
      <c r="BO4" s="63" t="s">
        <v>188</v>
      </c>
      <c r="BP4" s="53" t="s">
        <v>189</v>
      </c>
      <c r="BX4" s="53"/>
      <c r="CB4" s="149" t="s">
        <v>249</v>
      </c>
      <c r="CC4" s="103">
        <v>1</v>
      </c>
      <c r="CD4" s="154" t="s">
        <v>251</v>
      </c>
      <c r="CK4" s="53"/>
      <c r="CO4" s="149" t="s">
        <v>281</v>
      </c>
      <c r="CP4" s="150" t="s">
        <v>283</v>
      </c>
      <c r="CQ4" s="103" t="s">
        <v>176</v>
      </c>
      <c r="CX4" s="53"/>
      <c r="DB4" s="149" t="s">
        <v>305</v>
      </c>
      <c r="DC4" s="103" t="s">
        <v>306</v>
      </c>
      <c r="DK4" s="53"/>
      <c r="DQ4" s="7"/>
    </row>
    <row r="5" spans="1:121" x14ac:dyDescent="0.4">
      <c r="C5" t="s">
        <v>335</v>
      </c>
      <c r="AA5" s="53" t="s">
        <v>84</v>
      </c>
      <c r="AB5" s="122">
        <v>1300</v>
      </c>
      <c r="AC5" s="53" t="s">
        <v>108</v>
      </c>
      <c r="AD5" s="53" t="s">
        <v>100</v>
      </c>
      <c r="AE5" s="53">
        <f>AB5/1000</f>
        <v>1.3</v>
      </c>
      <c r="AF5" s="53" t="s">
        <v>25</v>
      </c>
      <c r="AM5" s="5"/>
      <c r="AN5" s="5"/>
      <c r="AX5" s="6"/>
      <c r="AY5" s="6"/>
      <c r="AZ5" s="6"/>
      <c r="BL5" s="6"/>
      <c r="BO5" s="63" t="s">
        <v>77</v>
      </c>
      <c r="BP5" s="84">
        <f>BC15</f>
        <v>36.334500000000006</v>
      </c>
      <c r="BQ5" s="54" t="s">
        <v>155</v>
      </c>
      <c r="BR5" s="90">
        <f>BW7</f>
        <v>0.4</v>
      </c>
      <c r="BX5" s="53"/>
      <c r="CB5" s="149"/>
      <c r="CC5" s="64" t="s">
        <v>250</v>
      </c>
      <c r="CD5" s="154"/>
      <c r="CE5" s="90"/>
      <c r="CK5" s="53"/>
      <c r="CO5" s="149"/>
      <c r="CP5" s="150"/>
      <c r="CQ5" s="54" t="s">
        <v>288</v>
      </c>
      <c r="CX5" s="53"/>
      <c r="DB5" s="149"/>
      <c r="DC5" s="54">
        <v>6</v>
      </c>
      <c r="DQ5" s="7"/>
    </row>
    <row r="6" spans="1:121" x14ac:dyDescent="0.4">
      <c r="C6" t="s">
        <v>185</v>
      </c>
      <c r="AA6" s="53" t="s">
        <v>85</v>
      </c>
      <c r="AB6" s="123">
        <f>AB5</f>
        <v>1300</v>
      </c>
      <c r="AC6" s="53" t="s">
        <v>108</v>
      </c>
      <c r="AD6" s="53" t="s">
        <v>100</v>
      </c>
      <c r="AE6" s="53">
        <f t="shared" ref="AE6:AE8" si="0">AB6/1000</f>
        <v>1.3</v>
      </c>
      <c r="AF6" s="53" t="s">
        <v>25</v>
      </c>
      <c r="AM6" s="5"/>
      <c r="AN6" s="5"/>
      <c r="AO6" s="63" t="s">
        <v>100</v>
      </c>
      <c r="AP6" s="88" t="s">
        <v>101</v>
      </c>
      <c r="AQ6" s="53" t="s">
        <v>102</v>
      </c>
      <c r="AR6" s="53" t="s">
        <v>105</v>
      </c>
      <c r="AS6" s="53" t="s">
        <v>143</v>
      </c>
      <c r="AU6" s="53" t="s">
        <v>104</v>
      </c>
      <c r="AX6" s="6"/>
      <c r="AY6" s="6"/>
      <c r="AZ6" s="6"/>
      <c r="BB6" s="149" t="s">
        <v>169</v>
      </c>
      <c r="BC6" s="100">
        <f>AP34</f>
        <v>0.16210494433137621</v>
      </c>
      <c r="BD6" s="72"/>
      <c r="BE6" s="160">
        <f>AP40</f>
        <v>17.7515</v>
      </c>
      <c r="BL6" s="6"/>
      <c r="BO6" s="63" t="s">
        <v>77</v>
      </c>
      <c r="BP6" s="84">
        <f>BP5*BR5</f>
        <v>14.533800000000003</v>
      </c>
      <c r="BQ6" s="53" t="s">
        <v>93</v>
      </c>
      <c r="BX6" s="53"/>
      <c r="CB6" s="149" t="s">
        <v>169</v>
      </c>
      <c r="CC6" s="103">
        <v>1</v>
      </c>
      <c r="CD6" s="161">
        <f>CE18</f>
        <v>16.480246250000004</v>
      </c>
      <c r="CO6" s="63"/>
      <c r="CP6" s="54"/>
      <c r="CQ6" s="54"/>
      <c r="CX6" s="53"/>
      <c r="DB6" s="149" t="s">
        <v>100</v>
      </c>
      <c r="DC6" s="72">
        <f>AE6</f>
        <v>1.3</v>
      </c>
      <c r="DD6" s="142">
        <f>AE7</f>
        <v>0.65</v>
      </c>
      <c r="DE6" s="72" t="s">
        <v>256</v>
      </c>
      <c r="DQ6" s="7"/>
    </row>
    <row r="7" spans="1:121" x14ac:dyDescent="0.4">
      <c r="C7" t="s">
        <v>186</v>
      </c>
      <c r="AA7" s="53" t="s">
        <v>86</v>
      </c>
      <c r="AB7" s="122">
        <v>650</v>
      </c>
      <c r="AC7" s="53" t="s">
        <v>108</v>
      </c>
      <c r="AD7" s="53" t="s">
        <v>100</v>
      </c>
      <c r="AE7" s="53">
        <f t="shared" si="0"/>
        <v>0.65</v>
      </c>
      <c r="AF7" s="53" t="s">
        <v>25</v>
      </c>
      <c r="AM7" s="5"/>
      <c r="AN7" s="5"/>
      <c r="AO7" s="63" t="s">
        <v>100</v>
      </c>
      <c r="AP7" s="89">
        <f>1/0.3</f>
        <v>3.3333333333333335</v>
      </c>
      <c r="AQ7" s="91">
        <f>AX18</f>
        <v>1</v>
      </c>
      <c r="AR7" s="92">
        <f>AT21</f>
        <v>2800</v>
      </c>
      <c r="AS7" s="53" t="s">
        <v>144</v>
      </c>
      <c r="AU7" s="90">
        <f>(1/0.3)^(-3/4)</f>
        <v>0.40536004644211027</v>
      </c>
      <c r="AX7" s="6"/>
      <c r="AY7" s="6"/>
      <c r="AZ7" s="6"/>
      <c r="BB7" s="149"/>
      <c r="BC7" s="54" t="s">
        <v>170</v>
      </c>
      <c r="BD7" s="95">
        <f>AP34</f>
        <v>0.16210494433137621</v>
      </c>
      <c r="BE7" s="160"/>
      <c r="BL7" s="6"/>
      <c r="BR7" s="63" t="s">
        <v>190</v>
      </c>
      <c r="BS7" s="53" t="s">
        <v>191</v>
      </c>
      <c r="BU7"/>
      <c r="BV7" s="63" t="s">
        <v>192</v>
      </c>
      <c r="BW7" s="65">
        <v>0.4</v>
      </c>
      <c r="BX7" s="53"/>
      <c r="CB7" s="149"/>
      <c r="CC7" s="139">
        <f>CE29</f>
        <v>1.1000000000000001</v>
      </c>
      <c r="CD7" s="161"/>
      <c r="CO7" s="149" t="s">
        <v>100</v>
      </c>
      <c r="CP7" s="155">
        <f>BC43</f>
        <v>81.202953365282227</v>
      </c>
      <c r="CQ7" s="150" t="s">
        <v>282</v>
      </c>
      <c r="CR7" s="72"/>
      <c r="CS7" s="72">
        <f>AE5</f>
        <v>1.3</v>
      </c>
      <c r="CT7" s="72"/>
      <c r="DB7" s="149"/>
      <c r="DD7" s="55">
        <v>6</v>
      </c>
      <c r="DQ7" s="7"/>
    </row>
    <row r="8" spans="1:121" x14ac:dyDescent="0.4">
      <c r="AA8" s="53" t="s">
        <v>179</v>
      </c>
      <c r="AB8" s="122">
        <v>300</v>
      </c>
      <c r="AC8" s="53" t="s">
        <v>108</v>
      </c>
      <c r="AD8" s="53" t="s">
        <v>100</v>
      </c>
      <c r="AE8" s="53">
        <f t="shared" si="0"/>
        <v>0.3</v>
      </c>
      <c r="AF8" s="53" t="s">
        <v>25</v>
      </c>
      <c r="AM8" s="5"/>
      <c r="AN8" s="5"/>
      <c r="AO8" s="63" t="s">
        <v>100</v>
      </c>
      <c r="AP8" s="89">
        <f>AP7*AQ7*AU7</f>
        <v>1.3512001548070343</v>
      </c>
      <c r="AQ8" s="85">
        <f>AR7</f>
        <v>2800</v>
      </c>
      <c r="AR8" s="93">
        <f>AX22</f>
        <v>10</v>
      </c>
      <c r="AS8" s="53" t="s">
        <v>145</v>
      </c>
      <c r="AX8" s="6"/>
      <c r="AY8" s="6"/>
      <c r="BX8" s="53"/>
      <c r="CB8" s="149" t="s">
        <v>169</v>
      </c>
      <c r="CC8" s="151">
        <f>CC6/CC7*CD6</f>
        <v>14.982042045454548</v>
      </c>
      <c r="CD8" s="157" t="s">
        <v>93</v>
      </c>
      <c r="CE8" s="162" t="s">
        <v>242</v>
      </c>
      <c r="CF8" s="149" t="s">
        <v>252</v>
      </c>
      <c r="CG8" s="150" t="s">
        <v>100</v>
      </c>
      <c r="CH8" s="157">
        <f>BP39</f>
        <v>1.53</v>
      </c>
      <c r="CI8" s="157" t="s">
        <v>93</v>
      </c>
      <c r="CK8" s="150" t="str">
        <f>IF(CC8&gt;=CH8,"OK","NG")</f>
        <v>OK</v>
      </c>
      <c r="CO8" s="149"/>
      <c r="CP8" s="155"/>
      <c r="CQ8" s="150"/>
      <c r="CR8" s="53">
        <v>2</v>
      </c>
      <c r="CS8" s="54" t="s">
        <v>155</v>
      </c>
      <c r="CT8" s="84">
        <f>BC31</f>
        <v>0.68838913429385329</v>
      </c>
      <c r="DB8" s="149" t="s">
        <v>100</v>
      </c>
      <c r="DC8" s="143">
        <f>DC6*DD6^2</f>
        <v>0.54925000000000013</v>
      </c>
      <c r="DQ8" s="7"/>
    </row>
    <row r="9" spans="1:121" x14ac:dyDescent="0.4">
      <c r="AB9" s="65"/>
      <c r="AO9" s="63" t="s">
        <v>100</v>
      </c>
      <c r="AP9" s="124">
        <f>AP8*AQ8*AR8</f>
        <v>37833.604334596959</v>
      </c>
      <c r="AQ9" s="53" t="s">
        <v>146</v>
      </c>
      <c r="BB9" s="149" t="s">
        <v>169</v>
      </c>
      <c r="BC9" s="176">
        <f>BC6/(1+BD7)*BE6</f>
        <v>2.4762014251252253</v>
      </c>
      <c r="BD9" s="150" t="s">
        <v>213</v>
      </c>
      <c r="BN9" s="53" t="s">
        <v>230</v>
      </c>
      <c r="BX9" s="53"/>
      <c r="CB9" s="149"/>
      <c r="CC9" s="151"/>
      <c r="CD9" s="157"/>
      <c r="CE9" s="150"/>
      <c r="CF9" s="149"/>
      <c r="CG9" s="150"/>
      <c r="CH9" s="157"/>
      <c r="CI9" s="157"/>
      <c r="CK9" s="150"/>
      <c r="CO9" s="63"/>
      <c r="CP9" s="141"/>
      <c r="CQ9" s="54"/>
      <c r="CS9" s="54"/>
      <c r="CT9" s="84"/>
      <c r="DB9" s="149"/>
      <c r="DC9" s="54">
        <v>6</v>
      </c>
    </row>
    <row r="10" spans="1:121" x14ac:dyDescent="0.4">
      <c r="B10" t="s">
        <v>1</v>
      </c>
      <c r="AO10" s="63"/>
      <c r="AP10" s="124"/>
      <c r="BB10" s="149"/>
      <c r="BC10" s="176"/>
      <c r="BD10" s="150"/>
      <c r="BO10" s="149" t="s">
        <v>193</v>
      </c>
      <c r="BP10" s="72" t="s">
        <v>194</v>
      </c>
      <c r="BX10" s="53"/>
      <c r="CO10" s="149" t="s">
        <v>100</v>
      </c>
      <c r="CP10" s="151">
        <f>CP7*(1-CS7/(CR8*CT8))</f>
        <v>4.528414128725391</v>
      </c>
      <c r="CQ10" s="157" t="s">
        <v>174</v>
      </c>
      <c r="DB10" s="149" t="s">
        <v>100</v>
      </c>
      <c r="DC10" s="152">
        <f>DC8/DC9</f>
        <v>9.1541666666666688E-2</v>
      </c>
      <c r="DD10" s="150" t="s">
        <v>308</v>
      </c>
    </row>
    <row r="11" spans="1:121" x14ac:dyDescent="0.4">
      <c r="C11" t="s">
        <v>184</v>
      </c>
      <c r="E11" s="28">
        <v>100</v>
      </c>
      <c r="F11" t="s">
        <v>321</v>
      </c>
      <c r="G11" t="s">
        <v>181</v>
      </c>
      <c r="H11" s="28">
        <v>10</v>
      </c>
      <c r="I11" t="s">
        <v>182</v>
      </c>
      <c r="AO11" s="63" t="s">
        <v>77</v>
      </c>
      <c r="AP11" s="124">
        <f>AP9</f>
        <v>37833.604334596959</v>
      </c>
      <c r="AQ11" s="87">
        <f>AE5</f>
        <v>1.3</v>
      </c>
      <c r="AR11" s="85">
        <f>AE6</f>
        <v>1.3</v>
      </c>
      <c r="AS11" s="53" t="s">
        <v>106</v>
      </c>
      <c r="BO11" s="149"/>
      <c r="BP11" s="53" t="s">
        <v>332</v>
      </c>
      <c r="BX11" s="53"/>
      <c r="CC11" s="63" t="s">
        <v>253</v>
      </c>
      <c r="CD11" s="53" t="s">
        <v>254</v>
      </c>
      <c r="CJ11"/>
      <c r="CO11" s="149"/>
      <c r="CP11" s="151"/>
      <c r="CQ11" s="157"/>
      <c r="DB11" s="149"/>
      <c r="DC11" s="152"/>
      <c r="DD11" s="150"/>
    </row>
    <row r="12" spans="1:121" x14ac:dyDescent="0.4">
      <c r="C12" t="s">
        <v>39</v>
      </c>
      <c r="D12" s="28" t="s">
        <v>47</v>
      </c>
      <c r="G12" t="s">
        <v>56</v>
      </c>
      <c r="H12" s="28">
        <v>60</v>
      </c>
      <c r="I12" t="s">
        <v>57</v>
      </c>
      <c r="AK12" s="55">
        <f>AB8</f>
        <v>300</v>
      </c>
      <c r="AO12" s="63" t="s">
        <v>100</v>
      </c>
      <c r="AP12" s="130">
        <f>AP11*(AQ11*AR11)^(-0.375)</f>
        <v>31075.648713222417</v>
      </c>
      <c r="AQ12" s="87" t="s">
        <v>107</v>
      </c>
      <c r="BA12" s="53" t="s">
        <v>216</v>
      </c>
      <c r="BO12" s="149" t="s">
        <v>100</v>
      </c>
      <c r="BP12" s="148">
        <f>AB37</f>
        <v>40300.130437746579</v>
      </c>
      <c r="BQ12" s="103" t="s">
        <v>155</v>
      </c>
      <c r="BR12" s="72">
        <f>AE7</f>
        <v>0.65</v>
      </c>
      <c r="BX12" s="53"/>
      <c r="CD12" s="149" t="s">
        <v>255</v>
      </c>
      <c r="CE12" s="103">
        <v>1</v>
      </c>
      <c r="CF12" s="157" t="s">
        <v>327</v>
      </c>
      <c r="CG12" s="157"/>
      <c r="CH12" s="157"/>
      <c r="CJ12"/>
      <c r="CO12" s="63"/>
      <c r="CP12" s="140"/>
      <c r="CQ12" s="55"/>
    </row>
    <row r="13" spans="1:121" x14ac:dyDescent="0.4">
      <c r="C13" t="s">
        <v>40</v>
      </c>
      <c r="D13" t="s">
        <v>24</v>
      </c>
      <c r="G13" s="28" t="s">
        <v>7</v>
      </c>
      <c r="H13" s="28">
        <v>12</v>
      </c>
      <c r="I13" t="s">
        <v>48</v>
      </c>
      <c r="BB13" s="63" t="s">
        <v>158</v>
      </c>
      <c r="BC13" s="53" t="s">
        <v>322</v>
      </c>
      <c r="BO13" s="149"/>
      <c r="BP13" s="163">
        <v>2</v>
      </c>
      <c r="BQ13" s="163" t="s">
        <v>155</v>
      </c>
      <c r="BR13" s="163" t="s">
        <v>227</v>
      </c>
      <c r="BS13" s="163" t="s">
        <v>155</v>
      </c>
      <c r="BT13" s="163" t="s">
        <v>228</v>
      </c>
      <c r="BU13" s="163" t="s">
        <v>155</v>
      </c>
      <c r="BV13" s="163">
        <f>AE5</f>
        <v>1.3</v>
      </c>
      <c r="BX13" s="53"/>
      <c r="CD13" s="149"/>
      <c r="CE13" s="54">
        <v>2</v>
      </c>
      <c r="CF13" s="157"/>
      <c r="CG13" s="157"/>
      <c r="CH13" s="157"/>
      <c r="CJ13"/>
      <c r="DA13" s="53" t="s">
        <v>316</v>
      </c>
    </row>
    <row r="14" spans="1:121" x14ac:dyDescent="0.4">
      <c r="J14" s="24" t="s">
        <v>46</v>
      </c>
      <c r="BB14" s="63" t="s">
        <v>77</v>
      </c>
      <c r="BC14" s="53">
        <f>AF22</f>
        <v>2.4500000000000002</v>
      </c>
      <c r="BD14" s="106">
        <f>BH17</f>
        <v>23</v>
      </c>
      <c r="BE14" s="97">
        <f>AE5</f>
        <v>1.3</v>
      </c>
      <c r="BF14" s="97">
        <f>AE6</f>
        <v>1.3</v>
      </c>
      <c r="BG14" s="97">
        <f>AE7</f>
        <v>0.65</v>
      </c>
      <c r="BH14" s="107">
        <f>BH18</f>
        <v>17</v>
      </c>
      <c r="BI14" s="97">
        <f>AE5</f>
        <v>1.3</v>
      </c>
      <c r="BJ14" s="97">
        <f>AE6</f>
        <v>1.3</v>
      </c>
      <c r="BK14" s="108">
        <f>AE8</f>
        <v>0.3</v>
      </c>
      <c r="BP14" s="164"/>
      <c r="BQ14" s="164"/>
      <c r="BR14" s="164"/>
      <c r="BS14" s="164"/>
      <c r="BT14" s="164"/>
      <c r="BU14" s="164"/>
      <c r="BV14" s="164"/>
      <c r="BX14" s="53"/>
      <c r="CJ14"/>
      <c r="CN14" s="53" t="s">
        <v>289</v>
      </c>
      <c r="DB14" s="63" t="s">
        <v>317</v>
      </c>
      <c r="DC14" s="53">
        <v>0.23</v>
      </c>
      <c r="DD14" s="53" t="s">
        <v>318</v>
      </c>
    </row>
    <row r="15" spans="1:121" x14ac:dyDescent="0.4">
      <c r="C15" s="14" t="s">
        <v>44</v>
      </c>
      <c r="D15" s="33" t="s">
        <v>15</v>
      </c>
      <c r="E15" s="33" t="s">
        <v>16</v>
      </c>
      <c r="F15" s="33" t="s">
        <v>17</v>
      </c>
      <c r="G15" s="33" t="s">
        <v>18</v>
      </c>
      <c r="H15" s="33" t="s">
        <v>19</v>
      </c>
      <c r="I15" s="33" t="s">
        <v>20</v>
      </c>
      <c r="J15" s="34" t="s">
        <v>21</v>
      </c>
      <c r="AK15" s="55">
        <f>AB7</f>
        <v>650</v>
      </c>
      <c r="AL15" s="1"/>
      <c r="AO15"/>
      <c r="AP15" s="53" t="s">
        <v>136</v>
      </c>
      <c r="AQ15" s="53" t="s">
        <v>137</v>
      </c>
      <c r="AX15" s="53"/>
      <c r="BB15" s="63" t="s">
        <v>77</v>
      </c>
      <c r="BC15" s="84">
        <f>BC14+BD14*BE14*BF14*BG14+BH14*BI14*BJ14*BK14</f>
        <v>36.334500000000006</v>
      </c>
      <c r="BD15" s="53" t="s">
        <v>93</v>
      </c>
      <c r="BO15" s="149" t="s">
        <v>100</v>
      </c>
      <c r="BP15" s="111"/>
      <c r="BQ15" s="103"/>
      <c r="BR15" s="148">
        <f>BP12*BR12</f>
        <v>26195.084784535276</v>
      </c>
      <c r="BX15" s="53"/>
      <c r="CD15" s="149" t="s">
        <v>100</v>
      </c>
      <c r="CE15" s="103">
        <v>1</v>
      </c>
      <c r="CF15" s="160">
        <f>BH18</f>
        <v>17</v>
      </c>
      <c r="CG15" s="161">
        <f>CG24</f>
        <v>3.53</v>
      </c>
      <c r="CH15" s="160">
        <f>AE6</f>
        <v>1.3</v>
      </c>
      <c r="CI15" s="160">
        <f>AE7</f>
        <v>0.65</v>
      </c>
      <c r="CJ15" s="157" t="s">
        <v>256</v>
      </c>
      <c r="CO15" s="63" t="s">
        <v>284</v>
      </c>
      <c r="CP15" s="53" t="s">
        <v>329</v>
      </c>
      <c r="DB15" s="63" t="s">
        <v>100</v>
      </c>
      <c r="DC15" s="53">
        <v>0.23</v>
      </c>
      <c r="DD15" s="145">
        <f>DI18</f>
        <v>18</v>
      </c>
      <c r="DE15" s="53" t="s">
        <v>312</v>
      </c>
    </row>
    <row r="16" spans="1:121" x14ac:dyDescent="0.4">
      <c r="C16" s="41">
        <f>_xlfn.IFS(H13=8,8000,H13=10,10000,H13=12,12000)</f>
        <v>12000</v>
      </c>
      <c r="D16" s="42">
        <f>VLOOKUP($C16,$O38:$V43,2)</f>
        <v>2500</v>
      </c>
      <c r="E16" s="42">
        <f>VLOOKUP($C16,$O38:$V43,3)</f>
        <v>8000</v>
      </c>
      <c r="F16" s="42">
        <f>VLOOKUP($C16,$O38:$V43,4)</f>
        <v>1500</v>
      </c>
      <c r="G16" s="42">
        <f>VLOOKUP($C16,$O38:$V43,5)</f>
        <v>75</v>
      </c>
      <c r="H16" s="42">
        <f>VLOOKUP($C16,$O38:$V43,6)</f>
        <v>75</v>
      </c>
      <c r="I16" s="42">
        <f>VLOOKUP($C16,$O38:$V43,7)</f>
        <v>195</v>
      </c>
      <c r="J16" s="43">
        <f>VLOOKUP($C16,$O38:$V43,8)</f>
        <v>195</v>
      </c>
      <c r="AO16"/>
      <c r="AQ16" s="150" t="s">
        <v>138</v>
      </c>
      <c r="AR16" s="103">
        <v>1</v>
      </c>
      <c r="AS16" s="166" t="s">
        <v>110</v>
      </c>
      <c r="AT16" s="157"/>
      <c r="AX16" s="53"/>
      <c r="BB16" s="54"/>
      <c r="BC16" s="84"/>
      <c r="BO16" s="149"/>
      <c r="BP16" s="158">
        <v>2</v>
      </c>
      <c r="BQ16" s="158" t="s">
        <v>155</v>
      </c>
      <c r="BR16" s="133">
        <f>BT23</f>
        <v>1</v>
      </c>
      <c r="BS16" s="158" t="s">
        <v>155</v>
      </c>
      <c r="BT16" s="165">
        <f>AP12</f>
        <v>31075.648713222417</v>
      </c>
      <c r="BU16" s="158" t="s">
        <v>155</v>
      </c>
      <c r="BV16" s="158">
        <f>BV13</f>
        <v>1.3</v>
      </c>
      <c r="BX16" s="53"/>
      <c r="CD16" s="149"/>
      <c r="CE16" s="54">
        <v>2</v>
      </c>
      <c r="CF16" s="160"/>
      <c r="CG16" s="161"/>
      <c r="CH16" s="160"/>
      <c r="CI16" s="160"/>
      <c r="CJ16" s="157"/>
      <c r="CO16" s="63" t="s">
        <v>100</v>
      </c>
      <c r="CP16" s="84">
        <f>BC43</f>
        <v>81.202953365282227</v>
      </c>
      <c r="CQ16" s="54" t="s">
        <v>285</v>
      </c>
      <c r="CR16" s="53">
        <f>AE7</f>
        <v>0.65</v>
      </c>
      <c r="CS16" s="54" t="s">
        <v>155</v>
      </c>
      <c r="CT16" s="53">
        <f>BH17</f>
        <v>23</v>
      </c>
      <c r="CU16" s="54" t="s">
        <v>285</v>
      </c>
      <c r="CV16" s="53">
        <f>AE8</f>
        <v>0.3</v>
      </c>
      <c r="CW16" s="54" t="s">
        <v>155</v>
      </c>
      <c r="CX16" s="53">
        <f>BH18</f>
        <v>17</v>
      </c>
      <c r="DB16" s="63" t="s">
        <v>100</v>
      </c>
      <c r="DC16" s="84">
        <f>DC15*DD15^(2/3)</f>
        <v>1.5797056547235979</v>
      </c>
      <c r="DD16" s="53" t="s">
        <v>311</v>
      </c>
    </row>
    <row r="17" spans="2:115" x14ac:dyDescent="0.4">
      <c r="C17" s="112"/>
      <c r="D17" s="112"/>
      <c r="E17" s="112"/>
      <c r="F17" s="112"/>
      <c r="G17" s="112"/>
      <c r="H17" s="112"/>
      <c r="I17" s="112"/>
      <c r="J17" s="112"/>
      <c r="AO17"/>
      <c r="AQ17" s="150"/>
      <c r="AR17" s="54">
        <v>0.3</v>
      </c>
      <c r="AS17" s="157"/>
      <c r="AT17" s="157"/>
      <c r="AX17" s="53"/>
      <c r="BB17" s="54"/>
      <c r="BC17" s="63" t="s">
        <v>323</v>
      </c>
      <c r="BD17" s="53" t="s">
        <v>175</v>
      </c>
      <c r="BF17"/>
      <c r="BG17" s="63" t="s">
        <v>325</v>
      </c>
      <c r="BH17" s="65">
        <v>23</v>
      </c>
      <c r="BI17" s="53" t="s">
        <v>107</v>
      </c>
      <c r="BP17" s="150"/>
      <c r="BQ17" s="150"/>
      <c r="BR17" s="54">
        <f>BT24</f>
        <v>4</v>
      </c>
      <c r="BS17" s="150"/>
      <c r="BT17" s="150"/>
      <c r="BU17" s="150"/>
      <c r="BV17" s="150"/>
      <c r="BX17" s="53"/>
      <c r="CJ17"/>
      <c r="CO17" s="63" t="s">
        <v>100</v>
      </c>
      <c r="CP17" s="84">
        <f>CP16-CR16*CT16-CV16*CX16</f>
        <v>61.152953365282222</v>
      </c>
      <c r="CQ17" s="53" t="s">
        <v>174</v>
      </c>
      <c r="DB17" s="63" t="s">
        <v>100</v>
      </c>
      <c r="DC17" s="86">
        <f>DC16*1000</f>
        <v>1579.7056547235979</v>
      </c>
      <c r="DD17" s="53" t="s">
        <v>174</v>
      </c>
    </row>
    <row r="18" spans="2:115" x14ac:dyDescent="0.4">
      <c r="C18" s="112"/>
      <c r="D18" s="112"/>
      <c r="E18" s="112"/>
      <c r="F18" s="112"/>
      <c r="G18" s="112"/>
      <c r="H18" s="112"/>
      <c r="I18" s="112"/>
      <c r="J18" s="112"/>
      <c r="AO18"/>
      <c r="AQ18" s="54"/>
      <c r="AR18" s="63" t="s">
        <v>81</v>
      </c>
      <c r="AS18" s="53" t="s">
        <v>82</v>
      </c>
      <c r="AT18" s="55"/>
      <c r="AW18" s="63" t="s">
        <v>117</v>
      </c>
      <c r="AX18" s="53">
        <f>AJ43</f>
        <v>1</v>
      </c>
      <c r="BB18" s="54"/>
      <c r="BC18" s="63" t="s">
        <v>324</v>
      </c>
      <c r="BD18" s="53" t="s">
        <v>180</v>
      </c>
      <c r="BG18" s="63" t="s">
        <v>326</v>
      </c>
      <c r="BH18" s="65">
        <v>17</v>
      </c>
      <c r="BI18" s="53" t="s">
        <v>107</v>
      </c>
      <c r="BO18" s="149" t="s">
        <v>100</v>
      </c>
      <c r="BP18" s="155">
        <f>BR15/(BP16*BR16/BR17*BT16*BV16)</f>
        <v>1.2968395546510096</v>
      </c>
      <c r="BQ18" s="54"/>
      <c r="BR18" s="54"/>
      <c r="BS18" s="54"/>
      <c r="BT18" s="54"/>
      <c r="BU18" s="54"/>
      <c r="BV18" s="54"/>
      <c r="BX18" s="53"/>
      <c r="CD18" s="63" t="s">
        <v>100</v>
      </c>
      <c r="CE18" s="84">
        <f>CE15/CE16*CF15*CG15*CH15*CI15^2</f>
        <v>16.480246250000004</v>
      </c>
      <c r="CF18" s="53" t="s">
        <v>93</v>
      </c>
      <c r="CJ18"/>
      <c r="CO18" s="63"/>
      <c r="CP18" s="84"/>
      <c r="DC18" s="63" t="s">
        <v>319</v>
      </c>
      <c r="DD18" s="53" t="s">
        <v>310</v>
      </c>
      <c r="DI18" s="65">
        <v>18</v>
      </c>
      <c r="DJ18" s="53" t="s">
        <v>311</v>
      </c>
    </row>
    <row r="19" spans="2:115" x14ac:dyDescent="0.4">
      <c r="B19" t="s">
        <v>199</v>
      </c>
      <c r="AC19" s="53">
        <f>AB5</f>
        <v>1300</v>
      </c>
      <c r="AH19" s="53">
        <f>AB6</f>
        <v>1300</v>
      </c>
      <c r="AO19"/>
      <c r="AQ19" s="54"/>
      <c r="AR19" s="54"/>
      <c r="AS19" s="55"/>
      <c r="AT19" s="53" t="s">
        <v>121</v>
      </c>
      <c r="AX19" s="53"/>
      <c r="BB19" s="54"/>
      <c r="BC19" s="84"/>
      <c r="BO19" s="149"/>
      <c r="BP19" s="155"/>
      <c r="BQ19" s="54"/>
      <c r="BR19" s="54"/>
      <c r="BS19" s="54"/>
      <c r="BT19" s="54"/>
      <c r="BU19" s="54"/>
      <c r="BV19" s="54"/>
      <c r="BX19" s="53"/>
    </row>
    <row r="20" spans="2:115" x14ac:dyDescent="0.4">
      <c r="B20" t="s">
        <v>200</v>
      </c>
      <c r="Z20" s="53" t="s">
        <v>206</v>
      </c>
      <c r="AO20"/>
      <c r="AQ20" s="54"/>
      <c r="AR20" s="63" t="s">
        <v>111</v>
      </c>
      <c r="AS20" s="53" t="s">
        <v>109</v>
      </c>
      <c r="AT20" s="55"/>
      <c r="AX20" s="53"/>
      <c r="BQ20" s="63" t="s">
        <v>195</v>
      </c>
      <c r="BR20" s="53" t="s">
        <v>196</v>
      </c>
      <c r="BX20" s="53"/>
      <c r="CN20" s="53" t="s">
        <v>292</v>
      </c>
    </row>
    <row r="21" spans="2:115" x14ac:dyDescent="0.4">
      <c r="C21" s="1" t="s">
        <v>68</v>
      </c>
      <c r="E21" s="4"/>
      <c r="F21" s="53"/>
      <c r="L21" s="7"/>
      <c r="AA21" s="74"/>
      <c r="AB21" s="75"/>
      <c r="AC21" s="74" t="s">
        <v>94</v>
      </c>
      <c r="AD21" s="75"/>
      <c r="AE21" s="75"/>
      <c r="AF21" s="75"/>
      <c r="AG21" s="76"/>
      <c r="AH21" s="75" t="s">
        <v>178</v>
      </c>
      <c r="AI21" s="75"/>
      <c r="AJ21" s="75"/>
      <c r="AK21" s="75"/>
      <c r="AL21" s="77"/>
      <c r="AO21"/>
      <c r="AQ21" s="54"/>
      <c r="AR21" s="54"/>
      <c r="AS21" s="63" t="s">
        <v>112</v>
      </c>
      <c r="AT21" s="29">
        <f>AF46</f>
        <v>2800</v>
      </c>
      <c r="AU21" t="s">
        <v>113</v>
      </c>
      <c r="AX21" s="53"/>
      <c r="BA21" s="53" t="s">
        <v>217</v>
      </c>
      <c r="BR21" s="53" t="s">
        <v>197</v>
      </c>
      <c r="BS21" s="53" t="s">
        <v>198</v>
      </c>
      <c r="BX21" s="53"/>
      <c r="CE21" s="63" t="s">
        <v>257</v>
      </c>
      <c r="CF21" s="53" t="s">
        <v>258</v>
      </c>
      <c r="CO21" s="63" t="s">
        <v>286</v>
      </c>
      <c r="CP21" s="53" t="s">
        <v>330</v>
      </c>
      <c r="DC21" s="63"/>
    </row>
    <row r="22" spans="2:115" x14ac:dyDescent="0.4">
      <c r="C22" t="s">
        <v>58</v>
      </c>
      <c r="D22" s="53"/>
      <c r="E22" s="4"/>
      <c r="F22" s="53"/>
      <c r="G22" t="s">
        <v>64</v>
      </c>
      <c r="AA22" s="78" t="s">
        <v>72</v>
      </c>
      <c r="AB22" s="79"/>
      <c r="AC22" s="66" t="s">
        <v>87</v>
      </c>
      <c r="AD22" s="127">
        <f>E51</f>
        <v>2450</v>
      </c>
      <c r="AE22" s="67" t="s">
        <v>209</v>
      </c>
      <c r="AF22" s="67">
        <f>ROUND(AD22/1000,2)</f>
        <v>2.4500000000000002</v>
      </c>
      <c r="AG22" s="68" t="s">
        <v>93</v>
      </c>
      <c r="AH22" s="67" t="s">
        <v>89</v>
      </c>
      <c r="AI22" s="125">
        <f>E51</f>
        <v>2450</v>
      </c>
      <c r="AJ22" s="67" t="s">
        <v>209</v>
      </c>
      <c r="AK22" s="67">
        <f>ROUND(AI22/1000,2)</f>
        <v>2.4500000000000002</v>
      </c>
      <c r="AL22" s="68" t="s">
        <v>93</v>
      </c>
      <c r="AO22"/>
      <c r="AQ22" s="54"/>
      <c r="AR22" s="54"/>
      <c r="AS22" s="63" t="s">
        <v>114</v>
      </c>
      <c r="AT22" s="53" t="s">
        <v>115</v>
      </c>
      <c r="AW22" s="63" t="s">
        <v>116</v>
      </c>
      <c r="AX22" s="29">
        <f>AJ47</f>
        <v>10</v>
      </c>
      <c r="BB22" s="63" t="s">
        <v>172</v>
      </c>
      <c r="BC22" s="53" t="s">
        <v>171</v>
      </c>
      <c r="BF22" s="61"/>
      <c r="BR22" s="63" t="s">
        <v>225</v>
      </c>
      <c r="BS22" s="53" t="s">
        <v>226</v>
      </c>
      <c r="BX22" s="53"/>
      <c r="CF22" s="63" t="s">
        <v>259</v>
      </c>
      <c r="CG22" s="53" t="s">
        <v>260</v>
      </c>
      <c r="CH22" s="53" t="s">
        <v>261</v>
      </c>
      <c r="CI22" s="54" t="s">
        <v>262</v>
      </c>
      <c r="CJ22" s="53" t="s">
        <v>263</v>
      </c>
      <c r="CO22" s="63" t="s">
        <v>100</v>
      </c>
      <c r="CP22" s="84">
        <f>CP10</f>
        <v>4.528414128725391</v>
      </c>
      <c r="CQ22" s="54" t="s">
        <v>285</v>
      </c>
      <c r="CR22" s="53">
        <f>AE7</f>
        <v>0.65</v>
      </c>
      <c r="CS22" s="54" t="s">
        <v>155</v>
      </c>
      <c r="CT22" s="53">
        <f>BH17</f>
        <v>23</v>
      </c>
      <c r="CU22" s="54" t="s">
        <v>285</v>
      </c>
      <c r="CV22" s="53">
        <f>AE8</f>
        <v>0.3</v>
      </c>
      <c r="CW22" s="54" t="s">
        <v>155</v>
      </c>
      <c r="CX22" s="53">
        <f>BH18</f>
        <v>17</v>
      </c>
      <c r="DD22" s="63"/>
    </row>
    <row r="23" spans="2:115" x14ac:dyDescent="0.4">
      <c r="G23" t="s">
        <v>59</v>
      </c>
      <c r="AA23" s="80" t="s">
        <v>73</v>
      </c>
      <c r="AB23" s="81"/>
      <c r="AC23" s="69" t="s">
        <v>88</v>
      </c>
      <c r="AD23" s="128">
        <f>I35</f>
        <v>2705.5</v>
      </c>
      <c r="AE23" s="53" t="s">
        <v>209</v>
      </c>
      <c r="AF23" s="53">
        <f>ROUND(AD23/1000,2)</f>
        <v>2.71</v>
      </c>
      <c r="AG23" s="70" t="s">
        <v>93</v>
      </c>
      <c r="AH23" s="53" t="s">
        <v>90</v>
      </c>
      <c r="AI23" s="126">
        <f>I35</f>
        <v>2705.5</v>
      </c>
      <c r="AJ23" s="53" t="s">
        <v>209</v>
      </c>
      <c r="AK23" s="53">
        <f>ROUND(AI23/1000,2)</f>
        <v>2.71</v>
      </c>
      <c r="AL23" s="70" t="s">
        <v>93</v>
      </c>
      <c r="AO23"/>
      <c r="AX23" s="53"/>
      <c r="BB23" s="63" t="s">
        <v>77</v>
      </c>
      <c r="BC23" s="53">
        <f>AP49</f>
        <v>15.28</v>
      </c>
      <c r="BD23" s="64" t="s">
        <v>173</v>
      </c>
      <c r="BE23" s="84">
        <f>BC15</f>
        <v>36.334500000000006</v>
      </c>
      <c r="BF23" s="61"/>
      <c r="BS23" s="150" t="s">
        <v>224</v>
      </c>
      <c r="BT23" s="134">
        <v>1</v>
      </c>
      <c r="BX23" s="53"/>
      <c r="CF23" s="63" t="s">
        <v>100</v>
      </c>
      <c r="CG23" s="53" t="s">
        <v>260</v>
      </c>
      <c r="CH23" s="53" t="s">
        <v>261</v>
      </c>
      <c r="CI23" s="88">
        <f>CK26</f>
        <v>34</v>
      </c>
      <c r="CJ23" s="53" t="s">
        <v>264</v>
      </c>
      <c r="CO23" s="63" t="s">
        <v>100</v>
      </c>
      <c r="CP23" s="84">
        <f>CP22-CR22*CT22-CV22*CX22</f>
        <v>-15.52158587127461</v>
      </c>
      <c r="CQ23" s="53" t="s">
        <v>174</v>
      </c>
      <c r="DA23" s="53" t="s">
        <v>309</v>
      </c>
    </row>
    <row r="24" spans="2:115" x14ac:dyDescent="0.4">
      <c r="G24" t="s">
        <v>60</v>
      </c>
      <c r="L24" s="23"/>
      <c r="AA24" s="82" t="s">
        <v>74</v>
      </c>
      <c r="AB24" s="83"/>
      <c r="AC24" s="71" t="s">
        <v>91</v>
      </c>
      <c r="AD24" s="129">
        <f>J44</f>
        <v>15986.27</v>
      </c>
      <c r="AE24" s="72" t="s">
        <v>209</v>
      </c>
      <c r="AF24" s="72">
        <f>ROUND(AD24/1000,2)</f>
        <v>15.99</v>
      </c>
      <c r="AG24" s="73" t="s">
        <v>93</v>
      </c>
      <c r="AH24" s="72" t="s">
        <v>92</v>
      </c>
      <c r="AI24" s="129">
        <f>J44</f>
        <v>15986.27</v>
      </c>
      <c r="AJ24" s="72" t="s">
        <v>209</v>
      </c>
      <c r="AK24" s="72">
        <f>ROUND(AI24/1000,2)</f>
        <v>15.99</v>
      </c>
      <c r="AL24" s="73" t="s">
        <v>93</v>
      </c>
      <c r="AO24"/>
      <c r="AP24" s="53" t="s">
        <v>124</v>
      </c>
      <c r="AQ24" s="53" t="s">
        <v>139</v>
      </c>
      <c r="AX24" s="53"/>
      <c r="BB24" s="63" t="s">
        <v>77</v>
      </c>
      <c r="BC24" s="84">
        <f>BC23/BE23</f>
        <v>0.42053695523538226</v>
      </c>
      <c r="BD24" s="61" t="s">
        <v>25</v>
      </c>
      <c r="BF24" s="61"/>
      <c r="BS24" s="150"/>
      <c r="BT24" s="135">
        <v>4</v>
      </c>
      <c r="BX24" s="53"/>
      <c r="CF24" s="63" t="s">
        <v>100</v>
      </c>
      <c r="CG24" s="84">
        <f>ROUNDDOWN(TAN(PI()/180*(45+CI23/2))^2,2)</f>
        <v>3.53</v>
      </c>
      <c r="DB24" s="63" t="s">
        <v>304</v>
      </c>
      <c r="DC24" s="55" t="s">
        <v>320</v>
      </c>
    </row>
    <row r="25" spans="2:115" x14ac:dyDescent="0.4">
      <c r="C25" t="s">
        <v>61</v>
      </c>
      <c r="F25" s="131">
        <f>0.615*H12^2*1</f>
        <v>2214</v>
      </c>
      <c r="G25" t="s">
        <v>63</v>
      </c>
      <c r="AO25"/>
      <c r="AQ25" s="53" t="s">
        <v>125</v>
      </c>
      <c r="AR25" s="53" t="s">
        <v>126</v>
      </c>
      <c r="AX25" s="53"/>
      <c r="BX25" s="53"/>
      <c r="CO25" s="53" t="s">
        <v>333</v>
      </c>
      <c r="CP25" s="53" t="s">
        <v>290</v>
      </c>
      <c r="CQ25" s="53" t="s">
        <v>291</v>
      </c>
      <c r="DB25" s="63" t="s">
        <v>100</v>
      </c>
      <c r="DC25" s="95">
        <f>DC10</f>
        <v>9.1541666666666688E-2</v>
      </c>
      <c r="DD25" s="145">
        <f>DC17</f>
        <v>1579.7056547235979</v>
      </c>
    </row>
    <row r="26" spans="2:115" x14ac:dyDescent="0.4">
      <c r="C26" t="s">
        <v>62</v>
      </c>
      <c r="F26" s="131">
        <f>0.615*H12^2*0.7</f>
        <v>1549.8</v>
      </c>
      <c r="G26" t="s">
        <v>63</v>
      </c>
      <c r="Z26" s="53" t="s">
        <v>207</v>
      </c>
      <c r="AO26"/>
      <c r="AS26" s="63" t="s">
        <v>127</v>
      </c>
      <c r="AT26" s="53" t="s">
        <v>140</v>
      </c>
      <c r="AW26" s="63" t="s">
        <v>141</v>
      </c>
      <c r="AX26" s="53" t="s">
        <v>142</v>
      </c>
      <c r="BA26" s="53" t="s">
        <v>218</v>
      </c>
      <c r="BN26" s="53" t="s">
        <v>231</v>
      </c>
      <c r="BX26" s="53"/>
      <c r="CG26" s="63" t="s">
        <v>265</v>
      </c>
      <c r="CH26" s="53" t="s">
        <v>266</v>
      </c>
      <c r="CJ26" s="63" t="s">
        <v>267</v>
      </c>
      <c r="CK26" s="135">
        <v>34</v>
      </c>
      <c r="CL26" t="s">
        <v>268</v>
      </c>
      <c r="DB26" s="63" t="s">
        <v>100</v>
      </c>
      <c r="DC26" s="84">
        <f>DC25*DD25</f>
        <v>144.60888847615607</v>
      </c>
      <c r="DD26" s="53" t="s">
        <v>213</v>
      </c>
    </row>
    <row r="27" spans="2:115" x14ac:dyDescent="0.4">
      <c r="Z27" s="53" t="s">
        <v>208</v>
      </c>
      <c r="BB27" s="149" t="s">
        <v>219</v>
      </c>
      <c r="BC27" s="54" t="s">
        <v>132</v>
      </c>
      <c r="BD27" s="172" t="s">
        <v>159</v>
      </c>
      <c r="BO27" s="149" t="s">
        <v>232</v>
      </c>
      <c r="BP27" s="103">
        <v>1</v>
      </c>
      <c r="BQ27" s="154" t="s">
        <v>234</v>
      </c>
      <c r="BX27" s="53"/>
    </row>
    <row r="28" spans="2:115" x14ac:dyDescent="0.4">
      <c r="B28" t="s">
        <v>201</v>
      </c>
      <c r="AA28" s="149" t="s">
        <v>99</v>
      </c>
      <c r="AB28" s="150" t="s">
        <v>96</v>
      </c>
      <c r="AC28" s="54" t="s">
        <v>75</v>
      </c>
      <c r="AD28" s="61" t="s">
        <v>76</v>
      </c>
      <c r="BB28" s="149"/>
      <c r="BC28" s="62">
        <v>2</v>
      </c>
      <c r="BD28" s="154"/>
      <c r="BO28" s="149"/>
      <c r="BP28" s="64" t="s">
        <v>233</v>
      </c>
      <c r="BQ28" s="154"/>
      <c r="BX28" s="53"/>
      <c r="CC28" s="63" t="s">
        <v>269</v>
      </c>
      <c r="CD28" s="53" t="s">
        <v>270</v>
      </c>
      <c r="CN28" s="53" t="s">
        <v>293</v>
      </c>
    </row>
    <row r="29" spans="2:115" x14ac:dyDescent="0.4">
      <c r="C29" s="44"/>
      <c r="D29" s="26"/>
      <c r="E29" s="45"/>
      <c r="F29" s="26" t="s">
        <v>52</v>
      </c>
      <c r="G29" s="26"/>
      <c r="H29" s="45" t="s">
        <v>65</v>
      </c>
      <c r="I29" s="46" t="s">
        <v>66</v>
      </c>
      <c r="AA29" s="149"/>
      <c r="AB29" s="150"/>
      <c r="AC29" s="62">
        <v>0.3</v>
      </c>
      <c r="AN29" s="53" t="s">
        <v>211</v>
      </c>
      <c r="BB29" s="169" t="s">
        <v>160</v>
      </c>
      <c r="BC29" s="54">
        <f>AE5</f>
        <v>1.3</v>
      </c>
      <c r="BD29" s="170">
        <f>BC24</f>
        <v>0.42053695523538226</v>
      </c>
      <c r="BE29" s="172"/>
      <c r="BF29" s="150"/>
      <c r="BO29" s="149" t="s">
        <v>77</v>
      </c>
      <c r="BP29" s="136">
        <v>1</v>
      </c>
      <c r="BQ29" s="72"/>
      <c r="BR29" s="160">
        <f>AF23</f>
        <v>2.71</v>
      </c>
      <c r="BX29" s="53"/>
      <c r="CD29" s="63" t="s">
        <v>271</v>
      </c>
      <c r="CE29" s="65">
        <v>1.1000000000000001</v>
      </c>
      <c r="CO29" s="149" t="s">
        <v>294</v>
      </c>
      <c r="CP29" s="156" t="s">
        <v>295</v>
      </c>
      <c r="CQ29" s="156"/>
      <c r="CR29" s="150" t="s">
        <v>296</v>
      </c>
      <c r="CS29" s="150"/>
      <c r="DA29" s="53" t="s">
        <v>313</v>
      </c>
    </row>
    <row r="30" spans="2:115" x14ac:dyDescent="0.4">
      <c r="C30" s="19"/>
      <c r="D30" s="20"/>
      <c r="E30" s="47"/>
      <c r="F30" s="20"/>
      <c r="G30" s="20"/>
      <c r="H30" s="47"/>
      <c r="I30" s="48" t="s">
        <v>53</v>
      </c>
      <c r="AO30" s="169" t="s">
        <v>128</v>
      </c>
      <c r="AP30" s="54" t="s">
        <v>129</v>
      </c>
      <c r="AQ30" s="54" t="s">
        <v>130</v>
      </c>
      <c r="AR30" s="55">
        <v>3</v>
      </c>
      <c r="BB30" s="149"/>
      <c r="BC30" s="62">
        <v>2</v>
      </c>
      <c r="BD30" s="171"/>
      <c r="BE30" s="154"/>
      <c r="BF30" s="150"/>
      <c r="BO30" s="149"/>
      <c r="BP30" s="54" t="s">
        <v>156</v>
      </c>
      <c r="BQ30" s="96">
        <f>BP18</f>
        <v>1.2968395546510096</v>
      </c>
      <c r="BR30" s="160"/>
      <c r="BX30" s="53"/>
      <c r="CO30" s="149"/>
      <c r="CP30" s="158">
        <v>2</v>
      </c>
      <c r="CQ30" s="158"/>
      <c r="CR30" s="150"/>
      <c r="CS30" s="150"/>
      <c r="DB30" s="53">
        <v>1.7</v>
      </c>
      <c r="DC30" s="53" t="s">
        <v>314</v>
      </c>
      <c r="DD30" s="54" t="s">
        <v>100</v>
      </c>
      <c r="DE30" s="53">
        <v>1.7</v>
      </c>
      <c r="DF30" s="144">
        <f>CP37</f>
        <v>9.8334417491073314</v>
      </c>
    </row>
    <row r="31" spans="2:115" x14ac:dyDescent="0.4">
      <c r="C31" s="15" t="s">
        <v>2</v>
      </c>
      <c r="D31" s="16"/>
      <c r="E31" s="10" t="s">
        <v>32</v>
      </c>
      <c r="G31" s="28">
        <v>0.13</v>
      </c>
      <c r="H31" s="113">
        <f>F25</f>
        <v>2214</v>
      </c>
      <c r="I31" s="114">
        <f>ROUND(G31*H31,2)</f>
        <v>287.82</v>
      </c>
      <c r="AA31" s="63" t="s">
        <v>100</v>
      </c>
      <c r="AB31" s="88" t="s">
        <v>101</v>
      </c>
      <c r="AC31" s="53" t="s">
        <v>102</v>
      </c>
      <c r="AD31" s="53" t="s">
        <v>105</v>
      </c>
      <c r="AE31" s="53" t="s">
        <v>103</v>
      </c>
      <c r="AG31" s="53" t="s">
        <v>104</v>
      </c>
      <c r="AO31" s="149"/>
      <c r="AP31" s="62" t="s">
        <v>131</v>
      </c>
      <c r="AQ31" s="62" t="s">
        <v>132</v>
      </c>
      <c r="BB31" s="149" t="s">
        <v>100</v>
      </c>
      <c r="BC31" s="151">
        <f>3*(BC29/BC30-BD29)</f>
        <v>0.68838913429385329</v>
      </c>
      <c r="BD31" s="101"/>
      <c r="BE31" s="150" t="s">
        <v>163</v>
      </c>
      <c r="BF31" s="150" t="s">
        <v>176</v>
      </c>
      <c r="BG31" s="150" t="s">
        <v>100</v>
      </c>
      <c r="BH31" s="150">
        <f>AE5</f>
        <v>1.3</v>
      </c>
      <c r="BO31" s="149" t="s">
        <v>100</v>
      </c>
      <c r="BP31" s="150">
        <f>ROUND(1/(1+BQ30)*BR29,2)</f>
        <v>1.18</v>
      </c>
      <c r="BQ31" s="157" t="s">
        <v>93</v>
      </c>
      <c r="BX31" s="53"/>
      <c r="CA31" s="53" t="s">
        <v>272</v>
      </c>
      <c r="CO31" s="63"/>
      <c r="CP31" s="54"/>
      <c r="CQ31" s="54"/>
      <c r="CR31" s="54"/>
      <c r="CS31" s="54"/>
      <c r="DD31" s="54"/>
    </row>
    <row r="32" spans="2:115" x14ac:dyDescent="0.4">
      <c r="C32" s="15" t="s">
        <v>3</v>
      </c>
      <c r="D32" s="16" t="s">
        <v>26</v>
      </c>
      <c r="E32" s="11" t="s">
        <v>29</v>
      </c>
      <c r="G32" s="29">
        <f>ROUND(D16*G16/1000000,2)</f>
        <v>0.19</v>
      </c>
      <c r="H32" s="113">
        <f>F$26</f>
        <v>1549.8</v>
      </c>
      <c r="I32" s="114">
        <f t="shared" ref="I32:I33" si="1">ROUND(G32*H32,2)</f>
        <v>294.45999999999998</v>
      </c>
      <c r="AA32" s="63" t="s">
        <v>100</v>
      </c>
      <c r="AB32" s="89">
        <f>1/0.3</f>
        <v>3.3333333333333335</v>
      </c>
      <c r="AC32" s="91">
        <f>AJ43</f>
        <v>1</v>
      </c>
      <c r="AD32" s="92">
        <f>AF46</f>
        <v>2800</v>
      </c>
      <c r="AE32" s="53" t="s">
        <v>147</v>
      </c>
      <c r="AG32" s="90">
        <f>(1/0.3)^(-3/4)</f>
        <v>0.40536004644211027</v>
      </c>
      <c r="AO32" s="149" t="s">
        <v>77</v>
      </c>
      <c r="AP32" s="147">
        <f>AB37</f>
        <v>40300.130437746579</v>
      </c>
      <c r="AQ32" s="150" t="s">
        <v>133</v>
      </c>
      <c r="AR32" s="54">
        <f>AE7</f>
        <v>0.65</v>
      </c>
      <c r="AS32" s="55">
        <v>3</v>
      </c>
      <c r="BB32" s="149"/>
      <c r="BC32" s="151"/>
      <c r="BE32" s="150"/>
      <c r="BF32" s="150"/>
      <c r="BG32" s="150"/>
      <c r="BH32" s="150"/>
      <c r="BO32" s="149"/>
      <c r="BP32" s="150"/>
      <c r="BQ32" s="157"/>
      <c r="BX32" s="53"/>
      <c r="CB32" s="149" t="s">
        <v>273</v>
      </c>
      <c r="CC32" s="103">
        <v>1</v>
      </c>
      <c r="CD32" s="154" t="s">
        <v>274</v>
      </c>
      <c r="CK32" s="53"/>
      <c r="CO32" s="149" t="s">
        <v>100</v>
      </c>
      <c r="CP32" s="72">
        <f>AE6</f>
        <v>1.3</v>
      </c>
      <c r="CQ32" s="142">
        <f>CP17</f>
        <v>61.152953365282222</v>
      </c>
      <c r="CR32" s="142">
        <f>CR49</f>
        <v>0.51841745751869805</v>
      </c>
      <c r="CS32" s="150" t="s">
        <v>297</v>
      </c>
      <c r="CT32" s="103">
        <f>AE5</f>
        <v>1.3</v>
      </c>
      <c r="CU32" s="150" t="s">
        <v>285</v>
      </c>
      <c r="CV32" s="143">
        <f>CR49</f>
        <v>0.51841745751869805</v>
      </c>
      <c r="CW32" s="150" t="s">
        <v>182</v>
      </c>
      <c r="DD32" s="54" t="s">
        <v>100</v>
      </c>
      <c r="DE32" s="84">
        <f>DE30*DF30</f>
        <v>16.716850973482462</v>
      </c>
      <c r="DG32" s="54" t="s">
        <v>187</v>
      </c>
      <c r="DH32" s="53" t="s">
        <v>334</v>
      </c>
      <c r="DI32" s="146">
        <f>DC26</f>
        <v>144.60888847615607</v>
      </c>
      <c r="DK32" s="53" t="str">
        <f>IF(DE32&lt;=DI32, "OK","NG")</f>
        <v>OK</v>
      </c>
    </row>
    <row r="33" spans="2:122" x14ac:dyDescent="0.4">
      <c r="C33" s="15"/>
      <c r="D33" s="16" t="s">
        <v>28</v>
      </c>
      <c r="E33" s="11" t="s">
        <v>30</v>
      </c>
      <c r="G33" s="29">
        <f>ROUND(E16*(H16+I16)/2/1000000,2)</f>
        <v>1.08</v>
      </c>
      <c r="H33" s="113">
        <f>F$26</f>
        <v>1549.8</v>
      </c>
      <c r="I33" s="114">
        <f t="shared" si="1"/>
        <v>1673.78</v>
      </c>
      <c r="AA33" s="63" t="s">
        <v>100</v>
      </c>
      <c r="AB33" s="53">
        <f>AB32*AC32*AG32</f>
        <v>1.3512001548070343</v>
      </c>
      <c r="AC33" s="85">
        <f>AD32</f>
        <v>2800</v>
      </c>
      <c r="AD33" s="93">
        <f>AJ47</f>
        <v>10</v>
      </c>
      <c r="AE33" s="53" t="s">
        <v>148</v>
      </c>
      <c r="AF33" s="85"/>
      <c r="AO33" s="149"/>
      <c r="AP33" s="132">
        <f>AP12</f>
        <v>31075.648713222417</v>
      </c>
      <c r="AQ33" s="150"/>
      <c r="AR33" s="62">
        <f>AE5</f>
        <v>1.3</v>
      </c>
      <c r="BB33" s="53" t="s">
        <v>220</v>
      </c>
      <c r="BC33" s="98"/>
      <c r="BD33" s="98"/>
      <c r="BE33" s="98"/>
      <c r="BF33" s="98"/>
      <c r="BG33" s="98"/>
      <c r="BH33" s="98"/>
      <c r="BI33" s="98"/>
      <c r="BJ33" s="98"/>
      <c r="BX33" s="53"/>
      <c r="CB33" s="149"/>
      <c r="CC33" s="64" t="s">
        <v>250</v>
      </c>
      <c r="CD33" s="154"/>
      <c r="CE33" s="90"/>
      <c r="CK33" s="53"/>
      <c r="CO33" s="149"/>
      <c r="CP33" s="150">
        <v>2</v>
      </c>
      <c r="CQ33" s="150"/>
      <c r="CR33" s="150"/>
      <c r="CS33" s="150"/>
      <c r="CT33" s="54">
        <v>2</v>
      </c>
      <c r="CU33" s="150"/>
      <c r="CV33" s="54">
        <v>3</v>
      </c>
      <c r="CW33" s="150"/>
      <c r="DD33" s="54"/>
    </row>
    <row r="34" spans="2:122" ht="19.5" thickBot="1" x14ac:dyDescent="0.45">
      <c r="C34" s="17"/>
      <c r="D34" s="18" t="s">
        <v>27</v>
      </c>
      <c r="E34" s="12" t="s">
        <v>31</v>
      </c>
      <c r="F34" s="8"/>
      <c r="G34" s="35">
        <f>ROUND(F16*J16/1000000,2)</f>
        <v>0.28999999999999998</v>
      </c>
      <c r="H34" s="115">
        <f>F$26</f>
        <v>1549.8</v>
      </c>
      <c r="I34" s="115">
        <f>ROUND(G34*H34,2)</f>
        <v>449.44</v>
      </c>
      <c r="AA34" s="63" t="s">
        <v>100</v>
      </c>
      <c r="AB34" s="124">
        <f>AB33*AC33*AD33</f>
        <v>37833.604334596959</v>
      </c>
      <c r="AC34" s="53" t="s">
        <v>149</v>
      </c>
      <c r="AO34" s="149" t="s">
        <v>77</v>
      </c>
      <c r="AP34" s="176">
        <f>AP32/AP33*(AR32/AR33)^3</f>
        <v>0.16210494433137621</v>
      </c>
      <c r="BC34" s="98"/>
      <c r="BD34" s="98"/>
      <c r="BE34" s="98"/>
      <c r="BF34" s="98"/>
      <c r="BG34" s="98"/>
      <c r="BH34" s="98"/>
      <c r="BI34" s="98"/>
      <c r="BJ34" s="98"/>
      <c r="BN34" s="53" t="s">
        <v>235</v>
      </c>
      <c r="BX34" s="53"/>
      <c r="CB34" s="149" t="s">
        <v>169</v>
      </c>
      <c r="CC34" s="103">
        <v>1</v>
      </c>
      <c r="CD34" s="161">
        <f>CE46</f>
        <v>3.5707200208333338</v>
      </c>
      <c r="CO34" s="63"/>
      <c r="CP34" s="54"/>
      <c r="CQ34" s="54"/>
      <c r="CR34" s="54"/>
      <c r="CS34" s="54"/>
      <c r="CT34" s="54"/>
      <c r="CU34" s="54"/>
      <c r="CV34" s="54"/>
      <c r="CW34" s="54"/>
    </row>
    <row r="35" spans="2:122" ht="19.5" thickTop="1" x14ac:dyDescent="0.4">
      <c r="C35" s="19" t="s">
        <v>36</v>
      </c>
      <c r="D35" s="20"/>
      <c r="E35" s="13"/>
      <c r="F35" s="9"/>
      <c r="G35" s="9"/>
      <c r="H35" s="116"/>
      <c r="I35" s="117">
        <f>SUM(I31:I34)</f>
        <v>2705.5</v>
      </c>
      <c r="AA35" s="63"/>
      <c r="AB35" s="124"/>
      <c r="AO35" s="149"/>
      <c r="AP35" s="176"/>
      <c r="AY35" s="53"/>
      <c r="BA35" s="53" t="s">
        <v>229</v>
      </c>
      <c r="BC35" s="98"/>
      <c r="BD35" s="98"/>
      <c r="BE35" s="98"/>
      <c r="BF35" s="98"/>
      <c r="BG35" s="98"/>
      <c r="BH35" s="98"/>
      <c r="BI35" s="98"/>
      <c r="BJ35" s="98"/>
      <c r="BO35" s="149" t="s">
        <v>236</v>
      </c>
      <c r="BP35" s="103" t="s">
        <v>237</v>
      </c>
      <c r="BQ35" s="154" t="s">
        <v>234</v>
      </c>
      <c r="BX35" s="53"/>
      <c r="CB35" s="149"/>
      <c r="CC35" s="139">
        <f>CE29</f>
        <v>1.1000000000000001</v>
      </c>
      <c r="CD35" s="161"/>
      <c r="CO35" s="149" t="s">
        <v>100</v>
      </c>
      <c r="CP35" s="143">
        <f>CP32*CQ32*CR32</f>
        <v>41.213586184405855</v>
      </c>
      <c r="CQ35" s="150" t="s">
        <v>155</v>
      </c>
      <c r="CR35" s="151">
        <f>CT32/2-CV32/3</f>
        <v>0.47719418082710063</v>
      </c>
    </row>
    <row r="36" spans="2:122" x14ac:dyDescent="0.4">
      <c r="U36" t="s">
        <v>23</v>
      </c>
      <c r="AA36" s="63" t="s">
        <v>100</v>
      </c>
      <c r="AB36" s="124">
        <f>AB34</f>
        <v>37833.604334596959</v>
      </c>
      <c r="AC36" s="87">
        <f>AE6</f>
        <v>1.3</v>
      </c>
      <c r="AD36" s="85">
        <f>AE7</f>
        <v>0.65</v>
      </c>
      <c r="AE36" s="53" t="s">
        <v>106</v>
      </c>
      <c r="AZ36" s="53"/>
      <c r="BB36" s="98"/>
      <c r="BC36" s="98"/>
      <c r="BD36" s="98"/>
      <c r="BE36" s="98"/>
      <c r="BF36" s="98"/>
      <c r="BG36" s="98"/>
      <c r="BH36" s="98"/>
      <c r="BI36" s="98"/>
      <c r="BJ36" s="98"/>
      <c r="BL36" s="53"/>
      <c r="BO36" s="149"/>
      <c r="BP36" s="64" t="s">
        <v>233</v>
      </c>
      <c r="BQ36" s="154"/>
      <c r="BX36" s="53"/>
      <c r="CB36" s="149" t="s">
        <v>169</v>
      </c>
      <c r="CC36" s="151">
        <f>CC34/CC35*CD34</f>
        <v>3.2461091098484851</v>
      </c>
      <c r="CD36" s="157" t="s">
        <v>331</v>
      </c>
      <c r="CE36" s="162" t="s">
        <v>242</v>
      </c>
      <c r="CF36" s="149" t="s">
        <v>275</v>
      </c>
      <c r="CG36" s="150" t="s">
        <v>100</v>
      </c>
      <c r="CH36" s="159">
        <f>BC9</f>
        <v>2.4762014251252253</v>
      </c>
      <c r="CI36" s="157" t="s">
        <v>331</v>
      </c>
      <c r="CK36" s="150" t="str">
        <f>IF(CC36&gt;=CH36,"OK","NG")</f>
        <v>OK</v>
      </c>
      <c r="CO36" s="149"/>
      <c r="CP36" s="54">
        <f>CP33</f>
        <v>2</v>
      </c>
      <c r="CQ36" s="150"/>
      <c r="CR36" s="151"/>
    </row>
    <row r="37" spans="2:122" x14ac:dyDescent="0.4">
      <c r="B37" t="s">
        <v>202</v>
      </c>
      <c r="M37" s="22" t="s">
        <v>5</v>
      </c>
      <c r="N37" s="22" t="s">
        <v>8</v>
      </c>
      <c r="O37" s="22" t="s">
        <v>44</v>
      </c>
      <c r="P37" s="22" t="s">
        <v>15</v>
      </c>
      <c r="Q37" s="22" t="s">
        <v>16</v>
      </c>
      <c r="R37" s="22" t="s">
        <v>17</v>
      </c>
      <c r="S37" s="22" t="s">
        <v>18</v>
      </c>
      <c r="T37" s="22" t="s">
        <v>19</v>
      </c>
      <c r="U37" s="22" t="s">
        <v>20</v>
      </c>
      <c r="V37" s="22" t="s">
        <v>21</v>
      </c>
      <c r="W37" s="22" t="s">
        <v>22</v>
      </c>
      <c r="AA37" s="63" t="s">
        <v>100</v>
      </c>
      <c r="AB37" s="130">
        <f>AB36*(AC36*AD36)^(-0.375)</f>
        <v>40300.130437746579</v>
      </c>
      <c r="AC37" s="87" t="s">
        <v>107</v>
      </c>
      <c r="AD37" s="85"/>
      <c r="AN37" s="53" t="s">
        <v>212</v>
      </c>
      <c r="BB37" s="150" t="s">
        <v>161</v>
      </c>
      <c r="BC37" s="103" t="s">
        <v>162</v>
      </c>
      <c r="BO37" s="149" t="s">
        <v>77</v>
      </c>
      <c r="BP37" s="137">
        <f>BP18</f>
        <v>1.2968395546510096</v>
      </c>
      <c r="BQ37" s="72"/>
      <c r="BR37" s="160">
        <f>AF23</f>
        <v>2.71</v>
      </c>
      <c r="BX37" s="53"/>
      <c r="CB37" s="149"/>
      <c r="CC37" s="151"/>
      <c r="CD37" s="157"/>
      <c r="CE37" s="150"/>
      <c r="CF37" s="149"/>
      <c r="CG37" s="150"/>
      <c r="CH37" s="157"/>
      <c r="CI37" s="157"/>
      <c r="CK37" s="150"/>
      <c r="CO37" s="149" t="s">
        <v>100</v>
      </c>
      <c r="CP37" s="151">
        <f>CP35/CP36*CR35</f>
        <v>9.8334417491073314</v>
      </c>
      <c r="CQ37" s="150" t="s">
        <v>315</v>
      </c>
    </row>
    <row r="38" spans="2:122" x14ac:dyDescent="0.4">
      <c r="C38" s="44"/>
      <c r="D38" s="26"/>
      <c r="E38" s="44"/>
      <c r="F38" s="26"/>
      <c r="G38" s="26" t="s">
        <v>37</v>
      </c>
      <c r="H38" s="50"/>
      <c r="I38" s="46" t="s">
        <v>66</v>
      </c>
      <c r="J38" s="46" t="s">
        <v>67</v>
      </c>
      <c r="M38" s="2" t="s">
        <v>6</v>
      </c>
      <c r="N38" s="3" t="s">
        <v>9</v>
      </c>
      <c r="O38" s="174">
        <v>8000</v>
      </c>
      <c r="P38" s="174">
        <v>1500</v>
      </c>
      <c r="Q38" s="174">
        <v>5000</v>
      </c>
      <c r="R38" s="174">
        <v>1500</v>
      </c>
      <c r="S38" s="167">
        <v>75</v>
      </c>
      <c r="T38" s="167">
        <v>75</v>
      </c>
      <c r="U38" s="167">
        <v>165</v>
      </c>
      <c r="V38" s="167">
        <v>165</v>
      </c>
      <c r="W38" s="2">
        <v>3.5</v>
      </c>
      <c r="AA38" s="63"/>
      <c r="AB38" s="86"/>
      <c r="AC38" s="87"/>
      <c r="AD38" s="85"/>
      <c r="AO38" s="63" t="s">
        <v>154</v>
      </c>
      <c r="AP38" s="54" t="s">
        <v>151</v>
      </c>
      <c r="AQ38" s="53" t="s">
        <v>152</v>
      </c>
      <c r="AR38" s="53" t="s">
        <v>153</v>
      </c>
      <c r="BB38" s="150"/>
      <c r="BC38" s="94" t="s">
        <v>164</v>
      </c>
      <c r="BO38" s="149"/>
      <c r="BP38" s="54" t="s">
        <v>156</v>
      </c>
      <c r="BQ38" s="96">
        <f>BP18</f>
        <v>1.2968395546510096</v>
      </c>
      <c r="BR38" s="160"/>
      <c r="BX38" s="53"/>
      <c r="CO38" s="149"/>
      <c r="CP38" s="151"/>
      <c r="CQ38" s="150"/>
    </row>
    <row r="39" spans="2:122" x14ac:dyDescent="0.4">
      <c r="C39" s="19"/>
      <c r="D39" s="20"/>
      <c r="E39" s="19"/>
      <c r="F39" s="20"/>
      <c r="G39" s="20"/>
      <c r="H39" s="49"/>
      <c r="I39" s="48"/>
      <c r="J39" s="48" t="s">
        <v>54</v>
      </c>
      <c r="M39" s="2" t="s">
        <v>7</v>
      </c>
      <c r="N39" s="3" t="s">
        <v>10</v>
      </c>
      <c r="O39" s="175"/>
      <c r="P39" s="175"/>
      <c r="Q39" s="175"/>
      <c r="R39" s="175"/>
      <c r="S39" s="168"/>
      <c r="T39" s="168"/>
      <c r="U39" s="168"/>
      <c r="V39" s="168"/>
      <c r="W39" s="2">
        <v>3.6</v>
      </c>
      <c r="AO39" s="63" t="s">
        <v>100</v>
      </c>
      <c r="AP39" s="53">
        <f>AF24</f>
        <v>15.99</v>
      </c>
      <c r="AQ39" s="53" t="s">
        <v>152</v>
      </c>
      <c r="AR39" s="53">
        <f>AF23</f>
        <v>2.71</v>
      </c>
      <c r="AS39" s="53" t="s">
        <v>155</v>
      </c>
      <c r="AT39" s="53">
        <f>AE7</f>
        <v>0.65</v>
      </c>
      <c r="BO39" s="149" t="s">
        <v>100</v>
      </c>
      <c r="BP39" s="150">
        <f>ROUND(BP37/(1+BQ38)*BR37,2)</f>
        <v>1.53</v>
      </c>
      <c r="BQ39" s="157" t="s">
        <v>93</v>
      </c>
      <c r="BX39" s="53"/>
      <c r="CC39" s="63" t="s">
        <v>276</v>
      </c>
      <c r="CD39" s="53" t="s">
        <v>277</v>
      </c>
      <c r="CJ39"/>
    </row>
    <row r="40" spans="2:122" x14ac:dyDescent="0.4">
      <c r="C40" s="15" t="s">
        <v>2</v>
      </c>
      <c r="D40" s="16"/>
      <c r="E40" s="11" t="s">
        <v>45</v>
      </c>
      <c r="H40" s="36">
        <f>(D16+E16+F16+300)/1000</f>
        <v>12.3</v>
      </c>
      <c r="I40" s="114">
        <f>I31</f>
        <v>287.82</v>
      </c>
      <c r="J40" s="114">
        <f>ROUND(H40*I40,2)</f>
        <v>3540.19</v>
      </c>
      <c r="M40" s="2" t="s">
        <v>6</v>
      </c>
      <c r="N40" s="3" t="s">
        <v>11</v>
      </c>
      <c r="O40" s="174">
        <v>10000</v>
      </c>
      <c r="P40" s="174">
        <v>2500</v>
      </c>
      <c r="Q40" s="174">
        <v>6000</v>
      </c>
      <c r="R40" s="174">
        <v>1500</v>
      </c>
      <c r="S40" s="167">
        <v>75</v>
      </c>
      <c r="T40" s="167">
        <v>75</v>
      </c>
      <c r="U40" s="167">
        <v>175</v>
      </c>
      <c r="V40" s="167">
        <v>175</v>
      </c>
      <c r="W40" s="2">
        <v>4.2</v>
      </c>
      <c r="AB40" s="63" t="s">
        <v>95</v>
      </c>
      <c r="AC40" s="53" t="s">
        <v>98</v>
      </c>
      <c r="AO40" s="63" t="s">
        <v>100</v>
      </c>
      <c r="AP40" s="99">
        <f>AP39+AR39*AT39</f>
        <v>17.7515</v>
      </c>
      <c r="AQ40" s="53" t="s">
        <v>213</v>
      </c>
      <c r="BB40" s="150" t="s">
        <v>100</v>
      </c>
      <c r="BC40" s="103">
        <v>2</v>
      </c>
      <c r="BD40" s="72" t="s">
        <v>155</v>
      </c>
      <c r="BE40" s="104">
        <f>BC15</f>
        <v>36.334500000000006</v>
      </c>
      <c r="BO40" s="149"/>
      <c r="BP40" s="150"/>
      <c r="BQ40" s="157"/>
      <c r="BX40" s="53"/>
      <c r="CD40" s="149" t="s">
        <v>278</v>
      </c>
      <c r="CE40" s="103">
        <v>1</v>
      </c>
      <c r="CF40" s="157" t="s">
        <v>328</v>
      </c>
      <c r="CG40" s="157"/>
      <c r="CH40" s="157"/>
      <c r="CJ40"/>
      <c r="CP40" s="63" t="s">
        <v>298</v>
      </c>
      <c r="CQ40" s="53" t="s">
        <v>299</v>
      </c>
    </row>
    <row r="41" spans="2:122" x14ac:dyDescent="0.4">
      <c r="C41" s="15" t="s">
        <v>3</v>
      </c>
      <c r="D41" s="16" t="s">
        <v>26</v>
      </c>
      <c r="E41" s="11" t="s">
        <v>33</v>
      </c>
      <c r="H41" s="36">
        <f>(D16/2+E16+F16+300)/1000</f>
        <v>11.05</v>
      </c>
      <c r="I41" s="114">
        <f>I32</f>
        <v>294.45999999999998</v>
      </c>
      <c r="J41" s="114">
        <f t="shared" ref="J41:J43" si="2">ROUND(H41*I41,2)</f>
        <v>3253.78</v>
      </c>
      <c r="M41" s="2" t="s">
        <v>7</v>
      </c>
      <c r="N41" s="3" t="s">
        <v>12</v>
      </c>
      <c r="O41" s="175"/>
      <c r="P41" s="175"/>
      <c r="Q41" s="175"/>
      <c r="R41" s="175"/>
      <c r="S41" s="168"/>
      <c r="T41" s="168"/>
      <c r="U41" s="168"/>
      <c r="V41" s="168"/>
      <c r="W41" s="2">
        <v>4.4000000000000004</v>
      </c>
      <c r="AC41" s="150" t="s">
        <v>97</v>
      </c>
      <c r="AD41" s="103">
        <v>1</v>
      </c>
      <c r="AE41" s="166" t="s">
        <v>110</v>
      </c>
      <c r="AF41" s="157"/>
      <c r="AX41" s="53"/>
      <c r="BB41" s="150"/>
      <c r="BC41" s="102">
        <f>AE6</f>
        <v>1.3</v>
      </c>
      <c r="BD41" s="53" t="s">
        <v>155</v>
      </c>
      <c r="BE41" s="84">
        <f>BC31</f>
        <v>0.68838913429385329</v>
      </c>
      <c r="BX41" s="53"/>
      <c r="CD41" s="149"/>
      <c r="CE41" s="54">
        <v>6</v>
      </c>
      <c r="CF41" s="157"/>
      <c r="CG41" s="157"/>
      <c r="CH41" s="157"/>
      <c r="CJ41"/>
      <c r="CQ41" s="149" t="s">
        <v>300</v>
      </c>
      <c r="CR41" s="156" t="s">
        <v>301</v>
      </c>
      <c r="CS41" s="156"/>
    </row>
    <row r="42" spans="2:122" x14ac:dyDescent="0.4">
      <c r="C42" s="15"/>
      <c r="D42" s="16" t="s">
        <v>28</v>
      </c>
      <c r="E42" s="11" t="s">
        <v>34</v>
      </c>
      <c r="H42" s="36">
        <f>ROUND((E16*(I16+2*H16)/(3*I16+3*H16))/1000,2)+F16/1000+300/1000</f>
        <v>5.21</v>
      </c>
      <c r="I42" s="114">
        <f>I33</f>
        <v>1673.78</v>
      </c>
      <c r="J42" s="114">
        <f t="shared" si="2"/>
        <v>8720.39</v>
      </c>
      <c r="M42" s="2" t="s">
        <v>6</v>
      </c>
      <c r="N42" s="3" t="s">
        <v>13</v>
      </c>
      <c r="O42" s="174">
        <v>12000</v>
      </c>
      <c r="P42" s="174">
        <v>2500</v>
      </c>
      <c r="Q42" s="174">
        <v>8000</v>
      </c>
      <c r="R42" s="174">
        <v>1500</v>
      </c>
      <c r="S42" s="167">
        <v>75</v>
      </c>
      <c r="T42" s="167">
        <v>75</v>
      </c>
      <c r="U42" s="167">
        <v>195</v>
      </c>
      <c r="V42" s="167">
        <v>195</v>
      </c>
      <c r="W42" s="2">
        <v>5.5</v>
      </c>
      <c r="AC42" s="150"/>
      <c r="AD42" s="54">
        <v>0.3</v>
      </c>
      <c r="AE42" s="157"/>
      <c r="AF42" s="157"/>
      <c r="AN42" s="53" t="s">
        <v>214</v>
      </c>
      <c r="BN42" s="53" t="s">
        <v>238</v>
      </c>
      <c r="BX42" s="53"/>
      <c r="CJ42"/>
      <c r="CQ42" s="149"/>
      <c r="CR42" s="150" t="s">
        <v>302</v>
      </c>
      <c r="CS42" s="150"/>
    </row>
    <row r="43" spans="2:122" ht="19.5" thickBot="1" x14ac:dyDescent="0.45">
      <c r="C43" s="17"/>
      <c r="D43" s="18" t="s">
        <v>27</v>
      </c>
      <c r="E43" s="12" t="s">
        <v>35</v>
      </c>
      <c r="F43" s="8"/>
      <c r="G43" s="8"/>
      <c r="H43" s="37">
        <f>(F16/2+300)/1000</f>
        <v>1.05</v>
      </c>
      <c r="I43" s="115">
        <f>I34</f>
        <v>449.44</v>
      </c>
      <c r="J43" s="115">
        <f t="shared" si="2"/>
        <v>471.91</v>
      </c>
      <c r="M43" s="30" t="s">
        <v>7</v>
      </c>
      <c r="N43" s="31" t="s">
        <v>14</v>
      </c>
      <c r="O43" s="175"/>
      <c r="P43" s="175"/>
      <c r="Q43" s="175"/>
      <c r="R43" s="175"/>
      <c r="S43" s="168"/>
      <c r="T43" s="168"/>
      <c r="U43" s="168"/>
      <c r="V43" s="168"/>
      <c r="W43" s="30">
        <v>5.6</v>
      </c>
      <c r="AB43" s="54"/>
      <c r="AD43" s="63" t="s">
        <v>81</v>
      </c>
      <c r="AE43" s="53" t="s">
        <v>82</v>
      </c>
      <c r="AI43" s="63" t="s">
        <v>117</v>
      </c>
      <c r="AJ43" s="65">
        <v>1</v>
      </c>
      <c r="AO43" s="149" t="s">
        <v>165</v>
      </c>
      <c r="AP43" s="103">
        <v>1</v>
      </c>
      <c r="AQ43" s="154" t="s">
        <v>166</v>
      </c>
      <c r="BB43" s="150" t="s">
        <v>100</v>
      </c>
      <c r="BC43" s="150">
        <f>BC40*BE40/BC41/BE41</f>
        <v>81.202953365282227</v>
      </c>
      <c r="BD43" s="150" t="s">
        <v>174</v>
      </c>
      <c r="BE43" s="150" t="s">
        <v>163</v>
      </c>
      <c r="BF43" s="150" t="s">
        <v>183</v>
      </c>
      <c r="BG43" s="150"/>
      <c r="BH43" s="150">
        <f>E11</f>
        <v>100</v>
      </c>
      <c r="BI43" s="150" t="s">
        <v>174</v>
      </c>
      <c r="BK43" s="150" t="str">
        <f>IF(BC43&lt;BH43,"OK","NG")</f>
        <v>OK</v>
      </c>
      <c r="BO43" s="149" t="s">
        <v>239</v>
      </c>
      <c r="BP43" s="103">
        <v>1</v>
      </c>
      <c r="BQ43" s="154" t="s">
        <v>241</v>
      </c>
      <c r="BX43" s="53"/>
      <c r="CD43" s="149" t="s">
        <v>100</v>
      </c>
      <c r="CE43" s="103">
        <v>1</v>
      </c>
      <c r="CF43" s="160">
        <f>BH18</f>
        <v>17</v>
      </c>
      <c r="CG43" s="161">
        <f>CG24</f>
        <v>3.53</v>
      </c>
      <c r="CH43" s="160">
        <f>AE6</f>
        <v>1.3</v>
      </c>
      <c r="CI43" s="160">
        <f>AE7</f>
        <v>0.65</v>
      </c>
      <c r="CJ43" s="157" t="s">
        <v>279</v>
      </c>
      <c r="CQ43" s="63"/>
      <c r="CR43" s="54"/>
      <c r="CS43" s="54"/>
    </row>
    <row r="44" spans="2:122" ht="19.5" thickTop="1" x14ac:dyDescent="0.4">
      <c r="C44" s="19" t="s">
        <v>36</v>
      </c>
      <c r="D44" s="20"/>
      <c r="E44" s="13"/>
      <c r="F44" s="9"/>
      <c r="G44" s="9"/>
      <c r="H44" s="21"/>
      <c r="I44" s="117"/>
      <c r="J44" s="117">
        <f>SUM(J40:J43)</f>
        <v>15986.27</v>
      </c>
      <c r="AB44" s="54"/>
      <c r="AD44" s="63"/>
      <c r="AF44" s="53" t="s">
        <v>121</v>
      </c>
      <c r="AI44" s="63"/>
      <c r="AJ44" s="65"/>
      <c r="AO44" s="149"/>
      <c r="AP44" s="64" t="s">
        <v>134</v>
      </c>
      <c r="AQ44" s="154"/>
      <c r="BB44" s="150"/>
      <c r="BC44" s="150"/>
      <c r="BD44" s="150"/>
      <c r="BE44" s="150"/>
      <c r="BF44" s="150"/>
      <c r="BG44" s="150"/>
      <c r="BH44" s="150"/>
      <c r="BI44" s="150"/>
      <c r="BK44" s="150"/>
      <c r="BO44" s="149"/>
      <c r="BP44" s="64" t="s">
        <v>240</v>
      </c>
      <c r="BQ44" s="154"/>
      <c r="BX44" s="53"/>
      <c r="CD44" s="149"/>
      <c r="CE44" s="54">
        <f>CE41</f>
        <v>6</v>
      </c>
      <c r="CF44" s="160"/>
      <c r="CG44" s="161"/>
      <c r="CH44" s="160"/>
      <c r="CI44" s="160"/>
      <c r="CJ44" s="157"/>
      <c r="CQ44" s="149" t="s">
        <v>100</v>
      </c>
      <c r="CR44" s="72">
        <f>AE6</f>
        <v>1.3</v>
      </c>
      <c r="CS44" s="142">
        <f>CP17</f>
        <v>61.152953365282222</v>
      </c>
      <c r="CT44" s="72"/>
      <c r="CU44" s="72"/>
      <c r="CV44" s="72"/>
      <c r="CW44" s="72"/>
      <c r="DM44" s="53"/>
      <c r="DN44" s="53"/>
      <c r="DO44" s="53"/>
      <c r="DP44" s="53"/>
      <c r="DQ44" s="53"/>
      <c r="DR44" s="53"/>
    </row>
    <row r="45" spans="2:122" x14ac:dyDescent="0.4">
      <c r="N45" t="s">
        <v>4</v>
      </c>
      <c r="AB45" s="54"/>
      <c r="AD45" s="63" t="s">
        <v>111</v>
      </c>
      <c r="AE45" s="53" t="s">
        <v>109</v>
      </c>
      <c r="AH45" s="54"/>
      <c r="BK45" s="53"/>
      <c r="BO45" s="149" t="s">
        <v>169</v>
      </c>
      <c r="BP45" s="103">
        <v>1</v>
      </c>
      <c r="BQ45" s="160">
        <f>BP6</f>
        <v>14.533800000000003</v>
      </c>
      <c r="CJ45"/>
      <c r="CQ45" s="149"/>
      <c r="CR45" s="53">
        <v>2</v>
      </c>
      <c r="CS45" s="53" t="s">
        <v>303</v>
      </c>
      <c r="CT45" s="84">
        <f>CP17</f>
        <v>61.152953365282222</v>
      </c>
      <c r="CU45" s="54" t="s">
        <v>285</v>
      </c>
      <c r="CV45" s="84">
        <f>CP23</f>
        <v>-15.52158587127461</v>
      </c>
      <c r="CW45" s="53" t="s">
        <v>182</v>
      </c>
    </row>
    <row r="46" spans="2:122" x14ac:dyDescent="0.4">
      <c r="B46" t="s">
        <v>203</v>
      </c>
      <c r="AB46" s="54"/>
      <c r="AC46" s="54"/>
      <c r="AE46" s="63" t="s">
        <v>112</v>
      </c>
      <c r="AF46" s="28">
        <v>2800</v>
      </c>
      <c r="AG46" t="s">
        <v>113</v>
      </c>
      <c r="AO46" s="149" t="s">
        <v>77</v>
      </c>
      <c r="AP46" s="136">
        <v>1</v>
      </c>
      <c r="AQ46" s="72"/>
      <c r="AR46" s="160">
        <f>AP40</f>
        <v>17.7515</v>
      </c>
      <c r="BD46" s="63"/>
      <c r="BH46" s="65"/>
      <c r="BI46"/>
      <c r="BJ46" s="65"/>
      <c r="BK46" s="105"/>
      <c r="BO46" s="149"/>
      <c r="BP46" s="139">
        <f>BR51</f>
        <v>1.2</v>
      </c>
      <c r="BQ46" s="160"/>
      <c r="CD46" s="63" t="s">
        <v>100</v>
      </c>
      <c r="CE46" s="84">
        <f>CE43/CE44*CF43*CG43*CH43*CI43^3</f>
        <v>3.5707200208333338</v>
      </c>
      <c r="CF46" s="53" t="s">
        <v>213</v>
      </c>
      <c r="CJ46"/>
      <c r="CQ46" s="63"/>
      <c r="CT46" s="84"/>
      <c r="CU46" s="54"/>
      <c r="CV46" s="84"/>
    </row>
    <row r="47" spans="2:122" x14ac:dyDescent="0.4">
      <c r="C47" s="22" t="s">
        <v>49</v>
      </c>
      <c r="D47" s="33" t="s">
        <v>50</v>
      </c>
      <c r="E47" s="33" t="s">
        <v>69</v>
      </c>
      <c r="F47" s="34" t="s">
        <v>55</v>
      </c>
      <c r="AE47" s="63" t="s">
        <v>114</v>
      </c>
      <c r="AF47" s="53" t="s">
        <v>115</v>
      </c>
      <c r="AI47" s="63" t="s">
        <v>116</v>
      </c>
      <c r="AJ47" s="29">
        <f>H11</f>
        <v>10</v>
      </c>
      <c r="AO47" s="149"/>
      <c r="AP47" s="54" t="s">
        <v>156</v>
      </c>
      <c r="AQ47" s="96">
        <f>AP34</f>
        <v>0.16210494433137621</v>
      </c>
      <c r="AR47" s="160"/>
      <c r="BA47" s="53" t="s">
        <v>221</v>
      </c>
      <c r="BO47" s="149" t="s">
        <v>169</v>
      </c>
      <c r="BP47" s="151">
        <f>BP45/BP46*BQ45</f>
        <v>12.111500000000003</v>
      </c>
      <c r="BQ47" s="157" t="s">
        <v>93</v>
      </c>
      <c r="BR47" s="162" t="s">
        <v>242</v>
      </c>
      <c r="BS47" s="149" t="s">
        <v>243</v>
      </c>
      <c r="BT47" s="150" t="s">
        <v>100</v>
      </c>
      <c r="BU47" s="157">
        <f>BP31</f>
        <v>1.18</v>
      </c>
      <c r="BV47" s="157" t="s">
        <v>93</v>
      </c>
      <c r="BX47" s="150" t="str">
        <f>IF(BP47&gt;=BU47,"OK","NG")</f>
        <v>OK</v>
      </c>
      <c r="CQ47" s="149" t="s">
        <v>100</v>
      </c>
      <c r="CR47" s="104">
        <f>CR44*CS44</f>
        <v>79.49883937486689</v>
      </c>
    </row>
    <row r="48" spans="2:122" x14ac:dyDescent="0.4">
      <c r="C48" s="25" t="s">
        <v>2</v>
      </c>
      <c r="D48" s="52">
        <v>0.7</v>
      </c>
      <c r="E48" s="118">
        <f>10*9.8</f>
        <v>98</v>
      </c>
      <c r="F48" s="59" t="s">
        <v>71</v>
      </c>
      <c r="I48" s="24"/>
      <c r="J48" s="32"/>
      <c r="Z48"/>
      <c r="AA48"/>
      <c r="AB48"/>
      <c r="AC48"/>
      <c r="AD48"/>
      <c r="AH48"/>
      <c r="AI48"/>
      <c r="AJ48"/>
      <c r="AK48"/>
      <c r="BB48" s="63" t="s">
        <v>172</v>
      </c>
      <c r="BC48" s="84">
        <f>BC24</f>
        <v>0.42053695523538226</v>
      </c>
      <c r="BD48" s="53" t="s">
        <v>187</v>
      </c>
      <c r="BE48" s="63" t="s">
        <v>176</v>
      </c>
      <c r="BF48" s="109">
        <v>3</v>
      </c>
      <c r="BO48" s="149"/>
      <c r="BP48" s="151"/>
      <c r="BQ48" s="157"/>
      <c r="BR48" s="150"/>
      <c r="BS48" s="149"/>
      <c r="BT48" s="150"/>
      <c r="BU48" s="157"/>
      <c r="BV48" s="157"/>
      <c r="BX48" s="150"/>
      <c r="CQ48" s="149"/>
      <c r="CR48" s="84">
        <f>CR45*(CT45-CV45)</f>
        <v>153.34907847311365</v>
      </c>
    </row>
    <row r="49" spans="3:97" x14ac:dyDescent="0.4">
      <c r="C49" s="27" t="s">
        <v>51</v>
      </c>
      <c r="D49" s="32">
        <v>0</v>
      </c>
      <c r="E49" s="119">
        <v>0</v>
      </c>
      <c r="F49" s="51"/>
      <c r="I49" s="24"/>
      <c r="J49" s="32"/>
      <c r="M49" s="24" t="s">
        <v>38</v>
      </c>
      <c r="N49" s="1" t="s">
        <v>43</v>
      </c>
      <c r="Z49"/>
      <c r="AB49" s="63" t="s">
        <v>78</v>
      </c>
      <c r="AC49" s="53" t="s">
        <v>120</v>
      </c>
      <c r="AD49"/>
      <c r="AF49"/>
      <c r="AG49"/>
      <c r="AH49"/>
      <c r="AI49"/>
      <c r="AJ49"/>
      <c r="AK49"/>
      <c r="AO49" s="149" t="s">
        <v>100</v>
      </c>
      <c r="AP49" s="173">
        <f>ROUND(1/(1+AP34)*AP40,2)</f>
        <v>15.28</v>
      </c>
      <c r="AQ49" s="157" t="s">
        <v>213</v>
      </c>
      <c r="BB49" s="63"/>
      <c r="BC49" s="84"/>
      <c r="BD49" s="53" t="s">
        <v>187</v>
      </c>
      <c r="BE49" s="53">
        <f>AE5</f>
        <v>1.3</v>
      </c>
      <c r="BF49" s="109">
        <f>BF48</f>
        <v>3</v>
      </c>
      <c r="CQ49" s="149" t="s">
        <v>100</v>
      </c>
      <c r="CR49" s="153">
        <f>CR47/CR48</f>
        <v>0.51841745751869805</v>
      </c>
      <c r="CS49" s="154" t="s">
        <v>25</v>
      </c>
    </row>
    <row r="50" spans="3:97" ht="19.5" thickBot="1" x14ac:dyDescent="0.45">
      <c r="C50" s="58" t="s">
        <v>3</v>
      </c>
      <c r="D50" s="56">
        <v>12</v>
      </c>
      <c r="E50" s="120">
        <f>240*9.8</f>
        <v>2352</v>
      </c>
      <c r="F50" s="60" t="s">
        <v>70</v>
      </c>
      <c r="N50" s="39" t="s">
        <v>42</v>
      </c>
      <c r="AC50" s="53" t="s">
        <v>79</v>
      </c>
      <c r="AD50" s="53" t="s">
        <v>80</v>
      </c>
      <c r="AO50" s="149"/>
      <c r="AP50" s="173"/>
      <c r="AQ50" s="157"/>
      <c r="BD50" s="53" t="s">
        <v>187</v>
      </c>
      <c r="BE50" s="84">
        <f>BE49/BF49</f>
        <v>0.43333333333333335</v>
      </c>
      <c r="BG50" s="61"/>
      <c r="BK50" s="4" t="str">
        <f>IF(BC48&lt;BE50,"OK","NG")</f>
        <v>OK</v>
      </c>
      <c r="BP50" s="63" t="s">
        <v>244</v>
      </c>
      <c r="BQ50" s="53" t="s">
        <v>245</v>
      </c>
      <c r="CQ50" s="149"/>
      <c r="CR50" s="153"/>
      <c r="CS50" s="154"/>
    </row>
    <row r="51" spans="3:97" ht="19.5" thickTop="1" x14ac:dyDescent="0.4">
      <c r="C51" s="57" t="s">
        <v>36</v>
      </c>
      <c r="D51" s="9"/>
      <c r="E51" s="121">
        <f>SUM(E48:E50)</f>
        <v>2450</v>
      </c>
      <c r="F51" s="21"/>
      <c r="AE51" s="63" t="s">
        <v>83</v>
      </c>
      <c r="AF51" s="53" t="s">
        <v>118</v>
      </c>
      <c r="AI51" s="63" t="s">
        <v>119</v>
      </c>
      <c r="AJ51" s="53" t="s">
        <v>150</v>
      </c>
      <c r="BF51" s="84"/>
      <c r="BK51" s="53"/>
      <c r="BQ51" s="63" t="s">
        <v>246</v>
      </c>
      <c r="BR51" s="138">
        <v>1.2</v>
      </c>
    </row>
    <row r="52" spans="3:97" x14ac:dyDescent="0.4">
      <c r="E52" s="28"/>
      <c r="BK52" s="53"/>
    </row>
  </sheetData>
  <sheetProtection sheet="1" objects="1" scenarios="1"/>
  <mergeCells count="198">
    <mergeCell ref="CF15:CF16"/>
    <mergeCell ref="CG15:CG16"/>
    <mergeCell ref="CH15:CH16"/>
    <mergeCell ref="CI15:CI16"/>
    <mergeCell ref="CJ15:CJ16"/>
    <mergeCell ref="BE6:BE7"/>
    <mergeCell ref="AQ49:AQ50"/>
    <mergeCell ref="BD9:BD10"/>
    <mergeCell ref="AO3:AO4"/>
    <mergeCell ref="AP3:AP4"/>
    <mergeCell ref="BB3:BB4"/>
    <mergeCell ref="BD3:BD4"/>
    <mergeCell ref="BB6:BB7"/>
    <mergeCell ref="BB9:BB10"/>
    <mergeCell ref="BC9:BC10"/>
    <mergeCell ref="AQ16:AQ17"/>
    <mergeCell ref="AS16:AT17"/>
    <mergeCell ref="BB27:BB28"/>
    <mergeCell ref="BB37:BB38"/>
    <mergeCell ref="BB40:BB41"/>
    <mergeCell ref="BH43:BH44"/>
    <mergeCell ref="BS23:BS24"/>
    <mergeCell ref="BP13:BP14"/>
    <mergeCell ref="BQ13:BQ14"/>
    <mergeCell ref="O38:O39"/>
    <mergeCell ref="P38:P39"/>
    <mergeCell ref="Q38:Q39"/>
    <mergeCell ref="R38:R39"/>
    <mergeCell ref="S38:S39"/>
    <mergeCell ref="BG31:BG32"/>
    <mergeCell ref="BH31:BH32"/>
    <mergeCell ref="AO32:AO33"/>
    <mergeCell ref="AQ32:AQ33"/>
    <mergeCell ref="AO34:AO35"/>
    <mergeCell ref="AP34:AP35"/>
    <mergeCell ref="AO30:AO31"/>
    <mergeCell ref="BB31:BB32"/>
    <mergeCell ref="BC31:BC32"/>
    <mergeCell ref="BE31:BE32"/>
    <mergeCell ref="BF31:BF32"/>
    <mergeCell ref="T38:T39"/>
    <mergeCell ref="U38:U39"/>
    <mergeCell ref="V38:V39"/>
    <mergeCell ref="O40:O41"/>
    <mergeCell ref="P40:P41"/>
    <mergeCell ref="Q40:Q41"/>
    <mergeCell ref="R40:R41"/>
    <mergeCell ref="S40:S41"/>
    <mergeCell ref="T40:T41"/>
    <mergeCell ref="U40:U41"/>
    <mergeCell ref="V40:V41"/>
    <mergeCell ref="AC41:AC42"/>
    <mergeCell ref="O42:O43"/>
    <mergeCell ref="P42:P43"/>
    <mergeCell ref="Q42:Q43"/>
    <mergeCell ref="R42:R43"/>
    <mergeCell ref="S42:S43"/>
    <mergeCell ref="T42:T43"/>
    <mergeCell ref="U42:U43"/>
    <mergeCell ref="AO49:AO50"/>
    <mergeCell ref="AP49:AP50"/>
    <mergeCell ref="BI43:BI44"/>
    <mergeCell ref="BK43:BK44"/>
    <mergeCell ref="AO43:AO44"/>
    <mergeCell ref="AQ43:AQ44"/>
    <mergeCell ref="AO46:AO47"/>
    <mergeCell ref="AR46:AR47"/>
    <mergeCell ref="BB43:BB44"/>
    <mergeCell ref="BC43:BC44"/>
    <mergeCell ref="BD43:BD44"/>
    <mergeCell ref="BE43:BE44"/>
    <mergeCell ref="BF43:BG44"/>
    <mergeCell ref="BO27:BO28"/>
    <mergeCell ref="BQ27:BQ28"/>
    <mergeCell ref="BO29:BO30"/>
    <mergeCell ref="BR29:BR30"/>
    <mergeCell ref="BO31:BO32"/>
    <mergeCell ref="BO43:BO44"/>
    <mergeCell ref="BQ43:BQ44"/>
    <mergeCell ref="AE41:AF42"/>
    <mergeCell ref="V42:V43"/>
    <mergeCell ref="AA28:AA29"/>
    <mergeCell ref="AB28:AB29"/>
    <mergeCell ref="BB29:BB30"/>
    <mergeCell ref="BD29:BD30"/>
    <mergeCell ref="BE29:BE30"/>
    <mergeCell ref="BD27:BD28"/>
    <mergeCell ref="BF29:BF30"/>
    <mergeCell ref="BO45:BO46"/>
    <mergeCell ref="BQ45:BQ46"/>
    <mergeCell ref="BO47:BO48"/>
    <mergeCell ref="BP47:BP48"/>
    <mergeCell ref="BQ47:BQ48"/>
    <mergeCell ref="BO35:BO36"/>
    <mergeCell ref="BQ35:BQ36"/>
    <mergeCell ref="BO37:BO38"/>
    <mergeCell ref="CE8:CE9"/>
    <mergeCell ref="BP18:BP19"/>
    <mergeCell ref="BP31:BP32"/>
    <mergeCell ref="BQ31:BQ32"/>
    <mergeCell ref="BO39:BO40"/>
    <mergeCell ref="BP39:BP40"/>
    <mergeCell ref="BQ39:BQ40"/>
    <mergeCell ref="CB34:CB35"/>
    <mergeCell ref="CD34:CD35"/>
    <mergeCell ref="CB36:CB37"/>
    <mergeCell ref="CC36:CC37"/>
    <mergeCell ref="CD36:CD37"/>
    <mergeCell ref="CE36:CE37"/>
    <mergeCell ref="BR13:BR14"/>
    <mergeCell ref="BS13:BS14"/>
    <mergeCell ref="BO18:BO19"/>
    <mergeCell ref="CF8:CF9"/>
    <mergeCell ref="CG8:CG9"/>
    <mergeCell ref="CH8:CH9"/>
    <mergeCell ref="CI8:CI9"/>
    <mergeCell ref="CK8:CK9"/>
    <mergeCell ref="BR47:BR48"/>
    <mergeCell ref="BS47:BS48"/>
    <mergeCell ref="BT47:BT48"/>
    <mergeCell ref="BU47:BU48"/>
    <mergeCell ref="BX47:BX48"/>
    <mergeCell ref="BV47:BV48"/>
    <mergeCell ref="BR37:BR38"/>
    <mergeCell ref="BT13:BT14"/>
    <mergeCell ref="BU13:BU14"/>
    <mergeCell ref="BV13:BV14"/>
    <mergeCell ref="BS16:BS17"/>
    <mergeCell ref="BT16:BT17"/>
    <mergeCell ref="BU16:BU17"/>
    <mergeCell ref="BV16:BV17"/>
    <mergeCell ref="CD12:CD13"/>
    <mergeCell ref="CF12:CH13"/>
    <mergeCell ref="CD15:CD16"/>
    <mergeCell ref="CB32:CB33"/>
    <mergeCell ref="CD32:CD33"/>
    <mergeCell ref="CB4:CB5"/>
    <mergeCell ref="CD4:CD5"/>
    <mergeCell ref="CB6:CB7"/>
    <mergeCell ref="CD6:CD7"/>
    <mergeCell ref="CB8:CB9"/>
    <mergeCell ref="CC8:CC9"/>
    <mergeCell ref="CD8:CD9"/>
    <mergeCell ref="BO15:BO16"/>
    <mergeCell ref="BP16:BP17"/>
    <mergeCell ref="BQ16:BQ17"/>
    <mergeCell ref="BO10:BO11"/>
    <mergeCell ref="BO12:BO13"/>
    <mergeCell ref="CF36:CF37"/>
    <mergeCell ref="CG36:CG37"/>
    <mergeCell ref="CH36:CH37"/>
    <mergeCell ref="CI36:CI37"/>
    <mergeCell ref="CK36:CK37"/>
    <mergeCell ref="CD40:CD41"/>
    <mergeCell ref="CF40:CH41"/>
    <mergeCell ref="CD43:CD44"/>
    <mergeCell ref="CF43:CF44"/>
    <mergeCell ref="CG43:CG44"/>
    <mergeCell ref="CH43:CH44"/>
    <mergeCell ref="CI43:CI44"/>
    <mergeCell ref="CJ43:CJ44"/>
    <mergeCell ref="CQ49:CQ50"/>
    <mergeCell ref="CR49:CR50"/>
    <mergeCell ref="CS49:CS50"/>
    <mergeCell ref="CQ41:CQ42"/>
    <mergeCell ref="CQ44:CQ45"/>
    <mergeCell ref="CO4:CO5"/>
    <mergeCell ref="CO7:CO8"/>
    <mergeCell ref="CQ7:CQ8"/>
    <mergeCell ref="CP4:CP5"/>
    <mergeCell ref="CP7:CP8"/>
    <mergeCell ref="CQ37:CQ38"/>
    <mergeCell ref="CO37:CO38"/>
    <mergeCell ref="CP37:CP38"/>
    <mergeCell ref="CR42:CS42"/>
    <mergeCell ref="CR41:CS41"/>
    <mergeCell ref="CQ47:CQ48"/>
    <mergeCell ref="CO10:CO11"/>
    <mergeCell ref="CP10:CP11"/>
    <mergeCell ref="CQ10:CQ11"/>
    <mergeCell ref="CO29:CO30"/>
    <mergeCell ref="CP29:CQ29"/>
    <mergeCell ref="CP30:CQ30"/>
    <mergeCell ref="CR29:CS30"/>
    <mergeCell ref="CO32:CO33"/>
    <mergeCell ref="CO35:CO36"/>
    <mergeCell ref="CQ35:CQ36"/>
    <mergeCell ref="CR35:CR36"/>
    <mergeCell ref="CU32:CU33"/>
    <mergeCell ref="CP33:CR33"/>
    <mergeCell ref="CS32:CS33"/>
    <mergeCell ref="DC10:DC11"/>
    <mergeCell ref="DD10:DD11"/>
    <mergeCell ref="DB4:DB5"/>
    <mergeCell ref="DB6:DB7"/>
    <mergeCell ref="DB8:DB9"/>
    <mergeCell ref="DB10:DB11"/>
    <mergeCell ref="CW32:CW33"/>
  </mergeCells>
  <phoneticPr fontId="2"/>
  <hyperlinks>
    <hyperlink ref="N50" r:id="rId1" xr:uid="{EB9CA30F-E602-4C3C-A157-466843C151D5}"/>
    <hyperlink ref="N49" r:id="rId2" xr:uid="{B179569B-8236-4858-AA3E-81F0B64F4DCC}"/>
    <hyperlink ref="E31" r:id="rId3" xr:uid="{6B4C2780-B662-48C3-B2D6-143B22723B5B}"/>
    <hyperlink ref="C21" r:id="rId4" display="近畿地方整備局　設計便覧（案）　第４編電気通信編　第４章道路照明設備" xr:uid="{28E60016-13DB-4528-A88F-74737126B8E2}"/>
    <hyperlink ref="B1" r:id="rId5" display="©ce-note.com" xr:uid="{77348237-1D45-4B21-B9BA-431C5A1AA4CC}"/>
  </hyperlinks>
  <pageMargins left="0.70866141732283472" right="0.70866141732283472" top="0.74803149606299213" bottom="0.74803149606299213" header="0.31496062992125984" footer="0.31496062992125984"/>
  <pageSetup paperSize="9" scale="73" orientation="portrait" r:id="rId6"/>
  <colBreaks count="3" manualBreakCount="3">
    <brk id="11" max="51" man="1"/>
    <brk id="24" max="51" man="1"/>
    <brk id="38" max="51" man="1"/>
  </colBreak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④R2道路標識構造便覧の直接基礎設計</vt:lpstr>
      <vt:lpstr>④R2道路標識構造便覧の直接基礎設計!Print_Area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2022-09-22T10:03:39Z</dcterms:created>
  <dcterms:modified xsi:type="dcterms:W3CDTF">2023-08-08T11:12:43Z</dcterms:modified>
</cp:coreProperties>
</file>