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EFD56BD3-EC6A-46F6-A8A5-16F3F2C0EF8A}" xr6:coauthVersionLast="47" xr6:coauthVersionMax="47" xr10:uidLastSave="{00000000-0000-0000-0000-000000000000}"/>
  <bookViews>
    <workbookView xWindow="-120" yWindow="-120" windowWidth="20730" windowHeight="11160" tabRatio="811" autoFilterDateGrouping="0" xr2:uid="{00000000-000D-0000-FFFF-FFFF00000000}"/>
  </bookViews>
  <sheets>
    <sheet name="1.設計条件" sheetId="1" r:id="rId1"/>
    <sheet name="2.根入れ長" sheetId="2" r:id="rId2"/>
    <sheet name="3.断面力1" sheetId="3" r:id="rId3"/>
    <sheet name="3.断面力2" sheetId="7" r:id="rId4"/>
    <sheet name="4.変位量" sheetId="8" r:id="rId5"/>
    <sheet name="5.腹起一般" sheetId="6" r:id="rId6"/>
    <sheet name="5.腹起端部" sheetId="10" r:id="rId7"/>
    <sheet name="6.切ばり" sheetId="9" r:id="rId8"/>
    <sheet name="7.火打ち" sheetId="11" r:id="rId9"/>
    <sheet name="8.まとめ" sheetId="5"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55" i="6" l="1"/>
  <c r="T355" i="6"/>
  <c r="O355" i="6"/>
  <c r="R26" i="2"/>
  <c r="M26" i="2"/>
  <c r="M27" i="2"/>
  <c r="U32" i="10"/>
  <c r="R30" i="10"/>
  <c r="W64" i="6"/>
  <c r="R62" i="6"/>
  <c r="J51" i="3"/>
  <c r="T92" i="1"/>
  <c r="T91" i="1"/>
  <c r="T134" i="8"/>
  <c r="AC23" i="5"/>
  <c r="M26" i="5"/>
  <c r="M23" i="5"/>
  <c r="AF18" i="5"/>
  <c r="AC18" i="5"/>
  <c r="AC14" i="5"/>
  <c r="AF14" i="5"/>
  <c r="P18" i="5"/>
  <c r="M18" i="5"/>
  <c r="P14" i="5"/>
  <c r="M14" i="5"/>
  <c r="N20" i="11"/>
  <c r="N16" i="11"/>
  <c r="V18" i="11"/>
  <c r="N17" i="11"/>
  <c r="V34" i="11"/>
  <c r="V26" i="11"/>
  <c r="N299" i="9"/>
  <c r="U294" i="9"/>
  <c r="T284" i="9"/>
  <c r="X283" i="9"/>
  <c r="AD264" i="9"/>
  <c r="AD259" i="9"/>
  <c r="T81" i="1"/>
  <c r="T80" i="1"/>
  <c r="N274" i="9" s="1"/>
  <c r="U274" i="9" s="1"/>
  <c r="X260" i="9" s="1"/>
  <c r="T82" i="1"/>
  <c r="N200" i="9" s="1"/>
  <c r="T79" i="1"/>
  <c r="N193" i="9" s="1"/>
  <c r="T78" i="1"/>
  <c r="T77" i="1"/>
  <c r="T76" i="1"/>
  <c r="T75" i="1"/>
  <c r="V232" i="9" s="1"/>
  <c r="S40" i="9"/>
  <c r="O46" i="9"/>
  <c r="K10" i="9"/>
  <c r="AC21" i="9"/>
  <c r="X21" i="9"/>
  <c r="W19" i="9"/>
  <c r="AE315" i="6"/>
  <c r="AE310" i="6"/>
  <c r="W275" i="6"/>
  <c r="O275" i="6"/>
  <c r="W91" i="6"/>
  <c r="Q62" i="1"/>
  <c r="Q61" i="1"/>
  <c r="O324" i="6" s="1"/>
  <c r="V324" i="6" s="1"/>
  <c r="Y311" i="6" s="1"/>
  <c r="Q63" i="1"/>
  <c r="O251" i="6" s="1"/>
  <c r="Q60" i="1"/>
  <c r="Q59" i="1"/>
  <c r="Q58" i="1"/>
  <c r="Q57" i="1"/>
  <c r="Q56" i="1"/>
  <c r="W77" i="6"/>
  <c r="V45" i="10"/>
  <c r="W59" i="10"/>
  <c r="AE283" i="10"/>
  <c r="AE278" i="10"/>
  <c r="W243" i="10"/>
  <c r="O243" i="10"/>
  <c r="W62" i="1"/>
  <c r="W61" i="1"/>
  <c r="O292" i="10" s="1"/>
  <c r="V292" i="10" s="1"/>
  <c r="Y279" i="10" s="1"/>
  <c r="W63" i="1"/>
  <c r="O219" i="10" s="1"/>
  <c r="W60" i="1"/>
  <c r="O212" i="10" s="1"/>
  <c r="W59" i="1"/>
  <c r="T323" i="10" s="1"/>
  <c r="W58" i="1"/>
  <c r="X323" i="10" s="1"/>
  <c r="W57" i="1"/>
  <c r="P258" i="10" s="1"/>
  <c r="W56" i="1"/>
  <c r="O323" i="10" s="1"/>
  <c r="T62" i="1"/>
  <c r="T61" i="1"/>
  <c r="O168" i="10" s="1"/>
  <c r="T63" i="1"/>
  <c r="O95" i="10" s="1"/>
  <c r="T60" i="1"/>
  <c r="O88" i="10" s="1"/>
  <c r="T59" i="1"/>
  <c r="T58" i="1"/>
  <c r="T57" i="1"/>
  <c r="T56" i="1"/>
  <c r="R32" i="10"/>
  <c r="X32" i="10"/>
  <c r="P18" i="10"/>
  <c r="P17" i="10"/>
  <c r="U325" i="10"/>
  <c r="O317" i="10"/>
  <c r="X312" i="10"/>
  <c r="W302" i="10"/>
  <c r="AA301" i="10"/>
  <c r="U201" i="10"/>
  <c r="O193" i="10"/>
  <c r="X188" i="10"/>
  <c r="W178" i="10"/>
  <c r="AA177" i="10"/>
  <c r="AE159" i="10"/>
  <c r="AE154" i="10"/>
  <c r="W119" i="10"/>
  <c r="O119" i="10"/>
  <c r="S68" i="10"/>
  <c r="S64" i="10"/>
  <c r="R59" i="10"/>
  <c r="S54" i="10"/>
  <c r="S50" i="10"/>
  <c r="R45" i="10"/>
  <c r="P21" i="10"/>
  <c r="X19" i="10"/>
  <c r="U357" i="6"/>
  <c r="O349" i="6"/>
  <c r="X344" i="6"/>
  <c r="W334" i="6"/>
  <c r="AA333" i="6"/>
  <c r="U233" i="6"/>
  <c r="W151" i="6"/>
  <c r="O151" i="6"/>
  <c r="N62" i="1"/>
  <c r="Q81" i="1"/>
  <c r="N61" i="1"/>
  <c r="N60" i="1"/>
  <c r="O120" i="6"/>
  <c r="R91" i="6"/>
  <c r="R77" i="6"/>
  <c r="N173" i="9"/>
  <c r="U168" i="9"/>
  <c r="T158" i="9"/>
  <c r="X157" i="9"/>
  <c r="AD138" i="9"/>
  <c r="AD133" i="9"/>
  <c r="O33" i="9"/>
  <c r="S27" i="9"/>
  <c r="S100" i="6"/>
  <c r="S96" i="6"/>
  <c r="R64" i="6"/>
  <c r="P52" i="6"/>
  <c r="P49" i="6"/>
  <c r="P48" i="6"/>
  <c r="X50" i="6" s="1"/>
  <c r="T101" i="1"/>
  <c r="T100" i="1"/>
  <c r="T102" i="1"/>
  <c r="T99" i="1"/>
  <c r="T98" i="1"/>
  <c r="T97" i="1"/>
  <c r="T96" i="1"/>
  <c r="T95" i="1"/>
  <c r="I18" i="6"/>
  <c r="O36" i="6" s="1"/>
  <c r="O27" i="6"/>
  <c r="E16" i="6"/>
  <c r="E14" i="6"/>
  <c r="E12" i="6"/>
  <c r="E10" i="6"/>
  <c r="S91" i="8"/>
  <c r="R100" i="8"/>
  <c r="AD48" i="8"/>
  <c r="AD46" i="8"/>
  <c r="AD44" i="8"/>
  <c r="AD122" i="8" s="1"/>
  <c r="S119" i="8" s="1"/>
  <c r="O119" i="8"/>
  <c r="O120" i="8" s="1"/>
  <c r="R111" i="8" s="1"/>
  <c r="O111" i="8"/>
  <c r="L114" i="8" s="1"/>
  <c r="M100" i="8" s="1"/>
  <c r="K100" i="8"/>
  <c r="K103" i="8" s="1"/>
  <c r="K91" i="8" s="1"/>
  <c r="K70" i="11" l="1"/>
  <c r="K43" i="11"/>
  <c r="J53" i="11"/>
  <c r="J80" i="11"/>
  <c r="W283" i="6"/>
  <c r="T72" i="1"/>
  <c r="O239" i="9"/>
  <c r="X231" i="9"/>
  <c r="N211" i="9"/>
  <c r="AD232" i="9"/>
  <c r="Q211" i="9"/>
  <c r="AA232" i="9"/>
  <c r="AF232" i="9" s="1"/>
  <c r="AA231" i="9"/>
  <c r="M213" i="9"/>
  <c r="N275" i="9"/>
  <c r="U275" i="9" s="1"/>
  <c r="X265" i="9" s="1"/>
  <c r="M220" i="9"/>
  <c r="R48" i="11"/>
  <c r="R75" i="11"/>
  <c r="U48" i="11"/>
  <c r="U75" i="11"/>
  <c r="S27" i="11"/>
  <c r="S35" i="11"/>
  <c r="P26" i="11"/>
  <c r="AA18" i="11"/>
  <c r="N19" i="11"/>
  <c r="P34" i="11"/>
  <c r="O262" i="6"/>
  <c r="P290" i="6"/>
  <c r="Y282" i="6"/>
  <c r="R262" i="6"/>
  <c r="AE283" i="6"/>
  <c r="N264" i="6"/>
  <c r="AB283" i="6"/>
  <c r="AG283" i="6" s="1"/>
  <c r="AB282" i="6"/>
  <c r="O244" i="6"/>
  <c r="N271" i="6"/>
  <c r="O325" i="6"/>
  <c r="V325" i="6" s="1"/>
  <c r="Y316" i="6" s="1"/>
  <c r="P40" i="9"/>
  <c r="M40" i="9"/>
  <c r="O32" i="9"/>
  <c r="O45" i="9"/>
  <c r="P27" i="9"/>
  <c r="M27" i="9"/>
  <c r="AA100" i="6"/>
  <c r="AA96" i="6"/>
  <c r="AA86" i="6"/>
  <c r="AA82" i="6"/>
  <c r="AA50" i="10"/>
  <c r="AA54" i="10"/>
  <c r="AA68" i="10"/>
  <c r="AA64" i="10"/>
  <c r="W251" i="10"/>
  <c r="N239" i="10"/>
  <c r="O293" i="10"/>
  <c r="V293" i="10" s="1"/>
  <c r="Y284" i="10" s="1"/>
  <c r="O230" i="10"/>
  <c r="Y250" i="10"/>
  <c r="R230" i="10"/>
  <c r="AE251" i="10"/>
  <c r="N232" i="10"/>
  <c r="AB251" i="10"/>
  <c r="AG251" i="10" s="1"/>
  <c r="AB250" i="10"/>
  <c r="O199" i="10"/>
  <c r="W127" i="10"/>
  <c r="P134" i="10"/>
  <c r="Y126" i="10"/>
  <c r="O106" i="10"/>
  <c r="X199" i="10"/>
  <c r="AE127" i="10"/>
  <c r="R106" i="10"/>
  <c r="T199" i="10"/>
  <c r="AB127" i="10"/>
  <c r="AB126" i="10"/>
  <c r="N108" i="10"/>
  <c r="O169" i="10"/>
  <c r="N115" i="10"/>
  <c r="W35" i="10"/>
  <c r="R33" i="10"/>
  <c r="T35" i="10" s="1"/>
  <c r="K37" i="10" s="1"/>
  <c r="V168" i="10"/>
  <c r="Y155" i="10" s="1"/>
  <c r="O200" i="6"/>
  <c r="V169" i="10"/>
  <c r="Y160" i="10" s="1"/>
  <c r="O201" i="6"/>
  <c r="N147" i="6"/>
  <c r="S25" i="10"/>
  <c r="AC19" i="10"/>
  <c r="P20" i="10" s="1"/>
  <c r="AC64" i="6"/>
  <c r="R65" i="6" s="1"/>
  <c r="W68" i="6"/>
  <c r="T68" i="6"/>
  <c r="K70" i="6" s="1"/>
  <c r="AC50" i="6"/>
  <c r="P51" i="6" s="1"/>
  <c r="S56" i="6"/>
  <c r="K84" i="8"/>
  <c r="U75" i="8" s="1"/>
  <c r="K82" i="8"/>
  <c r="R82" i="8" s="1"/>
  <c r="L75" i="8" s="1"/>
  <c r="Y35" i="8"/>
  <c r="G8" i="8"/>
  <c r="G9" i="8" s="1"/>
  <c r="R224" i="3"/>
  <c r="V216" i="3"/>
  <c r="N220" i="3" s="1"/>
  <c r="W181" i="3"/>
  <c r="W182" i="3"/>
  <c r="Z87" i="3"/>
  <c r="T85" i="3"/>
  <c r="T84" i="3"/>
  <c r="T83" i="3"/>
  <c r="T82" i="3"/>
  <c r="T81" i="3"/>
  <c r="T80" i="3"/>
  <c r="T79" i="3"/>
  <c r="I163" i="7"/>
  <c r="L138" i="7"/>
  <c r="L137" i="7"/>
  <c r="L130" i="7"/>
  <c r="L129" i="7"/>
  <c r="I95" i="7"/>
  <c r="H35" i="8" s="1"/>
  <c r="I93" i="7"/>
  <c r="I91" i="7"/>
  <c r="I89" i="7"/>
  <c r="K73" i="7"/>
  <c r="K76" i="11" l="1"/>
  <c r="J79" i="11" s="1"/>
  <c r="R79" i="11" s="1"/>
  <c r="N84" i="11" s="1"/>
  <c r="G85" i="11" s="1"/>
  <c r="Q89" i="11" s="1"/>
  <c r="K49" i="11"/>
  <c r="J52" i="11" s="1"/>
  <c r="W211" i="9"/>
  <c r="AD231" i="9"/>
  <c r="M26" i="11"/>
  <c r="M34" i="11"/>
  <c r="R52" i="11"/>
  <c r="N57" i="11" s="1"/>
  <c r="G58" i="11" s="1"/>
  <c r="Q62" i="11" s="1"/>
  <c r="AE282" i="6"/>
  <c r="X262" i="6"/>
  <c r="AE250" i="10"/>
  <c r="X230" i="10"/>
  <c r="O59" i="10"/>
  <c r="O45" i="10"/>
  <c r="P25" i="10"/>
  <c r="P26" i="10" s="1"/>
  <c r="O289" i="10" s="1"/>
  <c r="V289" i="10" s="1"/>
  <c r="I12" i="6"/>
  <c r="O25" i="6" s="1"/>
  <c r="O77" i="6"/>
  <c r="O91" i="6"/>
  <c r="P56" i="6"/>
  <c r="P57" i="6"/>
  <c r="O321" i="6" s="1"/>
  <c r="V321" i="6" s="1"/>
  <c r="I14" i="6"/>
  <c r="O26" i="6" s="1"/>
  <c r="H31" i="8"/>
  <c r="H44" i="8" s="1"/>
  <c r="J56" i="8" s="1"/>
  <c r="T94" i="7"/>
  <c r="S34" i="8" s="1"/>
  <c r="S47" i="8" s="1"/>
  <c r="I16" i="6"/>
  <c r="H33" i="8"/>
  <c r="H46" i="8" s="1"/>
  <c r="N57" i="8" s="1"/>
  <c r="K64" i="3"/>
  <c r="K58" i="3"/>
  <c r="I58" i="3"/>
  <c r="U316" i="6" l="1"/>
  <c r="AE316" i="6" s="1"/>
  <c r="M318" i="6" s="1"/>
  <c r="U311" i="6"/>
  <c r="AE311" i="6" s="1"/>
  <c r="M313" i="6" s="1"/>
  <c r="O267" i="6"/>
  <c r="N270" i="6" s="1"/>
  <c r="V270" i="6" s="1"/>
  <c r="R275" i="6" s="1"/>
  <c r="K276" i="6" s="1"/>
  <c r="O286" i="6"/>
  <c r="N289" i="6" s="1"/>
  <c r="V289" i="6" s="1"/>
  <c r="R294" i="6" s="1"/>
  <c r="K295" i="6" s="1"/>
  <c r="U284" i="10"/>
  <c r="AE284" i="10" s="1"/>
  <c r="M286" i="10" s="1"/>
  <c r="U279" i="10"/>
  <c r="AE279" i="10" s="1"/>
  <c r="M281" i="10" s="1"/>
  <c r="O235" i="10"/>
  <c r="N238" i="10" s="1"/>
  <c r="V238" i="10" s="1"/>
  <c r="R243" i="10" s="1"/>
  <c r="K244" i="10" s="1"/>
  <c r="O254" i="10"/>
  <c r="N257" i="10" s="1"/>
  <c r="V257" i="10" s="1"/>
  <c r="R262" i="10" s="1"/>
  <c r="K263" i="10" s="1"/>
  <c r="O165" i="10"/>
  <c r="V165" i="10" s="1"/>
  <c r="O130" i="10"/>
  <c r="N133" i="10" s="1"/>
  <c r="O111" i="10"/>
  <c r="N114" i="10" s="1"/>
  <c r="V114" i="10" s="1"/>
  <c r="R119" i="10" s="1"/>
  <c r="K120" i="10" s="1"/>
  <c r="W67" i="10"/>
  <c r="W63" i="10"/>
  <c r="W53" i="10"/>
  <c r="W49" i="10"/>
  <c r="O143" i="6"/>
  <c r="O197" i="6"/>
  <c r="O162" i="6"/>
  <c r="W99" i="6"/>
  <c r="W95" i="6"/>
  <c r="W85" i="6"/>
  <c r="W81" i="6"/>
  <c r="T98" i="7"/>
  <c r="S38" i="8" s="1"/>
  <c r="K68" i="7"/>
  <c r="I68" i="7"/>
  <c r="AC48" i="7"/>
  <c r="AC47" i="7"/>
  <c r="AA48" i="7"/>
  <c r="AA49" i="7"/>
  <c r="AA47" i="7"/>
  <c r="J59" i="7"/>
  <c r="G302" i="10" l="1"/>
  <c r="G178" i="10"/>
  <c r="U160" i="10"/>
  <c r="AE160" i="10" s="1"/>
  <c r="M162" i="10" s="1"/>
  <c r="U155" i="10"/>
  <c r="AE155" i="10" s="1"/>
  <c r="M157" i="10" s="1"/>
  <c r="AG47" i="7"/>
  <c r="AG48" i="7"/>
  <c r="K25" i="7"/>
  <c r="R227" i="7"/>
  <c r="V219" i="7"/>
  <c r="N223" i="7" s="1"/>
  <c r="W186" i="7"/>
  <c r="W185" i="7"/>
  <c r="T87" i="7"/>
  <c r="AD381" i="2"/>
  <c r="V383" i="2" s="1"/>
  <c r="AD371" i="2"/>
  <c r="Z383" i="2" s="1"/>
  <c r="N351" i="2"/>
  <c r="N350" i="2"/>
  <c r="L350" i="2"/>
  <c r="T393" i="2"/>
  <c r="H393" i="2"/>
  <c r="Z375" i="2"/>
  <c r="L352" i="2"/>
  <c r="N358" i="2" s="1"/>
  <c r="R351" i="2"/>
  <c r="R350" i="2"/>
  <c r="AB311" i="2"/>
  <c r="AB249" i="2"/>
  <c r="AB250" i="2"/>
  <c r="AB243" i="2"/>
  <c r="M167" i="2"/>
  <c r="U167" i="2" s="1"/>
  <c r="K167" i="2"/>
  <c r="M184" i="2"/>
  <c r="K184" i="2"/>
  <c r="I182" i="2"/>
  <c r="M182" i="2"/>
  <c r="K182" i="2"/>
  <c r="M171" i="2"/>
  <c r="M169" i="2"/>
  <c r="U169" i="2" s="1"/>
  <c r="M165" i="2"/>
  <c r="U165" i="2" s="1"/>
  <c r="M163" i="2"/>
  <c r="U163" i="2" s="1"/>
  <c r="M161" i="2"/>
  <c r="U161" i="2" s="1"/>
  <c r="K171" i="2"/>
  <c r="I169" i="2"/>
  <c r="I204" i="2" s="1"/>
  <c r="K204" i="2" s="1"/>
  <c r="K169" i="2"/>
  <c r="K165" i="2"/>
  <c r="K163" i="2"/>
  <c r="K161" i="2"/>
  <c r="I163" i="2"/>
  <c r="I161" i="2"/>
  <c r="AB240" i="2"/>
  <c r="AB239" i="2"/>
  <c r="R161" i="2"/>
  <c r="V10" i="2"/>
  <c r="AB10" i="2" s="1"/>
  <c r="L27" i="1"/>
  <c r="Q80" i="1"/>
  <c r="Q82" i="1"/>
  <c r="Q79" i="1"/>
  <c r="Q78" i="1"/>
  <c r="Q77" i="1"/>
  <c r="Q76" i="1"/>
  <c r="Q75" i="1"/>
  <c r="N56" i="1"/>
  <c r="N63" i="1"/>
  <c r="N59" i="1"/>
  <c r="N58" i="1"/>
  <c r="N57" i="1"/>
  <c r="O225" i="6"/>
  <c r="AE191" i="6"/>
  <c r="AE186" i="6"/>
  <c r="W210" i="6"/>
  <c r="N165" i="6"/>
  <c r="X220" i="6"/>
  <c r="AA209" i="6"/>
  <c r="N146" i="6"/>
  <c r="U184" i="2" l="1"/>
  <c r="W188" i="2" s="1"/>
  <c r="H188" i="2"/>
  <c r="H175" i="2"/>
  <c r="L226" i="2"/>
  <c r="O138" i="6"/>
  <c r="V133" i="10"/>
  <c r="R138" i="10" s="1"/>
  <c r="K139" i="10" s="1"/>
  <c r="P166" i="6"/>
  <c r="Y158" i="6"/>
  <c r="X231" i="6"/>
  <c r="AE159" i="6"/>
  <c r="T231" i="6"/>
  <c r="AB159" i="6"/>
  <c r="AB158" i="6"/>
  <c r="AG127" i="10"/>
  <c r="O231" i="6"/>
  <c r="W159" i="6"/>
  <c r="O189" i="10"/>
  <c r="Q178" i="10"/>
  <c r="Z189" i="10"/>
  <c r="AD178" i="10"/>
  <c r="R138" i="6"/>
  <c r="N140" i="6"/>
  <c r="O127" i="6"/>
  <c r="Q72" i="1"/>
  <c r="T20" i="9" s="1"/>
  <c r="V106" i="9"/>
  <c r="O113" i="9"/>
  <c r="X105" i="9"/>
  <c r="N85" i="9"/>
  <c r="AD106" i="9"/>
  <c r="Q85" i="9"/>
  <c r="AA106" i="9"/>
  <c r="AA105" i="9"/>
  <c r="M87" i="9"/>
  <c r="N67" i="9"/>
  <c r="N74" i="9"/>
  <c r="V200" i="6"/>
  <c r="Y187" i="6" s="1"/>
  <c r="N148" i="9"/>
  <c r="U148" i="9" s="1"/>
  <c r="X134" i="9" s="1"/>
  <c r="N149" i="9"/>
  <c r="U149" i="9" s="1"/>
  <c r="X139" i="9" s="1"/>
  <c r="M94" i="9"/>
  <c r="X27" i="1"/>
  <c r="P184" i="2"/>
  <c r="P171" i="2"/>
  <c r="K150" i="2"/>
  <c r="K46" i="3"/>
  <c r="I196" i="2"/>
  <c r="V350" i="2"/>
  <c r="Z350" i="2" s="1"/>
  <c r="V351" i="2"/>
  <c r="L351" i="2"/>
  <c r="P384" i="2"/>
  <c r="N393" i="2" s="1"/>
  <c r="V375" i="2"/>
  <c r="P376" i="2" s="1"/>
  <c r="P378" i="2" s="1"/>
  <c r="K393" i="2" s="1"/>
  <c r="M311" i="2"/>
  <c r="T311" i="2" s="1"/>
  <c r="L250" i="2"/>
  <c r="L249" i="2"/>
  <c r="L248" i="2"/>
  <c r="L243" i="2"/>
  <c r="L215" i="2"/>
  <c r="L240" i="2"/>
  <c r="L239" i="2"/>
  <c r="P208" i="2"/>
  <c r="L216" i="2"/>
  <c r="O221" i="2"/>
  <c r="L237" i="2"/>
  <c r="L238" i="2"/>
  <c r="I165" i="2"/>
  <c r="I198" i="2"/>
  <c r="U171" i="2"/>
  <c r="W175" i="2" s="1"/>
  <c r="U182" i="2"/>
  <c r="X182" i="2" s="1"/>
  <c r="AG182" i="2" s="1"/>
  <c r="V201" i="6"/>
  <c r="Y192" i="6" s="1"/>
  <c r="AE158" i="6"/>
  <c r="AG159" i="6"/>
  <c r="V165" i="6"/>
  <c r="R170" i="6" s="1"/>
  <c r="K171" i="6" s="1"/>
  <c r="V146" i="6"/>
  <c r="R151" i="6" s="1"/>
  <c r="K152" i="6" s="1"/>
  <c r="M188" i="2" l="1"/>
  <c r="H189" i="2"/>
  <c r="J228" i="2" s="1"/>
  <c r="V228" i="2" s="1"/>
  <c r="V229" i="2" s="1"/>
  <c r="J11" i="7" s="1"/>
  <c r="M175" i="2"/>
  <c r="H176" i="2"/>
  <c r="N235" i="9"/>
  <c r="M238" i="9" s="1"/>
  <c r="U238" i="9" s="1"/>
  <c r="Q243" i="9" s="1"/>
  <c r="J244" i="9" s="1"/>
  <c r="I284" i="9" s="1"/>
  <c r="N270" i="9"/>
  <c r="U270" i="9" s="1"/>
  <c r="T260" i="9" s="1"/>
  <c r="AD260" i="9" s="1"/>
  <c r="L262" i="9" s="1"/>
  <c r="N109" i="9"/>
  <c r="M112" i="9" s="1"/>
  <c r="U112" i="9" s="1"/>
  <c r="Q117" i="9" s="1"/>
  <c r="J118" i="9" s="1"/>
  <c r="I158" i="9" s="1"/>
  <c r="N144" i="9"/>
  <c r="R45" i="9"/>
  <c r="I47" i="9" s="1"/>
  <c r="N199" i="9" s="1"/>
  <c r="T21" i="9"/>
  <c r="T22" i="9" s="1"/>
  <c r="N271" i="9" s="1"/>
  <c r="U271" i="9" s="1"/>
  <c r="T265" i="9" s="1"/>
  <c r="AD265" i="9" s="1"/>
  <c r="L267" i="9" s="1"/>
  <c r="R32" i="9"/>
  <c r="I34" i="9" s="1"/>
  <c r="X106" i="10"/>
  <c r="AE126" i="10"/>
  <c r="J302" i="10"/>
  <c r="J178" i="10"/>
  <c r="Z313" i="10"/>
  <c r="AD302" i="10"/>
  <c r="O313" i="10"/>
  <c r="Q302" i="10"/>
  <c r="J210" i="6"/>
  <c r="J334" i="6"/>
  <c r="G210" i="6"/>
  <c r="G334" i="6"/>
  <c r="W85" i="9"/>
  <c r="AD105" i="9"/>
  <c r="AF106" i="9"/>
  <c r="U144" i="9"/>
  <c r="N73" i="9"/>
  <c r="J75" i="9" s="1"/>
  <c r="V197" i="6"/>
  <c r="Z351" i="2"/>
  <c r="Z352" i="2" s="1"/>
  <c r="N357" i="2" s="1"/>
  <c r="N360" i="2" s="1"/>
  <c r="L394" i="2" s="1"/>
  <c r="I273" i="2"/>
  <c r="I274" i="2" s="1"/>
  <c r="J10" i="7" s="1"/>
  <c r="J218" i="2"/>
  <c r="I167" i="2"/>
  <c r="I200" i="2"/>
  <c r="K200" i="2" s="1"/>
  <c r="X161" i="2"/>
  <c r="AG161" i="2" s="1"/>
  <c r="X138" i="6"/>
  <c r="S82" i="6"/>
  <c r="S86" i="6"/>
  <c r="V218" i="2" l="1"/>
  <c r="I261" i="2" s="1"/>
  <c r="W295" i="9"/>
  <c r="AA284" i="9"/>
  <c r="N295" i="9"/>
  <c r="P284" i="9"/>
  <c r="N90" i="9"/>
  <c r="M93" i="9" s="1"/>
  <c r="U93" i="9" s="1"/>
  <c r="N216" i="9"/>
  <c r="M219" i="9" s="1"/>
  <c r="U219" i="9" s="1"/>
  <c r="Q224" i="9" s="1"/>
  <c r="J225" i="9" s="1"/>
  <c r="N145" i="9"/>
  <c r="U145" i="9" s="1"/>
  <c r="T139" i="9" s="1"/>
  <c r="Q98" i="9"/>
  <c r="J99" i="9" s="1"/>
  <c r="F158" i="9" s="1"/>
  <c r="U187" i="6"/>
  <c r="U192" i="6"/>
  <c r="AE192" i="6" s="1"/>
  <c r="M194" i="6" s="1"/>
  <c r="L168" i="9"/>
  <c r="M157" i="9"/>
  <c r="AD139" i="9"/>
  <c r="L141" i="9" s="1"/>
  <c r="T134" i="9"/>
  <c r="AD134" i="9" s="1"/>
  <c r="L136" i="9" s="1"/>
  <c r="I248" i="2"/>
  <c r="AG248" i="2" s="1"/>
  <c r="I249" i="2"/>
  <c r="AG249" i="2" s="1"/>
  <c r="I250" i="2"/>
  <c r="AG250" i="2" s="1"/>
  <c r="I265" i="2"/>
  <c r="F280" i="2" s="1"/>
  <c r="I202" i="2"/>
  <c r="I238" i="2"/>
  <c r="I242" i="2"/>
  <c r="AG242" i="2" s="1"/>
  <c r="L214" i="2"/>
  <c r="I243" i="2"/>
  <c r="AG243" i="2" s="1"/>
  <c r="I239" i="2"/>
  <c r="I235" i="2"/>
  <c r="I236" i="2"/>
  <c r="I240" i="2"/>
  <c r="I237" i="2"/>
  <c r="I241" i="2"/>
  <c r="AG241" i="2" s="1"/>
  <c r="L213" i="2"/>
  <c r="N146" i="2"/>
  <c r="F284" i="9" l="1"/>
  <c r="Z345" i="6"/>
  <c r="AD334" i="6"/>
  <c r="AE187" i="6"/>
  <c r="M189" i="6" s="1"/>
  <c r="N169" i="9"/>
  <c r="P158" i="9"/>
  <c r="W169" i="9"/>
  <c r="AA158" i="9"/>
  <c r="Z221" i="6"/>
  <c r="AD210" i="6"/>
  <c r="Q210" i="6"/>
  <c r="O221" i="6"/>
  <c r="K202" i="2"/>
  <c r="L220" i="2"/>
  <c r="L219" i="2"/>
  <c r="AB88" i="2"/>
  <c r="AB80" i="2"/>
  <c r="AB83" i="2"/>
  <c r="AB81" i="2"/>
  <c r="K34" i="2"/>
  <c r="M34" i="2"/>
  <c r="M22" i="2"/>
  <c r="H26" i="2" s="1"/>
  <c r="K22" i="2"/>
  <c r="O345" i="6" l="1"/>
  <c r="Q334" i="6"/>
  <c r="U34" i="2"/>
  <c r="X34" i="2" s="1"/>
  <c r="AG34" i="2" s="1"/>
  <c r="U22" i="2"/>
  <c r="W26" i="2" s="1"/>
  <c r="T38" i="1" l="1"/>
  <c r="K83" i="8" s="1"/>
  <c r="R83" i="8" s="1"/>
  <c r="Q75" i="8" s="1"/>
  <c r="I48" i="2"/>
  <c r="I46" i="2"/>
  <c r="M20" i="2"/>
  <c r="K20" i="2"/>
  <c r="M18" i="2"/>
  <c r="U18" i="2" s="1"/>
  <c r="K18" i="2"/>
  <c r="I18" i="2"/>
  <c r="I83" i="3" s="1"/>
  <c r="I110" i="3" s="1"/>
  <c r="R16" i="2"/>
  <c r="M16" i="2"/>
  <c r="U16" i="2" s="1"/>
  <c r="K16" i="2"/>
  <c r="I16" i="2"/>
  <c r="I81" i="3" s="1"/>
  <c r="G5" i="5"/>
  <c r="T39" i="1"/>
  <c r="J443" i="2"/>
  <c r="J442" i="2"/>
  <c r="J441" i="2"/>
  <c r="J440" i="2"/>
  <c r="L26" i="1"/>
  <c r="F25" i="1"/>
  <c r="V218" i="7" l="1"/>
  <c r="AC218" i="7" s="1"/>
  <c r="G223" i="7" s="1"/>
  <c r="V215" i="3"/>
  <c r="AC215" i="3" s="1"/>
  <c r="G220" i="3" s="1"/>
  <c r="K122" i="3"/>
  <c r="I155" i="3"/>
  <c r="AA42" i="3"/>
  <c r="AA43" i="3"/>
  <c r="I20" i="2"/>
  <c r="I85" i="3" s="1"/>
  <c r="AG236" i="2"/>
  <c r="AG235" i="2"/>
  <c r="R27" i="3"/>
  <c r="I88" i="2"/>
  <c r="I76" i="2"/>
  <c r="AG76" i="2" s="1"/>
  <c r="I77" i="2"/>
  <c r="AG77" i="2" s="1"/>
  <c r="I79" i="2"/>
  <c r="I78" i="2"/>
  <c r="I80" i="2"/>
  <c r="I81" i="2"/>
  <c r="I83" i="2"/>
  <c r="I82" i="2"/>
  <c r="L59" i="2"/>
  <c r="L58" i="2"/>
  <c r="U20" i="2"/>
  <c r="X26" i="1"/>
  <c r="X16" i="2"/>
  <c r="F448" i="2"/>
  <c r="J446" i="2"/>
  <c r="F446" i="2"/>
  <c r="L24" i="1"/>
  <c r="T86" i="3" l="1"/>
  <c r="T87" i="3" s="1"/>
  <c r="I112" i="3"/>
  <c r="N196" i="3"/>
  <c r="N195" i="3"/>
  <c r="L172" i="3"/>
  <c r="L180" i="3"/>
  <c r="AB180" i="3" s="1"/>
  <c r="P34" i="2"/>
  <c r="H38" i="2" s="1"/>
  <c r="AC50" i="7"/>
  <c r="P182" i="2"/>
  <c r="R183" i="2" s="1"/>
  <c r="P169" i="2"/>
  <c r="AA44" i="3"/>
  <c r="I70" i="2"/>
  <c r="V70" i="2" s="1"/>
  <c r="L79" i="2"/>
  <c r="AG79" i="2" s="1"/>
  <c r="L61" i="2"/>
  <c r="L81" i="2"/>
  <c r="AG81" i="2" s="1"/>
  <c r="L64" i="2"/>
  <c r="L88" i="2"/>
  <c r="AG88" i="2" s="1"/>
  <c r="O108" i="2" s="1"/>
  <c r="O109" i="2" s="1"/>
  <c r="L83" i="2"/>
  <c r="AG83" i="2" s="1"/>
  <c r="L80" i="2"/>
  <c r="AG80" i="2" s="1"/>
  <c r="L78" i="2"/>
  <c r="AG78" i="2" s="1"/>
  <c r="I50" i="2"/>
  <c r="L60" i="2"/>
  <c r="L82" i="2"/>
  <c r="AG82" i="2" s="1"/>
  <c r="AG237" i="2"/>
  <c r="AG240" i="2"/>
  <c r="AG238" i="2"/>
  <c r="AG239" i="2"/>
  <c r="I108" i="2"/>
  <c r="I109" i="2" s="1"/>
  <c r="P22" i="2"/>
  <c r="AG16" i="2"/>
  <c r="X24" i="1"/>
  <c r="R10" i="1"/>
  <c r="J8" i="8" s="1"/>
  <c r="J9" i="8" s="1"/>
  <c r="AC45" i="3" l="1"/>
  <c r="H27" i="2"/>
  <c r="J130" i="3"/>
  <c r="I157" i="3"/>
  <c r="J164" i="3" s="1"/>
  <c r="N122" i="3"/>
  <c r="O123" i="3"/>
  <c r="K54" i="7"/>
  <c r="G25" i="7"/>
  <c r="H26" i="7" s="1"/>
  <c r="K315" i="2"/>
  <c r="AC49" i="7"/>
  <c r="AG49" i="7" s="1"/>
  <c r="P167" i="2"/>
  <c r="P165" i="2"/>
  <c r="P20" i="2"/>
  <c r="AC44" i="3" s="1"/>
  <c r="AG44" i="3"/>
  <c r="R184" i="2"/>
  <c r="X183" i="2"/>
  <c r="AG183" i="2" s="1"/>
  <c r="J16" i="3"/>
  <c r="H20" i="3" s="1"/>
  <c r="H15" i="7"/>
  <c r="P16" i="3"/>
  <c r="O20" i="3" s="1"/>
  <c r="J17" i="3"/>
  <c r="J21" i="3" s="1"/>
  <c r="J16" i="7"/>
  <c r="K50" i="2"/>
  <c r="K29" i="7"/>
  <c r="V27" i="3"/>
  <c r="Z27" i="3" s="1"/>
  <c r="K143" i="3" s="1"/>
  <c r="AB425" i="2"/>
  <c r="L23" i="1"/>
  <c r="L22" i="1"/>
  <c r="R188" i="2" l="1"/>
  <c r="M189" i="2"/>
  <c r="V28" i="3"/>
  <c r="J129" i="3"/>
  <c r="K196" i="2"/>
  <c r="P196" i="2" s="1"/>
  <c r="P197" i="2" s="1"/>
  <c r="P161" i="2"/>
  <c r="K198" i="2"/>
  <c r="P198" i="2" s="1"/>
  <c r="P199" i="2" s="1"/>
  <c r="P163" i="2"/>
  <c r="I226" i="2"/>
  <c r="AG226" i="2" s="1"/>
  <c r="Z96" i="7"/>
  <c r="Y36" i="8" s="1"/>
  <c r="X184" i="2"/>
  <c r="AG184" i="2" s="1"/>
  <c r="O228" i="2"/>
  <c r="AB228" i="2" s="1"/>
  <c r="J63" i="2"/>
  <c r="V63" i="2" s="1"/>
  <c r="I99" i="2" s="1"/>
  <c r="I102" i="2" s="1"/>
  <c r="F115" i="2" s="1"/>
  <c r="J170" i="7"/>
  <c r="P16" i="2"/>
  <c r="K46" i="2"/>
  <c r="P46" i="2" s="1"/>
  <c r="X23" i="1"/>
  <c r="K48" i="2"/>
  <c r="P48" i="2" s="1"/>
  <c r="P18" i="2"/>
  <c r="AC43" i="3" s="1"/>
  <c r="AG43" i="3" s="1"/>
  <c r="L25" i="1"/>
  <c r="X22" i="1"/>
  <c r="F433" i="2"/>
  <c r="T92" i="7" l="1"/>
  <c r="S32" i="8" s="1"/>
  <c r="S45" i="8" s="1"/>
  <c r="T90" i="7"/>
  <c r="R14" i="1"/>
  <c r="AD366" i="2"/>
  <c r="T88" i="7"/>
  <c r="R17" i="2"/>
  <c r="AC42" i="3"/>
  <c r="AG42" i="3" s="1"/>
  <c r="O273" i="2"/>
  <c r="U273" i="2"/>
  <c r="I227" i="2"/>
  <c r="AB227" i="2" s="1"/>
  <c r="Z97" i="7"/>
  <c r="Y37" i="8" s="1"/>
  <c r="AG229" i="2"/>
  <c r="S11" i="7" s="1"/>
  <c r="Y16" i="7" s="1"/>
  <c r="Z271" i="2"/>
  <c r="Z274" i="2" s="1"/>
  <c r="X10" i="7" s="1"/>
  <c r="AD15" i="7" s="1"/>
  <c r="P200" i="2"/>
  <c r="AA162" i="2"/>
  <c r="AA163" i="2" s="1"/>
  <c r="AA164" i="2" s="1"/>
  <c r="AA165" i="2" s="1"/>
  <c r="AA166" i="2" s="1"/>
  <c r="R162" i="2"/>
  <c r="P49" i="2"/>
  <c r="T93" i="7" s="1"/>
  <c r="S33" i="8" s="1"/>
  <c r="S46" i="8" s="1"/>
  <c r="P47" i="2"/>
  <c r="AA17" i="2"/>
  <c r="AA18" i="2" s="1"/>
  <c r="AA19" i="2" s="1"/>
  <c r="AA20" i="2" s="1"/>
  <c r="T91" i="7" l="1"/>
  <c r="S31" i="8" s="1"/>
  <c r="S44" i="8" s="1"/>
  <c r="T89" i="7"/>
  <c r="R163" i="2"/>
  <c r="X162" i="2"/>
  <c r="AG162" i="2" s="1"/>
  <c r="AA169" i="2"/>
  <c r="AA170" i="2" s="1"/>
  <c r="AA171" i="2" s="1"/>
  <c r="AA167" i="2"/>
  <c r="AA168" i="2" s="1"/>
  <c r="P201" i="2"/>
  <c r="P202" i="2" s="1"/>
  <c r="I219" i="2"/>
  <c r="AG219" i="2" s="1"/>
  <c r="Z262" i="2" s="1"/>
  <c r="AB229" i="2"/>
  <c r="N11" i="7" s="1"/>
  <c r="R16" i="7" s="1"/>
  <c r="O272" i="2"/>
  <c r="U272" i="2"/>
  <c r="U274" i="2"/>
  <c r="S10" i="7" s="1"/>
  <c r="W15" i="7" s="1"/>
  <c r="O274" i="2"/>
  <c r="N10" i="7" s="1"/>
  <c r="O15" i="7" s="1"/>
  <c r="K412" i="2"/>
  <c r="P412" i="2" s="1"/>
  <c r="W393" i="2"/>
  <c r="H396" i="2" s="1"/>
  <c r="AA21" i="2"/>
  <c r="AA22" i="2" s="1"/>
  <c r="X17" i="2"/>
  <c r="R18" i="2"/>
  <c r="AE396" i="2" l="1"/>
  <c r="P11" i="5" s="1"/>
  <c r="Q11" i="5" s="1"/>
  <c r="AB424" i="2"/>
  <c r="P203" i="2"/>
  <c r="I220" i="2"/>
  <c r="AG220" i="2" s="1"/>
  <c r="Z263" i="2" s="1"/>
  <c r="R164" i="2"/>
  <c r="X163" i="2"/>
  <c r="AG163" i="2" s="1"/>
  <c r="AG17" i="2"/>
  <c r="X18" i="2"/>
  <c r="AG18" i="2" s="1"/>
  <c r="R19" i="2"/>
  <c r="R20" i="2" s="1"/>
  <c r="R21" i="2" s="1"/>
  <c r="X164" i="2" l="1"/>
  <c r="AG164" i="2" s="1"/>
  <c r="R165" i="2"/>
  <c r="T95" i="7"/>
  <c r="H208" i="2"/>
  <c r="I221" i="2"/>
  <c r="I58" i="2"/>
  <c r="AG58" i="2" s="1"/>
  <c r="Z94" i="2" s="1"/>
  <c r="X19" i="2"/>
  <c r="P50" i="2"/>
  <c r="S35" i="8" l="1"/>
  <c r="S48" i="8" s="1"/>
  <c r="AB221" i="2"/>
  <c r="AG221" i="2"/>
  <c r="Z264" i="2" s="1"/>
  <c r="X165" i="2"/>
  <c r="AG165" i="2" s="1"/>
  <c r="R166" i="2"/>
  <c r="I64" i="2"/>
  <c r="AG64" i="2" s="1"/>
  <c r="Z100" i="2" s="1"/>
  <c r="P51" i="2"/>
  <c r="AG19" i="2"/>
  <c r="R167" i="2" l="1"/>
  <c r="X166" i="2"/>
  <c r="AG166" i="2" s="1"/>
  <c r="U264" i="2"/>
  <c r="O264" i="2"/>
  <c r="I65" i="2"/>
  <c r="AB65" i="2" s="1"/>
  <c r="U101" i="2" s="1"/>
  <c r="I59" i="2"/>
  <c r="AG59" i="2" s="1"/>
  <c r="Z95" i="2" s="1"/>
  <c r="X21" i="2"/>
  <c r="AG21" i="2" s="1"/>
  <c r="X167" i="2" l="1"/>
  <c r="AG167" i="2" s="1"/>
  <c r="I213" i="2" s="1"/>
  <c r="AG213" i="2" s="1"/>
  <c r="Z256" i="2" s="1"/>
  <c r="R168" i="2"/>
  <c r="O101" i="2"/>
  <c r="I61" i="2"/>
  <c r="AG61" i="2" s="1"/>
  <c r="Z97" i="2" s="1"/>
  <c r="X20" i="2"/>
  <c r="X168" i="2" l="1"/>
  <c r="AG168" i="2" s="1"/>
  <c r="I214" i="2" s="1"/>
  <c r="AG214" i="2" s="1"/>
  <c r="Z257" i="2" s="1"/>
  <c r="R169" i="2"/>
  <c r="AG20" i="2"/>
  <c r="R22" i="2"/>
  <c r="X169" i="2" l="1"/>
  <c r="AG169" i="2" s="1"/>
  <c r="I215" i="2" s="1"/>
  <c r="AG215" i="2" s="1"/>
  <c r="Z258" i="2" s="1"/>
  <c r="R170" i="2"/>
  <c r="N63" i="2"/>
  <c r="AB63" i="2" s="1"/>
  <c r="I60" i="2"/>
  <c r="AG60" i="2" s="1"/>
  <c r="Z96" i="2" s="1"/>
  <c r="Z102" i="2" s="1"/>
  <c r="W115" i="2" s="1"/>
  <c r="X22" i="2"/>
  <c r="AG22" i="2" s="1"/>
  <c r="R171" i="2" l="1"/>
  <c r="X170" i="2"/>
  <c r="AG170" i="2" s="1"/>
  <c r="I216" i="2" s="1"/>
  <c r="AG216" i="2" s="1"/>
  <c r="Z259" i="2" s="1"/>
  <c r="Z265" i="2"/>
  <c r="W280" i="2" s="1"/>
  <c r="I62" i="2"/>
  <c r="AB62" i="2" s="1"/>
  <c r="U98" i="2" s="1"/>
  <c r="U99" i="2"/>
  <c r="O99" i="2"/>
  <c r="R175" i="2" l="1"/>
  <c r="M176" i="2"/>
  <c r="X171" i="2"/>
  <c r="AG171" i="2" s="1"/>
  <c r="I217" i="2" s="1"/>
  <c r="AB217" i="2" s="1"/>
  <c r="N218" i="2"/>
  <c r="AB218" i="2" s="1"/>
  <c r="O98" i="2"/>
  <c r="O102" i="2" s="1"/>
  <c r="L115" i="2" s="1"/>
  <c r="J118" i="2" s="1"/>
  <c r="U102" i="2"/>
  <c r="R115" i="2" s="1"/>
  <c r="O261" i="2" l="1"/>
  <c r="U261" i="2"/>
  <c r="U260" i="2"/>
  <c r="U265" i="2" s="1"/>
  <c r="R280" i="2" s="1"/>
  <c r="O260" i="2"/>
  <c r="O265" i="2" s="1"/>
  <c r="L280" i="2" s="1"/>
  <c r="J283" i="2" s="1"/>
  <c r="J120" i="2"/>
  <c r="J121" i="2"/>
  <c r="J285" i="2" l="1"/>
  <c r="J286" i="2"/>
  <c r="Z285" i="2" s="1"/>
  <c r="Z120" i="2"/>
  <c r="J125" i="2" s="1"/>
  <c r="N290" i="2" l="1"/>
  <c r="J290" i="2"/>
  <c r="J289" i="2"/>
  <c r="N289" i="2"/>
  <c r="N124" i="2"/>
  <c r="J124" i="2"/>
  <c r="N125" i="2"/>
  <c r="Z125" i="2" s="1"/>
  <c r="AE289" i="2" l="1"/>
  <c r="Z289" i="2"/>
  <c r="Z290" i="2"/>
  <c r="AE290" i="2"/>
  <c r="AE124" i="2"/>
  <c r="Z124" i="2"/>
  <c r="AE125" i="2"/>
  <c r="J294" i="2" l="1"/>
  <c r="N294" i="2"/>
  <c r="N129" i="2"/>
  <c r="J129" i="2"/>
  <c r="AE294" i="2" l="1"/>
  <c r="J297" i="2"/>
  <c r="Z294" i="2"/>
  <c r="N300" i="2"/>
  <c r="N297" i="2"/>
  <c r="J300" i="2"/>
  <c r="Z129" i="2"/>
  <c r="N130" i="2" s="1"/>
  <c r="N138" i="2" s="1"/>
  <c r="J135" i="2"/>
  <c r="AE129" i="2"/>
  <c r="N135" i="2"/>
  <c r="J132" i="2"/>
  <c r="N132" i="2"/>
  <c r="Z300" i="2" l="1"/>
  <c r="AE300" i="2"/>
  <c r="N295" i="2"/>
  <c r="N303" i="2" s="1"/>
  <c r="J295" i="2"/>
  <c r="AE297" i="2"/>
  <c r="Z297" i="2"/>
  <c r="J130" i="2"/>
  <c r="AE130" i="2" s="1"/>
  <c r="AE132" i="2"/>
  <c r="AE135" i="2"/>
  <c r="Z135" i="2"/>
  <c r="Z132" i="2"/>
  <c r="AE295" i="2" l="1"/>
  <c r="J298" i="2"/>
  <c r="N301" i="2"/>
  <c r="N305" i="2" s="1"/>
  <c r="N298" i="2"/>
  <c r="N304" i="2" s="1"/>
  <c r="J301" i="2"/>
  <c r="Z295" i="2"/>
  <c r="J303" i="2"/>
  <c r="K308" i="2" s="1"/>
  <c r="I97" i="7" s="1"/>
  <c r="J133" i="2"/>
  <c r="J139" i="2" s="1"/>
  <c r="Z130" i="2"/>
  <c r="J136" i="2"/>
  <c r="J140" i="2" s="1"/>
  <c r="N136" i="2"/>
  <c r="N140" i="2" s="1"/>
  <c r="J138" i="2"/>
  <c r="K143" i="2" s="1"/>
  <c r="N133" i="2"/>
  <c r="N139" i="2" s="1"/>
  <c r="H37" i="8" l="1"/>
  <c r="T96" i="7"/>
  <c r="S36" i="8" s="1"/>
  <c r="Z98" i="7"/>
  <c r="Y38" i="8" s="1"/>
  <c r="J12" i="7"/>
  <c r="P311" i="2"/>
  <c r="X311" i="2" s="1"/>
  <c r="K312" i="2" s="1"/>
  <c r="Z301" i="2"/>
  <c r="AE301" i="2"/>
  <c r="J305" i="2"/>
  <c r="AE298" i="2"/>
  <c r="Z298" i="2"/>
  <c r="J304" i="2"/>
  <c r="K147" i="2"/>
  <c r="M321" i="2" s="1"/>
  <c r="O150" i="2"/>
  <c r="K151" i="2" s="1"/>
  <c r="Q321" i="2" s="1"/>
  <c r="AE136" i="2"/>
  <c r="Z136" i="2"/>
  <c r="AE133" i="2"/>
  <c r="Z133" i="2"/>
  <c r="J18" i="3"/>
  <c r="O315" i="2" l="1"/>
  <c r="K316" i="2" s="1"/>
  <c r="Q322" i="2" s="1"/>
  <c r="M322" i="2"/>
  <c r="K325" i="2" s="1"/>
  <c r="AB423" i="2" s="1"/>
  <c r="U427" i="2" s="1"/>
  <c r="Z5" i="5" s="1"/>
  <c r="AA15" i="7"/>
  <c r="V16" i="7"/>
  <c r="R20" i="3"/>
  <c r="S15" i="7"/>
  <c r="N16" i="7"/>
  <c r="H19" i="7" s="1"/>
  <c r="K15" i="7"/>
  <c r="J433" i="2"/>
  <c r="F434" i="2" s="1"/>
  <c r="F435" i="2" s="1"/>
  <c r="P5" i="5" s="1"/>
  <c r="K20" i="3"/>
  <c r="H22" i="3" s="1"/>
  <c r="N21" i="3"/>
  <c r="H23" i="3" s="1"/>
  <c r="H18" i="7" l="1"/>
  <c r="H21" i="7" s="1"/>
  <c r="G29" i="7" s="1"/>
  <c r="H30" i="7" s="1"/>
  <c r="I35" i="7" s="1"/>
  <c r="L35" i="7" s="1"/>
  <c r="N448" i="2"/>
  <c r="Q7" i="5" s="1"/>
  <c r="N446" i="2"/>
  <c r="Q6" i="5" s="1"/>
  <c r="H25" i="3"/>
  <c r="R28" i="3" s="1"/>
  <c r="Z28" i="3" s="1"/>
  <c r="R36" i="7" l="1"/>
  <c r="M8" i="8" s="1"/>
  <c r="G143" i="3"/>
  <c r="T126" i="8" l="1"/>
  <c r="O91" i="8" s="1"/>
  <c r="M9" i="8"/>
  <c r="I87" i="3"/>
  <c r="J94" i="3" s="1"/>
  <c r="J97" i="3" s="1"/>
  <c r="J99" i="3" s="1"/>
  <c r="H131" i="3"/>
  <c r="G130" i="3"/>
  <c r="V130" i="3" s="1"/>
  <c r="G129" i="3"/>
  <c r="V129" i="3" s="1"/>
  <c r="Z88" i="3"/>
  <c r="T88" i="3"/>
  <c r="G151" i="7"/>
  <c r="J139" i="7"/>
  <c r="I138" i="7"/>
  <c r="Y138" i="7" s="1"/>
  <c r="I137" i="7"/>
  <c r="Y137" i="7" s="1"/>
  <c r="AA45" i="3"/>
  <c r="AA50" i="7"/>
  <c r="H48" i="8" l="1"/>
  <c r="G10" i="8"/>
  <c r="AG45" i="3"/>
  <c r="AG46" i="3" s="1"/>
  <c r="M39" i="3" s="1"/>
  <c r="AA46" i="3"/>
  <c r="M40" i="3" s="1"/>
  <c r="AG50" i="7"/>
  <c r="AG51" i="7" s="1"/>
  <c r="N46" i="7" s="1"/>
  <c r="AA51" i="7"/>
  <c r="N47" i="7" s="1"/>
  <c r="Z95" i="7"/>
  <c r="K81" i="8" l="1"/>
  <c r="L64" i="8"/>
  <c r="N58" i="8"/>
  <c r="S49" i="8"/>
  <c r="H42" i="3"/>
  <c r="I49" i="7"/>
  <c r="P90" i="8" l="1"/>
  <c r="P74" i="8"/>
  <c r="M68" i="7"/>
  <c r="I69" i="7" s="1"/>
  <c r="N73" i="7"/>
  <c r="K74" i="7" s="1"/>
  <c r="I87" i="7" s="1"/>
  <c r="M58" i="3"/>
  <c r="I59" i="3" s="1"/>
  <c r="N64" i="3"/>
  <c r="K65" i="3" s="1"/>
  <c r="I79" i="3" s="1"/>
  <c r="N98" i="7"/>
  <c r="N97" i="7"/>
  <c r="M37" i="8" s="1"/>
  <c r="N96" i="7"/>
  <c r="M36" i="8" s="1"/>
  <c r="M49" i="8" s="1"/>
  <c r="Z49" i="8" s="1"/>
  <c r="J58" i="8" s="1"/>
  <c r="N91" i="7"/>
  <c r="N88" i="7"/>
  <c r="AG88" i="7" s="1"/>
  <c r="N95" i="7"/>
  <c r="M35" i="8" s="1"/>
  <c r="M48" i="8" s="1"/>
  <c r="Z48" i="8" s="1"/>
  <c r="G58" i="8" s="1"/>
  <c r="N93" i="7"/>
  <c r="N87" i="7"/>
  <c r="AG87" i="7" s="1"/>
  <c r="N94" i="7"/>
  <c r="N92" i="7"/>
  <c r="N10" i="6" l="1"/>
  <c r="H24" i="6" s="1"/>
  <c r="N11" i="6"/>
  <c r="I10" i="6"/>
  <c r="O24" i="6" s="1"/>
  <c r="AG92" i="7"/>
  <c r="M32" i="8"/>
  <c r="M45" i="8" s="1"/>
  <c r="Z45" i="8" s="1"/>
  <c r="AG94" i="7"/>
  <c r="N122" i="7" s="1"/>
  <c r="M34" i="8"/>
  <c r="M47" i="8" s="1"/>
  <c r="Z47" i="8" s="1"/>
  <c r="J57" i="8" s="1"/>
  <c r="AG93" i="7"/>
  <c r="M33" i="8"/>
  <c r="M46" i="8" s="1"/>
  <c r="Z46" i="8" s="1"/>
  <c r="G57" i="8" s="1"/>
  <c r="S57" i="8" s="1"/>
  <c r="AG91" i="7"/>
  <c r="M31" i="8"/>
  <c r="M44" i="8" s="1"/>
  <c r="Z44" i="8" s="1"/>
  <c r="G56" i="8" s="1"/>
  <c r="S56" i="8" s="1"/>
  <c r="S58" i="8"/>
  <c r="S59" i="8" s="1"/>
  <c r="L63" i="8" s="1"/>
  <c r="Q63" i="8" s="1"/>
  <c r="K80" i="8" s="1"/>
  <c r="AG98" i="7"/>
  <c r="M38" i="8"/>
  <c r="N88" i="3"/>
  <c r="AG88" i="3" s="1"/>
  <c r="F97" i="3" s="1"/>
  <c r="J100" i="3" s="1"/>
  <c r="N87" i="3"/>
  <c r="AG87" i="3" s="1"/>
  <c r="N86" i="3"/>
  <c r="AG86" i="3" s="1"/>
  <c r="N85" i="3"/>
  <c r="AG85" i="3" s="1"/>
  <c r="N84" i="3"/>
  <c r="AG84" i="3" s="1"/>
  <c r="N156" i="3" s="1"/>
  <c r="N83" i="3"/>
  <c r="AG83" i="3" s="1"/>
  <c r="N155" i="3" s="1"/>
  <c r="I172" i="3" s="1"/>
  <c r="AG172" i="3" s="1"/>
  <c r="N82" i="3"/>
  <c r="AG82" i="3" s="1"/>
  <c r="N81" i="3"/>
  <c r="AG81" i="3" s="1"/>
  <c r="N80" i="3"/>
  <c r="AG80" i="3" s="1"/>
  <c r="N79" i="3"/>
  <c r="AG79" i="3" s="1"/>
  <c r="I130" i="7"/>
  <c r="N166" i="7"/>
  <c r="N90" i="7"/>
  <c r="AG90" i="7" s="1"/>
  <c r="N89" i="7"/>
  <c r="AG89" i="7" s="1"/>
  <c r="K151" i="7"/>
  <c r="AG95" i="7"/>
  <c r="N123" i="7" s="1"/>
  <c r="I131" i="7" s="1"/>
  <c r="N12" i="6" l="1"/>
  <c r="H25" i="6" s="1"/>
  <c r="T25" i="6" s="1"/>
  <c r="N13" i="6"/>
  <c r="N14" i="6"/>
  <c r="H26" i="6" s="1"/>
  <c r="T26" i="6" s="1"/>
  <c r="N19" i="6"/>
  <c r="K36" i="6" s="1"/>
  <c r="N15" i="6"/>
  <c r="T24" i="6"/>
  <c r="L90" i="8"/>
  <c r="I93" i="8" s="1"/>
  <c r="M133" i="8" s="1"/>
  <c r="L74" i="8"/>
  <c r="I77" i="8" s="1"/>
  <c r="I133" i="8" s="1"/>
  <c r="I134" i="8" s="1"/>
  <c r="P134" i="8" s="1"/>
  <c r="AA134" i="8" s="1"/>
  <c r="Q10" i="5" s="1"/>
  <c r="N121" i="7"/>
  <c r="N16" i="6"/>
  <c r="H27" i="6" s="1"/>
  <c r="AA188" i="3"/>
  <c r="AA191" i="3" s="1"/>
  <c r="U188" i="3"/>
  <c r="U191" i="3" s="1"/>
  <c r="N112" i="3"/>
  <c r="K123" i="3" s="1"/>
  <c r="N157" i="3"/>
  <c r="N113" i="3"/>
  <c r="H123" i="3" s="1"/>
  <c r="N160" i="3"/>
  <c r="I163" i="3" s="1"/>
  <c r="T123" i="3"/>
  <c r="G137" i="3" s="1"/>
  <c r="F96" i="3"/>
  <c r="N114" i="3"/>
  <c r="N110" i="3"/>
  <c r="G122" i="3" s="1"/>
  <c r="T122" i="3" s="1"/>
  <c r="G136" i="3" s="1"/>
  <c r="N111" i="3"/>
  <c r="M99" i="3"/>
  <c r="N100" i="3"/>
  <c r="F106" i="7"/>
  <c r="Q130" i="7"/>
  <c r="I145" i="7" s="1"/>
  <c r="I169" i="7"/>
  <c r="N17" i="6" l="1"/>
  <c r="I129" i="7"/>
  <c r="Q129" i="7" s="1"/>
  <c r="I144" i="7" s="1"/>
  <c r="N163" i="7"/>
  <c r="AA196" i="3"/>
  <c r="AA195" i="3"/>
  <c r="AF196" i="3"/>
  <c r="AF195" i="3"/>
  <c r="I173" i="3"/>
  <c r="AB173" i="3" s="1"/>
  <c r="O189" i="3" s="1"/>
  <c r="O191" i="3" s="1"/>
  <c r="Q163" i="3"/>
  <c r="L163" i="3"/>
  <c r="G124" i="3"/>
  <c r="J102" i="3"/>
  <c r="I114" i="3" s="1"/>
  <c r="M109" i="7"/>
  <c r="N110" i="7"/>
  <c r="L144" i="7"/>
  <c r="O144" i="7" s="1"/>
  <c r="L145" i="7"/>
  <c r="O145" i="7" s="1"/>
  <c r="I178" i="7" l="1"/>
  <c r="AB178" i="7" s="1"/>
  <c r="O192" i="7" s="1"/>
  <c r="L169" i="7"/>
  <c r="H172" i="7" s="1"/>
  <c r="N164" i="7" s="1"/>
  <c r="Q169" i="7"/>
  <c r="N172" i="7" s="1"/>
  <c r="R164" i="7" s="1"/>
  <c r="K27" i="6"/>
  <c r="T27" i="6" s="1"/>
  <c r="T28" i="6" s="1"/>
  <c r="N18" i="6"/>
  <c r="H36" i="6" s="1"/>
  <c r="T36" i="6" s="1"/>
  <c r="T37" i="6" s="1"/>
  <c r="K40" i="6" s="1"/>
  <c r="K6" i="11" s="1"/>
  <c r="I34" i="11" s="1"/>
  <c r="I36" i="11" s="1"/>
  <c r="K69" i="11" s="1"/>
  <c r="S69" i="11" s="1"/>
  <c r="H89" i="11" s="1"/>
  <c r="L89" i="11" s="1"/>
  <c r="Y89" i="11" s="1"/>
  <c r="AG25" i="5" s="1"/>
  <c r="V196" i="3"/>
  <c r="O197" i="3" s="1"/>
  <c r="V195" i="3"/>
  <c r="N166" i="3"/>
  <c r="R158" i="3" s="1"/>
  <c r="H166" i="3"/>
  <c r="N158" i="3" s="1"/>
  <c r="O131" i="3"/>
  <c r="K131" i="3"/>
  <c r="V131" i="3" s="1"/>
  <c r="J138" i="3" s="1"/>
  <c r="J124" i="3"/>
  <c r="T124" i="3" s="1"/>
  <c r="J137" i="3"/>
  <c r="M137" i="3" s="1"/>
  <c r="J136" i="3"/>
  <c r="M136" i="3" s="1"/>
  <c r="N165" i="7"/>
  <c r="J179" i="7"/>
  <c r="X179" i="7" s="1"/>
  <c r="I193" i="7" s="1"/>
  <c r="I194" i="7"/>
  <c r="P199" i="7" s="1"/>
  <c r="I200" i="7" s="1"/>
  <c r="I202" i="7" s="1"/>
  <c r="K9" i="10" l="1"/>
  <c r="K6" i="9"/>
  <c r="I40" i="9" s="1"/>
  <c r="I42" i="9" s="1"/>
  <c r="N192" i="9" s="1"/>
  <c r="V192" i="9" s="1"/>
  <c r="S67" i="10"/>
  <c r="S63" i="10"/>
  <c r="K59" i="10"/>
  <c r="S99" i="6"/>
  <c r="AD99" i="6" s="1"/>
  <c r="P354" i="6" s="1"/>
  <c r="J357" i="6" s="1"/>
  <c r="Q357" i="6" s="1"/>
  <c r="AB357" i="6" s="1"/>
  <c r="Q21" i="5" s="1"/>
  <c r="S95" i="6"/>
  <c r="AD95" i="6" s="1"/>
  <c r="O250" i="6" s="1"/>
  <c r="K252" i="6" s="1"/>
  <c r="K91" i="6"/>
  <c r="R165" i="7"/>
  <c r="N179" i="7"/>
  <c r="AB179" i="7" s="1"/>
  <c r="O193" i="7" s="1"/>
  <c r="O194" i="7"/>
  <c r="R204" i="3"/>
  <c r="O199" i="3"/>
  <c r="N159" i="3"/>
  <c r="I174" i="3"/>
  <c r="X174" i="3" s="1"/>
  <c r="I190" i="3" s="1"/>
  <c r="I191" i="3" s="1"/>
  <c r="R159" i="3"/>
  <c r="G138" i="3"/>
  <c r="M138" i="3"/>
  <c r="M139" i="3" s="1"/>
  <c r="S143" i="3" s="1"/>
  <c r="L146" i="3" s="1"/>
  <c r="I196" i="3" s="1"/>
  <c r="U204" i="7"/>
  <c r="R205" i="7"/>
  <c r="P198" i="7"/>
  <c r="I207" i="7"/>
  <c r="T97" i="7"/>
  <c r="AG96" i="7"/>
  <c r="F107" i="7" s="1"/>
  <c r="J110" i="7" s="1"/>
  <c r="J112" i="7" s="1"/>
  <c r="I123" i="7" s="1"/>
  <c r="T295" i="9" l="1"/>
  <c r="R297" i="9" s="1"/>
  <c r="K295" i="9"/>
  <c r="F294" i="9"/>
  <c r="F297" i="9" s="1"/>
  <c r="X284" i="9"/>
  <c r="T286" i="9" s="1"/>
  <c r="M284" i="9"/>
  <c r="F283" i="9"/>
  <c r="F286" i="9" s="1"/>
  <c r="J92" i="6"/>
  <c r="O243" i="6" s="1"/>
  <c r="AD67" i="10"/>
  <c r="P322" i="10" s="1"/>
  <c r="J325" i="10" s="1"/>
  <c r="Q325" i="10" s="1"/>
  <c r="AB325" i="10" s="1"/>
  <c r="AG21" i="5" s="1"/>
  <c r="J60" i="10"/>
  <c r="O211" i="10" s="1"/>
  <c r="W211" i="10" s="1"/>
  <c r="AD63" i="10"/>
  <c r="O218" i="10" s="1"/>
  <c r="K220" i="10" s="1"/>
  <c r="W313" i="10"/>
  <c r="S315" i="10" s="1"/>
  <c r="L313" i="10"/>
  <c r="G312" i="10"/>
  <c r="G315" i="10" s="1"/>
  <c r="AA302" i="10"/>
  <c r="U304" i="10" s="1"/>
  <c r="N302" i="10"/>
  <c r="G301" i="10"/>
  <c r="G304" i="10" s="1"/>
  <c r="M312" i="10"/>
  <c r="J315" i="10" s="1"/>
  <c r="G317" i="10" s="1"/>
  <c r="K317" i="10" s="1"/>
  <c r="R317" i="10" s="1"/>
  <c r="AG20" i="5" s="1"/>
  <c r="N301" i="10"/>
  <c r="J304" i="10" s="1"/>
  <c r="G306" i="10" s="1"/>
  <c r="J306" i="10" s="1"/>
  <c r="M306" i="10" s="1"/>
  <c r="AG19" i="5" s="1"/>
  <c r="M344" i="6"/>
  <c r="N333" i="6"/>
  <c r="AG97" i="7"/>
  <c r="S37" i="8"/>
  <c r="U197" i="3"/>
  <c r="Z197" i="3"/>
  <c r="AG204" i="3" s="1"/>
  <c r="V198" i="7"/>
  <c r="V199" i="7"/>
  <c r="O200" i="7" s="1"/>
  <c r="O202" i="7" s="1"/>
  <c r="Z204" i="3"/>
  <c r="U199" i="3"/>
  <c r="Y201" i="3" s="1"/>
  <c r="R196" i="3"/>
  <c r="I197" i="3" s="1"/>
  <c r="R195" i="3"/>
  <c r="N201" i="3"/>
  <c r="I201" i="3"/>
  <c r="L131" i="7"/>
  <c r="Q131" i="7" s="1"/>
  <c r="Q139" i="7"/>
  <c r="M139" i="7"/>
  <c r="Y139" i="7" s="1"/>
  <c r="L146" i="7" s="1"/>
  <c r="I146" i="7"/>
  <c r="N204" i="7" l="1"/>
  <c r="I204" i="7"/>
  <c r="I204" i="3"/>
  <c r="I199" i="3"/>
  <c r="I147" i="7"/>
  <c r="O146" i="7"/>
  <c r="O147" i="7" s="1"/>
  <c r="S151" i="7" s="1"/>
  <c r="R207" i="7"/>
  <c r="R202" i="3" l="1"/>
  <c r="U201" i="3"/>
  <c r="AE201" i="3" s="1"/>
  <c r="L154" i="7"/>
  <c r="I199" i="7" s="1"/>
  <c r="U200" i="7" s="1"/>
  <c r="U202" i="7"/>
  <c r="Y204" i="7" s="1"/>
  <c r="AE204" i="7" s="1"/>
  <c r="AD207" i="7" s="1"/>
  <c r="Z207" i="7"/>
  <c r="M207" i="7"/>
  <c r="V207" i="7"/>
  <c r="AD204" i="3" l="1"/>
  <c r="V204" i="3"/>
  <c r="M204" i="3"/>
  <c r="I205" i="3" s="1"/>
  <c r="I208" i="7"/>
  <c r="G222" i="7" s="1"/>
  <c r="G225" i="7" s="1"/>
  <c r="G227" i="7" s="1"/>
  <c r="N227" i="7" s="1"/>
  <c r="Y227" i="7" s="1"/>
  <c r="Q9" i="5" s="1"/>
  <c r="G219" i="3" l="1"/>
  <c r="G222" i="3" s="1"/>
  <c r="G224" i="3" s="1"/>
  <c r="N224" i="3" s="1"/>
  <c r="Y224" i="3" s="1"/>
  <c r="Q8" i="5" s="1"/>
  <c r="K31" i="6"/>
  <c r="K5" i="11" s="1"/>
  <c r="I26" i="11" s="1"/>
  <c r="I28" i="11" s="1"/>
  <c r="K42" i="11" s="1"/>
  <c r="S42" i="11" s="1"/>
  <c r="H62" i="11" s="1"/>
  <c r="L62" i="11" s="1"/>
  <c r="Y62" i="11" s="1"/>
  <c r="AG24" i="5" s="1"/>
  <c r="K7" i="10" l="1"/>
  <c r="K5" i="9"/>
  <c r="I27" i="9" s="1"/>
  <c r="I29" i="9" s="1"/>
  <c r="N66" i="9" s="1"/>
  <c r="V66" i="9" s="1"/>
  <c r="S53" i="10"/>
  <c r="S49" i="10"/>
  <c r="K45" i="10"/>
  <c r="K77" i="6"/>
  <c r="S85" i="6"/>
  <c r="AD85" i="6" s="1"/>
  <c r="S81" i="6"/>
  <c r="AD81" i="6" s="1"/>
  <c r="T169" i="9" l="1"/>
  <c r="R171" i="9" s="1"/>
  <c r="K169" i="9"/>
  <c r="I171" i="9" s="1"/>
  <c r="F168" i="9"/>
  <c r="F171" i="9" s="1"/>
  <c r="F173" i="9" s="1"/>
  <c r="J173" i="9" s="1"/>
  <c r="Q173" i="9" s="1"/>
  <c r="Q25" i="5" s="1"/>
  <c r="X158" i="9"/>
  <c r="T160" i="9" s="1"/>
  <c r="M158" i="9"/>
  <c r="I160" i="9" s="1"/>
  <c r="J201" i="9" s="1"/>
  <c r="F157" i="9"/>
  <c r="F160" i="9" s="1"/>
  <c r="F162" i="9" s="1"/>
  <c r="I162" i="9" s="1"/>
  <c r="L162" i="9" s="1"/>
  <c r="Q24" i="5" s="1"/>
  <c r="J78" i="6"/>
  <c r="O119" i="6" s="1"/>
  <c r="W119" i="6" s="1"/>
  <c r="AD49" i="10"/>
  <c r="O94" i="10" s="1"/>
  <c r="K96" i="10" s="1"/>
  <c r="AD53" i="10"/>
  <c r="P198" i="10" s="1"/>
  <c r="J201" i="10" s="1"/>
  <c r="Q201" i="10" s="1"/>
  <c r="AB201" i="10" s="1"/>
  <c r="AG17" i="5" s="1"/>
  <c r="J46" i="10"/>
  <c r="O87" i="10" s="1"/>
  <c r="W87" i="10" s="1"/>
  <c r="W189" i="10"/>
  <c r="S191" i="10" s="1"/>
  <c r="L189" i="10"/>
  <c r="G188" i="10"/>
  <c r="G191" i="10" s="1"/>
  <c r="AA178" i="10"/>
  <c r="U180" i="10" s="1"/>
  <c r="N178" i="10"/>
  <c r="G177" i="10"/>
  <c r="G180" i="10" s="1"/>
  <c r="M188" i="10"/>
  <c r="J191" i="10" s="1"/>
  <c r="G193" i="10" s="1"/>
  <c r="K193" i="10" s="1"/>
  <c r="R193" i="10" s="1"/>
  <c r="AG16" i="5" s="1"/>
  <c r="N177" i="10"/>
  <c r="J180" i="10" s="1"/>
  <c r="G182" i="10" s="1"/>
  <c r="J182" i="10" s="1"/>
  <c r="M182" i="10" s="1"/>
  <c r="AG15" i="5" s="1"/>
  <c r="P230" i="6"/>
  <c r="J233" i="6" s="1"/>
  <c r="Q233" i="6" s="1"/>
  <c r="AB233" i="6" s="1"/>
  <c r="Q17" i="5" s="1"/>
  <c r="L294" i="9" l="1"/>
  <c r="I297" i="9" s="1"/>
  <c r="F299" i="9" s="1"/>
  <c r="J299" i="9" s="1"/>
  <c r="Q299" i="9" s="1"/>
  <c r="Q28" i="5" s="1"/>
  <c r="M283" i="9"/>
  <c r="I286" i="9" s="1"/>
  <c r="F288" i="9" s="1"/>
  <c r="I288" i="9" s="1"/>
  <c r="L288" i="9" s="1"/>
  <c r="Q27" i="5" s="1"/>
  <c r="W221" i="6"/>
  <c r="S223" i="6" s="1"/>
  <c r="G220" i="6"/>
  <c r="G223" i="6" s="1"/>
  <c r="G209" i="6"/>
  <c r="G212" i="6" s="1"/>
  <c r="N210" i="6"/>
  <c r="AA210" i="6"/>
  <c r="U212" i="6" s="1"/>
  <c r="L221" i="6"/>
  <c r="O126" i="6"/>
  <c r="K128" i="6" s="1"/>
  <c r="M220" i="6" l="1"/>
  <c r="J223" i="6" s="1"/>
  <c r="G225" i="6" s="1"/>
  <c r="K225" i="6" s="1"/>
  <c r="R225" i="6" s="1"/>
  <c r="Q16" i="5" s="1"/>
  <c r="N209" i="6"/>
  <c r="J212" i="6" s="1"/>
  <c r="G214" i="6" l="1"/>
  <c r="J214" i="6" s="1"/>
  <c r="M214" i="6" s="1"/>
  <c r="Q15" i="5" s="1"/>
  <c r="W243" i="6"/>
  <c r="W345" i="6" l="1"/>
  <c r="S347" i="6" s="1"/>
  <c r="L345" i="6"/>
  <c r="J347" i="6" s="1"/>
  <c r="G344" i="6"/>
  <c r="G347" i="6" s="1"/>
  <c r="G349" i="6" s="1"/>
  <c r="K349" i="6" s="1"/>
  <c r="R349" i="6" s="1"/>
  <c r="Q20" i="5" s="1"/>
  <c r="AA334" i="6"/>
  <c r="U336" i="6" s="1"/>
  <c r="N334" i="6"/>
  <c r="J336" i="6" s="1"/>
  <c r="G333" i="6"/>
  <c r="G336" i="6" s="1"/>
  <c r="G338" i="6" s="1"/>
  <c r="J338" i="6" s="1"/>
  <c r="M338" i="6" s="1"/>
  <c r="Q19" i="5" s="1"/>
</calcChain>
</file>

<file path=xl/sharedStrings.xml><?xml version="1.0" encoding="utf-8"?>
<sst xmlns="http://schemas.openxmlformats.org/spreadsheetml/2006/main" count="5309" uniqueCount="847">
  <si>
    <t>掘削深さ</t>
    <rPh sb="0" eb="2">
      <t>クッサク</t>
    </rPh>
    <rPh sb="2" eb="3">
      <t>フカ</t>
    </rPh>
    <phoneticPr fontId="3"/>
  </si>
  <si>
    <t>H</t>
    <phoneticPr fontId="3"/>
  </si>
  <si>
    <t>=</t>
    <phoneticPr fontId="3"/>
  </si>
  <si>
    <t>m</t>
    <phoneticPr fontId="3"/>
  </si>
  <si>
    <t>地表面からの地下水位までの深さ</t>
    <rPh sb="0" eb="3">
      <t>チヒョウメン</t>
    </rPh>
    <rPh sb="6" eb="10">
      <t>チカスイイ</t>
    </rPh>
    <rPh sb="13" eb="14">
      <t>フカ</t>
    </rPh>
    <phoneticPr fontId="3"/>
  </si>
  <si>
    <t>上載荷重</t>
    <rPh sb="0" eb="1">
      <t>ウエ</t>
    </rPh>
    <rPh sb="1" eb="2">
      <t>ノ</t>
    </rPh>
    <rPh sb="2" eb="4">
      <t>カジュウ</t>
    </rPh>
    <phoneticPr fontId="3"/>
  </si>
  <si>
    <t>q</t>
    <phoneticPr fontId="3"/>
  </si>
  <si>
    <t>H11道仮p29</t>
    <phoneticPr fontId="3"/>
  </si>
  <si>
    <t>層厚</t>
    <phoneticPr fontId="3"/>
  </si>
  <si>
    <t>土質</t>
    <rPh sb="0" eb="2">
      <t>ドシツ</t>
    </rPh>
    <phoneticPr fontId="3"/>
  </si>
  <si>
    <t>地下水</t>
    <rPh sb="0" eb="2">
      <t>チカ</t>
    </rPh>
    <rPh sb="2" eb="3">
      <t>スイ</t>
    </rPh>
    <phoneticPr fontId="3"/>
  </si>
  <si>
    <t>N値</t>
    <rPh sb="1" eb="2">
      <t>アタイ</t>
    </rPh>
    <phoneticPr fontId="3"/>
  </si>
  <si>
    <t>単位体積重量</t>
    <rPh sb="0" eb="2">
      <t>タンイ</t>
    </rPh>
    <rPh sb="2" eb="4">
      <t>タイセキ</t>
    </rPh>
    <rPh sb="4" eb="6">
      <t>ジュウリョウ</t>
    </rPh>
    <phoneticPr fontId="3"/>
  </si>
  <si>
    <t>水中単位重量</t>
    <rPh sb="0" eb="2">
      <t>スイチュウ</t>
    </rPh>
    <rPh sb="2" eb="4">
      <t>タンイ</t>
    </rPh>
    <rPh sb="4" eb="6">
      <t>ジュウリョウ</t>
    </rPh>
    <phoneticPr fontId="3"/>
  </si>
  <si>
    <t>粘着力</t>
    <rPh sb="0" eb="3">
      <t>ネンチャクリョク</t>
    </rPh>
    <phoneticPr fontId="3"/>
  </si>
  <si>
    <t>h</t>
    <phoneticPr fontId="3"/>
  </si>
  <si>
    <t>γ</t>
    <phoneticPr fontId="3"/>
  </si>
  <si>
    <t>γ’</t>
    <phoneticPr fontId="3"/>
  </si>
  <si>
    <t>φ</t>
    <phoneticPr fontId="3"/>
  </si>
  <si>
    <t>c</t>
    <phoneticPr fontId="3"/>
  </si>
  <si>
    <t>(m)</t>
    <phoneticPr fontId="3"/>
  </si>
  <si>
    <t>1層</t>
    <rPh sb="1" eb="2">
      <t>ソウ</t>
    </rPh>
    <phoneticPr fontId="3"/>
  </si>
  <si>
    <t>2層</t>
    <rPh sb="1" eb="2">
      <t>ソウ</t>
    </rPh>
    <phoneticPr fontId="3"/>
  </si>
  <si>
    <t>層厚</t>
    <rPh sb="0" eb="1">
      <t>ソウ</t>
    </rPh>
    <rPh sb="1" eb="2">
      <t>アツ</t>
    </rPh>
    <phoneticPr fontId="3"/>
  </si>
  <si>
    <t>最小土圧</t>
    <rPh sb="0" eb="2">
      <t>サイショウ</t>
    </rPh>
    <rPh sb="2" eb="4">
      <t>ドアツ</t>
    </rPh>
    <phoneticPr fontId="3"/>
  </si>
  <si>
    <t>主働土圧</t>
    <rPh sb="0" eb="2">
      <t>シュドウ</t>
    </rPh>
    <rPh sb="2" eb="4">
      <t>ドアツ</t>
    </rPh>
    <phoneticPr fontId="3"/>
  </si>
  <si>
    <t>Σ</t>
    <phoneticPr fontId="3"/>
  </si>
  <si>
    <t>×</t>
    <phoneticPr fontId="3"/>
  </si>
  <si>
    <t>主働土圧係数</t>
    <rPh sb="0" eb="2">
      <t>シュドウ</t>
    </rPh>
    <rPh sb="2" eb="4">
      <t>ドアツ</t>
    </rPh>
    <rPh sb="4" eb="6">
      <t>ケイスウ</t>
    </rPh>
    <phoneticPr fontId="3"/>
  </si>
  <si>
    <t>砂質</t>
  </si>
  <si>
    <t>地下水</t>
    <rPh sb="0" eb="3">
      <t>チカスイ</t>
    </rPh>
    <phoneticPr fontId="3"/>
  </si>
  <si>
    <t>水圧</t>
    <rPh sb="0" eb="1">
      <t>スイ</t>
    </rPh>
    <rPh sb="1" eb="2">
      <t>アツ</t>
    </rPh>
    <phoneticPr fontId="3"/>
  </si>
  <si>
    <t>アーム長</t>
    <rPh sb="3" eb="4">
      <t>チョウ</t>
    </rPh>
    <phoneticPr fontId="3"/>
  </si>
  <si>
    <t>P</t>
    <phoneticPr fontId="3"/>
  </si>
  <si>
    <t>(kN)</t>
    <phoneticPr fontId="3"/>
  </si>
  <si>
    <t>(kN・m)</t>
    <phoneticPr fontId="3"/>
  </si>
  <si>
    <r>
      <t>(kN/m</t>
    </r>
    <r>
      <rPr>
        <vertAlign val="superscript"/>
        <sz val="11"/>
        <color theme="1"/>
        <rFont val="游ゴシック"/>
        <family val="3"/>
        <charset val="128"/>
        <scheme val="minor"/>
      </rPr>
      <t>2</t>
    </r>
    <r>
      <rPr>
        <sz val="11"/>
        <color theme="1"/>
        <rFont val="游ゴシック"/>
        <family val="2"/>
        <scheme val="minor"/>
      </rPr>
      <t>)</t>
    </r>
    <phoneticPr fontId="3"/>
  </si>
  <si>
    <r>
      <t>K</t>
    </r>
    <r>
      <rPr>
        <vertAlign val="subscript"/>
        <sz val="11"/>
        <color theme="1"/>
        <rFont val="游ゴシック"/>
        <family val="3"/>
        <charset val="128"/>
        <scheme val="minor"/>
      </rPr>
      <t>a</t>
    </r>
    <phoneticPr fontId="3"/>
  </si>
  <si>
    <r>
      <t>2C√K</t>
    </r>
    <r>
      <rPr>
        <vertAlign val="subscript"/>
        <sz val="11"/>
        <color theme="1"/>
        <rFont val="游ゴシック"/>
        <family val="3"/>
        <charset val="128"/>
        <scheme val="minor"/>
      </rPr>
      <t>a</t>
    </r>
    <phoneticPr fontId="3"/>
  </si>
  <si>
    <r>
      <t>-2c√K</t>
    </r>
    <r>
      <rPr>
        <vertAlign val="subscript"/>
        <sz val="11"/>
        <color theme="1"/>
        <rFont val="游ゴシック"/>
        <family val="3"/>
        <charset val="128"/>
        <scheme val="minor"/>
      </rPr>
      <t>a</t>
    </r>
    <phoneticPr fontId="3"/>
  </si>
  <si>
    <r>
      <t>(kN/m</t>
    </r>
    <r>
      <rPr>
        <vertAlign val="superscript"/>
        <sz val="11"/>
        <color theme="1"/>
        <rFont val="游ゴシック"/>
        <family val="3"/>
        <charset val="128"/>
        <scheme val="minor"/>
      </rPr>
      <t>3</t>
    </r>
    <r>
      <rPr>
        <sz val="11"/>
        <color theme="1"/>
        <rFont val="游ゴシック"/>
        <family val="2"/>
        <scheme val="minor"/>
      </rPr>
      <t>)</t>
    </r>
    <phoneticPr fontId="3"/>
  </si>
  <si>
    <r>
      <t>kN/m</t>
    </r>
    <r>
      <rPr>
        <vertAlign val="superscript"/>
        <sz val="11"/>
        <color theme="1"/>
        <rFont val="游ゴシック"/>
        <family val="3"/>
        <charset val="128"/>
        <scheme val="minor"/>
      </rPr>
      <t>2</t>
    </r>
    <phoneticPr fontId="3"/>
  </si>
  <si>
    <t>ここに、</t>
    <phoneticPr fontId="3"/>
  </si>
  <si>
    <t>なし</t>
  </si>
  <si>
    <t>有</t>
  </si>
  <si>
    <t>H11道仮p48</t>
    <phoneticPr fontId="3"/>
  </si>
  <si>
    <t>H11道仮p48,320</t>
    <phoneticPr fontId="3"/>
  </si>
  <si>
    <t>鋼矢板の許容応力度</t>
    <phoneticPr fontId="3"/>
  </si>
  <si>
    <r>
      <t>N/mm</t>
    </r>
    <r>
      <rPr>
        <vertAlign val="superscript"/>
        <sz val="11"/>
        <color theme="1"/>
        <rFont val="游ゴシック"/>
        <family val="3"/>
        <charset val="128"/>
        <scheme val="minor"/>
      </rPr>
      <t>2</t>
    </r>
    <phoneticPr fontId="3"/>
  </si>
  <si>
    <t>断面二次モーメント</t>
    <rPh sb="0" eb="2">
      <t>ダンメン</t>
    </rPh>
    <rPh sb="2" eb="4">
      <t>ニジ</t>
    </rPh>
    <phoneticPr fontId="3"/>
  </si>
  <si>
    <t>断面係数</t>
    <rPh sb="0" eb="4">
      <t>ダンメンケイスウ</t>
    </rPh>
    <phoneticPr fontId="3"/>
  </si>
  <si>
    <t>ヤング係数</t>
    <rPh sb="3" eb="5">
      <t>ケイスウ</t>
    </rPh>
    <phoneticPr fontId="3"/>
  </si>
  <si>
    <r>
      <t>cm</t>
    </r>
    <r>
      <rPr>
        <vertAlign val="superscript"/>
        <sz val="11"/>
        <color theme="1"/>
        <rFont val="游ゴシック"/>
        <family val="3"/>
        <charset val="128"/>
        <scheme val="minor"/>
      </rPr>
      <t>3</t>
    </r>
    <r>
      <rPr>
        <sz val="11"/>
        <color theme="1"/>
        <rFont val="游ゴシック"/>
        <family val="2"/>
        <scheme val="minor"/>
      </rPr>
      <t>/m</t>
    </r>
    <phoneticPr fontId="3"/>
  </si>
  <si>
    <t>H11道仮p320</t>
    <phoneticPr fontId="3"/>
  </si>
  <si>
    <t>H11道仮p46</t>
    <phoneticPr fontId="3"/>
  </si>
  <si>
    <t>H11道仮p107</t>
    <phoneticPr fontId="3"/>
  </si>
  <si>
    <t>H11道仮p109</t>
    <phoneticPr fontId="3"/>
  </si>
  <si>
    <t>I</t>
    <phoneticPr fontId="3"/>
  </si>
  <si>
    <t>E</t>
    <phoneticPr fontId="3"/>
  </si>
  <si>
    <t>Z</t>
    <phoneticPr fontId="3"/>
  </si>
  <si>
    <t>断面係数の有効率（応力度の計算）</t>
    <rPh sb="0" eb="2">
      <t>ダンメン</t>
    </rPh>
    <rPh sb="2" eb="4">
      <t>ケイスウ</t>
    </rPh>
    <rPh sb="5" eb="8">
      <t>ユウコウリツ</t>
    </rPh>
    <rPh sb="9" eb="12">
      <t>オウリョクド</t>
    </rPh>
    <rPh sb="13" eb="15">
      <t>ケイサン</t>
    </rPh>
    <phoneticPr fontId="3"/>
  </si>
  <si>
    <t>断面二次モーメントの有効率（断面力、変位の計算）</t>
    <rPh sb="0" eb="4">
      <t>ダンメンニジ</t>
    </rPh>
    <rPh sb="10" eb="13">
      <t>ユウコウリツ</t>
    </rPh>
    <rPh sb="14" eb="17">
      <t>ダンメンリョク</t>
    </rPh>
    <rPh sb="18" eb="20">
      <t>ヘンイ</t>
    </rPh>
    <rPh sb="21" eb="23">
      <t>ケイサン</t>
    </rPh>
    <phoneticPr fontId="3"/>
  </si>
  <si>
    <t>Ⅲ型</t>
    <rPh sb="0" eb="2">
      <t>サンガタ</t>
    </rPh>
    <phoneticPr fontId="3"/>
  </si>
  <si>
    <t>Ⅳ型</t>
    <rPh sb="0" eb="2">
      <t>ヨンガタ</t>
    </rPh>
    <phoneticPr fontId="3"/>
  </si>
  <si>
    <t>H11道仮p87</t>
    <phoneticPr fontId="3"/>
  </si>
  <si>
    <t>u</t>
    <phoneticPr fontId="3"/>
  </si>
  <si>
    <t>・</t>
    <phoneticPr fontId="3"/>
  </si>
  <si>
    <t>よって、</t>
    <phoneticPr fontId="3"/>
  </si>
  <si>
    <t>+</t>
    <phoneticPr fontId="3"/>
  </si>
  <si>
    <t>(</t>
    <phoneticPr fontId="3"/>
  </si>
  <si>
    <t>/</t>
    <phoneticPr fontId="3"/>
  </si>
  <si>
    <t>L</t>
    <phoneticPr fontId="3"/>
  </si>
  <si>
    <t>掘削長さ（長辺）</t>
    <rPh sb="0" eb="2">
      <t>クッサク</t>
    </rPh>
    <rPh sb="2" eb="3">
      <t>ナガ</t>
    </rPh>
    <rPh sb="5" eb="7">
      <t>チョウヘン</t>
    </rPh>
    <phoneticPr fontId="3"/>
  </si>
  <si>
    <t>最小根入れ長</t>
    <rPh sb="0" eb="2">
      <t>サイショウ</t>
    </rPh>
    <rPh sb="2" eb="4">
      <t>ネイ</t>
    </rPh>
    <rPh sb="5" eb="6">
      <t>チョウ</t>
    </rPh>
    <phoneticPr fontId="3"/>
  </si>
  <si>
    <t>根入れ長</t>
    <rPh sb="0" eb="2">
      <t>ネイ</t>
    </rPh>
    <rPh sb="3" eb="4">
      <t>チョウ</t>
    </rPh>
    <phoneticPr fontId="3"/>
  </si>
  <si>
    <t>D</t>
    <phoneticPr fontId="3"/>
  </si>
  <si>
    <r>
      <rPr>
        <sz val="11"/>
        <color theme="1"/>
        <rFont val="游ゴシック"/>
        <family val="3"/>
        <charset val="128"/>
        <scheme val="minor"/>
      </rPr>
      <t>Σγ</t>
    </r>
    <r>
      <rPr>
        <i/>
        <sz val="11"/>
        <color theme="1"/>
        <rFont val="Times New Roman"/>
        <family val="1"/>
      </rPr>
      <t>h+q</t>
    </r>
    <phoneticPr fontId="3"/>
  </si>
  <si>
    <r>
      <t>K</t>
    </r>
    <r>
      <rPr>
        <i/>
        <vertAlign val="subscript"/>
        <sz val="11"/>
        <color theme="1"/>
        <rFont val="Times New Roman"/>
        <family val="1"/>
      </rPr>
      <t>a</t>
    </r>
    <r>
      <rPr>
        <sz val="11"/>
        <color theme="1"/>
        <rFont val="游ゴシック"/>
        <family val="3"/>
        <charset val="128"/>
        <scheme val="minor"/>
      </rPr>
      <t>(γ</t>
    </r>
    <r>
      <rPr>
        <i/>
        <sz val="11"/>
        <color theme="1"/>
        <rFont val="Times New Roman"/>
        <family val="1"/>
      </rPr>
      <t>h+q</t>
    </r>
    <r>
      <rPr>
        <sz val="11"/>
        <color theme="1"/>
        <rFont val="游ゴシック"/>
        <family val="3"/>
        <charset val="128"/>
        <scheme val="minor"/>
      </rPr>
      <t>)</t>
    </r>
    <phoneticPr fontId="3"/>
  </si>
  <si>
    <r>
      <t>0.3</t>
    </r>
    <r>
      <rPr>
        <sz val="11"/>
        <color theme="1"/>
        <rFont val="游ゴシック"/>
        <family val="3"/>
        <charset val="128"/>
        <scheme val="minor"/>
      </rPr>
      <t>γ</t>
    </r>
    <r>
      <rPr>
        <i/>
        <sz val="11"/>
        <color theme="1"/>
        <rFont val="Times New Roman"/>
        <family val="1"/>
      </rPr>
      <t>h</t>
    </r>
    <phoneticPr fontId="3"/>
  </si>
  <si>
    <r>
      <t>ℓ</t>
    </r>
    <r>
      <rPr>
        <i/>
        <vertAlign val="subscript"/>
        <sz val="11"/>
        <color theme="1"/>
        <rFont val="Times New Roman"/>
        <family val="1"/>
      </rPr>
      <t>min</t>
    </r>
    <phoneticPr fontId="3"/>
  </si>
  <si>
    <r>
      <t>Z</t>
    </r>
    <r>
      <rPr>
        <i/>
        <sz val="11"/>
        <color theme="1"/>
        <rFont val="游ゴシック"/>
        <family val="2"/>
      </rPr>
      <t>・</t>
    </r>
    <r>
      <rPr>
        <i/>
        <sz val="11"/>
        <color theme="1"/>
        <rFont val="Times New Roman"/>
        <family val="1"/>
      </rPr>
      <t>e</t>
    </r>
    <phoneticPr fontId="3"/>
  </si>
  <si>
    <r>
      <t>m</t>
    </r>
    <r>
      <rPr>
        <vertAlign val="superscript"/>
        <sz val="11"/>
        <color theme="1"/>
        <rFont val="游ゴシック"/>
        <family val="3"/>
        <charset val="128"/>
        <scheme val="minor"/>
      </rPr>
      <t>3</t>
    </r>
    <r>
      <rPr>
        <sz val="11"/>
        <color theme="1"/>
        <rFont val="游ゴシック"/>
        <family val="2"/>
        <scheme val="minor"/>
      </rPr>
      <t>/m</t>
    </r>
    <phoneticPr fontId="3"/>
  </si>
  <si>
    <t>e</t>
    <phoneticPr fontId="3"/>
  </si>
  <si>
    <t>)</t>
    <phoneticPr fontId="3"/>
  </si>
  <si>
    <r>
      <t>σ</t>
    </r>
    <r>
      <rPr>
        <vertAlign val="subscript"/>
        <sz val="11"/>
        <color theme="1"/>
        <rFont val="Times New Roman"/>
        <family val="1"/>
      </rPr>
      <t>s</t>
    </r>
    <r>
      <rPr>
        <vertAlign val="subscript"/>
        <sz val="11"/>
        <color theme="1"/>
        <rFont val="游ゴシック"/>
        <family val="1"/>
        <charset val="128"/>
      </rPr>
      <t>a</t>
    </r>
    <phoneticPr fontId="3"/>
  </si>
  <si>
    <t>型式</t>
    <rPh sb="0" eb="2">
      <t>カタシキ</t>
    </rPh>
    <phoneticPr fontId="3"/>
  </si>
  <si>
    <r>
      <t>σ</t>
    </r>
    <r>
      <rPr>
        <vertAlign val="subscript"/>
        <sz val="11"/>
        <color theme="1"/>
        <rFont val="Times New Roman"/>
        <family val="1"/>
      </rPr>
      <t>s</t>
    </r>
    <r>
      <rPr>
        <vertAlign val="subscript"/>
        <sz val="11"/>
        <color theme="1"/>
        <rFont val="Yu Gothic"/>
        <family val="1"/>
        <charset val="128"/>
      </rPr>
      <t>a</t>
    </r>
    <phoneticPr fontId="3"/>
  </si>
  <si>
    <r>
      <t>L</t>
    </r>
    <r>
      <rPr>
        <i/>
        <vertAlign val="subscript"/>
        <sz val="11"/>
        <color theme="1"/>
        <rFont val="Times New Roman"/>
        <family val="1"/>
      </rPr>
      <t>e</t>
    </r>
    <phoneticPr fontId="3"/>
  </si>
  <si>
    <r>
      <t>B</t>
    </r>
    <r>
      <rPr>
        <i/>
        <vertAlign val="subscript"/>
        <sz val="11"/>
        <color theme="1"/>
        <rFont val="Times New Roman"/>
        <family val="1"/>
      </rPr>
      <t>e</t>
    </r>
    <phoneticPr fontId="3"/>
  </si>
  <si>
    <t>変形すると、</t>
    <rPh sb="0" eb="2">
      <t>ヘンケイ</t>
    </rPh>
    <phoneticPr fontId="3"/>
  </si>
  <si>
    <t>≒</t>
    <phoneticPr fontId="3"/>
  </si>
  <si>
    <r>
      <rPr>
        <i/>
        <sz val="11"/>
        <color theme="1"/>
        <rFont val="Times New Roman"/>
        <family val="1"/>
      </rPr>
      <t>e</t>
    </r>
    <r>
      <rPr>
        <sz val="11"/>
        <color theme="1"/>
        <rFont val="游ゴシック"/>
        <family val="2"/>
        <scheme val="minor"/>
      </rPr>
      <t>：断面係数の有効率（応力度の計算）</t>
    </r>
    <phoneticPr fontId="3"/>
  </si>
  <si>
    <t>H11道仮p321</t>
    <phoneticPr fontId="3"/>
  </si>
  <si>
    <t>ただし、リース材の標準保有長さの範囲外、最小長さ未満の場合は、</t>
    <rPh sb="7" eb="8">
      <t>ザイ</t>
    </rPh>
    <rPh sb="9" eb="11">
      <t>ヒョウジュン</t>
    </rPh>
    <rPh sb="11" eb="13">
      <t>ホユウ</t>
    </rPh>
    <rPh sb="13" eb="14">
      <t>ナガ</t>
    </rPh>
    <rPh sb="16" eb="19">
      <t>ハンイガイ</t>
    </rPh>
    <rPh sb="20" eb="22">
      <t>サイショウ</t>
    </rPh>
    <rPh sb="22" eb="23">
      <t>ナガ</t>
    </rPh>
    <rPh sb="24" eb="26">
      <t>ミマン</t>
    </rPh>
    <rPh sb="27" eb="29">
      <t>バアイ</t>
    </rPh>
    <phoneticPr fontId="3"/>
  </si>
  <si>
    <t>3層</t>
    <rPh sb="1" eb="2">
      <t>ソウ</t>
    </rPh>
    <phoneticPr fontId="3"/>
  </si>
  <si>
    <t>掘削Σ</t>
    <rPh sb="0" eb="2">
      <t>クッサク</t>
    </rPh>
    <phoneticPr fontId="3"/>
  </si>
  <si>
    <t>砂質</t>
    <phoneticPr fontId="3"/>
  </si>
  <si>
    <t>掘削幅（短辺）</t>
    <rPh sb="0" eb="2">
      <t>クッサク</t>
    </rPh>
    <rPh sb="2" eb="3">
      <t>ハバ</t>
    </rPh>
    <rPh sb="4" eb="6">
      <t>タンペン</t>
    </rPh>
    <phoneticPr fontId="3"/>
  </si>
  <si>
    <t>1-1. 設計条件</t>
    <rPh sb="5" eb="7">
      <t>セッケイ</t>
    </rPh>
    <rPh sb="7" eb="9">
      <t>ジョウケン</t>
    </rPh>
    <phoneticPr fontId="3"/>
  </si>
  <si>
    <t>リース材の標準保有長さ</t>
    <rPh sb="3" eb="4">
      <t>ザイ</t>
    </rPh>
    <rPh sb="5" eb="7">
      <t>ヒョウジュン</t>
    </rPh>
    <rPh sb="7" eb="9">
      <t>ホユウ</t>
    </rPh>
    <rPh sb="9" eb="10">
      <t>ナガ</t>
    </rPh>
    <phoneticPr fontId="3"/>
  </si>
  <si>
    <t>サイズ</t>
    <phoneticPr fontId="3"/>
  </si>
  <si>
    <t>Ⅳ型</t>
    <rPh sb="1" eb="2">
      <t>ガタ</t>
    </rPh>
    <phoneticPr fontId="3"/>
  </si>
  <si>
    <t>標準保有長さ</t>
  </si>
  <si>
    <t>標準保有長さ</t>
    <rPh sb="0" eb="2">
      <t>ヒョウジュン</t>
    </rPh>
    <rPh sb="2" eb="4">
      <t>ホユウ</t>
    </rPh>
    <rPh sb="4" eb="5">
      <t>ナガ</t>
    </rPh>
    <phoneticPr fontId="3"/>
  </si>
  <si>
    <t>最小長さ</t>
    <rPh sb="0" eb="2">
      <t>サイショウ</t>
    </rPh>
    <rPh sb="2" eb="3">
      <t>ナガ</t>
    </rPh>
    <phoneticPr fontId="3"/>
  </si>
  <si>
    <t>(単位：m)</t>
    <rPh sb="1" eb="3">
      <t>タンイ</t>
    </rPh>
    <phoneticPr fontId="3"/>
  </si>
  <si>
    <t>Ⅲ型</t>
    <phoneticPr fontId="3"/>
  </si>
  <si>
    <t>～</t>
    <phoneticPr fontId="3"/>
  </si>
  <si>
    <t>Ⅱ型</t>
    <phoneticPr fontId="3"/>
  </si>
  <si>
    <t>VL型</t>
    <phoneticPr fontId="3"/>
  </si>
  <si>
    <t>根入れ長さ</t>
    <rPh sb="0" eb="2">
      <t>ネイ</t>
    </rPh>
    <rPh sb="3" eb="4">
      <t>ナガ</t>
    </rPh>
    <phoneticPr fontId="3"/>
  </si>
  <si>
    <t>鋼矢板の長さ</t>
    <rPh sb="0" eb="1">
      <t>コウ</t>
    </rPh>
    <rPh sb="1" eb="3">
      <t>ヤイタ</t>
    </rPh>
    <rPh sb="4" eb="5">
      <t>ナガ</t>
    </rPh>
    <phoneticPr fontId="3"/>
  </si>
  <si>
    <t>標準保有長さ</t>
    <rPh sb="0" eb="2">
      <t>ヒョウジュン</t>
    </rPh>
    <rPh sb="2" eb="5">
      <t>ホユウナガ</t>
    </rPh>
    <phoneticPr fontId="3"/>
  </si>
  <si>
    <t>最小長さ</t>
    <rPh sb="0" eb="3">
      <t>サイショウナガ</t>
    </rPh>
    <phoneticPr fontId="3"/>
  </si>
  <si>
    <t>4層</t>
    <rPh sb="1" eb="2">
      <t>ソウ</t>
    </rPh>
    <phoneticPr fontId="3"/>
  </si>
  <si>
    <t>GL</t>
    <phoneticPr fontId="3"/>
  </si>
  <si>
    <r>
      <t>p</t>
    </r>
    <r>
      <rPr>
        <i/>
        <vertAlign val="subscript"/>
        <sz val="11"/>
        <color theme="1"/>
        <rFont val="Times New Roman"/>
        <family val="1"/>
      </rPr>
      <t>a</t>
    </r>
    <phoneticPr fontId="3"/>
  </si>
  <si>
    <t>鋼矢板の長さは、「掘削深さ」に「根入れ長」を加え、0.5m単位で切り上げる。</t>
    <rPh sb="0" eb="1">
      <t>ハガネ</t>
    </rPh>
    <rPh sb="1" eb="3">
      <t>ヤイタ</t>
    </rPh>
    <rPh sb="4" eb="5">
      <t>チョウ</t>
    </rPh>
    <rPh sb="9" eb="11">
      <t>クッサク</t>
    </rPh>
    <rPh sb="11" eb="12">
      <t>フカ</t>
    </rPh>
    <rPh sb="16" eb="18">
      <t>ネイ</t>
    </rPh>
    <rPh sb="19" eb="20">
      <t>ナガ</t>
    </rPh>
    <rPh sb="22" eb="23">
      <t>クワ</t>
    </rPh>
    <rPh sb="29" eb="31">
      <t>タンイ</t>
    </rPh>
    <rPh sb="32" eb="33">
      <t>キ</t>
    </rPh>
    <rPh sb="34" eb="35">
      <t>ア</t>
    </rPh>
    <phoneticPr fontId="3"/>
  </si>
  <si>
    <t>鋼矢板の型式を見直すこと。（保有長さは地域により異なる。）</t>
    <rPh sb="4" eb="5">
      <t>カタ</t>
    </rPh>
    <rPh sb="14" eb="16">
      <t>ホユウ</t>
    </rPh>
    <rPh sb="16" eb="17">
      <t>ナガ</t>
    </rPh>
    <rPh sb="19" eb="21">
      <t>チイキ</t>
    </rPh>
    <rPh sb="24" eb="25">
      <t>コト</t>
    </rPh>
    <phoneticPr fontId="3"/>
  </si>
  <si>
    <t>単位体積重量算出</t>
    <rPh sb="2" eb="4">
      <t>タイセキ</t>
    </rPh>
    <phoneticPr fontId="3"/>
  </si>
  <si>
    <t>のため差し引く値</t>
    <rPh sb="3" eb="4">
      <t>サ</t>
    </rPh>
    <rPh sb="5" eb="6">
      <t>ヒ</t>
    </rPh>
    <rPh sb="7" eb="8">
      <t>アタイ</t>
    </rPh>
    <phoneticPr fontId="3"/>
  </si>
  <si>
    <t>土圧計算用の水中</t>
    <rPh sb="0" eb="2">
      <t>ドアツ</t>
    </rPh>
    <rPh sb="2" eb="4">
      <t>ケイサン</t>
    </rPh>
    <rPh sb="4" eb="5">
      <t>ヨウ</t>
    </rPh>
    <phoneticPr fontId="3"/>
  </si>
  <si>
    <t>-</t>
    <phoneticPr fontId="3"/>
  </si>
  <si>
    <r>
      <t>M</t>
    </r>
    <r>
      <rPr>
        <vertAlign val="subscript"/>
        <sz val="11"/>
        <color theme="1"/>
        <rFont val="Times New Roman"/>
        <family val="1"/>
      </rPr>
      <t>max</t>
    </r>
    <phoneticPr fontId="3"/>
  </si>
  <si>
    <r>
      <t>σ</t>
    </r>
    <r>
      <rPr>
        <vertAlign val="subscript"/>
        <sz val="11"/>
        <color theme="1"/>
        <rFont val="Times New Roman"/>
        <family val="1"/>
      </rPr>
      <t>max</t>
    </r>
    <phoneticPr fontId="3"/>
  </si>
  <si>
    <t>許容応力度をを超えた場合は「NG」と判定し、「1-3. 鋼矢板の設定」に戻り、鋼矢板の型式を上げる。</t>
    <phoneticPr fontId="3"/>
  </si>
  <si>
    <r>
      <rPr>
        <i/>
        <sz val="11"/>
        <color theme="1"/>
        <rFont val="Times New Roman"/>
        <family val="1"/>
      </rPr>
      <t>Z</t>
    </r>
    <r>
      <rPr>
        <sz val="11"/>
        <color theme="1"/>
        <rFont val="游ゴシック"/>
        <family val="2"/>
        <scheme val="minor"/>
      </rPr>
      <t>：断面係数（m</t>
    </r>
    <r>
      <rPr>
        <vertAlign val="superscript"/>
        <sz val="11"/>
        <color theme="1"/>
        <rFont val="游ゴシック"/>
        <family val="3"/>
        <charset val="128"/>
        <scheme val="minor"/>
      </rPr>
      <t>3</t>
    </r>
    <r>
      <rPr>
        <sz val="11"/>
        <color theme="1"/>
        <rFont val="游ゴシック"/>
        <family val="2"/>
        <scheme val="minor"/>
      </rPr>
      <t>/m）</t>
    </r>
    <phoneticPr fontId="3"/>
  </si>
  <si>
    <r>
      <t>σ</t>
    </r>
    <r>
      <rPr>
        <vertAlign val="subscript"/>
        <sz val="11"/>
        <color theme="1"/>
        <rFont val="Times New Roman"/>
        <family val="1"/>
      </rPr>
      <t>max</t>
    </r>
    <r>
      <rPr>
        <sz val="11"/>
        <color theme="1"/>
        <rFont val="Yu Gothic"/>
        <family val="1"/>
        <charset val="128"/>
      </rPr>
      <t>：鋼矢板に発生する最大曲げ応力度</t>
    </r>
    <r>
      <rPr>
        <sz val="11"/>
        <color theme="1"/>
        <rFont val="游ゴシック"/>
        <family val="3"/>
        <charset val="128"/>
        <scheme val="minor"/>
      </rPr>
      <t>（N/mm</t>
    </r>
    <r>
      <rPr>
        <vertAlign val="superscript"/>
        <sz val="11"/>
        <color theme="1"/>
        <rFont val="游ゴシック"/>
        <family val="3"/>
        <charset val="128"/>
        <scheme val="minor"/>
      </rPr>
      <t>2</t>
    </r>
    <r>
      <rPr>
        <sz val="11"/>
        <color theme="1"/>
        <rFont val="游ゴシック"/>
        <family val="3"/>
        <charset val="128"/>
        <scheme val="minor"/>
      </rPr>
      <t>）</t>
    </r>
    <rPh sb="5" eb="6">
      <t>ハガネ</t>
    </rPh>
    <rPh sb="6" eb="8">
      <t>ヤイタ</t>
    </rPh>
    <rPh sb="9" eb="11">
      <t>ハッセイ</t>
    </rPh>
    <rPh sb="13" eb="15">
      <t>サイダイ</t>
    </rPh>
    <rPh sb="15" eb="16">
      <t>マ</t>
    </rPh>
    <rPh sb="17" eb="20">
      <t>オウリョクド</t>
    </rPh>
    <phoneticPr fontId="3"/>
  </si>
  <si>
    <t>せん断抵抗角</t>
    <rPh sb="2" eb="3">
      <t>ダン</t>
    </rPh>
    <rPh sb="3" eb="5">
      <t>テイコウ</t>
    </rPh>
    <rPh sb="5" eb="6">
      <t>カク</t>
    </rPh>
    <phoneticPr fontId="3"/>
  </si>
  <si>
    <t>(度)</t>
    <rPh sb="1" eb="2">
      <t>ド</t>
    </rPh>
    <phoneticPr fontId="3"/>
  </si>
  <si>
    <t>上面</t>
    <rPh sb="0" eb="2">
      <t>ウエメン</t>
    </rPh>
    <phoneticPr fontId="3"/>
  </si>
  <si>
    <t>下面</t>
    <rPh sb="0" eb="2">
      <t>シタメン</t>
    </rPh>
    <phoneticPr fontId="3"/>
  </si>
  <si>
    <r>
      <rPr>
        <i/>
        <sz val="11"/>
        <color theme="1"/>
        <rFont val="Times New Roman"/>
        <family val="1"/>
      </rPr>
      <t>p</t>
    </r>
    <r>
      <rPr>
        <i/>
        <vertAlign val="subscript"/>
        <sz val="11"/>
        <color theme="1"/>
        <rFont val="Times New Roman"/>
        <family val="1"/>
      </rPr>
      <t>a1</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</si>
  <si>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a2</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</si>
  <si>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a2</t>
    </r>
    <r>
      <rPr>
        <i/>
        <vertAlign val="subscript"/>
        <sz val="11"/>
        <color theme="1"/>
        <rFont val="ＭＳ Ｐ明朝"/>
        <family val="1"/>
        <charset val="128"/>
      </rPr>
      <t>下</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</si>
  <si>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a3</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</si>
  <si>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a3</t>
    </r>
    <r>
      <rPr>
        <i/>
        <vertAlign val="subscript"/>
        <sz val="11"/>
        <color theme="1"/>
        <rFont val="ＭＳ Ｐ明朝"/>
        <family val="1"/>
        <charset val="128"/>
      </rPr>
      <t>下</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</si>
  <si>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a4</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</si>
  <si>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a4</t>
    </r>
    <r>
      <rPr>
        <i/>
        <vertAlign val="subscript"/>
        <sz val="11"/>
        <color theme="1"/>
        <rFont val="ＭＳ Ｐ明朝"/>
        <family val="1"/>
        <charset val="128"/>
      </rPr>
      <t>下</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</si>
  <si>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w1</t>
    </r>
    <r>
      <rPr>
        <i/>
        <vertAlign val="subscript"/>
        <sz val="11"/>
        <color theme="1"/>
        <rFont val="ＭＳ Ｐ明朝"/>
        <family val="1"/>
        <charset val="128"/>
      </rPr>
      <t>下</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</si>
  <si>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w2</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</si>
  <si>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a1</t>
    </r>
    <r>
      <rPr>
        <i/>
        <vertAlign val="subscript"/>
        <sz val="11"/>
        <color theme="1"/>
        <rFont val="ＭＳ Ｐ明朝"/>
        <family val="1"/>
        <charset val="128"/>
      </rPr>
      <t>下</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</si>
  <si>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w3</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</si>
  <si>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w3</t>
    </r>
    <r>
      <rPr>
        <i/>
        <vertAlign val="subscript"/>
        <sz val="11"/>
        <color theme="1"/>
        <rFont val="ＭＳ Ｐ明朝"/>
        <family val="1"/>
        <charset val="128"/>
      </rPr>
      <t>下</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</si>
  <si>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w4</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</si>
  <si>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w4</t>
    </r>
    <r>
      <rPr>
        <i/>
        <vertAlign val="subscript"/>
        <sz val="11"/>
        <color theme="1"/>
        <rFont val="ＭＳ Ｐ明朝"/>
        <family val="1"/>
        <charset val="128"/>
      </rPr>
      <t>下</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</si>
  <si>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w1</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</si>
  <si>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w2</t>
    </r>
    <r>
      <rPr>
        <i/>
        <vertAlign val="subscript"/>
        <sz val="11"/>
        <color theme="1"/>
        <rFont val="ＭＳ Ｐ明朝"/>
        <family val="1"/>
        <charset val="128"/>
      </rPr>
      <t>下</t>
    </r>
    <r>
      <rPr>
        <sz val="11"/>
        <color theme="1"/>
        <rFont val="Times New Roman"/>
        <family val="1"/>
      </rPr>
      <t>=</t>
    </r>
    <rPh sb="3" eb="4">
      <t>シタ</t>
    </rPh>
    <phoneticPr fontId="3"/>
  </si>
  <si>
    <r>
      <t>p</t>
    </r>
    <r>
      <rPr>
        <i/>
        <vertAlign val="subscript"/>
        <sz val="11"/>
        <color theme="1"/>
        <rFont val="Times New Roman"/>
        <family val="1"/>
      </rPr>
      <t>w</t>
    </r>
    <phoneticPr fontId="3"/>
  </si>
  <si>
    <t>p</t>
    <phoneticPr fontId="3"/>
  </si>
  <si>
    <t>y</t>
    <phoneticPr fontId="3"/>
  </si>
  <si>
    <t>①</t>
    <phoneticPr fontId="3"/>
  </si>
  <si>
    <t>②</t>
    <phoneticPr fontId="3"/>
  </si>
  <si>
    <t>③</t>
    <phoneticPr fontId="3"/>
  </si>
  <si>
    <t>④</t>
    <phoneticPr fontId="3"/>
  </si>
  <si>
    <t>⑤</t>
    <phoneticPr fontId="3"/>
  </si>
  <si>
    <t>⑥</t>
    <phoneticPr fontId="3"/>
  </si>
  <si>
    <t>⑦</t>
    <phoneticPr fontId="3"/>
  </si>
  <si>
    <t>⑧</t>
    <phoneticPr fontId="3"/>
  </si>
  <si>
    <t>H11道仮p157</t>
    <phoneticPr fontId="3"/>
  </si>
  <si>
    <t>2-4. 最小根入れ長</t>
    <rPh sb="5" eb="7">
      <t>サイショウ</t>
    </rPh>
    <rPh sb="7" eb="9">
      <t>ネイ</t>
    </rPh>
    <rPh sb="10" eb="11">
      <t>チョウ</t>
    </rPh>
    <phoneticPr fontId="3"/>
  </si>
  <si>
    <t>2-2. 土留め壁の許容鉛直支持力から定まる根入れ長</t>
    <rPh sb="5" eb="7">
      <t>ドド</t>
    </rPh>
    <rPh sb="8" eb="9">
      <t>ヘキ</t>
    </rPh>
    <rPh sb="10" eb="12">
      <t>キョヨウ</t>
    </rPh>
    <rPh sb="12" eb="14">
      <t>エンチョク</t>
    </rPh>
    <rPh sb="14" eb="17">
      <t>シジリョク</t>
    </rPh>
    <rPh sb="19" eb="20">
      <t>サダ</t>
    </rPh>
    <rPh sb="22" eb="24">
      <t>ネイ</t>
    </rPh>
    <rPh sb="25" eb="26">
      <t>チョウ</t>
    </rPh>
    <phoneticPr fontId="3"/>
  </si>
  <si>
    <t>路面覆工などからの鉛直荷重が作用しないので、検討を省略する。</t>
    <rPh sb="0" eb="2">
      <t>ロメン</t>
    </rPh>
    <rPh sb="2" eb="3">
      <t>オオ</t>
    </rPh>
    <rPh sb="3" eb="4">
      <t>コウ</t>
    </rPh>
    <rPh sb="9" eb="11">
      <t>エンチョク</t>
    </rPh>
    <rPh sb="11" eb="13">
      <t>カジュウ</t>
    </rPh>
    <rPh sb="14" eb="16">
      <t>サヨウ</t>
    </rPh>
    <rPh sb="22" eb="24">
      <t>ケントウ</t>
    </rPh>
    <rPh sb="25" eb="27">
      <t>ショウリャク</t>
    </rPh>
    <phoneticPr fontId="3"/>
  </si>
  <si>
    <t>根入れ長は、掘削完了時および最下段切ばり設置直前の両者において、それぞれつり合い深さの</t>
    <rPh sb="0" eb="2">
      <t>ネイ</t>
    </rPh>
    <rPh sb="3" eb="4">
      <t>チョウ</t>
    </rPh>
    <rPh sb="6" eb="8">
      <t>クッサク</t>
    </rPh>
    <rPh sb="8" eb="11">
      <t>カンリョウジ</t>
    </rPh>
    <rPh sb="14" eb="17">
      <t>サイゲダン</t>
    </rPh>
    <rPh sb="17" eb="18">
      <t>キリ</t>
    </rPh>
    <rPh sb="20" eb="22">
      <t>セッチ</t>
    </rPh>
    <rPh sb="22" eb="24">
      <t>チョクゼン</t>
    </rPh>
    <rPh sb="25" eb="27">
      <t>リョウシャ</t>
    </rPh>
    <rPh sb="38" eb="39">
      <t>ア</t>
    </rPh>
    <rPh sb="40" eb="41">
      <t>フカ</t>
    </rPh>
    <phoneticPr fontId="3"/>
  </si>
  <si>
    <t>倍とする。</t>
    <phoneticPr fontId="3"/>
  </si>
  <si>
    <t>H-200</t>
    <phoneticPr fontId="3"/>
  </si>
  <si>
    <t>ℓ</t>
    <phoneticPr fontId="3"/>
  </si>
  <si>
    <t>受働土圧</t>
    <rPh sb="0" eb="2">
      <t>ジュドウ</t>
    </rPh>
    <rPh sb="2" eb="4">
      <t>ドアツ</t>
    </rPh>
    <phoneticPr fontId="3"/>
  </si>
  <si>
    <t>受働土圧係数</t>
    <rPh sb="0" eb="2">
      <t>ジュドウ</t>
    </rPh>
    <rPh sb="2" eb="4">
      <t>ドアツ</t>
    </rPh>
    <rPh sb="4" eb="6">
      <t>ケイスウ</t>
    </rPh>
    <phoneticPr fontId="3"/>
  </si>
  <si>
    <r>
      <t>K</t>
    </r>
    <r>
      <rPr>
        <vertAlign val="subscript"/>
        <sz val="11"/>
        <color theme="1"/>
        <rFont val="游ゴシック"/>
        <family val="3"/>
        <charset val="128"/>
        <scheme val="minor"/>
      </rPr>
      <t>p</t>
    </r>
    <phoneticPr fontId="3"/>
  </si>
  <si>
    <t>2C√Kp</t>
  </si>
  <si>
    <r>
      <t>2C</t>
    </r>
    <r>
      <rPr>
        <i/>
        <sz val="11"/>
        <color theme="1"/>
        <rFont val="游ゴシック"/>
        <family val="2"/>
      </rPr>
      <t>√</t>
    </r>
    <r>
      <rPr>
        <i/>
        <sz val="11"/>
        <color theme="1"/>
        <rFont val="Times New Roman"/>
        <family val="1"/>
      </rPr>
      <t>Kp</t>
    </r>
    <phoneticPr fontId="3"/>
  </si>
  <si>
    <r>
      <t>p</t>
    </r>
    <r>
      <rPr>
        <i/>
        <vertAlign val="subscript"/>
        <sz val="11"/>
        <color theme="1"/>
        <rFont val="ＭＳ Ｐ明朝"/>
        <family val="1"/>
        <charset val="128"/>
      </rPr>
      <t>ｐ</t>
    </r>
    <phoneticPr fontId="3"/>
  </si>
  <si>
    <t>Kp・γ</t>
    <phoneticPr fontId="3"/>
  </si>
  <si>
    <r>
      <rPr>
        <i/>
        <sz val="11"/>
        <color theme="1"/>
        <rFont val="Times New Roman"/>
        <family val="1"/>
      </rPr>
      <t>p</t>
    </r>
    <r>
      <rPr>
        <i/>
        <vertAlign val="subscript"/>
        <sz val="11"/>
        <color theme="1"/>
        <rFont val="Times New Roman"/>
        <family val="1"/>
      </rPr>
      <t>p4</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</si>
  <si>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p4</t>
    </r>
    <r>
      <rPr>
        <i/>
        <vertAlign val="subscript"/>
        <sz val="11"/>
        <color theme="1"/>
        <rFont val="ＭＳ Ｐ明朝"/>
        <family val="1"/>
        <charset val="128"/>
      </rPr>
      <t>下</t>
    </r>
    <r>
      <rPr>
        <sz val="11"/>
        <color theme="1"/>
        <rFont val="Times New Roman"/>
        <family val="1"/>
      </rPr>
      <t>=</t>
    </r>
    <rPh sb="3" eb="4">
      <t>シタ</t>
    </rPh>
    <phoneticPr fontId="3"/>
  </si>
  <si>
    <t>)/</t>
    <phoneticPr fontId="3"/>
  </si>
  <si>
    <t>主働側の側圧</t>
    <rPh sb="0" eb="3">
      <t>シュドウガワ</t>
    </rPh>
    <rPh sb="4" eb="6">
      <t>ソクアツ</t>
    </rPh>
    <phoneticPr fontId="3"/>
  </si>
  <si>
    <t>水</t>
    <rPh sb="0" eb="1">
      <t>ミズ</t>
    </rPh>
    <phoneticPr fontId="3"/>
  </si>
  <si>
    <r>
      <t>P</t>
    </r>
    <r>
      <rPr>
        <b/>
        <vertAlign val="subscript"/>
        <sz val="11"/>
        <color theme="1"/>
        <rFont val="Times New Roman"/>
        <family val="1"/>
      </rPr>
      <t>a</t>
    </r>
    <phoneticPr fontId="3"/>
  </si>
  <si>
    <t>受働側の側圧</t>
    <rPh sb="0" eb="2">
      <t>ジュドウ</t>
    </rPh>
    <rPh sb="2" eb="3">
      <t>ガワ</t>
    </rPh>
    <rPh sb="4" eb="6">
      <t>ソクアツ</t>
    </rPh>
    <phoneticPr fontId="3"/>
  </si>
  <si>
    <r>
      <t>P</t>
    </r>
    <r>
      <rPr>
        <b/>
        <vertAlign val="subscript"/>
        <sz val="11"/>
        <color theme="1"/>
        <rFont val="Times New Roman"/>
        <family val="1"/>
      </rPr>
      <t>p</t>
    </r>
    <phoneticPr fontId="3"/>
  </si>
  <si>
    <t>⑨</t>
    <phoneticPr fontId="3"/>
  </si>
  <si>
    <r>
      <t>M</t>
    </r>
    <r>
      <rPr>
        <i/>
        <vertAlign val="subscript"/>
        <sz val="11"/>
        <color theme="1"/>
        <rFont val="Times New Roman"/>
        <family val="1"/>
      </rPr>
      <t>a</t>
    </r>
    <phoneticPr fontId="3"/>
  </si>
  <si>
    <t>∑Ma =</t>
    <phoneticPr fontId="3"/>
  </si>
  <si>
    <t>∑Mp =</t>
    <phoneticPr fontId="3"/>
  </si>
  <si>
    <r>
      <t>M</t>
    </r>
    <r>
      <rPr>
        <i/>
        <vertAlign val="subscript"/>
        <sz val="11"/>
        <color theme="1"/>
        <rFont val="Times New Roman"/>
        <family val="1"/>
      </rPr>
      <t>p</t>
    </r>
    <phoneticPr fontId="3"/>
  </si>
  <si>
    <t>∑Ma=∑Mp</t>
    <phoneticPr fontId="3"/>
  </si>
  <si>
    <t>∑Ma-∑Mp=0</t>
    <phoneticPr fontId="3"/>
  </si>
  <si>
    <t>受働側の抵抗モーメント</t>
    <rPh sb="0" eb="2">
      <t>ジュドウ</t>
    </rPh>
    <rPh sb="2" eb="3">
      <t>ガワ</t>
    </rPh>
    <rPh sb="4" eb="6">
      <t>テイコウ</t>
    </rPh>
    <phoneticPr fontId="3"/>
  </si>
  <si>
    <t>Cardanoの公式による3次方程式の解を求める。</t>
    <rPh sb="21" eb="22">
      <t>モト</t>
    </rPh>
    <phoneticPr fontId="3"/>
  </si>
  <si>
    <t>t</t>
    <phoneticPr fontId="3"/>
  </si>
  <si>
    <t>係数</t>
    <rPh sb="0" eb="2">
      <t>ケイスウ</t>
    </rPh>
    <phoneticPr fontId="3"/>
  </si>
  <si>
    <t>a</t>
    <phoneticPr fontId="3"/>
  </si>
  <si>
    <t>R</t>
    <phoneticPr fontId="3"/>
  </si>
  <si>
    <t>b</t>
    <phoneticPr fontId="3"/>
  </si>
  <si>
    <t>実数部</t>
    <rPh sb="0" eb="2">
      <t>ジッスウ</t>
    </rPh>
    <rPh sb="2" eb="3">
      <t>ブ</t>
    </rPh>
    <phoneticPr fontId="3"/>
  </si>
  <si>
    <t>虚数部</t>
    <rPh sb="0" eb="2">
      <t>キョスウ</t>
    </rPh>
    <rPh sb="2" eb="3">
      <t>ブ</t>
    </rPh>
    <phoneticPr fontId="3"/>
  </si>
  <si>
    <t>極座標表示</t>
    <rPh sb="0" eb="1">
      <t>キョク</t>
    </rPh>
    <rPh sb="1" eb="3">
      <t>ザヒョウ</t>
    </rPh>
    <rPh sb="3" eb="5">
      <t>ヒョウジ</t>
    </rPh>
    <phoneticPr fontId="3"/>
  </si>
  <si>
    <t>i</t>
    <phoneticPr fontId="3"/>
  </si>
  <si>
    <t>r</t>
    <phoneticPr fontId="3"/>
  </si>
  <si>
    <t>θ</t>
    <phoneticPr fontId="3"/>
  </si>
  <si>
    <t>v</t>
    <phoneticPr fontId="3"/>
  </si>
  <si>
    <t>3乗根</t>
    <rPh sb="1" eb="2">
      <t>ジョウ</t>
    </rPh>
    <rPh sb="2" eb="3">
      <t>ネ</t>
    </rPh>
    <phoneticPr fontId="3"/>
  </si>
  <si>
    <t>実数部</t>
    <rPh sb="0" eb="3">
      <t>ジッスウブ</t>
    </rPh>
    <phoneticPr fontId="3"/>
  </si>
  <si>
    <t>wp</t>
    <phoneticPr fontId="3"/>
  </si>
  <si>
    <t>w^2q</t>
    <phoneticPr fontId="3"/>
  </si>
  <si>
    <t>w^2p</t>
    <phoneticPr fontId="3"/>
  </si>
  <si>
    <t>wq</t>
    <phoneticPr fontId="3"/>
  </si>
  <si>
    <t>x1</t>
    <phoneticPr fontId="3"/>
  </si>
  <si>
    <t>x2</t>
    <phoneticPr fontId="3"/>
  </si>
  <si>
    <t>x3</t>
    <phoneticPr fontId="3"/>
  </si>
  <si>
    <t>以上より、モーメントのつり合い深さ</t>
    <rPh sb="0" eb="2">
      <t>イジョウ</t>
    </rPh>
    <rPh sb="13" eb="14">
      <t>ア</t>
    </rPh>
    <rPh sb="15" eb="16">
      <t>フカ</t>
    </rPh>
    <phoneticPr fontId="3"/>
  </si>
  <si>
    <t>ℓ＝</t>
    <phoneticPr fontId="3"/>
  </si>
  <si>
    <t>倍とするため、</t>
    <rPh sb="0" eb="1">
      <t>バイ</t>
    </rPh>
    <phoneticPr fontId="3"/>
  </si>
  <si>
    <r>
      <t>ℓ</t>
    </r>
    <r>
      <rPr>
        <vertAlign val="subscript"/>
        <sz val="11"/>
        <rFont val="游ゴシック"/>
        <family val="3"/>
        <charset val="128"/>
        <scheme val="minor"/>
      </rPr>
      <t>0</t>
    </r>
    <r>
      <rPr>
        <sz val="11"/>
        <rFont val="游ゴシック"/>
        <family val="2"/>
        <scheme val="minor"/>
      </rPr>
      <t>＝</t>
    </r>
    <phoneticPr fontId="3"/>
  </si>
  <si>
    <t>H11道仮p91</t>
    <phoneticPr fontId="3"/>
  </si>
  <si>
    <t>仮想支持点は、土留め壁の根入れ長決定のための安定計算で「つり合い深さ」を求めた際の受働抵抗の合力の作用点とする。</t>
    <rPh sb="0" eb="2">
      <t>カソウ</t>
    </rPh>
    <rPh sb="2" eb="4">
      <t>シジ</t>
    </rPh>
    <rPh sb="4" eb="5">
      <t>テン</t>
    </rPh>
    <rPh sb="7" eb="9">
      <t>ドド</t>
    </rPh>
    <rPh sb="10" eb="11">
      <t>ヘキ</t>
    </rPh>
    <rPh sb="12" eb="14">
      <t>ネイ</t>
    </rPh>
    <rPh sb="15" eb="16">
      <t>チョウ</t>
    </rPh>
    <rPh sb="16" eb="18">
      <t>ケッテイ</t>
    </rPh>
    <rPh sb="22" eb="24">
      <t>アンテイ</t>
    </rPh>
    <rPh sb="24" eb="26">
      <t>ケイサン</t>
    </rPh>
    <rPh sb="30" eb="31">
      <t>ア</t>
    </rPh>
    <rPh sb="32" eb="33">
      <t>フカ</t>
    </rPh>
    <rPh sb="36" eb="37">
      <t>モト</t>
    </rPh>
    <rPh sb="39" eb="40">
      <t>サイ</t>
    </rPh>
    <rPh sb="41" eb="43">
      <t>ジュドウ</t>
    </rPh>
    <rPh sb="43" eb="45">
      <t>テイコウ</t>
    </rPh>
    <rPh sb="46" eb="48">
      <t>ゴウリョク</t>
    </rPh>
    <rPh sb="49" eb="51">
      <t>サヨウ</t>
    </rPh>
    <rPh sb="51" eb="52">
      <t>テン</t>
    </rPh>
    <phoneticPr fontId="3"/>
  </si>
  <si>
    <r>
      <t>y</t>
    </r>
    <r>
      <rPr>
        <vertAlign val="subscript"/>
        <sz val="11"/>
        <color theme="1"/>
        <rFont val="ＭＳ Ｐ明朝"/>
        <family val="1"/>
        <charset val="128"/>
      </rPr>
      <t>p</t>
    </r>
    <phoneticPr fontId="3"/>
  </si>
  <si>
    <r>
      <rPr>
        <i/>
        <sz val="11"/>
        <color theme="1"/>
        <rFont val="Times New Roman"/>
        <family val="1"/>
        <charset val="161"/>
      </rPr>
      <t>Σ</t>
    </r>
    <r>
      <rPr>
        <i/>
        <sz val="11"/>
        <color theme="1"/>
        <rFont val="Times New Roman"/>
        <family val="1"/>
      </rPr>
      <t>M</t>
    </r>
    <r>
      <rPr>
        <vertAlign val="subscript"/>
        <sz val="11"/>
        <color theme="1"/>
        <rFont val="Times New Roman"/>
        <family val="1"/>
      </rPr>
      <t>p</t>
    </r>
    <phoneticPr fontId="3"/>
  </si>
  <si>
    <r>
      <t>Σ</t>
    </r>
    <r>
      <rPr>
        <i/>
        <sz val="11"/>
        <color theme="1"/>
        <rFont val="ＭＳ Ｐ明朝"/>
        <family val="1"/>
        <charset val="128"/>
      </rPr>
      <t>P</t>
    </r>
    <r>
      <rPr>
        <vertAlign val="subscript"/>
        <sz val="11"/>
        <color theme="1"/>
        <rFont val="Times New Roman"/>
        <family val="1"/>
      </rPr>
      <t>p</t>
    </r>
    <phoneticPr fontId="3"/>
  </si>
  <si>
    <t>最下段切ばりから、下方向にある仮想支持点までの距離は、下式により算出する。</t>
    <rPh sb="0" eb="3">
      <t>サイゲダン</t>
    </rPh>
    <rPh sb="3" eb="4">
      <t>キリ</t>
    </rPh>
    <rPh sb="9" eb="12">
      <t>シタホウコウ</t>
    </rPh>
    <rPh sb="15" eb="17">
      <t>カソウ</t>
    </rPh>
    <rPh sb="17" eb="19">
      <t>シジ</t>
    </rPh>
    <rPh sb="19" eb="20">
      <t>テン</t>
    </rPh>
    <rPh sb="23" eb="25">
      <t>キョリ</t>
    </rPh>
    <rPh sb="27" eb="28">
      <t>シタ</t>
    </rPh>
    <rPh sb="28" eb="29">
      <t>シキ</t>
    </rPh>
    <rPh sb="32" eb="34">
      <t>サンシュツ</t>
    </rPh>
    <phoneticPr fontId="3"/>
  </si>
  <si>
    <t>＝</t>
    <phoneticPr fontId="3"/>
  </si>
  <si>
    <t>つり合い深さ</t>
    <rPh sb="2" eb="3">
      <t>ア</t>
    </rPh>
    <rPh sb="4" eb="5">
      <t>フカ</t>
    </rPh>
    <phoneticPr fontId="3"/>
  </si>
  <si>
    <t>は、極限平衡法を用いて計算する。</t>
    <phoneticPr fontId="3"/>
  </si>
  <si>
    <r>
      <t>ℓ</t>
    </r>
    <r>
      <rPr>
        <vertAlign val="subscript"/>
        <sz val="11"/>
        <color theme="1"/>
        <rFont val="游ゴシック"/>
        <family val="3"/>
        <charset val="128"/>
        <scheme val="minor"/>
      </rPr>
      <t>0</t>
    </r>
    <phoneticPr fontId="3"/>
  </si>
  <si>
    <r>
      <t>ℓ</t>
    </r>
    <r>
      <rPr>
        <vertAlign val="subscript"/>
        <sz val="11"/>
        <color theme="1"/>
        <rFont val="游ゴシック"/>
        <family val="3"/>
        <charset val="128"/>
        <scheme val="minor"/>
      </rPr>
      <t>0</t>
    </r>
    <r>
      <rPr>
        <sz val="11"/>
        <color theme="1"/>
        <rFont val="游ゴシック"/>
        <family val="2"/>
        <scheme val="minor"/>
      </rPr>
      <t>+</t>
    </r>
    <phoneticPr fontId="3"/>
  </si>
  <si>
    <r>
      <t>ℓ</t>
    </r>
    <r>
      <rPr>
        <vertAlign val="subscript"/>
        <sz val="11"/>
        <color theme="1"/>
        <rFont val="游ゴシック"/>
        <family val="3"/>
        <charset val="128"/>
        <scheme val="minor"/>
      </rPr>
      <t>0</t>
    </r>
    <r>
      <rPr>
        <vertAlign val="superscript"/>
        <sz val="11"/>
        <color theme="1"/>
        <rFont val="游ゴシック"/>
        <family val="3"/>
        <charset val="128"/>
        <scheme val="minor"/>
      </rPr>
      <t>2</t>
    </r>
    <phoneticPr fontId="3"/>
  </si>
  <si>
    <r>
      <t>ℓ</t>
    </r>
    <r>
      <rPr>
        <vertAlign val="subscript"/>
        <sz val="11"/>
        <color theme="1"/>
        <rFont val="游ゴシック"/>
        <family val="3"/>
        <charset val="128"/>
        <scheme val="minor"/>
      </rPr>
      <t>0</t>
    </r>
    <r>
      <rPr>
        <vertAlign val="superscript"/>
        <sz val="11"/>
        <color theme="1"/>
        <rFont val="游ゴシック"/>
        <family val="3"/>
        <charset val="128"/>
        <scheme val="minor"/>
      </rPr>
      <t>3</t>
    </r>
    <phoneticPr fontId="3"/>
  </si>
  <si>
    <r>
      <t>ℓ</t>
    </r>
    <r>
      <rPr>
        <vertAlign val="subscript"/>
        <sz val="11"/>
        <color theme="1"/>
        <rFont val="游ゴシック"/>
        <family val="3"/>
        <charset val="128"/>
        <scheme val="minor"/>
      </rPr>
      <t>0</t>
    </r>
    <r>
      <rPr>
        <sz val="11"/>
        <color theme="1"/>
        <rFont val="游ゴシック"/>
        <family val="2"/>
        <scheme val="minor"/>
      </rPr>
      <t>/</t>
    </r>
    <phoneticPr fontId="3"/>
  </si>
  <si>
    <r>
      <t>ℓ</t>
    </r>
    <r>
      <rPr>
        <vertAlign val="subscript"/>
        <sz val="11"/>
        <rFont val="游ゴシック"/>
        <family val="3"/>
        <charset val="128"/>
        <scheme val="minor"/>
      </rPr>
      <t>0</t>
    </r>
    <phoneticPr fontId="3"/>
  </si>
  <si>
    <t>であるため、</t>
    <phoneticPr fontId="3"/>
  </si>
  <si>
    <t>^3</t>
    <phoneticPr fontId="3"/>
  </si>
  <si>
    <t>^2</t>
    <phoneticPr fontId="3"/>
  </si>
  <si>
    <t>なお、切ばりから掘削底面までの距離は、</t>
    <rPh sb="3" eb="4">
      <t>キリ</t>
    </rPh>
    <rPh sb="8" eb="10">
      <t>クッサク</t>
    </rPh>
    <rPh sb="10" eb="12">
      <t>テイメン</t>
    </rPh>
    <rPh sb="15" eb="17">
      <t>キョリ</t>
    </rPh>
    <phoneticPr fontId="3"/>
  </si>
  <si>
    <t>掘削底面から仮想支持点までの距離は、</t>
    <rPh sb="0" eb="2">
      <t>クッサク</t>
    </rPh>
    <rPh sb="2" eb="4">
      <t>テイメン</t>
    </rPh>
    <rPh sb="6" eb="8">
      <t>カソウ</t>
    </rPh>
    <rPh sb="8" eb="10">
      <t>シジ</t>
    </rPh>
    <rPh sb="10" eb="11">
      <t>テン</t>
    </rPh>
    <rPh sb="14" eb="16">
      <t>キョリ</t>
    </rPh>
    <phoneticPr fontId="3"/>
  </si>
  <si>
    <t>ー</t>
    <phoneticPr fontId="3"/>
  </si>
  <si>
    <t>となる。</t>
    <phoneticPr fontId="3"/>
  </si>
  <si>
    <t>なので</t>
    <phoneticPr fontId="3"/>
  </si>
  <si>
    <r>
      <t>Σ</t>
    </r>
    <r>
      <rPr>
        <i/>
        <sz val="11"/>
        <color rgb="FFFF0000"/>
        <rFont val="ＭＳ Ｐ明朝"/>
        <family val="1"/>
        <charset val="128"/>
      </rPr>
      <t>P</t>
    </r>
    <r>
      <rPr>
        <vertAlign val="subscript"/>
        <sz val="11"/>
        <color rgb="FFFF0000"/>
        <rFont val="Times New Roman"/>
        <family val="1"/>
      </rPr>
      <t>p</t>
    </r>
    <phoneticPr fontId="3"/>
  </si>
  <si>
    <t>A</t>
    <phoneticPr fontId="3"/>
  </si>
  <si>
    <t>B</t>
    <phoneticPr fontId="3"/>
  </si>
  <si>
    <t>計</t>
    <rPh sb="0" eb="1">
      <t>ケイ</t>
    </rPh>
    <phoneticPr fontId="3"/>
  </si>
  <si>
    <r>
      <t>p = p</t>
    </r>
    <r>
      <rPr>
        <i/>
        <vertAlign val="subscript"/>
        <sz val="11"/>
        <color theme="1"/>
        <rFont val="Times New Roman"/>
        <family val="1"/>
      </rPr>
      <t>a</t>
    </r>
    <r>
      <rPr>
        <i/>
        <sz val="11"/>
        <color theme="1"/>
        <rFont val="Times New Roman"/>
        <family val="1"/>
      </rPr>
      <t xml:space="preserve"> + p</t>
    </r>
    <r>
      <rPr>
        <i/>
        <vertAlign val="subscript"/>
        <sz val="11"/>
        <color theme="1"/>
        <rFont val="Times New Roman"/>
        <family val="1"/>
      </rPr>
      <t>w</t>
    </r>
    <r>
      <rPr>
        <i/>
        <sz val="11"/>
        <color theme="1"/>
        <rFont val="Times New Roman"/>
        <family val="1"/>
      </rPr>
      <t xml:space="preserve"> - p</t>
    </r>
    <r>
      <rPr>
        <i/>
        <vertAlign val="subscript"/>
        <sz val="11"/>
        <color theme="1"/>
        <rFont val="ＭＳ Ｐ明朝"/>
        <family val="1"/>
        <charset val="128"/>
      </rPr>
      <t>ｐ</t>
    </r>
    <phoneticPr fontId="3"/>
  </si>
  <si>
    <r>
      <rPr>
        <i/>
        <sz val="11"/>
        <color theme="1"/>
        <rFont val="Times New Roman"/>
        <family val="1"/>
      </rPr>
      <t>p</t>
    </r>
    <r>
      <rPr>
        <i/>
        <vertAlign val="subscript"/>
        <sz val="11"/>
        <color theme="1"/>
        <rFont val="Times New Roman"/>
        <family val="1"/>
      </rPr>
      <t>2</t>
    </r>
    <r>
      <rPr>
        <i/>
        <vertAlign val="subscript"/>
        <sz val="11"/>
        <color theme="1"/>
        <rFont val="ＭＳ Ｐ明朝"/>
        <family val="1"/>
        <charset val="128"/>
      </rPr>
      <t>上</t>
    </r>
    <r>
      <rPr>
        <sz val="11"/>
        <color theme="1"/>
        <rFont val="Times New Roman"/>
        <family val="1"/>
      </rPr>
      <t>=</t>
    </r>
    <rPh sb="2" eb="3">
      <t>ウエ</t>
    </rPh>
    <phoneticPr fontId="3"/>
  </si>
  <si>
    <r>
      <rPr>
        <i/>
        <sz val="11"/>
        <color theme="1"/>
        <rFont val="Times New Roman"/>
        <family val="1"/>
      </rPr>
      <t>p</t>
    </r>
    <r>
      <rPr>
        <i/>
        <vertAlign val="subscript"/>
        <sz val="11"/>
        <color theme="1"/>
        <rFont val="Times New Roman"/>
        <family val="1"/>
      </rPr>
      <t>2</t>
    </r>
    <r>
      <rPr>
        <i/>
        <vertAlign val="subscript"/>
        <sz val="11"/>
        <color theme="1"/>
        <rFont val="ＭＳ Ｐ明朝"/>
        <family val="1"/>
        <charset val="128"/>
      </rPr>
      <t>下</t>
    </r>
    <r>
      <rPr>
        <sz val="11"/>
        <color theme="1"/>
        <rFont val="Times New Roman"/>
        <family val="1"/>
      </rPr>
      <t>=</t>
    </r>
    <rPh sb="2" eb="3">
      <t>シタ</t>
    </rPh>
    <phoneticPr fontId="3"/>
  </si>
  <si>
    <r>
      <rPr>
        <i/>
        <sz val="11"/>
        <color theme="1"/>
        <rFont val="Times New Roman"/>
        <family val="1"/>
      </rPr>
      <t>p</t>
    </r>
    <r>
      <rPr>
        <i/>
        <vertAlign val="subscript"/>
        <sz val="11"/>
        <color theme="1"/>
        <rFont val="Times New Roman"/>
        <family val="1"/>
      </rPr>
      <t>3</t>
    </r>
    <r>
      <rPr>
        <i/>
        <vertAlign val="subscript"/>
        <sz val="11"/>
        <color theme="1"/>
        <rFont val="ＭＳ Ｐ明朝"/>
        <family val="1"/>
        <charset val="128"/>
      </rPr>
      <t>上</t>
    </r>
    <r>
      <rPr>
        <sz val="11"/>
        <color theme="1"/>
        <rFont val="Times New Roman"/>
        <family val="1"/>
      </rPr>
      <t>=</t>
    </r>
    <rPh sb="2" eb="3">
      <t>ウエ</t>
    </rPh>
    <phoneticPr fontId="3"/>
  </si>
  <si>
    <r>
      <rPr>
        <i/>
        <sz val="11"/>
        <color theme="1"/>
        <rFont val="Times New Roman"/>
        <family val="1"/>
      </rPr>
      <t>p</t>
    </r>
    <r>
      <rPr>
        <i/>
        <vertAlign val="subscript"/>
        <sz val="11"/>
        <color theme="1"/>
        <rFont val="Times New Roman"/>
        <family val="1"/>
      </rPr>
      <t>3</t>
    </r>
    <r>
      <rPr>
        <i/>
        <vertAlign val="subscript"/>
        <sz val="11"/>
        <color theme="1"/>
        <rFont val="ＭＳ Ｐ明朝"/>
        <family val="1"/>
        <charset val="128"/>
      </rPr>
      <t>下</t>
    </r>
    <r>
      <rPr>
        <sz val="11"/>
        <color theme="1"/>
        <rFont val="Times New Roman"/>
        <family val="1"/>
      </rPr>
      <t>=</t>
    </r>
    <rPh sb="2" eb="3">
      <t>シタ</t>
    </rPh>
    <phoneticPr fontId="3"/>
  </si>
  <si>
    <t>側圧</t>
    <rPh sb="0" eb="2">
      <t>ソクアツ</t>
    </rPh>
    <phoneticPr fontId="3"/>
  </si>
  <si>
    <t xml:space="preserve">p </t>
    <phoneticPr fontId="3"/>
  </si>
  <si>
    <t>B点からのアーム長</t>
    <rPh sb="1" eb="2">
      <t>テン</t>
    </rPh>
    <rPh sb="8" eb="9">
      <t>チョウ</t>
    </rPh>
    <phoneticPr fontId="3"/>
  </si>
  <si>
    <t>モーメント</t>
    <phoneticPr fontId="3"/>
  </si>
  <si>
    <t>∑</t>
    <phoneticPr fontId="3"/>
  </si>
  <si>
    <r>
      <t>M</t>
    </r>
    <r>
      <rPr>
        <i/>
        <vertAlign val="subscript"/>
        <sz val="11"/>
        <color theme="1"/>
        <rFont val="Times New Roman"/>
        <family val="1"/>
      </rPr>
      <t>B</t>
    </r>
    <phoneticPr fontId="3"/>
  </si>
  <si>
    <r>
      <t>y</t>
    </r>
    <r>
      <rPr>
        <i/>
        <vertAlign val="subscript"/>
        <sz val="11"/>
        <color theme="1"/>
        <rFont val="Times New Roman"/>
        <family val="1"/>
      </rPr>
      <t>B</t>
    </r>
    <phoneticPr fontId="3"/>
  </si>
  <si>
    <r>
      <t>よって、切ばり位置Aにおける反力R</t>
    </r>
    <r>
      <rPr>
        <vertAlign val="subscript"/>
        <sz val="11"/>
        <color theme="1"/>
        <rFont val="游ゴシック"/>
        <family val="3"/>
        <charset val="128"/>
        <scheme val="minor"/>
      </rPr>
      <t>A</t>
    </r>
    <r>
      <rPr>
        <sz val="11"/>
        <color theme="1"/>
        <rFont val="游ゴシック"/>
        <family val="2"/>
        <scheme val="minor"/>
      </rPr>
      <t>とすると、B点でのモーメントのつり合いより、</t>
    </r>
    <rPh sb="4" eb="5">
      <t>キ</t>
    </rPh>
    <rPh sb="7" eb="9">
      <t>イチ</t>
    </rPh>
    <rPh sb="14" eb="16">
      <t>ハンリョク</t>
    </rPh>
    <rPh sb="24" eb="25">
      <t>テン</t>
    </rPh>
    <rPh sb="35" eb="36">
      <t>ア</t>
    </rPh>
    <phoneticPr fontId="3"/>
  </si>
  <si>
    <r>
      <t>R</t>
    </r>
    <r>
      <rPr>
        <vertAlign val="subscript"/>
        <sz val="11"/>
        <color theme="1"/>
        <rFont val="游ゴシック"/>
        <family val="3"/>
        <charset val="128"/>
        <scheme val="minor"/>
      </rPr>
      <t>A</t>
    </r>
    <phoneticPr fontId="3"/>
  </si>
  <si>
    <t>kN</t>
    <phoneticPr fontId="3"/>
  </si>
  <si>
    <r>
      <t>R</t>
    </r>
    <r>
      <rPr>
        <i/>
        <vertAlign val="subscript"/>
        <sz val="11"/>
        <color theme="1"/>
        <rFont val="Times New Roman"/>
        <family val="1"/>
      </rPr>
      <t>A</t>
    </r>
    <phoneticPr fontId="3"/>
  </si>
  <si>
    <t>x</t>
    <phoneticPr fontId="3"/>
  </si>
  <si>
    <t>ここで</t>
    <phoneticPr fontId="3"/>
  </si>
  <si>
    <t>M</t>
    <phoneticPr fontId="3"/>
  </si>
  <si>
    <r>
      <t>x</t>
    </r>
    <r>
      <rPr>
        <i/>
        <vertAlign val="superscript"/>
        <sz val="11"/>
        <color theme="1"/>
        <rFont val="Times New Roman"/>
        <family val="1"/>
      </rPr>
      <t>2</t>
    </r>
    <phoneticPr fontId="3"/>
  </si>
  <si>
    <t>－</t>
    <phoneticPr fontId="3"/>
  </si>
  <si>
    <t>（</t>
    <phoneticPr fontId="3"/>
  </si>
  <si>
    <t>）</t>
    <phoneticPr fontId="3"/>
  </si>
  <si>
    <r>
      <t>M</t>
    </r>
    <r>
      <rPr>
        <i/>
        <vertAlign val="subscript"/>
        <sz val="11"/>
        <color theme="1"/>
        <rFont val="Times New Roman"/>
        <family val="1"/>
      </rPr>
      <t>x</t>
    </r>
    <phoneticPr fontId="3"/>
  </si>
  <si>
    <t>’</t>
    <phoneticPr fontId="3"/>
  </si>
  <si>
    <t>微分すると、</t>
    <rPh sb="0" eb="2">
      <t>ビブン</t>
    </rPh>
    <phoneticPr fontId="3"/>
  </si>
  <si>
    <r>
      <t>M</t>
    </r>
    <r>
      <rPr>
        <i/>
        <vertAlign val="subscript"/>
        <sz val="11"/>
        <color theme="1"/>
        <rFont val="Times New Roman"/>
        <family val="1"/>
      </rPr>
      <t>max</t>
    </r>
    <phoneticPr fontId="3"/>
  </si>
  <si>
    <t>kN・m</t>
    <phoneticPr fontId="3"/>
  </si>
  <si>
    <r>
      <rPr>
        <sz val="11"/>
        <rFont val="游ゴシック"/>
        <family val="3"/>
        <charset val="128"/>
      </rPr>
      <t>Ⅱ</t>
    </r>
    <r>
      <rPr>
        <sz val="11"/>
        <rFont val="游ゴシック"/>
        <family val="3"/>
        <charset val="128"/>
        <scheme val="minor"/>
      </rPr>
      <t>型</t>
    </r>
    <rPh sb="0" eb="2">
      <t>ニガタ</t>
    </rPh>
    <phoneticPr fontId="3"/>
  </si>
  <si>
    <t>　支保工の設計に用いる荷重は、断面決定用土圧と水圧とし、最終掘削状態において各段の支保工に下方分担法により作用させる。</t>
    <rPh sb="1" eb="4">
      <t>シホコウ</t>
    </rPh>
    <rPh sb="5" eb="7">
      <t>セッケイ</t>
    </rPh>
    <rPh sb="8" eb="9">
      <t>モチ</t>
    </rPh>
    <rPh sb="11" eb="13">
      <t>カジュウ</t>
    </rPh>
    <rPh sb="15" eb="17">
      <t>ダンメン</t>
    </rPh>
    <rPh sb="17" eb="19">
      <t>ケッテイ</t>
    </rPh>
    <rPh sb="19" eb="20">
      <t>ヨウ</t>
    </rPh>
    <rPh sb="20" eb="22">
      <t>ドアツ</t>
    </rPh>
    <rPh sb="23" eb="25">
      <t>スイアツ</t>
    </rPh>
    <rPh sb="28" eb="30">
      <t>サイシュウ</t>
    </rPh>
    <rPh sb="30" eb="32">
      <t>クッサク</t>
    </rPh>
    <rPh sb="32" eb="34">
      <t>ジョウタイ</t>
    </rPh>
    <rPh sb="38" eb="39">
      <t>カク</t>
    </rPh>
    <rPh sb="39" eb="40">
      <t>ダン</t>
    </rPh>
    <rPh sb="41" eb="44">
      <t>シホコウ</t>
    </rPh>
    <rPh sb="45" eb="47">
      <t>カホウ</t>
    </rPh>
    <rPh sb="47" eb="50">
      <t>ブンタンホウ</t>
    </rPh>
    <rPh sb="53" eb="55">
      <t>サヨウ</t>
    </rPh>
    <phoneticPr fontId="3"/>
  </si>
  <si>
    <r>
      <rPr>
        <i/>
        <sz val="11"/>
        <color theme="1"/>
        <rFont val="Times New Roman"/>
        <family val="1"/>
      </rPr>
      <t>p</t>
    </r>
    <r>
      <rPr>
        <i/>
        <vertAlign val="subscript"/>
        <sz val="11"/>
        <color theme="1"/>
        <rFont val="Times New Roman"/>
        <family val="1"/>
      </rPr>
      <t>1</t>
    </r>
    <r>
      <rPr>
        <i/>
        <vertAlign val="subscript"/>
        <sz val="11"/>
        <color theme="1"/>
        <rFont val="ＭＳ Ｐ明朝"/>
        <family val="1"/>
        <charset val="128"/>
      </rPr>
      <t>上</t>
    </r>
    <r>
      <rPr>
        <sz val="11"/>
        <color theme="1"/>
        <rFont val="Times New Roman"/>
        <family val="1"/>
      </rPr>
      <t>=</t>
    </r>
    <rPh sb="2" eb="3">
      <t>ウエ</t>
    </rPh>
    <phoneticPr fontId="3"/>
  </si>
  <si>
    <r>
      <rPr>
        <i/>
        <sz val="11"/>
        <color theme="1"/>
        <rFont val="Times New Roman"/>
        <family val="1"/>
      </rPr>
      <t>p</t>
    </r>
    <r>
      <rPr>
        <i/>
        <vertAlign val="subscript"/>
        <sz val="11"/>
        <color theme="1"/>
        <rFont val="Times New Roman"/>
        <family val="1"/>
      </rPr>
      <t>1</t>
    </r>
    <r>
      <rPr>
        <i/>
        <vertAlign val="subscript"/>
        <sz val="11"/>
        <color theme="1"/>
        <rFont val="ＭＳ Ｐ明朝"/>
        <family val="1"/>
        <charset val="128"/>
      </rPr>
      <t>下</t>
    </r>
    <r>
      <rPr>
        <sz val="11"/>
        <color theme="1"/>
        <rFont val="Times New Roman"/>
        <family val="1"/>
      </rPr>
      <t>=</t>
    </r>
    <rPh sb="2" eb="3">
      <t>シタ</t>
    </rPh>
    <phoneticPr fontId="3"/>
  </si>
  <si>
    <r>
      <t>R</t>
    </r>
    <r>
      <rPr>
        <vertAlign val="subscript"/>
        <sz val="11"/>
        <color theme="1"/>
        <rFont val="游ゴシック"/>
        <family val="3"/>
        <charset val="128"/>
        <scheme val="minor"/>
      </rPr>
      <t>1</t>
    </r>
    <phoneticPr fontId="3"/>
  </si>
  <si>
    <t>kN/m</t>
    <phoneticPr fontId="3"/>
  </si>
  <si>
    <t>H11道仮p116</t>
    <phoneticPr fontId="3"/>
  </si>
  <si>
    <r>
      <t>p = p</t>
    </r>
    <r>
      <rPr>
        <i/>
        <vertAlign val="subscript"/>
        <sz val="11"/>
        <color theme="1"/>
        <rFont val="Times New Roman"/>
        <family val="1"/>
      </rPr>
      <t>a</t>
    </r>
    <r>
      <rPr>
        <i/>
        <sz val="11"/>
        <color theme="1"/>
        <rFont val="Times New Roman"/>
        <family val="1"/>
      </rPr>
      <t xml:space="preserve"> + p</t>
    </r>
    <r>
      <rPr>
        <i/>
        <vertAlign val="subscript"/>
        <sz val="11"/>
        <color theme="1"/>
        <rFont val="Times New Roman"/>
        <family val="1"/>
      </rPr>
      <t>w</t>
    </r>
    <phoneticPr fontId="3"/>
  </si>
  <si>
    <t>水平間隔</t>
    <rPh sb="0" eb="2">
      <t>スイヘイ</t>
    </rPh>
    <rPh sb="2" eb="4">
      <t>カンカク</t>
    </rPh>
    <phoneticPr fontId="3"/>
  </si>
  <si>
    <t>ｍ</t>
    <phoneticPr fontId="3"/>
  </si>
  <si>
    <t>2</t>
    <phoneticPr fontId="3"/>
  </si>
  <si>
    <t>1-2. 鋼矢板の設定</t>
    <rPh sb="5" eb="6">
      <t>ハガネ</t>
    </rPh>
    <rPh sb="6" eb="8">
      <t>ヤイタ</t>
    </rPh>
    <rPh sb="9" eb="11">
      <t>セッテイ</t>
    </rPh>
    <phoneticPr fontId="3"/>
  </si>
  <si>
    <t>H-250</t>
    <phoneticPr fontId="3"/>
  </si>
  <si>
    <t>τ</t>
    <phoneticPr fontId="3"/>
  </si>
  <si>
    <r>
      <t>A</t>
    </r>
    <r>
      <rPr>
        <i/>
        <vertAlign val="subscript"/>
        <sz val="11"/>
        <color theme="1"/>
        <rFont val="Times New Roman"/>
        <family val="1"/>
      </rPr>
      <t>w</t>
    </r>
    <phoneticPr fontId="3"/>
  </si>
  <si>
    <t>H11道仮p47</t>
    <phoneticPr fontId="3"/>
  </si>
  <si>
    <t>せん断の許容応力度</t>
    <rPh sb="2" eb="3">
      <t>ダン</t>
    </rPh>
    <phoneticPr fontId="3"/>
  </si>
  <si>
    <r>
      <rPr>
        <i/>
        <sz val="11"/>
        <color theme="1"/>
        <rFont val="Times New Roman"/>
        <family val="1"/>
        <charset val="161"/>
      </rPr>
      <t>τ</t>
    </r>
    <r>
      <rPr>
        <vertAlign val="subscript"/>
        <sz val="11"/>
        <color theme="1"/>
        <rFont val="Yu Gothic"/>
        <family val="1"/>
        <charset val="128"/>
      </rPr>
      <t>a</t>
    </r>
    <phoneticPr fontId="3"/>
  </si>
  <si>
    <t>高さ</t>
    <rPh sb="0" eb="1">
      <t>タカ</t>
    </rPh>
    <phoneticPr fontId="3"/>
  </si>
  <si>
    <t>mm</t>
    <phoneticPr fontId="3"/>
  </si>
  <si>
    <t>幅</t>
    <rPh sb="0" eb="1">
      <t>ハバ</t>
    </rPh>
    <phoneticPr fontId="3"/>
  </si>
  <si>
    <r>
      <t>t</t>
    </r>
    <r>
      <rPr>
        <i/>
        <vertAlign val="subscript"/>
        <sz val="11"/>
        <color theme="1"/>
        <rFont val="Times New Roman"/>
        <family val="1"/>
      </rPr>
      <t>1</t>
    </r>
    <phoneticPr fontId="3"/>
  </si>
  <si>
    <t>厚1（ウェブ厚）</t>
    <rPh sb="0" eb="1">
      <t>アツ</t>
    </rPh>
    <rPh sb="6" eb="7">
      <t>アツ</t>
    </rPh>
    <phoneticPr fontId="3"/>
  </si>
  <si>
    <t>厚2（フランジ厚）</t>
    <rPh sb="0" eb="1">
      <t>アツ</t>
    </rPh>
    <rPh sb="7" eb="8">
      <t>アツ</t>
    </rPh>
    <phoneticPr fontId="3"/>
  </si>
  <si>
    <r>
      <t>t</t>
    </r>
    <r>
      <rPr>
        <i/>
        <vertAlign val="subscript"/>
        <sz val="11"/>
        <color theme="1"/>
        <rFont val="Times New Roman"/>
        <family val="1"/>
      </rPr>
      <t>2</t>
    </r>
    <r>
      <rPr>
        <sz val="11"/>
        <color theme="1"/>
        <rFont val="游ゴシック"/>
        <family val="2"/>
        <charset val="128"/>
        <scheme val="minor"/>
      </rPr>
      <t/>
    </r>
  </si>
  <si>
    <r>
      <rPr>
        <i/>
        <sz val="11"/>
        <color theme="1"/>
        <rFont val="Times New Roman"/>
        <family val="1"/>
        <charset val="161"/>
      </rPr>
      <t>τ</t>
    </r>
    <r>
      <rPr>
        <vertAlign val="subscript"/>
        <sz val="11"/>
        <color theme="1"/>
        <rFont val="Times New Roman"/>
        <family val="1"/>
      </rPr>
      <t>a</t>
    </r>
    <phoneticPr fontId="3"/>
  </si>
  <si>
    <t>H11道仮p121</t>
    <phoneticPr fontId="3"/>
  </si>
  <si>
    <t>長さ</t>
    <rPh sb="0" eb="1">
      <t>ナガ</t>
    </rPh>
    <phoneticPr fontId="3"/>
  </si>
  <si>
    <t>断面積</t>
    <rPh sb="0" eb="3">
      <t>ダンメンセキ</t>
    </rPh>
    <phoneticPr fontId="3"/>
  </si>
  <si>
    <r>
      <t>cm</t>
    </r>
    <r>
      <rPr>
        <vertAlign val="superscript"/>
        <sz val="11"/>
        <color theme="1"/>
        <rFont val="游ゴシック"/>
        <family val="3"/>
        <charset val="128"/>
        <scheme val="minor"/>
      </rPr>
      <t>2</t>
    </r>
    <phoneticPr fontId="3"/>
  </si>
  <si>
    <t>断面二次半径</t>
    <rPh sb="0" eb="2">
      <t>ダンメン</t>
    </rPh>
    <rPh sb="2" eb="4">
      <t>ニジ</t>
    </rPh>
    <rPh sb="4" eb="6">
      <t>ハンケイ</t>
    </rPh>
    <phoneticPr fontId="3"/>
  </si>
  <si>
    <r>
      <t>r</t>
    </r>
    <r>
      <rPr>
        <i/>
        <vertAlign val="subscript"/>
        <sz val="11"/>
        <color theme="1"/>
        <rFont val="Times New Roman"/>
        <family val="1"/>
      </rPr>
      <t>y</t>
    </r>
    <phoneticPr fontId="3"/>
  </si>
  <si>
    <r>
      <t>r</t>
    </r>
    <r>
      <rPr>
        <i/>
        <vertAlign val="subscript"/>
        <sz val="11"/>
        <color theme="1"/>
        <rFont val="Times New Roman"/>
        <family val="1"/>
      </rPr>
      <t>z</t>
    </r>
    <phoneticPr fontId="3"/>
  </si>
  <si>
    <t>cm</t>
    <phoneticPr fontId="3"/>
  </si>
  <si>
    <r>
      <t>cm</t>
    </r>
    <r>
      <rPr>
        <vertAlign val="superscript"/>
        <sz val="11"/>
        <color theme="1"/>
        <rFont val="游ゴシック"/>
        <family val="3"/>
        <charset val="128"/>
        <scheme val="minor"/>
      </rPr>
      <t>3</t>
    </r>
    <phoneticPr fontId="3"/>
  </si>
  <si>
    <r>
      <t>cm</t>
    </r>
    <r>
      <rPr>
        <vertAlign val="superscript"/>
        <sz val="11"/>
        <color theme="1"/>
        <rFont val="游ゴシック"/>
        <family val="3"/>
        <charset val="128"/>
        <scheme val="minor"/>
      </rPr>
      <t>4</t>
    </r>
    <phoneticPr fontId="3"/>
  </si>
  <si>
    <t>ΔN</t>
    <phoneticPr fontId="3"/>
  </si>
  <si>
    <t>切ばりは、「軸力」と「モーメント」が作用する部材として設計する。</t>
    <rPh sb="0" eb="1">
      <t>キリ</t>
    </rPh>
    <rPh sb="6" eb="8">
      <t>ジクリョク</t>
    </rPh>
    <rPh sb="18" eb="20">
      <t>サヨウ</t>
    </rPh>
    <rPh sb="22" eb="24">
      <t>ブザイ</t>
    </rPh>
    <rPh sb="27" eb="29">
      <t>セッケイ</t>
    </rPh>
    <phoneticPr fontId="3"/>
  </si>
  <si>
    <t>軸力は、「土圧」、「水圧」、および「温度変化に伴う軸力」を考慮する。</t>
    <rPh sb="0" eb="2">
      <t>ジクリョク</t>
    </rPh>
    <rPh sb="5" eb="7">
      <t>ドアツ</t>
    </rPh>
    <rPh sb="10" eb="12">
      <t>スイアツ</t>
    </rPh>
    <rPh sb="18" eb="20">
      <t>オンド</t>
    </rPh>
    <rPh sb="20" eb="22">
      <t>ヘンカ</t>
    </rPh>
    <rPh sb="23" eb="24">
      <t>トモナ</t>
    </rPh>
    <rPh sb="25" eb="27">
      <t>ジクリョク</t>
    </rPh>
    <rPh sb="29" eb="31">
      <t>コウリョ</t>
    </rPh>
    <phoneticPr fontId="3"/>
  </si>
  <si>
    <t>N</t>
    <phoneticPr fontId="3"/>
  </si>
  <si>
    <t>曲げモーメントは、鉛直方向座屈長（中間杭がないため、切ばり全長）をスパンとする単純ばりで計算する。</t>
    <rPh sb="0" eb="1">
      <t>マ</t>
    </rPh>
    <rPh sb="9" eb="11">
      <t>エンチョク</t>
    </rPh>
    <rPh sb="11" eb="13">
      <t>ホウコウ</t>
    </rPh>
    <rPh sb="13" eb="15">
      <t>ザクツ</t>
    </rPh>
    <rPh sb="15" eb="16">
      <t>チョウ</t>
    </rPh>
    <rPh sb="39" eb="41">
      <t>タンジュン</t>
    </rPh>
    <rPh sb="44" eb="46">
      <t>ケイサン</t>
    </rPh>
    <phoneticPr fontId="3"/>
  </si>
  <si>
    <t>曲げ荷重ｗは、切ばりの自重を含めて</t>
    <rPh sb="0" eb="1">
      <t>マ</t>
    </rPh>
    <rPh sb="2" eb="4">
      <t>カジュウ</t>
    </rPh>
    <rPh sb="7" eb="8">
      <t>キリ</t>
    </rPh>
    <rPh sb="11" eb="13">
      <t>ジジュウ</t>
    </rPh>
    <rPh sb="14" eb="15">
      <t>フク</t>
    </rPh>
    <phoneticPr fontId="3"/>
  </si>
  <si>
    <t>とする。（H11道仮p122）</t>
    <rPh sb="8" eb="10">
      <t>ミチカリ</t>
    </rPh>
    <phoneticPr fontId="3"/>
  </si>
  <si>
    <t>温度変化に伴う軸力増加を</t>
    <rPh sb="0" eb="2">
      <t>オンド</t>
    </rPh>
    <rPh sb="2" eb="4">
      <t>ヘンカ</t>
    </rPh>
    <rPh sb="5" eb="6">
      <t>トモナ</t>
    </rPh>
    <rPh sb="7" eb="9">
      <t>ジクリョク</t>
    </rPh>
    <rPh sb="9" eb="11">
      <t>ゾウカ</t>
    </rPh>
    <phoneticPr fontId="3"/>
  </si>
  <si>
    <t>とする。</t>
    <phoneticPr fontId="3"/>
  </si>
  <si>
    <t>H11道仮p122, 50</t>
    <phoneticPr fontId="3"/>
  </si>
  <si>
    <r>
      <t>σ</t>
    </r>
    <r>
      <rPr>
        <i/>
        <vertAlign val="subscript"/>
        <sz val="11"/>
        <color theme="1"/>
        <rFont val="Times New Roman"/>
        <family val="1"/>
      </rPr>
      <t>bcy</t>
    </r>
    <phoneticPr fontId="3"/>
  </si>
  <si>
    <r>
      <t>σ</t>
    </r>
    <r>
      <rPr>
        <i/>
        <vertAlign val="subscript"/>
        <sz val="11"/>
        <color theme="1"/>
        <rFont val="Times New Roman"/>
        <family val="1"/>
      </rPr>
      <t>c</t>
    </r>
    <phoneticPr fontId="3"/>
  </si>
  <si>
    <r>
      <t>σ</t>
    </r>
    <r>
      <rPr>
        <i/>
        <vertAlign val="subscript"/>
        <sz val="11"/>
        <color theme="1"/>
        <rFont val="Times New Roman"/>
        <family val="1"/>
      </rPr>
      <t>caz</t>
    </r>
    <phoneticPr fontId="3"/>
  </si>
  <si>
    <t>(1</t>
    <phoneticPr fontId="3"/>
  </si>
  <si>
    <r>
      <t>σ</t>
    </r>
    <r>
      <rPr>
        <i/>
        <vertAlign val="subscript"/>
        <sz val="11"/>
        <color theme="1"/>
        <rFont val="Times New Roman"/>
        <family val="1"/>
      </rPr>
      <t>eay</t>
    </r>
    <phoneticPr fontId="3"/>
  </si>
  <si>
    <r>
      <t>σ</t>
    </r>
    <r>
      <rPr>
        <i/>
        <vertAlign val="subscript"/>
        <sz val="11"/>
        <color theme="1"/>
        <rFont val="Times New Roman"/>
        <family val="1"/>
      </rPr>
      <t>bagy</t>
    </r>
    <phoneticPr fontId="3"/>
  </si>
  <si>
    <r>
      <t>σ</t>
    </r>
    <r>
      <rPr>
        <i/>
        <vertAlign val="subscript"/>
        <sz val="11"/>
        <color theme="1"/>
        <rFont val="Times New Roman"/>
        <family val="1"/>
      </rPr>
      <t>bcz</t>
    </r>
    <phoneticPr fontId="3"/>
  </si>
  <si>
    <r>
      <t>σ</t>
    </r>
    <r>
      <rPr>
        <i/>
        <vertAlign val="subscript"/>
        <sz val="11"/>
        <color theme="1"/>
        <rFont val="Times New Roman"/>
        <family val="1"/>
      </rPr>
      <t>ba0</t>
    </r>
    <phoneticPr fontId="3"/>
  </si>
  <si>
    <r>
      <t>σ</t>
    </r>
    <r>
      <rPr>
        <i/>
        <vertAlign val="subscript"/>
        <sz val="11"/>
        <color theme="1"/>
        <rFont val="Times New Roman"/>
        <family val="1"/>
      </rPr>
      <t>eaz</t>
    </r>
    <phoneticPr fontId="3"/>
  </si>
  <si>
    <t>≦</t>
    <phoneticPr fontId="3"/>
  </si>
  <si>
    <r>
      <t>σ</t>
    </r>
    <r>
      <rPr>
        <i/>
        <vertAlign val="subscript"/>
        <sz val="11"/>
        <color theme="1"/>
        <rFont val="Times New Roman"/>
        <family val="1"/>
      </rPr>
      <t>ca</t>
    </r>
    <r>
      <rPr>
        <vertAlign val="subscript"/>
        <sz val="11"/>
        <color theme="1"/>
        <rFont val="游ゴシック"/>
        <family val="3"/>
        <charset val="128"/>
      </rPr>
      <t>ℓ</t>
    </r>
    <phoneticPr fontId="3"/>
  </si>
  <si>
    <r>
      <t>：照査する断面に作用する軸方向力による圧縮応力度（N/mm</t>
    </r>
    <r>
      <rPr>
        <vertAlign val="superscript"/>
        <sz val="11"/>
        <color theme="1"/>
        <rFont val="游ゴシック"/>
        <family val="3"/>
        <charset val="128"/>
        <scheme val="minor"/>
      </rPr>
      <t>2</t>
    </r>
    <r>
      <rPr>
        <sz val="11"/>
        <color theme="1"/>
        <rFont val="游ゴシック"/>
        <family val="2"/>
        <scheme val="minor"/>
      </rPr>
      <t>）</t>
    </r>
    <rPh sb="1" eb="3">
      <t>ショウサ</t>
    </rPh>
    <rPh sb="5" eb="7">
      <t>ダンメン</t>
    </rPh>
    <rPh sb="8" eb="10">
      <t>サヨウ</t>
    </rPh>
    <rPh sb="12" eb="13">
      <t>ジク</t>
    </rPh>
    <rPh sb="13" eb="15">
      <t>ホウコウ</t>
    </rPh>
    <rPh sb="15" eb="16">
      <t>チカラ</t>
    </rPh>
    <rPh sb="19" eb="21">
      <t>アッシュク</t>
    </rPh>
    <rPh sb="21" eb="24">
      <t>オウリョクド</t>
    </rPh>
    <phoneticPr fontId="3"/>
  </si>
  <si>
    <r>
      <t>：弱軸まわりの許容軸方向圧縮応力度（N/mm</t>
    </r>
    <r>
      <rPr>
        <vertAlign val="superscript"/>
        <sz val="11"/>
        <color theme="1"/>
        <rFont val="游ゴシック"/>
        <family val="3"/>
        <charset val="128"/>
        <scheme val="minor"/>
      </rPr>
      <t>2</t>
    </r>
    <r>
      <rPr>
        <sz val="11"/>
        <color theme="1"/>
        <rFont val="游ゴシック"/>
        <family val="2"/>
        <scheme val="minor"/>
      </rPr>
      <t>）</t>
    </r>
    <rPh sb="1" eb="2">
      <t>ジャク</t>
    </rPh>
    <rPh sb="2" eb="3">
      <t>ジク</t>
    </rPh>
    <rPh sb="7" eb="9">
      <t>キョヨウ</t>
    </rPh>
    <rPh sb="9" eb="10">
      <t>ジク</t>
    </rPh>
    <rPh sb="10" eb="12">
      <t>ホウコウ</t>
    </rPh>
    <rPh sb="12" eb="14">
      <t>アッシュク</t>
    </rPh>
    <rPh sb="14" eb="17">
      <t>オウリョクド</t>
    </rPh>
    <phoneticPr fontId="3"/>
  </si>
  <si>
    <t>ただし、</t>
    <phoneticPr fontId="3"/>
  </si>
  <si>
    <t>b'</t>
    <phoneticPr fontId="3"/>
  </si>
  <si>
    <t>t'</t>
    <phoneticPr fontId="3"/>
  </si>
  <si>
    <r>
      <t>：局部座屈を考慮しない強軸まわりの許容曲げ圧縮応力度（N/mm</t>
    </r>
    <r>
      <rPr>
        <vertAlign val="superscript"/>
        <sz val="11"/>
        <color theme="1"/>
        <rFont val="游ゴシック"/>
        <family val="3"/>
        <charset val="128"/>
        <scheme val="minor"/>
      </rPr>
      <t>2</t>
    </r>
    <r>
      <rPr>
        <sz val="11"/>
        <color theme="1"/>
        <rFont val="游ゴシック"/>
        <family val="2"/>
        <scheme val="minor"/>
      </rPr>
      <t>）</t>
    </r>
    <rPh sb="1" eb="3">
      <t>キョクブ</t>
    </rPh>
    <rPh sb="3" eb="5">
      <t>ザクツ</t>
    </rPh>
    <rPh sb="6" eb="8">
      <t>コウリョ</t>
    </rPh>
    <rPh sb="11" eb="12">
      <t>キョウ</t>
    </rPh>
    <rPh sb="12" eb="13">
      <t>ジク</t>
    </rPh>
    <rPh sb="17" eb="19">
      <t>キョヨウ</t>
    </rPh>
    <rPh sb="19" eb="20">
      <t>マ</t>
    </rPh>
    <rPh sb="21" eb="23">
      <t>アッシュク</t>
    </rPh>
    <rPh sb="23" eb="26">
      <t>オウリョクド</t>
    </rPh>
    <phoneticPr fontId="3"/>
  </si>
  <si>
    <r>
      <t>A</t>
    </r>
    <r>
      <rPr>
        <i/>
        <vertAlign val="subscript"/>
        <sz val="11"/>
        <color theme="1"/>
        <rFont val="Times New Roman"/>
        <family val="1"/>
      </rPr>
      <t>c</t>
    </r>
    <phoneticPr fontId="3"/>
  </si>
  <si>
    <t>≧</t>
    <phoneticPr fontId="3"/>
  </si>
  <si>
    <t>：圧縮フランジの総断面積</t>
    <rPh sb="1" eb="3">
      <t>アッシュク</t>
    </rPh>
    <rPh sb="8" eb="9">
      <t>ソウ</t>
    </rPh>
    <rPh sb="9" eb="12">
      <t>ダンメンセキ</t>
    </rPh>
    <phoneticPr fontId="3"/>
  </si>
  <si>
    <t>ウェブ厚</t>
    <rPh sb="3" eb="4">
      <t>アツ</t>
    </rPh>
    <phoneticPr fontId="3"/>
  </si>
  <si>
    <t>フランジ厚</t>
    <rPh sb="4" eb="5">
      <t>アツ</t>
    </rPh>
    <phoneticPr fontId="3"/>
  </si>
  <si>
    <t>：局部座屈を考慮しない許容曲げ圧縮応力度の上限値</t>
    <rPh sb="1" eb="3">
      <t>キョクブ</t>
    </rPh>
    <rPh sb="3" eb="5">
      <t>ザクツ</t>
    </rPh>
    <rPh sb="6" eb="8">
      <t>コウリョ</t>
    </rPh>
    <rPh sb="11" eb="13">
      <t>キョヨウ</t>
    </rPh>
    <rPh sb="13" eb="14">
      <t>マ</t>
    </rPh>
    <rPh sb="15" eb="17">
      <t>アッシュク</t>
    </rPh>
    <rPh sb="17" eb="20">
      <t>オウリョクド</t>
    </rPh>
    <rPh sb="21" eb="24">
      <t>ジョウゲンチ</t>
    </rPh>
    <phoneticPr fontId="3"/>
  </si>
  <si>
    <t>（H11道仮p51）</t>
    <rPh sb="4" eb="5">
      <t>ミチ</t>
    </rPh>
    <rPh sb="5" eb="6">
      <t>カリ</t>
    </rPh>
    <phoneticPr fontId="3"/>
  </si>
  <si>
    <r>
      <t>, σ</t>
    </r>
    <r>
      <rPr>
        <i/>
        <vertAlign val="subscript"/>
        <sz val="11"/>
        <color theme="1"/>
        <rFont val="Times New Roman"/>
        <family val="1"/>
      </rPr>
      <t>eaz</t>
    </r>
    <phoneticPr fontId="3"/>
  </si>
  <si>
    <r>
      <t>, σ</t>
    </r>
    <r>
      <rPr>
        <i/>
        <vertAlign val="subscript"/>
        <sz val="11"/>
        <color theme="1"/>
        <rFont val="Times New Roman"/>
        <family val="1"/>
      </rPr>
      <t>bcz</t>
    </r>
    <phoneticPr fontId="3"/>
  </si>
  <si>
    <t>ℓ'</t>
    <phoneticPr fontId="3"/>
  </si>
  <si>
    <r>
      <t>)</t>
    </r>
    <r>
      <rPr>
        <vertAlign val="superscript"/>
        <sz val="11"/>
        <color theme="1"/>
        <rFont val="游ゴシック"/>
        <family val="3"/>
        <charset val="128"/>
        <scheme val="minor"/>
      </rPr>
      <t>2</t>
    </r>
    <phoneticPr fontId="3"/>
  </si>
  <si>
    <t>：それぞれ強軸および弱軸まわりの断面二次半径（mm）</t>
    <rPh sb="5" eb="7">
      <t>キョウジク</t>
    </rPh>
    <rPh sb="10" eb="12">
      <t>ジャクジク</t>
    </rPh>
    <rPh sb="16" eb="18">
      <t>ダンメン</t>
    </rPh>
    <rPh sb="18" eb="20">
      <t>ニジ</t>
    </rPh>
    <rPh sb="20" eb="22">
      <t>ハンケイ</t>
    </rPh>
    <phoneticPr fontId="3"/>
  </si>
  <si>
    <t>：材料両端の支点条件より定まる有効座屈長（mm）</t>
    <rPh sb="1" eb="3">
      <t>ザイリョウ</t>
    </rPh>
    <rPh sb="3" eb="5">
      <t>リョウタン</t>
    </rPh>
    <rPh sb="6" eb="8">
      <t>シテン</t>
    </rPh>
    <rPh sb="8" eb="10">
      <t>ジョウケン</t>
    </rPh>
    <rPh sb="12" eb="13">
      <t>サダ</t>
    </rPh>
    <rPh sb="15" eb="17">
      <t>ユウコウ</t>
    </rPh>
    <rPh sb="17" eb="19">
      <t>ザクツ</t>
    </rPh>
    <rPh sb="19" eb="20">
      <t>チョウ</t>
    </rPh>
    <phoneticPr fontId="3"/>
  </si>
  <si>
    <t>：切ばりのフランジ片幅</t>
    <rPh sb="1" eb="2">
      <t>キリ</t>
    </rPh>
    <rPh sb="9" eb="10">
      <t>カタ</t>
    </rPh>
    <rPh sb="10" eb="11">
      <t>ハバ</t>
    </rPh>
    <phoneticPr fontId="3"/>
  </si>
  <si>
    <t>：切ばりのフランジ厚</t>
    <rPh sb="1" eb="2">
      <t>キリ</t>
    </rPh>
    <rPh sb="9" eb="10">
      <t>アツ</t>
    </rPh>
    <phoneticPr fontId="3"/>
  </si>
  <si>
    <t>：ウェブの総断面積</t>
    <rPh sb="5" eb="6">
      <t>ソウ</t>
    </rPh>
    <rPh sb="6" eb="9">
      <t>ダンメンセキ</t>
    </rPh>
    <phoneticPr fontId="3"/>
  </si>
  <si>
    <t>：切ばりの弱軸まわりの座屈長（水平方向座屈長）</t>
    <rPh sb="1" eb="2">
      <t>キ</t>
    </rPh>
    <rPh sb="5" eb="7">
      <t>ジャクジク</t>
    </rPh>
    <rPh sb="11" eb="14">
      <t>ザクツチョウ</t>
    </rPh>
    <rPh sb="15" eb="19">
      <t>スイヘイホウコウ</t>
    </rPh>
    <rPh sb="19" eb="21">
      <t>ザクツ</t>
    </rPh>
    <rPh sb="21" eb="22">
      <t>チョウ</t>
    </rPh>
    <phoneticPr fontId="3"/>
  </si>
  <si>
    <t>（H11道仮p122より）</t>
    <phoneticPr fontId="3"/>
  </si>
  <si>
    <t>よって、弱軸の細長比は、</t>
    <rPh sb="4" eb="6">
      <t>ジャクジク</t>
    </rPh>
    <rPh sb="7" eb="9">
      <t>ホソナガ</t>
    </rPh>
    <rPh sb="9" eb="10">
      <t>ヒ</t>
    </rPh>
    <phoneticPr fontId="3"/>
  </si>
  <si>
    <t>&lt;</t>
    <phoneticPr fontId="3"/>
  </si>
  <si>
    <t>ℓ/r</t>
    <phoneticPr fontId="3"/>
  </si>
  <si>
    <t>より</t>
    <phoneticPr fontId="3"/>
  </si>
  <si>
    <t>よって、軸方向圧縮の計算式は、</t>
    <rPh sb="4" eb="7">
      <t>ジクホウコウ</t>
    </rPh>
    <rPh sb="7" eb="9">
      <t>アッシュク</t>
    </rPh>
    <rPh sb="10" eb="13">
      <t>ケイサンシキ</t>
    </rPh>
    <phoneticPr fontId="3"/>
  </si>
  <si>
    <r>
      <t>ℓ</t>
    </r>
    <r>
      <rPr>
        <i/>
        <vertAlign val="subscript"/>
        <sz val="11"/>
        <color theme="1"/>
        <rFont val="Times New Roman"/>
        <family val="1"/>
      </rPr>
      <t>z</t>
    </r>
    <phoneticPr fontId="3"/>
  </si>
  <si>
    <r>
      <t>ℓ</t>
    </r>
    <r>
      <rPr>
        <i/>
        <vertAlign val="subscript"/>
        <sz val="11"/>
        <color theme="1"/>
        <rFont val="游ゴシック"/>
        <family val="1"/>
        <charset val="128"/>
      </rPr>
      <t>y</t>
    </r>
    <phoneticPr fontId="3"/>
  </si>
  <si>
    <r>
      <t>ℓ</t>
    </r>
    <r>
      <rPr>
        <i/>
        <vertAlign val="subscript"/>
        <sz val="11"/>
        <color theme="1"/>
        <rFont val="Times New Roman"/>
        <family val="1"/>
      </rPr>
      <t>y</t>
    </r>
    <phoneticPr fontId="3"/>
  </si>
  <si>
    <t>：フランジ間の固定間距離（鉛直方向座屈長）</t>
    <rPh sb="5" eb="6">
      <t>アイダ</t>
    </rPh>
    <rPh sb="7" eb="9">
      <t>コテイ</t>
    </rPh>
    <rPh sb="9" eb="10">
      <t>カン</t>
    </rPh>
    <rPh sb="10" eb="12">
      <t>キョリ</t>
    </rPh>
    <rPh sb="13" eb="15">
      <t>エンチョク</t>
    </rPh>
    <rPh sb="15" eb="17">
      <t>ホウコウ</t>
    </rPh>
    <rPh sb="17" eb="19">
      <t>ザクツ</t>
    </rPh>
    <rPh sb="19" eb="20">
      <t>チョウ</t>
    </rPh>
    <phoneticPr fontId="3"/>
  </si>
  <si>
    <t>よって、ℓ/b は、</t>
    <phoneticPr fontId="3"/>
  </si>
  <si>
    <t>よって、曲げ圧縮縁の計算式は、</t>
    <rPh sb="4" eb="5">
      <t>マ</t>
    </rPh>
    <rPh sb="6" eb="8">
      <t>アッシュク</t>
    </rPh>
    <rPh sb="8" eb="9">
      <t>エン</t>
    </rPh>
    <rPh sb="10" eb="13">
      <t>ケイサンシキ</t>
    </rPh>
    <phoneticPr fontId="3"/>
  </si>
  <si>
    <t>ℓ/b</t>
    <phoneticPr fontId="3"/>
  </si>
  <si>
    <t>{</t>
    <phoneticPr fontId="3"/>
  </si>
  <si>
    <t>)}</t>
    <phoneticPr fontId="3"/>
  </si>
  <si>
    <r>
      <t>σ</t>
    </r>
    <r>
      <rPr>
        <i/>
        <vertAlign val="subscript"/>
        <sz val="11"/>
        <color theme="1"/>
        <rFont val="Times New Roman"/>
        <family val="1"/>
      </rPr>
      <t>cal</t>
    </r>
    <phoneticPr fontId="3"/>
  </si>
  <si>
    <t>：圧縮応力を受ける自由突出板の局部座屈に対する許容応力度</t>
    <rPh sb="1" eb="3">
      <t>アッシュク</t>
    </rPh>
    <rPh sb="3" eb="5">
      <t>オウリョク</t>
    </rPh>
    <rPh sb="6" eb="7">
      <t>ウ</t>
    </rPh>
    <rPh sb="9" eb="11">
      <t>ジユウ</t>
    </rPh>
    <rPh sb="11" eb="13">
      <t>トッシュツ</t>
    </rPh>
    <rPh sb="13" eb="14">
      <t>イタ</t>
    </rPh>
    <rPh sb="15" eb="17">
      <t>キョクブ</t>
    </rPh>
    <rPh sb="17" eb="19">
      <t>ザクツ</t>
    </rPh>
    <rPh sb="20" eb="21">
      <t>タイ</t>
    </rPh>
    <rPh sb="23" eb="25">
      <t>キョヨウ</t>
    </rPh>
    <rPh sb="25" eb="27">
      <t>オウリョク</t>
    </rPh>
    <rPh sb="27" eb="28">
      <t>ド</t>
    </rPh>
    <phoneticPr fontId="3"/>
  </si>
  <si>
    <t>土留壁</t>
    <rPh sb="0" eb="2">
      <t>ドドメ</t>
    </rPh>
    <rPh sb="2" eb="3">
      <t>ヘキ</t>
    </rPh>
    <phoneticPr fontId="3"/>
  </si>
  <si>
    <t>支保工</t>
    <rPh sb="0" eb="3">
      <t>シホコウ</t>
    </rPh>
    <phoneticPr fontId="3"/>
  </si>
  <si>
    <t>：それぞれ強軸および弱軸まわりに作用する曲げモーメントによる</t>
    <rPh sb="5" eb="6">
      <t>キョウ</t>
    </rPh>
    <rPh sb="6" eb="7">
      <t>ジク</t>
    </rPh>
    <rPh sb="10" eb="11">
      <t>ジャク</t>
    </rPh>
    <rPh sb="11" eb="12">
      <t>ジク</t>
    </rPh>
    <rPh sb="16" eb="18">
      <t>サヨウ</t>
    </rPh>
    <rPh sb="20" eb="21">
      <t>マ</t>
    </rPh>
    <phoneticPr fontId="3"/>
  </si>
  <si>
    <t>＜最大曲げモーメント＞</t>
    <rPh sb="1" eb="3">
      <t>サイダイ</t>
    </rPh>
    <rPh sb="3" eb="4">
      <t>マ</t>
    </rPh>
    <phoneticPr fontId="3"/>
  </si>
  <si>
    <t>＜最大せん断力＞</t>
    <rPh sb="1" eb="3">
      <t>サイダイ</t>
    </rPh>
    <rPh sb="5" eb="6">
      <t>ダン</t>
    </rPh>
    <rPh sb="6" eb="7">
      <t>チカラ</t>
    </rPh>
    <phoneticPr fontId="3"/>
  </si>
  <si>
    <t>2-3. 掘削底面の安定から定まる根入れ長</t>
    <rPh sb="5" eb="7">
      <t>クッサク</t>
    </rPh>
    <rPh sb="7" eb="9">
      <t>テイメン</t>
    </rPh>
    <rPh sb="10" eb="12">
      <t>アンテイ</t>
    </rPh>
    <rPh sb="14" eb="15">
      <t>サダ</t>
    </rPh>
    <rPh sb="17" eb="19">
      <t>ネイ</t>
    </rPh>
    <rPh sb="20" eb="21">
      <t>チョウ</t>
    </rPh>
    <phoneticPr fontId="3"/>
  </si>
  <si>
    <t>型式（リース加工製品）</t>
    <rPh sb="0" eb="2">
      <t>カタシキ</t>
    </rPh>
    <rPh sb="6" eb="8">
      <t>カコウ</t>
    </rPh>
    <rPh sb="8" eb="10">
      <t>セイヒン</t>
    </rPh>
    <phoneticPr fontId="3"/>
  </si>
  <si>
    <t>H-300</t>
    <phoneticPr fontId="3"/>
  </si>
  <si>
    <t>H-350</t>
    <phoneticPr fontId="3"/>
  </si>
  <si>
    <t>H-400</t>
    <phoneticPr fontId="3"/>
  </si>
  <si>
    <t>リース加工製品の断面性能</t>
    <rPh sb="3" eb="5">
      <t>カコウ</t>
    </rPh>
    <rPh sb="5" eb="7">
      <t>セイヒン</t>
    </rPh>
    <rPh sb="8" eb="12">
      <t>ダンメンセイノウ</t>
    </rPh>
    <phoneticPr fontId="3"/>
  </si>
  <si>
    <t>1-3. 腹起し材の設定</t>
    <rPh sb="5" eb="7">
      <t>ハラオコ</t>
    </rPh>
    <rPh sb="8" eb="9">
      <t>ザイ</t>
    </rPh>
    <rPh sb="10" eb="12">
      <t>セッテイ</t>
    </rPh>
    <phoneticPr fontId="3"/>
  </si>
  <si>
    <t>1-4. 切ばり材の設定</t>
    <rPh sb="5" eb="6">
      <t>キリ</t>
    </rPh>
    <rPh sb="8" eb="9">
      <t>ザイ</t>
    </rPh>
    <rPh sb="10" eb="12">
      <t>セッテイ</t>
    </rPh>
    <phoneticPr fontId="3"/>
  </si>
  <si>
    <t>2-5. 根入れ長の決定</t>
    <rPh sb="5" eb="7">
      <t>ネイ</t>
    </rPh>
    <rPh sb="8" eb="9">
      <t>チョウ</t>
    </rPh>
    <rPh sb="10" eb="12">
      <t>ケッテイ</t>
    </rPh>
    <phoneticPr fontId="3"/>
  </si>
  <si>
    <t>2-6. 鋼矢板の長さ</t>
    <rPh sb="5" eb="6">
      <t>ハガネ</t>
    </rPh>
    <rPh sb="6" eb="8">
      <t>ヤイタ</t>
    </rPh>
    <rPh sb="9" eb="10">
      <t>チョウ</t>
    </rPh>
    <phoneticPr fontId="3"/>
  </si>
  <si>
    <t>照査式(2-6-1)</t>
    <rPh sb="0" eb="2">
      <t>ショウサ</t>
    </rPh>
    <rPh sb="2" eb="3">
      <t>シキ</t>
    </rPh>
    <phoneticPr fontId="3"/>
  </si>
  <si>
    <t>照査式(2-6-2)</t>
    <rPh sb="0" eb="2">
      <t>ショウサ</t>
    </rPh>
    <rPh sb="2" eb="3">
      <t>シキ</t>
    </rPh>
    <phoneticPr fontId="3"/>
  </si>
  <si>
    <t>1.設計条件と鋼矢板・支保工の設定</t>
    <rPh sb="2" eb="4">
      <t>セッケイ</t>
    </rPh>
    <rPh sb="4" eb="6">
      <t>ジョウケン</t>
    </rPh>
    <rPh sb="7" eb="8">
      <t>ハガネ</t>
    </rPh>
    <rPh sb="8" eb="10">
      <t>ヤイタ</t>
    </rPh>
    <rPh sb="11" eb="14">
      <t>シホコウ</t>
    </rPh>
    <rPh sb="15" eb="17">
      <t>セッテイ</t>
    </rPh>
    <phoneticPr fontId="3"/>
  </si>
  <si>
    <r>
      <t>根入れ長は、ℓ</t>
    </r>
    <r>
      <rPr>
        <vertAlign val="subscript"/>
        <sz val="11"/>
        <color theme="1"/>
        <rFont val="游ゴシック"/>
        <family val="3"/>
        <charset val="128"/>
        <scheme val="minor"/>
      </rPr>
      <t>0</t>
    </r>
    <r>
      <rPr>
        <sz val="11"/>
        <color theme="1"/>
        <rFont val="游ゴシック"/>
        <family val="2"/>
        <scheme val="minor"/>
      </rPr>
      <t xml:space="preserve"> の</t>
    </r>
    <rPh sb="0" eb="2">
      <t>ネイ</t>
    </rPh>
    <rPh sb="3" eb="4">
      <t>チョウ</t>
    </rPh>
    <phoneticPr fontId="3"/>
  </si>
  <si>
    <t>2-1. 根入れ部の土圧および水圧に対する安定から必要となる根入れ長</t>
    <rPh sb="5" eb="7">
      <t>ネイ</t>
    </rPh>
    <rPh sb="8" eb="9">
      <t>ブ</t>
    </rPh>
    <rPh sb="10" eb="12">
      <t>ドアツ</t>
    </rPh>
    <rPh sb="15" eb="17">
      <t>スイアツ</t>
    </rPh>
    <rPh sb="18" eb="19">
      <t>タイ</t>
    </rPh>
    <rPh sb="21" eb="23">
      <t>アンテイ</t>
    </rPh>
    <rPh sb="25" eb="27">
      <t>ヒツヨウ</t>
    </rPh>
    <rPh sb="30" eb="32">
      <t>ネイ</t>
    </rPh>
    <rPh sb="33" eb="34">
      <t>ナガ</t>
    </rPh>
    <phoneticPr fontId="3"/>
  </si>
  <si>
    <t>(1) 主働土圧</t>
    <rPh sb="4" eb="6">
      <t>シュドウ</t>
    </rPh>
    <rPh sb="6" eb="8">
      <t>ドアツ</t>
    </rPh>
    <phoneticPr fontId="3"/>
  </si>
  <si>
    <t>(2) 受働土圧</t>
    <rPh sb="4" eb="6">
      <t>ジュドウ</t>
    </rPh>
    <rPh sb="6" eb="8">
      <t>ドアツ</t>
    </rPh>
    <phoneticPr fontId="3"/>
  </si>
  <si>
    <t>(3) 水圧</t>
    <rPh sb="4" eb="5">
      <t>スイ</t>
    </rPh>
    <phoneticPr fontId="3"/>
  </si>
  <si>
    <t>(4) 切ばり位置からのモーメントのつり合い深さ</t>
    <rPh sb="4" eb="5">
      <t>キリ</t>
    </rPh>
    <rPh sb="7" eb="9">
      <t>イチ</t>
    </rPh>
    <rPh sb="20" eb="21">
      <t>ア</t>
    </rPh>
    <rPh sb="22" eb="23">
      <t>フカ</t>
    </rPh>
    <phoneticPr fontId="3"/>
  </si>
  <si>
    <t>(5) 根入れ長</t>
    <rPh sb="4" eb="6">
      <t>ネイ</t>
    </rPh>
    <rPh sb="7" eb="8">
      <t>チョウ</t>
    </rPh>
    <phoneticPr fontId="3"/>
  </si>
  <si>
    <t>(1) 切ばり位置における反力</t>
    <rPh sb="4" eb="5">
      <t>キリ</t>
    </rPh>
    <rPh sb="7" eb="9">
      <t>イチ</t>
    </rPh>
    <rPh sb="13" eb="15">
      <t>ハンリョク</t>
    </rPh>
    <phoneticPr fontId="3"/>
  </si>
  <si>
    <t>よって、最大曲げモーメントの値は、</t>
    <rPh sb="4" eb="6">
      <t>サイダイ</t>
    </rPh>
    <rPh sb="6" eb="7">
      <t>マ</t>
    </rPh>
    <rPh sb="14" eb="15">
      <t>アタイ</t>
    </rPh>
    <phoneticPr fontId="3"/>
  </si>
  <si>
    <t>最大曲げモーメントの位置は、上式=0となるため、</t>
    <rPh sb="0" eb="2">
      <t>サイダイ</t>
    </rPh>
    <rPh sb="2" eb="3">
      <t>マ</t>
    </rPh>
    <rPh sb="10" eb="12">
      <t>イチ</t>
    </rPh>
    <rPh sb="14" eb="15">
      <t>ウエ</t>
    </rPh>
    <rPh sb="15" eb="16">
      <t>シキ</t>
    </rPh>
    <phoneticPr fontId="3"/>
  </si>
  <si>
    <t>(3) 最大曲げモーメント</t>
    <rPh sb="4" eb="6">
      <t>サイダイ</t>
    </rPh>
    <rPh sb="6" eb="7">
      <t>マ</t>
    </rPh>
    <phoneticPr fontId="3"/>
  </si>
  <si>
    <t>(1),(2)より、任意点ｘでの曲げモーメントは、下式のとおりとなる。</t>
    <rPh sb="10" eb="12">
      <t>ニンイ</t>
    </rPh>
    <rPh sb="12" eb="13">
      <t>テン</t>
    </rPh>
    <rPh sb="16" eb="17">
      <t>マ</t>
    </rPh>
    <rPh sb="25" eb="27">
      <t>シタシキ</t>
    </rPh>
    <phoneticPr fontId="3"/>
  </si>
  <si>
    <t>(2) 土圧・水圧による曲げモーメント</t>
    <rPh sb="4" eb="6">
      <t>ドアツ</t>
    </rPh>
    <rPh sb="7" eb="9">
      <t>スイアツ</t>
    </rPh>
    <rPh sb="12" eb="13">
      <t>マ</t>
    </rPh>
    <phoneticPr fontId="3"/>
  </si>
  <si>
    <t>照査は、H11道仮p50に掲載されている２つの照査式で行う。</t>
    <rPh sb="0" eb="2">
      <t>ショウサ</t>
    </rPh>
    <rPh sb="7" eb="8">
      <t>ミチ</t>
    </rPh>
    <rPh sb="8" eb="9">
      <t>カリ</t>
    </rPh>
    <rPh sb="13" eb="15">
      <t>ケイサイ</t>
    </rPh>
    <rPh sb="23" eb="25">
      <t>ショウサ</t>
    </rPh>
    <rPh sb="25" eb="26">
      <t>シキ</t>
    </rPh>
    <rPh sb="27" eb="28">
      <t>オコナ</t>
    </rPh>
    <phoneticPr fontId="3"/>
  </si>
  <si>
    <r>
      <t>V</t>
    </r>
    <r>
      <rPr>
        <vertAlign val="subscript"/>
        <sz val="11"/>
        <rFont val="游ゴシック"/>
        <family val="3"/>
        <charset val="128"/>
        <scheme val="minor"/>
      </rPr>
      <t>L</t>
    </r>
    <r>
      <rPr>
        <sz val="11"/>
        <rFont val="游ゴシック"/>
        <family val="3"/>
        <charset val="128"/>
        <scheme val="minor"/>
      </rPr>
      <t>型</t>
    </r>
    <rPh sb="2" eb="3">
      <t>ガタ</t>
    </rPh>
    <phoneticPr fontId="3"/>
  </si>
  <si>
    <r>
      <t>t</t>
    </r>
    <r>
      <rPr>
        <i/>
        <vertAlign val="subscript"/>
        <sz val="11"/>
        <color theme="1"/>
        <rFont val="Times New Roman"/>
        <family val="1"/>
      </rPr>
      <t>2</t>
    </r>
    <phoneticPr fontId="3"/>
  </si>
  <si>
    <t>主働側による作用モーメント</t>
    <rPh sb="0" eb="2">
      <t>シュドウ</t>
    </rPh>
    <rPh sb="2" eb="3">
      <t>ガワ</t>
    </rPh>
    <rPh sb="6" eb="8">
      <t>サヨウ</t>
    </rPh>
    <phoneticPr fontId="3"/>
  </si>
  <si>
    <t>計算式</t>
    <rPh sb="0" eb="2">
      <t>ケイサン</t>
    </rPh>
    <rPh sb="2" eb="3">
      <t>シキ</t>
    </rPh>
    <phoneticPr fontId="3"/>
  </si>
  <si>
    <t>底辺×高さ/2</t>
    <rPh sb="0" eb="2">
      <t>テイヘン</t>
    </rPh>
    <rPh sb="3" eb="4">
      <t>タカ</t>
    </rPh>
    <phoneticPr fontId="3"/>
  </si>
  <si>
    <t>切ばり位置から三角形重心の鉛直距離</t>
    <rPh sb="0" eb="1">
      <t>キリ</t>
    </rPh>
    <rPh sb="3" eb="5">
      <t>イチ</t>
    </rPh>
    <rPh sb="7" eb="10">
      <t>サンカクケイ</t>
    </rPh>
    <rPh sb="10" eb="12">
      <t>ジュウシン</t>
    </rPh>
    <rPh sb="13" eb="15">
      <t>エンチョク</t>
    </rPh>
    <rPh sb="15" eb="17">
      <t>キョリ</t>
    </rPh>
    <phoneticPr fontId="3"/>
  </si>
  <si>
    <t>根入れ長は、それぞれの計算により求められる根入れ長のうち最も長いものとする。</t>
    <rPh sb="0" eb="2">
      <t>ネイ</t>
    </rPh>
    <rPh sb="3" eb="4">
      <t>チョウ</t>
    </rPh>
    <rPh sb="11" eb="13">
      <t>ケイサン</t>
    </rPh>
    <rPh sb="16" eb="17">
      <t>モト</t>
    </rPh>
    <rPh sb="21" eb="23">
      <t>ネイ</t>
    </rPh>
    <rPh sb="24" eb="25">
      <t>チョウ</t>
    </rPh>
    <rPh sb="28" eb="29">
      <t>モット</t>
    </rPh>
    <rPh sb="30" eb="31">
      <t>ナガ</t>
    </rPh>
    <phoneticPr fontId="3"/>
  </si>
  <si>
    <t>土圧および水圧に対する安定から必要となる根入れ長</t>
    <phoneticPr fontId="3"/>
  </si>
  <si>
    <r>
      <t>K</t>
    </r>
    <r>
      <rPr>
        <i/>
        <vertAlign val="subscript"/>
        <sz val="11"/>
        <color theme="1"/>
        <rFont val="Times New Roman"/>
        <family val="1"/>
      </rPr>
      <t>p</t>
    </r>
    <r>
      <rPr>
        <sz val="11"/>
        <color theme="1"/>
        <rFont val="游ゴシック"/>
        <family val="3"/>
        <charset val="128"/>
        <scheme val="minor"/>
      </rPr>
      <t>γ</t>
    </r>
    <r>
      <rPr>
        <i/>
        <sz val="11"/>
        <color theme="1"/>
        <rFont val="Times New Roman"/>
        <family val="1"/>
      </rPr>
      <t>h'+</t>
    </r>
    <phoneticPr fontId="3"/>
  </si>
  <si>
    <t>h'</t>
    <phoneticPr fontId="3"/>
  </si>
  <si>
    <t>土留め壁の断面計算に用いる最大曲げモーメントは、掘削完了時における最下段切ばり、または、最下段切ばり設置直前における一段上の切ばりと、それぞれの場合の「仮想支持点」間をスパンとする単純ばりとし、この両方の場合について断面決定用土圧を作用させて計算する。断面決定用の土圧は、根入れ長の計算で用いた値を用いる。</t>
    <rPh sb="0" eb="2">
      <t>ドド</t>
    </rPh>
    <rPh sb="3" eb="4">
      <t>ヘキ</t>
    </rPh>
    <rPh sb="5" eb="7">
      <t>ダンメン</t>
    </rPh>
    <rPh sb="7" eb="9">
      <t>ケイサン</t>
    </rPh>
    <rPh sb="10" eb="11">
      <t>モチ</t>
    </rPh>
    <rPh sb="13" eb="15">
      <t>サイダイ</t>
    </rPh>
    <rPh sb="15" eb="16">
      <t>マ</t>
    </rPh>
    <rPh sb="76" eb="78">
      <t>カソウ</t>
    </rPh>
    <rPh sb="112" eb="113">
      <t>ヨウ</t>
    </rPh>
    <phoneticPr fontId="3"/>
  </si>
  <si>
    <t>切ばり位置をA点、仮想支持点をB点とする単純ばりを仮定し、A点における反力を計算する。</t>
    <rPh sb="0" eb="1">
      <t>キ</t>
    </rPh>
    <rPh sb="3" eb="5">
      <t>イチ</t>
    </rPh>
    <rPh sb="7" eb="8">
      <t>テン</t>
    </rPh>
    <rPh sb="9" eb="11">
      <t>カソウ</t>
    </rPh>
    <rPh sb="11" eb="13">
      <t>シジ</t>
    </rPh>
    <rPh sb="13" eb="14">
      <t>テン</t>
    </rPh>
    <rPh sb="16" eb="17">
      <t>テン</t>
    </rPh>
    <rPh sb="20" eb="22">
      <t>タンジュン</t>
    </rPh>
    <rPh sb="25" eb="27">
      <t>カテイ</t>
    </rPh>
    <rPh sb="30" eb="31">
      <t>テン</t>
    </rPh>
    <rPh sb="35" eb="37">
      <t>ハンリョク</t>
    </rPh>
    <rPh sb="38" eb="40">
      <t>ケイサン</t>
    </rPh>
    <phoneticPr fontId="3"/>
  </si>
  <si>
    <r>
      <t>p</t>
    </r>
    <r>
      <rPr>
        <i/>
        <vertAlign val="subscript"/>
        <sz val="11"/>
        <color theme="1"/>
        <rFont val="Times New Roman"/>
        <family val="1"/>
      </rPr>
      <t>p</t>
    </r>
    <phoneticPr fontId="3"/>
  </si>
  <si>
    <t>計算式</t>
    <rPh sb="0" eb="3">
      <t>ケイサンシキ</t>
    </rPh>
    <phoneticPr fontId="3"/>
  </si>
  <si>
    <t>「x」から三角形重心の鉛直距離</t>
    <rPh sb="5" eb="8">
      <t>サンカクケイ</t>
    </rPh>
    <rPh sb="8" eb="10">
      <t>ジュウシン</t>
    </rPh>
    <rPh sb="11" eb="13">
      <t>エンチョク</t>
    </rPh>
    <rPh sb="13" eb="15">
      <t>キョリ</t>
    </rPh>
    <phoneticPr fontId="3"/>
  </si>
  <si>
    <t xml:space="preserve">    曲げ圧縮応力度（N/mm²）</t>
    <phoneticPr fontId="3"/>
  </si>
  <si>
    <t>(H11道仮p47)</t>
    <phoneticPr fontId="3"/>
  </si>
  <si>
    <r>
      <t>：それぞれ強軸および弱軸まわりのオイラー座屈応力度（N/mm</t>
    </r>
    <r>
      <rPr>
        <vertAlign val="superscript"/>
        <sz val="11"/>
        <color theme="1"/>
        <rFont val="游ゴシック"/>
        <family val="3"/>
        <charset val="128"/>
        <scheme val="minor"/>
      </rPr>
      <t>2</t>
    </r>
    <r>
      <rPr>
        <sz val="11"/>
        <color theme="1"/>
        <rFont val="游ゴシック"/>
        <family val="2"/>
        <scheme val="minor"/>
      </rPr>
      <t>） (H11道仮p51)</t>
    </r>
    <rPh sb="5" eb="7">
      <t>キョウジク</t>
    </rPh>
    <rPh sb="10" eb="12">
      <t>ジャクジク</t>
    </rPh>
    <rPh sb="20" eb="22">
      <t>ザクツ</t>
    </rPh>
    <rPh sb="22" eb="24">
      <t>オウリョク</t>
    </rPh>
    <rPh sb="24" eb="25">
      <t>ド</t>
    </rPh>
    <phoneticPr fontId="3"/>
  </si>
  <si>
    <t>5層</t>
    <rPh sb="1" eb="2">
      <t>ソウ</t>
    </rPh>
    <phoneticPr fontId="3"/>
  </si>
  <si>
    <t>H11道仮p34</t>
    <phoneticPr fontId="3"/>
  </si>
  <si>
    <t>1段目</t>
    <rPh sb="1" eb="3">
      <t>ダンメ</t>
    </rPh>
    <phoneticPr fontId="3"/>
  </si>
  <si>
    <t>2段目</t>
    <rPh sb="1" eb="3">
      <t>ダンメ</t>
    </rPh>
    <phoneticPr fontId="3"/>
  </si>
  <si>
    <t>H11道仮p35</t>
    <phoneticPr fontId="3"/>
  </si>
  <si>
    <t>最下段設置時の余掘り量は「1m」とする。（H11道仮p.65）</t>
    <rPh sb="0" eb="3">
      <t>サイゲダン</t>
    </rPh>
    <rPh sb="3" eb="5">
      <t>セッチ</t>
    </rPh>
    <rPh sb="5" eb="6">
      <t>ジ</t>
    </rPh>
    <rPh sb="7" eb="8">
      <t>アマリ</t>
    </rPh>
    <rPh sb="8" eb="9">
      <t>ボ</t>
    </rPh>
    <rPh sb="10" eb="11">
      <t>リョウ</t>
    </rPh>
    <rPh sb="24" eb="25">
      <t>ミチ</t>
    </rPh>
    <rPh sb="25" eb="26">
      <t>カリ</t>
    </rPh>
    <phoneticPr fontId="3"/>
  </si>
  <si>
    <t>よって、最下段（２段目）切ばり設置直前の掘削深さは、GL=</t>
    <rPh sb="4" eb="7">
      <t>サイゲダン</t>
    </rPh>
    <rPh sb="9" eb="11">
      <t>ダンメ</t>
    </rPh>
    <rPh sb="12" eb="13">
      <t>キリ</t>
    </rPh>
    <rPh sb="15" eb="17">
      <t>セッチ</t>
    </rPh>
    <rPh sb="17" eb="19">
      <t>チョクゼン</t>
    </rPh>
    <rPh sb="20" eb="22">
      <t>クッサク</t>
    </rPh>
    <rPh sb="22" eb="23">
      <t>フカ</t>
    </rPh>
    <phoneticPr fontId="3"/>
  </si>
  <si>
    <t>地表面からの距離は、「掘削深さ＋ℓ」なので、</t>
    <rPh sb="0" eb="3">
      <t>チヒョウメン</t>
    </rPh>
    <rPh sb="6" eb="8">
      <t>キョリ</t>
    </rPh>
    <rPh sb="11" eb="13">
      <t>クッサク</t>
    </rPh>
    <rPh sb="13" eb="14">
      <t>フカ</t>
    </rPh>
    <phoneticPr fontId="3"/>
  </si>
  <si>
    <r>
      <rPr>
        <i/>
        <sz val="11"/>
        <color theme="1"/>
        <rFont val="Times New Roman"/>
        <family val="1"/>
      </rPr>
      <t>p</t>
    </r>
    <r>
      <rPr>
        <i/>
        <vertAlign val="subscript"/>
        <sz val="11"/>
        <color theme="1"/>
        <rFont val="Times New Roman"/>
        <family val="1"/>
      </rPr>
      <t>a5</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</si>
  <si>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a5</t>
    </r>
    <r>
      <rPr>
        <i/>
        <vertAlign val="subscript"/>
        <sz val="11"/>
        <color theme="1"/>
        <rFont val="ＭＳ Ｐ明朝"/>
        <family val="1"/>
        <charset val="128"/>
      </rPr>
      <t>下</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</si>
  <si>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a5</t>
    </r>
    <r>
      <rPr>
        <i/>
        <vertAlign val="subscript"/>
        <sz val="11"/>
        <color theme="1"/>
        <rFont val="ＭＳ Ｐ明朝"/>
        <family val="1"/>
        <charset val="128"/>
      </rPr>
      <t xml:space="preserve">下  </t>
    </r>
    <r>
      <rPr>
        <sz val="11"/>
        <color theme="1"/>
        <rFont val="Times New Roman"/>
        <family val="1"/>
      </rPr>
      <t>=</t>
    </r>
    <rPh sb="3" eb="4">
      <t>シタ</t>
    </rPh>
    <phoneticPr fontId="3"/>
  </si>
  <si>
    <r>
      <rPr>
        <sz val="11"/>
        <color theme="1"/>
        <rFont val="游ゴシック"/>
        <family val="3"/>
        <charset val="128"/>
        <scheme val="minor"/>
      </rPr>
      <t>Σγ</t>
    </r>
    <r>
      <rPr>
        <i/>
        <sz val="11"/>
        <color theme="1"/>
        <rFont val="Times New Roman"/>
        <family val="1"/>
      </rPr>
      <t>h</t>
    </r>
    <r>
      <rPr>
        <i/>
        <sz val="11"/>
        <color theme="1"/>
        <rFont val="Times New Roman"/>
        <family val="3"/>
        <charset val="128"/>
      </rPr>
      <t>'</t>
    </r>
    <phoneticPr fontId="3"/>
  </si>
  <si>
    <r>
      <rPr>
        <sz val="11"/>
        <color theme="1"/>
        <rFont val="游ゴシック"/>
        <family val="3"/>
        <charset val="128"/>
        <scheme val="minor"/>
      </rPr>
      <t>Σγ</t>
    </r>
    <r>
      <rPr>
        <i/>
        <sz val="11"/>
        <color theme="1"/>
        <rFont val="Times New Roman"/>
        <family val="1"/>
      </rPr>
      <t>h'</t>
    </r>
    <phoneticPr fontId="3"/>
  </si>
  <si>
    <r>
      <rPr>
        <i/>
        <sz val="11"/>
        <color theme="1"/>
        <rFont val="Times New Roman"/>
        <family val="1"/>
      </rPr>
      <t>p</t>
    </r>
    <r>
      <rPr>
        <i/>
        <vertAlign val="subscript"/>
        <sz val="11"/>
        <color theme="1"/>
        <rFont val="Times New Roman"/>
        <family val="1"/>
      </rPr>
      <t>p5</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</si>
  <si>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p5</t>
    </r>
    <r>
      <rPr>
        <i/>
        <vertAlign val="subscript"/>
        <sz val="11"/>
        <color theme="1"/>
        <rFont val="ＭＳ Ｐ明朝"/>
        <family val="1"/>
        <charset val="128"/>
      </rPr>
      <t>下</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</si>
  <si>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p5</t>
    </r>
    <r>
      <rPr>
        <i/>
        <vertAlign val="subscript"/>
        <sz val="11"/>
        <color theme="1"/>
        <rFont val="ＭＳ Ｐ明朝"/>
        <family val="1"/>
        <charset val="128"/>
      </rPr>
      <t>下</t>
    </r>
    <r>
      <rPr>
        <i/>
        <vertAlign val="subscript"/>
        <sz val="11"/>
        <color theme="1"/>
        <rFont val="Times New Roman"/>
        <family val="1"/>
      </rPr>
      <t xml:space="preserve">  </t>
    </r>
    <r>
      <rPr>
        <sz val="11"/>
        <color theme="1"/>
        <rFont val="Times New Roman"/>
        <family val="1"/>
      </rPr>
      <t>=</t>
    </r>
    <rPh sb="3" eb="4">
      <t>シタ</t>
    </rPh>
    <phoneticPr fontId="3"/>
  </si>
  <si>
    <t>3-1層</t>
    <rPh sb="3" eb="4">
      <t>ソウ</t>
    </rPh>
    <phoneticPr fontId="3"/>
  </si>
  <si>
    <t>3-2層</t>
    <rPh sb="3" eb="4">
      <t>ソウ</t>
    </rPh>
    <phoneticPr fontId="3"/>
  </si>
  <si>
    <r>
      <rPr>
        <i/>
        <sz val="11"/>
        <color theme="1"/>
        <rFont val="Times New Roman"/>
        <family val="1"/>
      </rPr>
      <t>p</t>
    </r>
    <r>
      <rPr>
        <i/>
        <vertAlign val="subscript"/>
        <sz val="11"/>
        <color theme="1"/>
        <rFont val="Times New Roman"/>
        <family val="1"/>
      </rPr>
      <t>a3-1</t>
    </r>
    <r>
      <rPr>
        <i/>
        <vertAlign val="subscript"/>
        <sz val="11"/>
        <color theme="1"/>
        <rFont val="ＭＳ Ｐ明朝"/>
        <family val="1"/>
        <charset val="128"/>
      </rPr>
      <t>上</t>
    </r>
    <r>
      <rPr>
        <sz val="11"/>
        <color theme="1"/>
        <rFont val="Times New Roman"/>
        <family val="1"/>
      </rPr>
      <t>=</t>
    </r>
    <rPh sb="5" eb="6">
      <t>ウエ</t>
    </rPh>
    <phoneticPr fontId="3"/>
  </si>
  <si>
    <r>
      <rPr>
        <i/>
        <sz val="11"/>
        <color theme="1"/>
        <rFont val="Times New Roman"/>
        <family val="1"/>
      </rPr>
      <t>p</t>
    </r>
    <r>
      <rPr>
        <i/>
        <vertAlign val="subscript"/>
        <sz val="11"/>
        <color theme="1"/>
        <rFont val="Times New Roman"/>
        <family val="1"/>
      </rPr>
      <t>a3-1</t>
    </r>
    <r>
      <rPr>
        <i/>
        <vertAlign val="subscript"/>
        <sz val="11"/>
        <color theme="1"/>
        <rFont val="ＭＳ Ｐ明朝"/>
        <family val="1"/>
        <charset val="128"/>
      </rPr>
      <t>下</t>
    </r>
    <r>
      <rPr>
        <sz val="11"/>
        <color theme="1"/>
        <rFont val="Times New Roman"/>
        <family val="1"/>
      </rPr>
      <t>=</t>
    </r>
    <rPh sb="5" eb="6">
      <t>シタ</t>
    </rPh>
    <phoneticPr fontId="3"/>
  </si>
  <si>
    <r>
      <rPr>
        <i/>
        <sz val="11"/>
        <color theme="1"/>
        <rFont val="Times New Roman"/>
        <family val="1"/>
      </rPr>
      <t>p</t>
    </r>
    <r>
      <rPr>
        <i/>
        <vertAlign val="subscript"/>
        <sz val="11"/>
        <color theme="1"/>
        <rFont val="Times New Roman"/>
        <family val="1"/>
      </rPr>
      <t>a3-2</t>
    </r>
    <r>
      <rPr>
        <i/>
        <vertAlign val="subscript"/>
        <sz val="11"/>
        <color theme="1"/>
        <rFont val="ＭＳ Ｐ明朝"/>
        <family val="1"/>
        <charset val="128"/>
      </rPr>
      <t>上</t>
    </r>
    <r>
      <rPr>
        <sz val="11"/>
        <color theme="1"/>
        <rFont val="Times New Roman"/>
        <family val="1"/>
      </rPr>
      <t>=</t>
    </r>
    <rPh sb="5" eb="6">
      <t>ウエ</t>
    </rPh>
    <phoneticPr fontId="3"/>
  </si>
  <si>
    <r>
      <rPr>
        <i/>
        <sz val="11"/>
        <color theme="1"/>
        <rFont val="Times New Roman"/>
        <family val="1"/>
      </rPr>
      <t>p</t>
    </r>
    <r>
      <rPr>
        <i/>
        <vertAlign val="subscript"/>
        <sz val="11"/>
        <color theme="1"/>
        <rFont val="Times New Roman"/>
        <family val="1"/>
      </rPr>
      <t>a3-2</t>
    </r>
    <r>
      <rPr>
        <i/>
        <vertAlign val="subscript"/>
        <sz val="11"/>
        <color theme="1"/>
        <rFont val="ＭＳ Ｐ明朝"/>
        <family val="1"/>
        <charset val="128"/>
      </rPr>
      <t>下</t>
    </r>
    <r>
      <rPr>
        <sz val="11"/>
        <color theme="1"/>
        <rFont val="Times New Roman"/>
        <family val="1"/>
      </rPr>
      <t>=</t>
    </r>
    <rPh sb="5" eb="6">
      <t>シタ</t>
    </rPh>
    <phoneticPr fontId="3"/>
  </si>
  <si>
    <r>
      <rPr>
        <i/>
        <sz val="11"/>
        <color theme="1"/>
        <rFont val="Times New Roman"/>
        <family val="1"/>
      </rPr>
      <t>p</t>
    </r>
    <r>
      <rPr>
        <i/>
        <vertAlign val="subscript"/>
        <sz val="11"/>
        <color theme="1"/>
        <rFont val="Times New Roman"/>
        <family val="1"/>
      </rPr>
      <t>a3'</t>
    </r>
    <r>
      <rPr>
        <i/>
        <vertAlign val="subscript"/>
        <sz val="11"/>
        <color theme="1"/>
        <rFont val="ＭＳ Ｐ明朝"/>
        <family val="1"/>
        <charset val="128"/>
      </rPr>
      <t>上</t>
    </r>
    <r>
      <rPr>
        <sz val="11"/>
        <color theme="1"/>
        <rFont val="Times New Roman"/>
        <family val="1"/>
      </rPr>
      <t>=</t>
    </r>
    <rPh sb="4" eb="5">
      <t>ウエ</t>
    </rPh>
    <phoneticPr fontId="3"/>
  </si>
  <si>
    <r>
      <rPr>
        <i/>
        <sz val="11"/>
        <color theme="1"/>
        <rFont val="Times New Roman"/>
        <family val="1"/>
      </rPr>
      <t>p</t>
    </r>
    <r>
      <rPr>
        <i/>
        <vertAlign val="subscript"/>
        <sz val="11"/>
        <color theme="1"/>
        <rFont val="Times New Roman"/>
        <family val="1"/>
      </rPr>
      <t>a3'</t>
    </r>
    <r>
      <rPr>
        <i/>
        <vertAlign val="subscript"/>
        <sz val="11"/>
        <color theme="1"/>
        <rFont val="ＭＳ Ｐ明朝"/>
        <family val="1"/>
        <charset val="128"/>
      </rPr>
      <t>下</t>
    </r>
    <r>
      <rPr>
        <sz val="11"/>
        <color theme="1"/>
        <rFont val="Times New Roman"/>
        <family val="1"/>
      </rPr>
      <t>=</t>
    </r>
    <rPh sb="4" eb="5">
      <t>シタ</t>
    </rPh>
    <phoneticPr fontId="3"/>
  </si>
  <si>
    <r>
      <rPr>
        <i/>
        <sz val="11"/>
        <color theme="1"/>
        <rFont val="Times New Roman"/>
        <family val="1"/>
      </rPr>
      <t>p</t>
    </r>
    <r>
      <rPr>
        <i/>
        <vertAlign val="subscript"/>
        <sz val="11"/>
        <color theme="1"/>
        <rFont val="Times New Roman"/>
        <family val="1"/>
      </rPr>
      <t>a4'</t>
    </r>
    <r>
      <rPr>
        <i/>
        <vertAlign val="subscript"/>
        <sz val="11"/>
        <color theme="1"/>
        <rFont val="ＭＳ Ｐ明朝"/>
        <family val="1"/>
        <charset val="128"/>
      </rPr>
      <t>上</t>
    </r>
    <r>
      <rPr>
        <sz val="11"/>
        <color theme="1"/>
        <rFont val="Times New Roman"/>
        <family val="1"/>
      </rPr>
      <t>=</t>
    </r>
    <rPh sb="4" eb="5">
      <t>ウエ</t>
    </rPh>
    <phoneticPr fontId="3"/>
  </si>
  <si>
    <r>
      <rPr>
        <i/>
        <sz val="11"/>
        <color theme="1"/>
        <rFont val="Times New Roman"/>
        <family val="1"/>
      </rPr>
      <t>p</t>
    </r>
    <r>
      <rPr>
        <i/>
        <vertAlign val="subscript"/>
        <sz val="11"/>
        <color theme="1"/>
        <rFont val="Times New Roman"/>
        <family val="1"/>
      </rPr>
      <t>a4'</t>
    </r>
    <r>
      <rPr>
        <i/>
        <vertAlign val="subscript"/>
        <sz val="11"/>
        <color theme="1"/>
        <rFont val="ＭＳ Ｐ明朝"/>
        <family val="1"/>
        <charset val="128"/>
      </rPr>
      <t>下</t>
    </r>
    <r>
      <rPr>
        <sz val="11"/>
        <color theme="1"/>
        <rFont val="Times New Roman"/>
        <family val="1"/>
      </rPr>
      <t>=</t>
    </r>
    <rPh sb="4" eb="5">
      <t>シタ</t>
    </rPh>
    <phoneticPr fontId="3"/>
  </si>
  <si>
    <t>3'層</t>
    <rPh sb="2" eb="3">
      <t>ソウ</t>
    </rPh>
    <phoneticPr fontId="3"/>
  </si>
  <si>
    <t>4'層</t>
    <rPh sb="2" eb="3">
      <t>ソウ</t>
    </rPh>
    <phoneticPr fontId="3"/>
  </si>
  <si>
    <r>
      <rPr>
        <i/>
        <sz val="11"/>
        <color theme="1"/>
        <rFont val="Times New Roman"/>
        <family val="1"/>
      </rPr>
      <t>p</t>
    </r>
    <r>
      <rPr>
        <i/>
        <vertAlign val="subscript"/>
        <sz val="11"/>
        <color theme="1"/>
        <rFont val="Times New Roman"/>
        <family val="1"/>
      </rPr>
      <t>p4'</t>
    </r>
    <r>
      <rPr>
        <i/>
        <vertAlign val="subscript"/>
        <sz val="11"/>
        <color theme="1"/>
        <rFont val="ＭＳ Ｐ明朝"/>
        <family val="1"/>
        <charset val="128"/>
      </rPr>
      <t>上</t>
    </r>
    <r>
      <rPr>
        <sz val="11"/>
        <color theme="1"/>
        <rFont val="Times New Roman"/>
        <family val="1"/>
      </rPr>
      <t>=</t>
    </r>
    <rPh sb="4" eb="5">
      <t>ウエ</t>
    </rPh>
    <phoneticPr fontId="3"/>
  </si>
  <si>
    <r>
      <rPr>
        <i/>
        <sz val="11"/>
        <color theme="1"/>
        <rFont val="Times New Roman"/>
        <family val="1"/>
      </rPr>
      <t>p</t>
    </r>
    <r>
      <rPr>
        <i/>
        <vertAlign val="subscript"/>
        <sz val="11"/>
        <color theme="1"/>
        <rFont val="Times New Roman"/>
        <family val="1"/>
      </rPr>
      <t>p4'</t>
    </r>
    <r>
      <rPr>
        <i/>
        <vertAlign val="subscript"/>
        <sz val="11"/>
        <color theme="1"/>
        <rFont val="ＭＳ Ｐ明朝"/>
        <family val="1"/>
        <charset val="128"/>
      </rPr>
      <t>下</t>
    </r>
    <r>
      <rPr>
        <sz val="11"/>
        <color theme="1"/>
        <rFont val="Times New Roman"/>
        <family val="1"/>
      </rPr>
      <t>=</t>
    </r>
    <rPh sb="4" eb="5">
      <t>シタ</t>
    </rPh>
    <phoneticPr fontId="3"/>
  </si>
  <si>
    <r>
      <rPr>
        <i/>
        <sz val="11"/>
        <color theme="1"/>
        <rFont val="Times New Roman"/>
        <family val="1"/>
      </rPr>
      <t>p</t>
    </r>
    <r>
      <rPr>
        <i/>
        <vertAlign val="subscript"/>
        <sz val="11"/>
        <color theme="1"/>
        <rFont val="Times New Roman"/>
        <family val="1"/>
      </rPr>
      <t>w3'</t>
    </r>
    <r>
      <rPr>
        <i/>
        <vertAlign val="subscript"/>
        <sz val="11"/>
        <color theme="1"/>
        <rFont val="ＭＳ Ｐ明朝"/>
        <family val="1"/>
        <charset val="128"/>
      </rPr>
      <t>上</t>
    </r>
    <r>
      <rPr>
        <sz val="11"/>
        <color theme="1"/>
        <rFont val="Times New Roman"/>
        <family val="1"/>
      </rPr>
      <t>=</t>
    </r>
    <rPh sb="4" eb="5">
      <t>ウエ</t>
    </rPh>
    <phoneticPr fontId="3"/>
  </si>
  <si>
    <r>
      <rPr>
        <i/>
        <sz val="11"/>
        <color theme="1"/>
        <rFont val="Times New Roman"/>
        <family val="1"/>
      </rPr>
      <t>p</t>
    </r>
    <r>
      <rPr>
        <i/>
        <vertAlign val="subscript"/>
        <sz val="11"/>
        <color theme="1"/>
        <rFont val="Times New Roman"/>
        <family val="1"/>
      </rPr>
      <t>w3'</t>
    </r>
    <r>
      <rPr>
        <i/>
        <vertAlign val="subscript"/>
        <sz val="11"/>
        <color theme="1"/>
        <rFont val="ＭＳ Ｐ明朝"/>
        <family val="1"/>
        <charset val="128"/>
      </rPr>
      <t>下</t>
    </r>
    <r>
      <rPr>
        <sz val="11"/>
        <color theme="1"/>
        <rFont val="Times New Roman"/>
        <family val="1"/>
      </rPr>
      <t>=</t>
    </r>
    <rPh sb="4" eb="5">
      <t>シタ</t>
    </rPh>
    <phoneticPr fontId="3"/>
  </si>
  <si>
    <r>
      <rPr>
        <i/>
        <sz val="11"/>
        <color theme="1"/>
        <rFont val="Times New Roman"/>
        <family val="1"/>
      </rPr>
      <t>p</t>
    </r>
    <r>
      <rPr>
        <i/>
        <vertAlign val="subscript"/>
        <sz val="11"/>
        <color theme="1"/>
        <rFont val="Times New Roman"/>
        <family val="1"/>
      </rPr>
      <t>w4'</t>
    </r>
    <r>
      <rPr>
        <i/>
        <vertAlign val="subscript"/>
        <sz val="11"/>
        <color theme="1"/>
        <rFont val="ＭＳ Ｐ明朝"/>
        <family val="1"/>
        <charset val="128"/>
      </rPr>
      <t>上</t>
    </r>
    <r>
      <rPr>
        <sz val="11"/>
        <color theme="1"/>
        <rFont val="Times New Roman"/>
        <family val="1"/>
      </rPr>
      <t>=</t>
    </r>
    <rPh sb="4" eb="5">
      <t>ウエ</t>
    </rPh>
    <phoneticPr fontId="3"/>
  </si>
  <si>
    <r>
      <rPr>
        <i/>
        <sz val="11"/>
        <color theme="1"/>
        <rFont val="Times New Roman"/>
        <family val="1"/>
      </rPr>
      <t>p</t>
    </r>
    <r>
      <rPr>
        <i/>
        <vertAlign val="subscript"/>
        <sz val="11"/>
        <color theme="1"/>
        <rFont val="Times New Roman"/>
        <family val="1"/>
      </rPr>
      <t>w4'</t>
    </r>
    <r>
      <rPr>
        <i/>
        <vertAlign val="subscript"/>
        <sz val="11"/>
        <color theme="1"/>
        <rFont val="ＭＳ Ｐ明朝"/>
        <family val="1"/>
        <charset val="128"/>
      </rPr>
      <t>下</t>
    </r>
    <r>
      <rPr>
        <sz val="11"/>
        <color theme="1"/>
        <rFont val="Times New Roman"/>
        <family val="1"/>
      </rPr>
      <t>=</t>
    </r>
    <rPh sb="4" eb="5">
      <t>シタ</t>
    </rPh>
    <phoneticPr fontId="3"/>
  </si>
  <si>
    <r>
      <rPr>
        <i/>
        <sz val="11"/>
        <color theme="1"/>
        <rFont val="Times New Roman"/>
        <family val="1"/>
      </rPr>
      <t>p</t>
    </r>
    <r>
      <rPr>
        <i/>
        <vertAlign val="subscript"/>
        <sz val="11"/>
        <color theme="1"/>
        <rFont val="Times New Roman"/>
        <family val="1"/>
      </rPr>
      <t>p4'</t>
    </r>
    <r>
      <rPr>
        <i/>
        <vertAlign val="subscript"/>
        <sz val="11"/>
        <color theme="1"/>
        <rFont val="ＭＳ Ｐ明朝"/>
        <family val="1"/>
        <charset val="128"/>
      </rPr>
      <t xml:space="preserve">下  </t>
    </r>
    <r>
      <rPr>
        <sz val="11"/>
        <color theme="1"/>
        <rFont val="Times New Roman"/>
        <family val="1"/>
      </rPr>
      <t>=</t>
    </r>
    <rPh sb="4" eb="5">
      <t>シタ</t>
    </rPh>
    <phoneticPr fontId="3"/>
  </si>
  <si>
    <t>4’層</t>
    <rPh sb="2" eb="3">
      <t>ソウ</t>
    </rPh>
    <phoneticPr fontId="3"/>
  </si>
  <si>
    <t>下式</t>
    <rPh sb="0" eb="1">
      <t>シタ</t>
    </rPh>
    <rPh sb="1" eb="2">
      <t>シキ</t>
    </rPh>
    <phoneticPr fontId="3"/>
  </si>
  <si>
    <t>下式</t>
    <rPh sb="0" eb="2">
      <t>シタシキ</t>
    </rPh>
    <phoneticPr fontId="3"/>
  </si>
  <si>
    <r>
      <rPr>
        <i/>
        <sz val="11"/>
        <color theme="1"/>
        <rFont val="Times New Roman"/>
        <family val="1"/>
      </rPr>
      <t>p</t>
    </r>
    <r>
      <rPr>
        <i/>
        <vertAlign val="subscript"/>
        <sz val="11"/>
        <color theme="1"/>
        <rFont val="Times New Roman"/>
        <family val="1"/>
      </rPr>
      <t>w3-1</t>
    </r>
    <r>
      <rPr>
        <i/>
        <vertAlign val="subscript"/>
        <sz val="11"/>
        <color theme="1"/>
        <rFont val="ＭＳ Ｐ明朝"/>
        <family val="1"/>
        <charset val="128"/>
      </rPr>
      <t>上</t>
    </r>
    <r>
      <rPr>
        <sz val="11"/>
        <color theme="1"/>
        <rFont val="Times New Roman"/>
        <family val="1"/>
      </rPr>
      <t>=</t>
    </r>
    <rPh sb="5" eb="6">
      <t>ウエ</t>
    </rPh>
    <phoneticPr fontId="3"/>
  </si>
  <si>
    <r>
      <rPr>
        <i/>
        <sz val="11"/>
        <color theme="1"/>
        <rFont val="Times New Roman"/>
        <family val="1"/>
      </rPr>
      <t>p</t>
    </r>
    <r>
      <rPr>
        <i/>
        <vertAlign val="subscript"/>
        <sz val="11"/>
        <color theme="1"/>
        <rFont val="Times New Roman"/>
        <family val="1"/>
      </rPr>
      <t>w3-1</t>
    </r>
    <r>
      <rPr>
        <i/>
        <vertAlign val="subscript"/>
        <sz val="11"/>
        <color theme="1"/>
        <rFont val="ＭＳ Ｐ明朝"/>
        <family val="1"/>
        <charset val="128"/>
      </rPr>
      <t>下</t>
    </r>
    <r>
      <rPr>
        <sz val="11"/>
        <color theme="1"/>
        <rFont val="Times New Roman"/>
        <family val="1"/>
      </rPr>
      <t>=</t>
    </r>
    <rPh sb="5" eb="6">
      <t>シタ</t>
    </rPh>
    <phoneticPr fontId="3"/>
  </si>
  <si>
    <r>
      <rPr>
        <i/>
        <sz val="11"/>
        <color theme="1"/>
        <rFont val="Times New Roman"/>
        <family val="1"/>
      </rPr>
      <t>p</t>
    </r>
    <r>
      <rPr>
        <i/>
        <vertAlign val="subscript"/>
        <sz val="11"/>
        <color theme="1"/>
        <rFont val="Times New Roman"/>
        <family val="1"/>
      </rPr>
      <t>w3-2</t>
    </r>
    <r>
      <rPr>
        <i/>
        <vertAlign val="subscript"/>
        <sz val="11"/>
        <color theme="1"/>
        <rFont val="ＭＳ Ｐ明朝"/>
        <family val="1"/>
        <charset val="128"/>
      </rPr>
      <t>上</t>
    </r>
    <r>
      <rPr>
        <sz val="11"/>
        <color theme="1"/>
        <rFont val="Times New Roman"/>
        <family val="1"/>
      </rPr>
      <t>=</t>
    </r>
    <rPh sb="5" eb="6">
      <t>ウエ</t>
    </rPh>
    <phoneticPr fontId="3"/>
  </si>
  <si>
    <r>
      <rPr>
        <i/>
        <sz val="11"/>
        <color theme="1"/>
        <rFont val="Times New Roman"/>
        <family val="1"/>
      </rPr>
      <t>p</t>
    </r>
    <r>
      <rPr>
        <i/>
        <vertAlign val="subscript"/>
        <sz val="11"/>
        <color theme="1"/>
        <rFont val="Times New Roman"/>
        <family val="1"/>
      </rPr>
      <t>w3-2</t>
    </r>
    <r>
      <rPr>
        <i/>
        <vertAlign val="subscript"/>
        <sz val="11"/>
        <color theme="1"/>
        <rFont val="ＭＳ Ｐ明朝"/>
        <family val="1"/>
        <charset val="128"/>
      </rPr>
      <t>下</t>
    </r>
    <r>
      <rPr>
        <sz val="11"/>
        <color theme="1"/>
        <rFont val="Times New Roman"/>
        <family val="1"/>
      </rPr>
      <t>=</t>
    </r>
    <rPh sb="5" eb="6">
      <t>シタ</t>
    </rPh>
    <phoneticPr fontId="3"/>
  </si>
  <si>
    <r>
      <rPr>
        <i/>
        <sz val="11"/>
        <color theme="1"/>
        <rFont val="Times New Roman"/>
        <family val="1"/>
      </rPr>
      <t>p</t>
    </r>
    <r>
      <rPr>
        <i/>
        <vertAlign val="subscript"/>
        <sz val="11"/>
        <color theme="1"/>
        <rFont val="Times New Roman"/>
        <family val="1"/>
      </rPr>
      <t>w5</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</si>
  <si>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w5</t>
    </r>
    <r>
      <rPr>
        <i/>
        <vertAlign val="subscript"/>
        <sz val="11"/>
        <color theme="1"/>
        <rFont val="ＭＳ Ｐ明朝"/>
        <family val="1"/>
        <charset val="128"/>
      </rPr>
      <t>下</t>
    </r>
    <r>
      <rPr>
        <sz val="11"/>
        <color theme="1"/>
        <rFont val="Times New Roman"/>
        <family val="1"/>
      </rPr>
      <t>=</t>
    </r>
    <rPh sb="3" eb="4">
      <t>シタ</t>
    </rPh>
    <phoneticPr fontId="3"/>
  </si>
  <si>
    <r>
      <t>ℓ</t>
    </r>
    <r>
      <rPr>
        <vertAlign val="subscript"/>
        <sz val="11"/>
        <color theme="1"/>
        <rFont val="游ゴシック"/>
        <family val="3"/>
        <charset val="128"/>
        <scheme val="minor"/>
      </rPr>
      <t xml:space="preserve">0 </t>
    </r>
    <r>
      <rPr>
        <sz val="11"/>
        <color theme="1"/>
        <rFont val="游ゴシック"/>
        <family val="2"/>
        <scheme val="minor"/>
      </rPr>
      <t>/</t>
    </r>
    <phoneticPr fontId="3"/>
  </si>
  <si>
    <r>
      <t>(ℓ</t>
    </r>
    <r>
      <rPr>
        <vertAlign val="subscript"/>
        <sz val="11"/>
        <color theme="1"/>
        <rFont val="游ゴシック"/>
        <family val="3"/>
        <charset val="128"/>
        <scheme val="minor"/>
      </rPr>
      <t>0</t>
    </r>
    <phoneticPr fontId="3"/>
  </si>
  <si>
    <t>＋</t>
    <phoneticPr fontId="3"/>
  </si>
  <si>
    <t>+(</t>
    <phoneticPr fontId="3"/>
  </si>
  <si>
    <t>⑩</t>
    <phoneticPr fontId="3"/>
  </si>
  <si>
    <t>⑪</t>
    <phoneticPr fontId="3"/>
  </si>
  <si>
    <t>⑫</t>
    <phoneticPr fontId="3"/>
  </si>
  <si>
    <r>
      <t>根入れ長は、ℓ</t>
    </r>
    <r>
      <rPr>
        <vertAlign val="subscript"/>
        <sz val="11"/>
        <color theme="1"/>
        <rFont val="游ゴシック"/>
        <family val="3"/>
        <charset val="128"/>
        <scheme val="minor"/>
      </rPr>
      <t>0</t>
    </r>
    <r>
      <rPr>
        <sz val="11"/>
        <color theme="1"/>
        <rFont val="游ゴシック"/>
        <family val="2"/>
        <scheme val="minor"/>
      </rPr>
      <t xml:space="preserve"> ＋</t>
    </r>
    <rPh sb="0" eb="2">
      <t>ネイ</t>
    </rPh>
    <rPh sb="3" eb="4">
      <t>チョウ</t>
    </rPh>
    <phoneticPr fontId="3"/>
  </si>
  <si>
    <t>の</t>
    <phoneticPr fontId="3"/>
  </si>
  <si>
    <t>H11道仮p76</t>
    <phoneticPr fontId="3"/>
  </si>
  <si>
    <t>砂質地盤である場合、ボイリングおよびパイピングについて検討する。</t>
    <rPh sb="0" eb="2">
      <t>サシツ</t>
    </rPh>
    <rPh sb="2" eb="4">
      <t>ジバン</t>
    </rPh>
    <rPh sb="7" eb="9">
      <t>バアイ</t>
    </rPh>
    <rPh sb="27" eb="29">
      <t>ケントウ</t>
    </rPh>
    <phoneticPr fontId="3"/>
  </si>
  <si>
    <t>H11道仮p79,29</t>
    <phoneticPr fontId="3"/>
  </si>
  <si>
    <r>
      <t xml:space="preserve">ボイリングに対する安全率 </t>
    </r>
    <r>
      <rPr>
        <i/>
        <sz val="11"/>
        <color theme="1"/>
        <rFont val="Times New Roman"/>
        <family val="1"/>
      </rPr>
      <t>F</t>
    </r>
    <r>
      <rPr>
        <i/>
        <vertAlign val="subscript"/>
        <sz val="11"/>
        <color theme="1"/>
        <rFont val="Times New Roman"/>
        <family val="1"/>
      </rPr>
      <t>S</t>
    </r>
    <r>
      <rPr>
        <sz val="11"/>
        <color theme="1"/>
        <rFont val="游ゴシック"/>
        <family val="2"/>
        <scheme val="minor"/>
      </rPr>
      <t>を満足するように根入れ長ℓ</t>
    </r>
    <r>
      <rPr>
        <i/>
        <vertAlign val="subscript"/>
        <sz val="11"/>
        <color theme="1"/>
        <rFont val="Times New Roman"/>
        <family val="1"/>
      </rPr>
      <t>d</t>
    </r>
    <r>
      <rPr>
        <sz val="11"/>
        <color theme="1"/>
        <rFont val="游ゴシック"/>
        <family val="2"/>
        <scheme val="minor"/>
      </rPr>
      <t>を求める。</t>
    </r>
    <rPh sb="6" eb="7">
      <t>タイ</t>
    </rPh>
    <rPh sb="9" eb="12">
      <t>アンゼンリツ</t>
    </rPh>
    <rPh sb="16" eb="18">
      <t>マンゾク</t>
    </rPh>
    <rPh sb="23" eb="25">
      <t>ネイ</t>
    </rPh>
    <rPh sb="26" eb="27">
      <t>チョウ</t>
    </rPh>
    <rPh sb="30" eb="31">
      <t>モト</t>
    </rPh>
    <phoneticPr fontId="3"/>
  </si>
  <si>
    <r>
      <t>F</t>
    </r>
    <r>
      <rPr>
        <i/>
        <vertAlign val="subscript"/>
        <sz val="11"/>
        <color theme="1"/>
        <rFont val="Times New Roman"/>
        <family val="1"/>
      </rPr>
      <t>S</t>
    </r>
    <phoneticPr fontId="3"/>
  </si>
  <si>
    <t>w</t>
    <phoneticPr fontId="3"/>
  </si>
  <si>
    <r>
      <rPr>
        <i/>
        <sz val="11"/>
        <color theme="1"/>
        <rFont val="Times New Roman"/>
        <family val="1"/>
      </rPr>
      <t>F</t>
    </r>
    <r>
      <rPr>
        <i/>
        <vertAlign val="subscript"/>
        <sz val="11"/>
        <color theme="1"/>
        <rFont val="Times New Roman"/>
        <family val="1"/>
      </rPr>
      <t>S</t>
    </r>
    <r>
      <rPr>
        <sz val="11"/>
        <color theme="1"/>
        <rFont val="游ゴシック"/>
        <family val="2"/>
        <scheme val="minor"/>
      </rPr>
      <t>：ボイリングに対する安全率</t>
    </r>
    <rPh sb="9" eb="10">
      <t>タイ</t>
    </rPh>
    <rPh sb="12" eb="15">
      <t>アンゼンリツ</t>
    </rPh>
    <phoneticPr fontId="3"/>
  </si>
  <si>
    <r>
      <t>F</t>
    </r>
    <r>
      <rPr>
        <i/>
        <vertAlign val="subscript"/>
        <sz val="11"/>
        <color theme="1"/>
        <rFont val="Times New Roman"/>
        <family val="1"/>
      </rPr>
      <t>s</t>
    </r>
    <phoneticPr fontId="3"/>
  </si>
  <si>
    <t>≧</t>
  </si>
  <si>
    <r>
      <t>w</t>
    </r>
    <r>
      <rPr>
        <sz val="11"/>
        <color theme="1"/>
        <rFont val="游ゴシック"/>
        <family val="3"/>
        <charset val="128"/>
        <scheme val="minor"/>
      </rPr>
      <t>：土の有効重量（kN/m</t>
    </r>
    <r>
      <rPr>
        <vertAlign val="superscript"/>
        <sz val="11"/>
        <color theme="1"/>
        <rFont val="游ゴシック"/>
        <family val="3"/>
        <charset val="128"/>
        <scheme val="minor"/>
      </rPr>
      <t>2</t>
    </r>
    <r>
      <rPr>
        <sz val="11"/>
        <color theme="1"/>
        <rFont val="游ゴシック"/>
        <family val="3"/>
        <charset val="128"/>
        <scheme val="minor"/>
      </rPr>
      <t>）</t>
    </r>
    <rPh sb="2" eb="3">
      <t>ツチ</t>
    </rPh>
    <rPh sb="4" eb="6">
      <t>ユウコウ</t>
    </rPh>
    <rPh sb="6" eb="8">
      <t>ジュウリョウ</t>
    </rPh>
    <phoneticPr fontId="3"/>
  </si>
  <si>
    <t>γ'</t>
    <phoneticPr fontId="3"/>
  </si>
  <si>
    <r>
      <rPr>
        <sz val="11"/>
        <color theme="1"/>
        <rFont val="游ゴシック"/>
        <family val="3"/>
        <charset val="128"/>
        <scheme val="minor"/>
      </rPr>
      <t>ℓ</t>
    </r>
    <r>
      <rPr>
        <i/>
        <vertAlign val="subscript"/>
        <sz val="11"/>
        <color theme="1"/>
        <rFont val="Times New Roman"/>
        <family val="1"/>
      </rPr>
      <t>d</t>
    </r>
    <phoneticPr fontId="3"/>
  </si>
  <si>
    <r>
      <rPr>
        <sz val="11"/>
        <color theme="1"/>
        <rFont val="游ゴシック"/>
        <family val="3"/>
        <charset val="128"/>
        <scheme val="minor"/>
      </rPr>
      <t>γ'</t>
    </r>
    <r>
      <rPr>
        <sz val="11"/>
        <color theme="1"/>
        <rFont val="游ゴシック"/>
        <family val="2"/>
        <scheme val="minor"/>
      </rPr>
      <t>：土の水中単位体積重量（kN/m</t>
    </r>
    <r>
      <rPr>
        <vertAlign val="superscript"/>
        <sz val="11"/>
        <color theme="1"/>
        <rFont val="游ゴシック"/>
        <family val="3"/>
        <charset val="128"/>
        <scheme val="minor"/>
      </rPr>
      <t>3</t>
    </r>
    <r>
      <rPr>
        <sz val="11"/>
        <color theme="1"/>
        <rFont val="游ゴシック"/>
        <family val="2"/>
        <scheme val="minor"/>
      </rPr>
      <t>）</t>
    </r>
    <rPh sb="3" eb="4">
      <t>ツチ</t>
    </rPh>
    <rPh sb="5" eb="7">
      <t>スイチュウ</t>
    </rPh>
    <rPh sb="7" eb="9">
      <t>タンイ</t>
    </rPh>
    <rPh sb="9" eb="11">
      <t>タイセキ</t>
    </rPh>
    <rPh sb="11" eb="13">
      <t>ジュウリョウ</t>
    </rPh>
    <phoneticPr fontId="3"/>
  </si>
  <si>
    <r>
      <t>ℓ</t>
    </r>
    <r>
      <rPr>
        <i/>
        <vertAlign val="subscript"/>
        <sz val="11"/>
        <color theme="1"/>
        <rFont val="Times New Roman"/>
        <family val="1"/>
      </rPr>
      <t>d</t>
    </r>
    <r>
      <rPr>
        <sz val="11"/>
        <color theme="1"/>
        <rFont val="游ゴシック"/>
        <family val="2"/>
        <scheme val="minor"/>
      </rPr>
      <t>：土留め壁の根入れ長（m）</t>
    </r>
    <rPh sb="3" eb="5">
      <t>ドド</t>
    </rPh>
    <rPh sb="6" eb="7">
      <t>ヘキ</t>
    </rPh>
    <rPh sb="8" eb="10">
      <t>ネイ</t>
    </rPh>
    <rPh sb="11" eb="12">
      <t>チョウ</t>
    </rPh>
    <phoneticPr fontId="3"/>
  </si>
  <si>
    <t>γ 'は、掘削底面下の根入れ長までの各層厚と水中単位体積重量から求める平均γ 'である。</t>
    <rPh sb="5" eb="7">
      <t>クッサク</t>
    </rPh>
    <rPh sb="7" eb="9">
      <t>テイメン</t>
    </rPh>
    <rPh sb="9" eb="10">
      <t>シタ</t>
    </rPh>
    <rPh sb="11" eb="13">
      <t>ネイ</t>
    </rPh>
    <rPh sb="14" eb="15">
      <t>チョウ</t>
    </rPh>
    <rPh sb="18" eb="19">
      <t>カク</t>
    </rPh>
    <rPh sb="19" eb="20">
      <t>ソウ</t>
    </rPh>
    <rPh sb="20" eb="21">
      <t>アツ</t>
    </rPh>
    <rPh sb="22" eb="24">
      <t>スイチュウ</t>
    </rPh>
    <rPh sb="24" eb="26">
      <t>タンイ</t>
    </rPh>
    <rPh sb="26" eb="28">
      <t>タイセキ</t>
    </rPh>
    <rPh sb="28" eb="30">
      <t>ジュウリョウ</t>
    </rPh>
    <rPh sb="32" eb="33">
      <t>モト</t>
    </rPh>
    <rPh sb="35" eb="37">
      <t>ヘイキン</t>
    </rPh>
    <phoneticPr fontId="3"/>
  </si>
  <si>
    <r>
      <t>平均γ'算出のための根入れ長ℓ</t>
    </r>
    <r>
      <rPr>
        <i/>
        <vertAlign val="subscript"/>
        <sz val="11"/>
        <color theme="1"/>
        <rFont val="Times New Roman"/>
        <family val="1"/>
      </rPr>
      <t>d</t>
    </r>
    <r>
      <rPr>
        <sz val="11"/>
        <color theme="1"/>
        <rFont val="游ゴシック"/>
        <family val="2"/>
        <scheme val="minor"/>
      </rPr>
      <t>は、仮の値とし、繰り返し計算により求める。</t>
    </r>
    <rPh sb="0" eb="2">
      <t>ヘイキン</t>
    </rPh>
    <rPh sb="4" eb="6">
      <t>サンシュツ</t>
    </rPh>
    <rPh sb="10" eb="12">
      <t>ネイ</t>
    </rPh>
    <rPh sb="13" eb="14">
      <t>チョウ</t>
    </rPh>
    <rPh sb="18" eb="19">
      <t>カリ</t>
    </rPh>
    <rPh sb="20" eb="21">
      <t>アタイ</t>
    </rPh>
    <rPh sb="24" eb="25">
      <t>ク</t>
    </rPh>
    <rPh sb="26" eb="27">
      <t>カエ</t>
    </rPh>
    <rPh sb="28" eb="30">
      <t>ケイサン</t>
    </rPh>
    <rPh sb="33" eb="34">
      <t>モト</t>
    </rPh>
    <phoneticPr fontId="3"/>
  </si>
  <si>
    <t>ボイリング検討用</t>
    <rPh sb="5" eb="7">
      <t>ケントウ</t>
    </rPh>
    <rPh sb="7" eb="8">
      <t>ヨウ</t>
    </rPh>
    <phoneticPr fontId="3"/>
  </si>
  <si>
    <t>の水中単位重量算</t>
    <rPh sb="5" eb="7">
      <t>ジュウリョウ</t>
    </rPh>
    <phoneticPr fontId="3"/>
  </si>
  <si>
    <r>
      <rPr>
        <i/>
        <sz val="11"/>
        <color theme="1"/>
        <rFont val="Times New Roman"/>
        <family val="1"/>
      </rPr>
      <t>h</t>
    </r>
    <r>
      <rPr>
        <sz val="11"/>
        <color theme="1"/>
        <rFont val="游ゴシック"/>
        <family val="3"/>
        <charset val="128"/>
        <scheme val="minor"/>
      </rPr>
      <t>・γ’</t>
    </r>
    <phoneticPr fontId="3"/>
  </si>
  <si>
    <t>出のため差し引く値</t>
    <rPh sb="4" eb="5">
      <t>サ</t>
    </rPh>
    <rPh sb="6" eb="7">
      <t>ヒ</t>
    </rPh>
    <rPh sb="8" eb="9">
      <t>アタイ</t>
    </rPh>
    <phoneticPr fontId="3"/>
  </si>
  <si>
    <r>
      <t>(kN/m</t>
    </r>
    <r>
      <rPr>
        <vertAlign val="superscript"/>
        <sz val="11"/>
        <color theme="1"/>
        <rFont val="游ゴシック"/>
        <family val="3"/>
        <charset val="128"/>
        <scheme val="minor"/>
      </rPr>
      <t>2)</t>
    </r>
    <phoneticPr fontId="3"/>
  </si>
  <si>
    <r>
      <t>↑ℓ</t>
    </r>
    <r>
      <rPr>
        <i/>
        <vertAlign val="subscript"/>
        <sz val="11"/>
        <color theme="1"/>
        <rFont val="Times New Roman"/>
        <family val="1"/>
      </rPr>
      <t>d</t>
    </r>
    <phoneticPr fontId="3"/>
  </si>
  <si>
    <t>平均γ' =</t>
    <rPh sb="0" eb="2">
      <t>ヘイキン</t>
    </rPh>
    <phoneticPr fontId="3"/>
  </si>
  <si>
    <r>
      <t>∑（</t>
    </r>
    <r>
      <rPr>
        <i/>
        <sz val="11"/>
        <color theme="1"/>
        <rFont val="Times New Roman"/>
        <family val="1"/>
      </rPr>
      <t>h</t>
    </r>
    <r>
      <rPr>
        <sz val="11"/>
        <color theme="1"/>
        <rFont val="游ゴシック"/>
        <family val="3"/>
        <charset val="128"/>
        <scheme val="minor"/>
      </rPr>
      <t>・γ'）</t>
    </r>
    <phoneticPr fontId="3"/>
  </si>
  <si>
    <r>
      <t>∑</t>
    </r>
    <r>
      <rPr>
        <i/>
        <sz val="11"/>
        <color theme="1"/>
        <rFont val="Times New Roman"/>
        <family val="1"/>
      </rPr>
      <t>h</t>
    </r>
    <phoneticPr fontId="3"/>
  </si>
  <si>
    <r>
      <rPr>
        <i/>
        <sz val="11"/>
        <color theme="1"/>
        <rFont val="Times New Roman"/>
        <family val="1"/>
      </rPr>
      <t>u</t>
    </r>
    <r>
      <rPr>
        <sz val="11"/>
        <color theme="1"/>
        <rFont val="游ゴシック"/>
        <family val="2"/>
        <scheme val="minor"/>
      </rPr>
      <t>：土留め壁先端位置に作用する平均過剰間隙水圧（kN/m</t>
    </r>
    <r>
      <rPr>
        <vertAlign val="superscript"/>
        <sz val="11"/>
        <color theme="1"/>
        <rFont val="游ゴシック"/>
        <family val="3"/>
        <charset val="128"/>
        <scheme val="minor"/>
      </rPr>
      <t>2</t>
    </r>
    <r>
      <rPr>
        <sz val="11"/>
        <color theme="1"/>
        <rFont val="游ゴシック"/>
        <family val="2"/>
        <scheme val="minor"/>
      </rPr>
      <t>）</t>
    </r>
    <rPh sb="2" eb="4">
      <t>ドド</t>
    </rPh>
    <rPh sb="5" eb="6">
      <t>ヘキ</t>
    </rPh>
    <rPh sb="6" eb="8">
      <t>センタン</t>
    </rPh>
    <rPh sb="8" eb="10">
      <t>イチ</t>
    </rPh>
    <rPh sb="11" eb="13">
      <t>サヨウ</t>
    </rPh>
    <rPh sb="15" eb="17">
      <t>ヘイキン</t>
    </rPh>
    <rPh sb="17" eb="19">
      <t>カジョウ</t>
    </rPh>
    <rPh sb="19" eb="21">
      <t>カンゲキ</t>
    </rPh>
    <rPh sb="21" eb="23">
      <t>スイアツ</t>
    </rPh>
    <phoneticPr fontId="3"/>
  </si>
  <si>
    <t>λ</t>
    <phoneticPr fontId="3"/>
  </si>
  <si>
    <r>
      <t>1.57・γ</t>
    </r>
    <r>
      <rPr>
        <i/>
        <vertAlign val="subscript"/>
        <sz val="11"/>
        <color theme="1"/>
        <rFont val="Times New Roman"/>
        <family val="1"/>
      </rPr>
      <t>w</t>
    </r>
    <r>
      <rPr>
        <sz val="11"/>
        <color theme="1"/>
        <rFont val="游ゴシック"/>
        <family val="2"/>
        <scheme val="minor"/>
      </rPr>
      <t>・</t>
    </r>
    <r>
      <rPr>
        <i/>
        <sz val="11"/>
        <color theme="1"/>
        <rFont val="Times New Roman"/>
        <family val="1"/>
      </rPr>
      <t>h</t>
    </r>
    <r>
      <rPr>
        <i/>
        <vertAlign val="subscript"/>
        <sz val="11"/>
        <color theme="1"/>
        <rFont val="Times New Roman"/>
        <family val="1"/>
      </rPr>
      <t>w</t>
    </r>
    <phoneticPr fontId="3"/>
  </si>
  <si>
    <r>
      <t>γ</t>
    </r>
    <r>
      <rPr>
        <i/>
        <vertAlign val="subscript"/>
        <sz val="11"/>
        <color theme="1"/>
        <rFont val="Times New Roman"/>
        <family val="1"/>
      </rPr>
      <t>w</t>
    </r>
    <r>
      <rPr>
        <sz val="11"/>
        <color theme="1"/>
        <rFont val="游ゴシック"/>
        <family val="2"/>
        <scheme val="minor"/>
      </rPr>
      <t>：水の単位体積重量（kN/m</t>
    </r>
    <r>
      <rPr>
        <vertAlign val="superscript"/>
        <sz val="11"/>
        <color theme="1"/>
        <rFont val="游ゴシック"/>
        <family val="3"/>
        <charset val="128"/>
        <scheme val="minor"/>
      </rPr>
      <t>3</t>
    </r>
    <r>
      <rPr>
        <sz val="11"/>
        <color theme="1"/>
        <rFont val="游ゴシック"/>
        <family val="2"/>
        <scheme val="minor"/>
      </rPr>
      <t>）</t>
    </r>
    <rPh sb="3" eb="4">
      <t>ミズ</t>
    </rPh>
    <rPh sb="5" eb="7">
      <t>タンイ</t>
    </rPh>
    <rPh sb="7" eb="9">
      <t>タイセキ</t>
    </rPh>
    <rPh sb="9" eb="11">
      <t>ジュウリョウ</t>
    </rPh>
    <phoneticPr fontId="3"/>
  </si>
  <si>
    <r>
      <t>γ</t>
    </r>
    <r>
      <rPr>
        <i/>
        <vertAlign val="subscript"/>
        <sz val="11"/>
        <color theme="1"/>
        <rFont val="Times New Roman"/>
        <family val="1"/>
      </rPr>
      <t>w</t>
    </r>
    <r>
      <rPr>
        <sz val="11"/>
        <color theme="1"/>
        <rFont val="游ゴシック"/>
        <family val="2"/>
        <scheme val="minor"/>
      </rPr>
      <t>=</t>
    </r>
    <phoneticPr fontId="3"/>
  </si>
  <si>
    <r>
      <rPr>
        <i/>
        <sz val="11"/>
        <color theme="1"/>
        <rFont val="Times New Roman"/>
        <family val="1"/>
      </rPr>
      <t>h</t>
    </r>
    <r>
      <rPr>
        <i/>
        <vertAlign val="subscript"/>
        <sz val="11"/>
        <color theme="1"/>
        <rFont val="Times New Roman"/>
        <family val="1"/>
      </rPr>
      <t>w</t>
    </r>
    <r>
      <rPr>
        <sz val="11"/>
        <color theme="1"/>
        <rFont val="游ゴシック"/>
        <family val="2"/>
        <scheme val="minor"/>
      </rPr>
      <t>：水位差（m）</t>
    </r>
    <rPh sb="3" eb="5">
      <t>スイイ</t>
    </rPh>
    <rPh sb="5" eb="6">
      <t>サ</t>
    </rPh>
    <phoneticPr fontId="3"/>
  </si>
  <si>
    <r>
      <t>h</t>
    </r>
    <r>
      <rPr>
        <i/>
        <vertAlign val="subscript"/>
        <sz val="11"/>
        <color theme="1"/>
        <rFont val="Times New Roman"/>
        <family val="1"/>
      </rPr>
      <t>w</t>
    </r>
    <r>
      <rPr>
        <i/>
        <sz val="11"/>
        <color theme="1"/>
        <rFont val="Times New Roman"/>
        <family val="1"/>
      </rPr>
      <t>=</t>
    </r>
    <phoneticPr fontId="3"/>
  </si>
  <si>
    <t>λ：土留めの形状に関する補正係数</t>
    <rPh sb="2" eb="4">
      <t>ドド</t>
    </rPh>
    <rPh sb="6" eb="8">
      <t>ケイジョウ</t>
    </rPh>
    <rPh sb="9" eb="10">
      <t>カン</t>
    </rPh>
    <rPh sb="12" eb="14">
      <t>ホセイ</t>
    </rPh>
    <rPh sb="14" eb="16">
      <t>ケイスウ</t>
    </rPh>
    <phoneticPr fontId="3"/>
  </si>
  <si>
    <r>
      <t>λ＝λ</t>
    </r>
    <r>
      <rPr>
        <vertAlign val="subscript"/>
        <sz val="11"/>
        <color theme="1"/>
        <rFont val="游ゴシック"/>
        <family val="3"/>
        <charset val="128"/>
        <scheme val="minor"/>
      </rPr>
      <t>1</t>
    </r>
    <r>
      <rPr>
        <sz val="11"/>
        <color theme="1"/>
        <rFont val="游ゴシック"/>
        <family val="2"/>
        <scheme val="minor"/>
      </rPr>
      <t>・λ</t>
    </r>
    <r>
      <rPr>
        <vertAlign val="subscript"/>
        <sz val="11"/>
        <color theme="1"/>
        <rFont val="游ゴシック"/>
        <family val="3"/>
        <charset val="128"/>
        <scheme val="minor"/>
      </rPr>
      <t>2</t>
    </r>
    <phoneticPr fontId="3"/>
  </si>
  <si>
    <r>
      <t>λ</t>
    </r>
    <r>
      <rPr>
        <vertAlign val="subscript"/>
        <sz val="11"/>
        <color theme="1"/>
        <rFont val="游ゴシック"/>
        <family val="3"/>
        <charset val="128"/>
        <scheme val="minor"/>
      </rPr>
      <t>1</t>
    </r>
    <r>
      <rPr>
        <sz val="11"/>
        <color theme="1"/>
        <rFont val="游ゴシック"/>
        <family val="2"/>
        <scheme val="minor"/>
      </rPr>
      <t>：掘削幅に関する補正係数</t>
    </r>
    <rPh sb="3" eb="5">
      <t>クッサク</t>
    </rPh>
    <rPh sb="5" eb="6">
      <t>ハバ</t>
    </rPh>
    <rPh sb="7" eb="8">
      <t>カン</t>
    </rPh>
    <rPh sb="10" eb="12">
      <t>ホセイ</t>
    </rPh>
    <rPh sb="12" eb="14">
      <t>ケイスウ</t>
    </rPh>
    <phoneticPr fontId="3"/>
  </si>
  <si>
    <r>
      <t>λ</t>
    </r>
    <r>
      <rPr>
        <vertAlign val="subscript"/>
        <sz val="11"/>
        <color theme="1"/>
        <rFont val="游ゴシック"/>
        <family val="3"/>
        <charset val="128"/>
        <scheme val="minor"/>
      </rPr>
      <t>1</t>
    </r>
    <r>
      <rPr>
        <sz val="11"/>
        <color theme="1"/>
        <rFont val="游ゴシック"/>
        <family val="2"/>
        <scheme val="minor"/>
      </rPr>
      <t>=1.30+0.7(</t>
    </r>
    <r>
      <rPr>
        <i/>
        <sz val="11"/>
        <color theme="1"/>
        <rFont val="Times New Roman"/>
        <family val="1"/>
      </rPr>
      <t>B</t>
    </r>
    <r>
      <rPr>
        <i/>
        <vertAlign val="subscript"/>
        <sz val="11"/>
        <color theme="1"/>
        <rFont val="Times New Roman"/>
        <family val="1"/>
      </rPr>
      <t>e</t>
    </r>
    <r>
      <rPr>
        <sz val="11"/>
        <color theme="1"/>
        <rFont val="游ゴシック"/>
        <family val="2"/>
        <scheme val="minor"/>
      </rPr>
      <t>/ℓ</t>
    </r>
    <r>
      <rPr>
        <i/>
        <vertAlign val="subscript"/>
        <sz val="11"/>
        <color theme="1"/>
        <rFont val="Times New Roman"/>
        <family val="1"/>
      </rPr>
      <t>d</t>
    </r>
    <r>
      <rPr>
        <sz val="11"/>
        <color theme="1"/>
        <rFont val="游ゴシック"/>
        <family val="2"/>
        <scheme val="minor"/>
      </rPr>
      <t>)</t>
    </r>
    <r>
      <rPr>
        <vertAlign val="superscript"/>
        <sz val="11"/>
        <color theme="1"/>
        <rFont val="游ゴシック"/>
        <family val="3"/>
        <charset val="128"/>
        <scheme val="minor"/>
      </rPr>
      <t>-0.45</t>
    </r>
    <phoneticPr fontId="3"/>
  </si>
  <si>
    <r>
      <rPr>
        <i/>
        <sz val="11"/>
        <color theme="1"/>
        <rFont val="Times New Roman"/>
        <family val="1"/>
      </rPr>
      <t>B</t>
    </r>
    <r>
      <rPr>
        <i/>
        <vertAlign val="subscript"/>
        <sz val="11"/>
        <color theme="1"/>
        <rFont val="Times New Roman"/>
        <family val="1"/>
      </rPr>
      <t>e</t>
    </r>
    <r>
      <rPr>
        <sz val="11"/>
        <color theme="1"/>
        <rFont val="游ゴシック"/>
        <family val="2"/>
        <scheme val="minor"/>
      </rPr>
      <t>：掘削幅（m）</t>
    </r>
    <rPh sb="3" eb="5">
      <t>クッサク</t>
    </rPh>
    <rPh sb="5" eb="6">
      <t>ハバ</t>
    </rPh>
    <phoneticPr fontId="3"/>
  </si>
  <si>
    <r>
      <rPr>
        <i/>
        <sz val="11"/>
        <color theme="1"/>
        <rFont val="Times New Roman"/>
        <family val="1"/>
      </rPr>
      <t>B</t>
    </r>
    <r>
      <rPr>
        <i/>
        <vertAlign val="subscript"/>
        <sz val="11"/>
        <color theme="1"/>
        <rFont val="Times New Roman"/>
        <family val="1"/>
      </rPr>
      <t>e</t>
    </r>
    <r>
      <rPr>
        <sz val="11"/>
        <color theme="1"/>
        <rFont val="游ゴシック"/>
        <family val="2"/>
        <scheme val="minor"/>
      </rPr>
      <t>=</t>
    </r>
    <phoneticPr fontId="3"/>
  </si>
  <si>
    <r>
      <t>ただし、λ</t>
    </r>
    <r>
      <rPr>
        <vertAlign val="subscript"/>
        <sz val="11"/>
        <color theme="1"/>
        <rFont val="游ゴシック"/>
        <family val="3"/>
        <charset val="128"/>
        <scheme val="minor"/>
      </rPr>
      <t>1</t>
    </r>
    <r>
      <rPr>
        <sz val="11"/>
        <color theme="1"/>
        <rFont val="游ゴシック"/>
        <family val="2"/>
        <scheme val="minor"/>
      </rPr>
      <t>&lt;1.5のときは、λ</t>
    </r>
    <r>
      <rPr>
        <vertAlign val="subscript"/>
        <sz val="11"/>
        <color theme="1"/>
        <rFont val="游ゴシック"/>
        <family val="3"/>
        <charset val="128"/>
        <scheme val="minor"/>
      </rPr>
      <t>1</t>
    </r>
    <r>
      <rPr>
        <sz val="11"/>
        <color theme="1"/>
        <rFont val="游ゴシック"/>
        <family val="2"/>
        <scheme val="minor"/>
      </rPr>
      <t>=1.5とする。</t>
    </r>
    <phoneticPr fontId="3"/>
  </si>
  <si>
    <r>
      <t>ℓ</t>
    </r>
    <r>
      <rPr>
        <i/>
        <vertAlign val="subscript"/>
        <sz val="11"/>
        <color theme="1"/>
        <rFont val="Times New Roman"/>
        <family val="1"/>
      </rPr>
      <t>d</t>
    </r>
    <r>
      <rPr>
        <sz val="11"/>
        <color theme="1"/>
        <rFont val="游ゴシック"/>
        <family val="2"/>
        <scheme val="minor"/>
      </rPr>
      <t>は、繰り返し計算（Excelならばゴールシーク）により求める。</t>
    </r>
    <rPh sb="4" eb="5">
      <t>ク</t>
    </rPh>
    <rPh sb="6" eb="7">
      <t>カエ</t>
    </rPh>
    <rPh sb="8" eb="10">
      <t>ケイサン</t>
    </rPh>
    <rPh sb="29" eb="30">
      <t>モト</t>
    </rPh>
    <phoneticPr fontId="3"/>
  </si>
  <si>
    <r>
      <t>λ</t>
    </r>
    <r>
      <rPr>
        <vertAlign val="subscript"/>
        <sz val="11"/>
        <color theme="1"/>
        <rFont val="游ゴシック"/>
        <family val="3"/>
        <charset val="128"/>
        <scheme val="minor"/>
      </rPr>
      <t>1</t>
    </r>
    <r>
      <rPr>
        <sz val="11"/>
        <color theme="1"/>
        <rFont val="游ゴシック"/>
        <family val="2"/>
        <scheme val="minor"/>
      </rPr>
      <t>=</t>
    </r>
    <phoneticPr fontId="3"/>
  </si>
  <si>
    <r>
      <t>)</t>
    </r>
    <r>
      <rPr>
        <vertAlign val="superscript"/>
        <sz val="11"/>
        <color theme="1"/>
        <rFont val="游ゴシック"/>
        <family val="3"/>
        <charset val="128"/>
        <scheme val="minor"/>
      </rPr>
      <t>-0.45</t>
    </r>
    <phoneticPr fontId="3"/>
  </si>
  <si>
    <t>以上より、</t>
    <rPh sb="0" eb="2">
      <t>イジョウ</t>
    </rPh>
    <phoneticPr fontId="3"/>
  </si>
  <si>
    <r>
      <t>λ</t>
    </r>
    <r>
      <rPr>
        <vertAlign val="subscript"/>
        <sz val="11"/>
        <color theme="1"/>
        <rFont val="游ゴシック"/>
        <family val="3"/>
        <charset val="128"/>
        <scheme val="minor"/>
      </rPr>
      <t>2</t>
    </r>
    <r>
      <rPr>
        <sz val="11"/>
        <color theme="1"/>
        <rFont val="游ゴシック"/>
        <family val="2"/>
        <scheme val="minor"/>
      </rPr>
      <t>：土留め平面形状に関する補正係数</t>
    </r>
    <rPh sb="3" eb="5">
      <t>ドド</t>
    </rPh>
    <rPh sb="6" eb="8">
      <t>ヘイメン</t>
    </rPh>
    <rPh sb="8" eb="10">
      <t>ケイジョウ</t>
    </rPh>
    <rPh sb="11" eb="12">
      <t>カン</t>
    </rPh>
    <rPh sb="14" eb="16">
      <t>ホセイ</t>
    </rPh>
    <rPh sb="16" eb="18">
      <t>ケイスウ</t>
    </rPh>
    <phoneticPr fontId="3"/>
  </si>
  <si>
    <r>
      <t>λ</t>
    </r>
    <r>
      <rPr>
        <vertAlign val="subscript"/>
        <sz val="11"/>
        <color theme="1"/>
        <rFont val="游ゴシック"/>
        <family val="3"/>
        <charset val="128"/>
        <scheme val="minor"/>
      </rPr>
      <t>2</t>
    </r>
    <r>
      <rPr>
        <sz val="11"/>
        <color theme="1"/>
        <rFont val="游ゴシック"/>
        <family val="2"/>
        <scheme val="minor"/>
      </rPr>
      <t>=0.95+0.09{(</t>
    </r>
    <r>
      <rPr>
        <i/>
        <sz val="11"/>
        <color theme="1"/>
        <rFont val="Times New Roman"/>
        <family val="1"/>
      </rPr>
      <t>L</t>
    </r>
    <r>
      <rPr>
        <i/>
        <vertAlign val="subscript"/>
        <sz val="11"/>
        <color theme="1"/>
        <rFont val="Times New Roman"/>
        <family val="1"/>
      </rPr>
      <t>e</t>
    </r>
    <r>
      <rPr>
        <sz val="11"/>
        <color theme="1"/>
        <rFont val="游ゴシック"/>
        <family val="2"/>
        <scheme val="minor"/>
      </rPr>
      <t>/</t>
    </r>
    <r>
      <rPr>
        <i/>
        <sz val="11"/>
        <color theme="1"/>
        <rFont val="Times New Roman"/>
        <family val="1"/>
      </rPr>
      <t>B</t>
    </r>
    <r>
      <rPr>
        <i/>
        <vertAlign val="subscript"/>
        <sz val="11"/>
        <color theme="1"/>
        <rFont val="Times New Roman"/>
        <family val="1"/>
      </rPr>
      <t>e</t>
    </r>
    <r>
      <rPr>
        <sz val="11"/>
        <color theme="1"/>
        <rFont val="游ゴシック"/>
        <family val="2"/>
        <scheme val="minor"/>
      </rPr>
      <t>)+0.37}</t>
    </r>
    <r>
      <rPr>
        <vertAlign val="superscript"/>
        <sz val="11"/>
        <color theme="1"/>
        <rFont val="游ゴシック"/>
        <family val="3"/>
        <charset val="128"/>
        <scheme val="minor"/>
      </rPr>
      <t>-2</t>
    </r>
    <phoneticPr fontId="3"/>
  </si>
  <si>
    <r>
      <rPr>
        <i/>
        <sz val="11"/>
        <color theme="1"/>
        <rFont val="Times New Roman"/>
        <family val="1"/>
      </rPr>
      <t>L</t>
    </r>
    <r>
      <rPr>
        <i/>
        <vertAlign val="subscript"/>
        <sz val="11"/>
        <color theme="1"/>
        <rFont val="Times New Roman"/>
        <family val="1"/>
      </rPr>
      <t>e</t>
    </r>
    <r>
      <rPr>
        <sz val="11"/>
        <color theme="1"/>
        <rFont val="游ゴシック"/>
        <family val="2"/>
        <scheme val="minor"/>
      </rPr>
      <t>：掘削長さ（m）</t>
    </r>
    <rPh sb="3" eb="5">
      <t>クッサク</t>
    </rPh>
    <rPh sb="5" eb="6">
      <t>ナガ</t>
    </rPh>
    <phoneticPr fontId="3"/>
  </si>
  <si>
    <r>
      <rPr>
        <i/>
        <sz val="11"/>
        <color theme="1"/>
        <rFont val="Times New Roman"/>
        <family val="1"/>
      </rPr>
      <t>L</t>
    </r>
    <r>
      <rPr>
        <i/>
        <vertAlign val="subscript"/>
        <sz val="11"/>
        <color theme="1"/>
        <rFont val="Times New Roman"/>
        <family val="1"/>
      </rPr>
      <t>e</t>
    </r>
    <r>
      <rPr>
        <sz val="11"/>
        <color theme="1"/>
        <rFont val="游ゴシック"/>
        <family val="2"/>
        <scheme val="minor"/>
      </rPr>
      <t>=</t>
    </r>
    <phoneticPr fontId="3"/>
  </si>
  <si>
    <r>
      <t>λ</t>
    </r>
    <r>
      <rPr>
        <vertAlign val="subscript"/>
        <sz val="11"/>
        <color theme="1"/>
        <rFont val="游ゴシック"/>
        <family val="3"/>
        <charset val="128"/>
        <scheme val="minor"/>
      </rPr>
      <t>2</t>
    </r>
    <r>
      <rPr>
        <sz val="11"/>
        <color theme="1"/>
        <rFont val="游ゴシック"/>
        <family val="2"/>
        <scheme val="minor"/>
      </rPr>
      <t>=</t>
    </r>
    <phoneticPr fontId="3"/>
  </si>
  <si>
    <t>{(</t>
    <phoneticPr fontId="3"/>
  </si>
  <si>
    <t>)+</t>
    <phoneticPr fontId="3"/>
  </si>
  <si>
    <r>
      <t>)</t>
    </r>
    <r>
      <rPr>
        <vertAlign val="superscript"/>
        <sz val="11"/>
        <color theme="1"/>
        <rFont val="游ゴシック"/>
        <family val="3"/>
        <charset val="128"/>
        <scheme val="minor"/>
      </rPr>
      <t>-2</t>
    </r>
    <phoneticPr fontId="3"/>
  </si>
  <si>
    <t>よって</t>
    <phoneticPr fontId="3"/>
  </si>
  <si>
    <r>
      <t>ℓ</t>
    </r>
    <r>
      <rPr>
        <i/>
        <vertAlign val="subscript"/>
        <sz val="11"/>
        <color theme="1"/>
        <rFont val="Times New Roman"/>
        <family val="1"/>
      </rPr>
      <t>d</t>
    </r>
    <phoneticPr fontId="3"/>
  </si>
  <si>
    <r>
      <t>λ</t>
    </r>
    <r>
      <rPr>
        <vertAlign val="subscript"/>
        <sz val="11"/>
        <color theme="1"/>
        <rFont val="游ゴシック"/>
        <family val="3"/>
        <charset val="128"/>
        <scheme val="minor"/>
      </rPr>
      <t>1</t>
    </r>
    <r>
      <rPr>
        <sz val="11"/>
        <color theme="1"/>
        <rFont val="游ゴシック"/>
        <family val="2"/>
        <scheme val="minor"/>
      </rPr>
      <t>・λ</t>
    </r>
    <r>
      <rPr>
        <vertAlign val="subscript"/>
        <sz val="11"/>
        <color theme="1"/>
        <rFont val="游ゴシック"/>
        <family val="3"/>
        <charset val="128"/>
        <scheme val="minor"/>
      </rPr>
      <t>2</t>
    </r>
    <r>
      <rPr>
        <sz val="11"/>
        <color theme="1"/>
        <rFont val="游ゴシック"/>
        <family val="2"/>
        <scheme val="minor"/>
      </rPr>
      <t>・1.57・γ</t>
    </r>
    <r>
      <rPr>
        <i/>
        <vertAlign val="subscript"/>
        <sz val="11"/>
        <color theme="1"/>
        <rFont val="Times New Roman"/>
        <family val="1"/>
      </rPr>
      <t>w</t>
    </r>
    <r>
      <rPr>
        <sz val="11"/>
        <color theme="1"/>
        <rFont val="游ゴシック"/>
        <family val="2"/>
        <scheme val="minor"/>
      </rPr>
      <t>・</t>
    </r>
    <r>
      <rPr>
        <i/>
        <sz val="11"/>
        <color theme="1"/>
        <rFont val="Times New Roman"/>
        <family val="1"/>
      </rPr>
      <t>h</t>
    </r>
    <r>
      <rPr>
        <i/>
        <vertAlign val="subscript"/>
        <sz val="11"/>
        <color theme="1"/>
        <rFont val="Times New Roman"/>
        <family val="1"/>
      </rPr>
      <t>w</t>
    </r>
    <phoneticPr fontId="3"/>
  </si>
  <si>
    <t>であるため、式を変形すると、</t>
    <rPh sb="6" eb="7">
      <t>シキ</t>
    </rPh>
    <rPh sb="8" eb="10">
      <t>ヘンケイ</t>
    </rPh>
    <phoneticPr fontId="3"/>
  </si>
  <si>
    <r>
      <rPr>
        <i/>
        <sz val="11"/>
        <color theme="1"/>
        <rFont val="Times New Roman"/>
        <family val="1"/>
      </rPr>
      <t>F</t>
    </r>
    <r>
      <rPr>
        <i/>
        <vertAlign val="subscript"/>
        <sz val="11"/>
        <color theme="1"/>
        <rFont val="Times New Roman"/>
        <family val="1"/>
      </rPr>
      <t>S</t>
    </r>
    <r>
      <rPr>
        <sz val="11"/>
        <color theme="1"/>
        <rFont val="游ゴシック"/>
        <family val="2"/>
        <scheme val="minor"/>
      </rPr>
      <t>・λ</t>
    </r>
    <r>
      <rPr>
        <vertAlign val="subscript"/>
        <sz val="11"/>
        <color theme="1"/>
        <rFont val="游ゴシック"/>
        <family val="3"/>
        <charset val="128"/>
        <scheme val="minor"/>
      </rPr>
      <t>1</t>
    </r>
    <r>
      <rPr>
        <sz val="11"/>
        <color theme="1"/>
        <rFont val="游ゴシック"/>
        <family val="2"/>
        <scheme val="minor"/>
      </rPr>
      <t>・λ</t>
    </r>
    <r>
      <rPr>
        <vertAlign val="subscript"/>
        <sz val="11"/>
        <color theme="1"/>
        <rFont val="游ゴシック"/>
        <family val="3"/>
        <charset val="128"/>
        <scheme val="minor"/>
      </rPr>
      <t>2</t>
    </r>
    <r>
      <rPr>
        <sz val="11"/>
        <color theme="1"/>
        <rFont val="游ゴシック"/>
        <family val="2"/>
        <scheme val="minor"/>
      </rPr>
      <t>・1.57・γ</t>
    </r>
    <r>
      <rPr>
        <i/>
        <vertAlign val="subscript"/>
        <sz val="11"/>
        <color theme="1"/>
        <rFont val="Times New Roman"/>
        <family val="1"/>
      </rPr>
      <t>w</t>
    </r>
    <r>
      <rPr>
        <sz val="11"/>
        <color theme="1"/>
        <rFont val="游ゴシック"/>
        <family val="2"/>
        <scheme val="minor"/>
      </rPr>
      <t>・</t>
    </r>
    <r>
      <rPr>
        <i/>
        <sz val="11"/>
        <color theme="1"/>
        <rFont val="Times New Roman"/>
        <family val="1"/>
      </rPr>
      <t>h</t>
    </r>
    <r>
      <rPr>
        <i/>
        <vertAlign val="subscript"/>
        <sz val="11"/>
        <color theme="1"/>
        <rFont val="Times New Roman"/>
        <family val="1"/>
      </rPr>
      <t>w</t>
    </r>
    <phoneticPr fontId="3"/>
  </si>
  <si>
    <t>γ’・4</t>
    <phoneticPr fontId="3"/>
  </si>
  <si>
    <t>ゴールシーク用のデータ</t>
    <rPh sb="6" eb="7">
      <t>ヨウ</t>
    </rPh>
    <phoneticPr fontId="3"/>
  </si>
  <si>
    <r>
      <t>仮ℓ</t>
    </r>
    <r>
      <rPr>
        <vertAlign val="subscript"/>
        <sz val="11"/>
        <color theme="1"/>
        <rFont val="游ゴシック"/>
        <family val="3"/>
        <charset val="128"/>
        <scheme val="minor"/>
      </rPr>
      <t>d</t>
    </r>
    <r>
      <rPr>
        <sz val="11"/>
        <color theme="1"/>
        <rFont val="游ゴシック"/>
        <family val="2"/>
        <scheme val="minor"/>
      </rPr>
      <t>=</t>
    </r>
    <rPh sb="0" eb="1">
      <t>カリ</t>
    </rPh>
    <phoneticPr fontId="3"/>
  </si>
  <si>
    <t>↑</t>
    <phoneticPr fontId="3"/>
  </si>
  <si>
    <t>変化させるセル</t>
    <rPh sb="0" eb="2">
      <t>ヘンカ</t>
    </rPh>
    <phoneticPr fontId="3"/>
  </si>
  <si>
    <t>数式入力セル</t>
    <rPh sb="0" eb="2">
      <t>スウシキ</t>
    </rPh>
    <rPh sb="2" eb="4">
      <t>ニュウリョク</t>
    </rPh>
    <phoneticPr fontId="3"/>
  </si>
  <si>
    <t>目標値「0」</t>
    <rPh sb="0" eb="2">
      <t>モクヒョウ</t>
    </rPh>
    <rPh sb="2" eb="3">
      <t>チ</t>
    </rPh>
    <phoneticPr fontId="3"/>
  </si>
  <si>
    <t>H11道仮p82</t>
    <phoneticPr fontId="3"/>
  </si>
  <si>
    <t>浸透流路長と水位差の比を考慮した式を用いる。</t>
    <rPh sb="0" eb="2">
      <t>シントウ</t>
    </rPh>
    <rPh sb="2" eb="4">
      <t>リュウロ</t>
    </rPh>
    <rPh sb="4" eb="5">
      <t>チョウ</t>
    </rPh>
    <rPh sb="6" eb="9">
      <t>スイイサ</t>
    </rPh>
    <rPh sb="10" eb="11">
      <t>ヒ</t>
    </rPh>
    <rPh sb="12" eb="14">
      <t>コウリョ</t>
    </rPh>
    <rPh sb="16" eb="17">
      <t>シキ</t>
    </rPh>
    <rPh sb="18" eb="19">
      <t>モチ</t>
    </rPh>
    <phoneticPr fontId="3"/>
  </si>
  <si>
    <r>
      <t>ℓ</t>
    </r>
    <r>
      <rPr>
        <i/>
        <vertAlign val="subscript"/>
        <sz val="11"/>
        <color theme="1"/>
        <rFont val="Times New Roman"/>
        <family val="1"/>
      </rPr>
      <t>h</t>
    </r>
    <r>
      <rPr>
        <sz val="11"/>
        <color theme="1"/>
        <rFont val="游ゴシック"/>
        <family val="2"/>
        <scheme val="minor"/>
      </rPr>
      <t xml:space="preserve"> + ℓ</t>
    </r>
    <r>
      <rPr>
        <i/>
        <vertAlign val="subscript"/>
        <sz val="11"/>
        <color theme="1"/>
        <rFont val="Times New Roman"/>
        <family val="1"/>
      </rPr>
      <t>d</t>
    </r>
    <r>
      <rPr>
        <sz val="11"/>
        <color theme="1"/>
        <rFont val="游ゴシック"/>
        <family val="2"/>
        <scheme val="minor"/>
      </rPr>
      <t xml:space="preserve"> ≧ 2</t>
    </r>
    <r>
      <rPr>
        <i/>
        <sz val="11"/>
        <color theme="1"/>
        <rFont val="Times New Roman"/>
        <family val="1"/>
      </rPr>
      <t>h</t>
    </r>
    <r>
      <rPr>
        <i/>
        <vertAlign val="subscript"/>
        <sz val="11"/>
        <color theme="1"/>
        <rFont val="Times New Roman"/>
        <family val="1"/>
      </rPr>
      <t>w</t>
    </r>
    <phoneticPr fontId="3"/>
  </si>
  <si>
    <r>
      <t>ℓ</t>
    </r>
    <r>
      <rPr>
        <i/>
        <vertAlign val="subscript"/>
        <sz val="11"/>
        <color theme="1"/>
        <rFont val="Times New Roman"/>
        <family val="1"/>
      </rPr>
      <t>h</t>
    </r>
    <r>
      <rPr>
        <sz val="11"/>
        <color theme="1"/>
        <rFont val="游ゴシック"/>
        <family val="2"/>
        <scheme val="minor"/>
      </rPr>
      <t>：背面側の浸透流路長（m）</t>
    </r>
    <rPh sb="3" eb="5">
      <t>ハイメン</t>
    </rPh>
    <rPh sb="5" eb="6">
      <t>ガワ</t>
    </rPh>
    <rPh sb="7" eb="9">
      <t>シントウ</t>
    </rPh>
    <rPh sb="9" eb="11">
      <t>リュウロ</t>
    </rPh>
    <rPh sb="11" eb="12">
      <t>チョウ</t>
    </rPh>
    <phoneticPr fontId="3"/>
  </si>
  <si>
    <t>ただし、背面地盤に礫層のような透水性の大きな</t>
    <rPh sb="4" eb="6">
      <t>ハイメン</t>
    </rPh>
    <rPh sb="6" eb="8">
      <t>ジバン</t>
    </rPh>
    <rPh sb="9" eb="10">
      <t>レキ</t>
    </rPh>
    <rPh sb="10" eb="11">
      <t>ソウ</t>
    </rPh>
    <rPh sb="15" eb="18">
      <t>トウスイセイ</t>
    </rPh>
    <rPh sb="19" eb="20">
      <t>オオ</t>
    </rPh>
    <phoneticPr fontId="3"/>
  </si>
  <si>
    <r>
      <t>地層がある場合はその層厚をℓ</t>
    </r>
    <r>
      <rPr>
        <i/>
        <vertAlign val="subscript"/>
        <sz val="11"/>
        <color theme="1"/>
        <rFont val="Times New Roman"/>
        <family val="1"/>
      </rPr>
      <t>h</t>
    </r>
    <r>
      <rPr>
        <sz val="11"/>
        <color theme="1"/>
        <rFont val="游ゴシック"/>
        <family val="2"/>
        <scheme val="minor"/>
      </rPr>
      <t>から控除する。</t>
    </r>
    <rPh sb="10" eb="12">
      <t>ソウアツ</t>
    </rPh>
    <rPh sb="17" eb="19">
      <t>コウジョ</t>
    </rPh>
    <phoneticPr fontId="3"/>
  </si>
  <si>
    <t>陸上掘削であるため、</t>
    <rPh sb="0" eb="2">
      <t>リクジョウ</t>
    </rPh>
    <rPh sb="2" eb="4">
      <t>クッサク</t>
    </rPh>
    <phoneticPr fontId="3"/>
  </si>
  <si>
    <r>
      <t>(ℓ</t>
    </r>
    <r>
      <rPr>
        <i/>
        <vertAlign val="subscript"/>
        <sz val="11"/>
        <color theme="1"/>
        <rFont val="Times New Roman"/>
        <family val="1"/>
      </rPr>
      <t>d</t>
    </r>
    <r>
      <rPr>
        <sz val="11"/>
        <color theme="1"/>
        <rFont val="游ゴシック"/>
        <family val="2"/>
        <scheme val="minor"/>
      </rPr>
      <t xml:space="preserve"> +  </t>
    </r>
    <r>
      <rPr>
        <i/>
        <sz val="11"/>
        <color theme="1"/>
        <rFont val="Times New Roman"/>
        <family val="1"/>
      </rPr>
      <t>h</t>
    </r>
    <r>
      <rPr>
        <i/>
        <vertAlign val="subscript"/>
        <sz val="11"/>
        <color theme="1"/>
        <rFont val="Times New Roman"/>
        <family val="1"/>
      </rPr>
      <t>w</t>
    </r>
    <r>
      <rPr>
        <sz val="11"/>
        <color theme="1"/>
        <rFont val="游ゴシック"/>
        <family val="2"/>
        <scheme val="minor"/>
      </rPr>
      <t>) + ℓ</t>
    </r>
    <r>
      <rPr>
        <i/>
        <vertAlign val="subscript"/>
        <sz val="11"/>
        <color theme="1"/>
        <rFont val="Times New Roman"/>
        <family val="1"/>
      </rPr>
      <t>d</t>
    </r>
    <r>
      <rPr>
        <sz val="11"/>
        <color theme="1"/>
        <rFont val="游ゴシック"/>
        <family val="2"/>
        <scheme val="minor"/>
      </rPr>
      <t xml:space="preserve"> ≧ 2</t>
    </r>
    <r>
      <rPr>
        <i/>
        <sz val="11"/>
        <color theme="1"/>
        <rFont val="Times New Roman"/>
        <family val="1"/>
      </rPr>
      <t>h</t>
    </r>
    <r>
      <rPr>
        <i/>
        <vertAlign val="subscript"/>
        <sz val="11"/>
        <color theme="1"/>
        <rFont val="Times New Roman"/>
        <family val="1"/>
      </rPr>
      <t>w</t>
    </r>
    <phoneticPr fontId="3"/>
  </si>
  <si>
    <r>
      <t>ℓ</t>
    </r>
    <r>
      <rPr>
        <i/>
        <vertAlign val="subscript"/>
        <sz val="11"/>
        <color theme="1"/>
        <rFont val="Times New Roman"/>
        <family val="1"/>
      </rPr>
      <t>d</t>
    </r>
    <r>
      <rPr>
        <sz val="11"/>
        <color theme="1"/>
        <rFont val="游ゴシック"/>
        <family val="2"/>
        <scheme val="minor"/>
      </rPr>
      <t xml:space="preserve"> ≧ </t>
    </r>
    <r>
      <rPr>
        <i/>
        <sz val="11"/>
        <color theme="1"/>
        <rFont val="Times New Roman"/>
        <family val="1"/>
      </rPr>
      <t>h</t>
    </r>
    <r>
      <rPr>
        <i/>
        <vertAlign val="subscript"/>
        <sz val="11"/>
        <color theme="1"/>
        <rFont val="Times New Roman"/>
        <family val="1"/>
      </rPr>
      <t>w</t>
    </r>
    <r>
      <rPr>
        <sz val="11"/>
        <color theme="1"/>
        <rFont val="游ゴシック"/>
        <family val="2"/>
        <scheme val="minor"/>
      </rPr>
      <t>/2</t>
    </r>
    <phoneticPr fontId="3"/>
  </si>
  <si>
    <t>/2</t>
    <phoneticPr fontId="3"/>
  </si>
  <si>
    <t>最下段切ばり設置直前</t>
    <phoneticPr fontId="3"/>
  </si>
  <si>
    <t>掘削完了時</t>
    <phoneticPr fontId="3"/>
  </si>
  <si>
    <t>地表面からの距離</t>
    <phoneticPr fontId="3"/>
  </si>
  <si>
    <t>以上より、土圧および水圧に対する安定から必要となる根入れ長は、</t>
    <rPh sb="0" eb="2">
      <t>イジョウ</t>
    </rPh>
    <phoneticPr fontId="3"/>
  </si>
  <si>
    <t>掘削底面の安定から定まる根入れ長</t>
    <phoneticPr fontId="3"/>
  </si>
  <si>
    <r>
      <t>ℓ</t>
    </r>
    <r>
      <rPr>
        <vertAlign val="subscript"/>
        <sz val="11"/>
        <color theme="1"/>
        <rFont val="游ゴシック"/>
        <family val="3"/>
        <charset val="128"/>
        <scheme val="minor"/>
      </rPr>
      <t>d</t>
    </r>
    <phoneticPr fontId="3"/>
  </si>
  <si>
    <t>3-1. 最下段切ばり設置直前</t>
    <rPh sb="5" eb="8">
      <t>サイゲダン</t>
    </rPh>
    <rPh sb="8" eb="9">
      <t>キリ</t>
    </rPh>
    <rPh sb="11" eb="13">
      <t>セッチ</t>
    </rPh>
    <rPh sb="13" eb="15">
      <t>チョクゼン</t>
    </rPh>
    <phoneticPr fontId="3"/>
  </si>
  <si>
    <t>3-1-1. 仮想支持点の計算</t>
    <rPh sb="7" eb="9">
      <t>カソウ</t>
    </rPh>
    <rPh sb="9" eb="11">
      <t>シジ</t>
    </rPh>
    <rPh sb="11" eb="12">
      <t>テン</t>
    </rPh>
    <rPh sb="13" eb="15">
      <t>ケイサン</t>
    </rPh>
    <phoneticPr fontId="3"/>
  </si>
  <si>
    <t>3-1-2. 最大曲げモーメントの計算</t>
    <rPh sb="7" eb="9">
      <t>サイダイ</t>
    </rPh>
    <rPh sb="9" eb="10">
      <t>マ</t>
    </rPh>
    <rPh sb="17" eb="19">
      <t>ケイサン</t>
    </rPh>
    <phoneticPr fontId="3"/>
  </si>
  <si>
    <t>H11道仮p90</t>
    <phoneticPr fontId="3"/>
  </si>
  <si>
    <t>3. 壁体の断面力算定</t>
    <rPh sb="3" eb="5">
      <t>ヘキタイ</t>
    </rPh>
    <rPh sb="6" eb="8">
      <t>ダンメン</t>
    </rPh>
    <rPh sb="8" eb="9">
      <t>リョク</t>
    </rPh>
    <rPh sb="9" eb="11">
      <t>サンテイ</t>
    </rPh>
    <phoneticPr fontId="3"/>
  </si>
  <si>
    <t>切ばりから、下方向にある仮想支持点までの距離は、下式により算出する。</t>
    <rPh sb="0" eb="1">
      <t>キリ</t>
    </rPh>
    <rPh sb="6" eb="9">
      <t>シタホウコウ</t>
    </rPh>
    <rPh sb="12" eb="14">
      <t>カソウ</t>
    </rPh>
    <rPh sb="14" eb="16">
      <t>シジ</t>
    </rPh>
    <rPh sb="16" eb="17">
      <t>テン</t>
    </rPh>
    <rPh sb="20" eb="22">
      <t>キョリ</t>
    </rPh>
    <rPh sb="24" eb="25">
      <t>シタ</t>
    </rPh>
    <rPh sb="25" eb="26">
      <t>シキ</t>
    </rPh>
    <rPh sb="29" eb="31">
      <t>サンシュツ</t>
    </rPh>
    <phoneticPr fontId="3"/>
  </si>
  <si>
    <t>3-2. 掘削完了時</t>
    <rPh sb="5" eb="7">
      <t>クッサク</t>
    </rPh>
    <rPh sb="7" eb="9">
      <t>カンリョウ</t>
    </rPh>
    <rPh sb="9" eb="10">
      <t>ジ</t>
    </rPh>
    <phoneticPr fontId="3"/>
  </si>
  <si>
    <r>
      <t>ℓ</t>
    </r>
    <r>
      <rPr>
        <vertAlign val="subscript"/>
        <sz val="11"/>
        <color theme="1"/>
        <rFont val="游ゴシック"/>
        <family val="3"/>
        <charset val="128"/>
        <scheme val="minor"/>
      </rPr>
      <t>0</t>
    </r>
    <r>
      <rPr>
        <vertAlign val="superscript"/>
        <sz val="11"/>
        <color theme="1"/>
        <rFont val="游ゴシック"/>
        <family val="3"/>
        <charset val="128"/>
        <scheme val="minor"/>
      </rPr>
      <t>3</t>
    </r>
    <r>
      <rPr>
        <sz val="11"/>
        <color theme="1"/>
        <rFont val="游ゴシック"/>
        <family val="2"/>
        <scheme val="minor"/>
      </rPr>
      <t>+</t>
    </r>
    <phoneticPr fontId="3"/>
  </si>
  <si>
    <r>
      <t>ℓ</t>
    </r>
    <r>
      <rPr>
        <vertAlign val="subscript"/>
        <sz val="11"/>
        <color theme="1"/>
        <rFont val="游ゴシック"/>
        <family val="3"/>
        <charset val="128"/>
        <scheme val="minor"/>
      </rPr>
      <t>0</t>
    </r>
    <r>
      <rPr>
        <vertAlign val="superscript"/>
        <sz val="11"/>
        <color theme="1"/>
        <rFont val="游ゴシック"/>
        <family val="3"/>
        <charset val="128"/>
        <scheme val="minor"/>
      </rPr>
      <t>2</t>
    </r>
    <r>
      <rPr>
        <sz val="11"/>
        <color theme="1"/>
        <rFont val="游ゴシック"/>
        <family val="2"/>
        <scheme val="minor"/>
      </rPr>
      <t>+</t>
    </r>
    <phoneticPr fontId="3"/>
  </si>
  <si>
    <t>∑Pp =</t>
    <phoneticPr fontId="3"/>
  </si>
  <si>
    <t>H11道仮p36</t>
    <phoneticPr fontId="3"/>
  </si>
  <si>
    <t>まず、単純ばりに作用させる断面決定用土圧は、H11道仮p36～38に従って算出する。</t>
    <rPh sb="3" eb="5">
      <t>タンジュン</t>
    </rPh>
    <rPh sb="8" eb="10">
      <t>サヨウ</t>
    </rPh>
    <rPh sb="13" eb="15">
      <t>ダンメン</t>
    </rPh>
    <rPh sb="15" eb="17">
      <t>ケッテイ</t>
    </rPh>
    <rPh sb="17" eb="18">
      <t>ヨウ</t>
    </rPh>
    <rPh sb="18" eb="20">
      <t>ドアツ</t>
    </rPh>
    <rPh sb="25" eb="26">
      <t>ミチ</t>
    </rPh>
    <rPh sb="26" eb="27">
      <t>カリ</t>
    </rPh>
    <rPh sb="34" eb="35">
      <t>シタガ</t>
    </rPh>
    <rPh sb="37" eb="39">
      <t>サンシュツ</t>
    </rPh>
    <phoneticPr fontId="3"/>
  </si>
  <si>
    <t>土質：</t>
    <rPh sb="0" eb="2">
      <t>ドシツ</t>
    </rPh>
    <phoneticPr fontId="3"/>
  </si>
  <si>
    <t>掘削深さ：</t>
    <rPh sb="0" eb="2">
      <t>クッサク</t>
    </rPh>
    <rPh sb="2" eb="3">
      <t>フカ</t>
    </rPh>
    <phoneticPr fontId="3"/>
  </si>
  <si>
    <t>掘削深さHによる係数は、</t>
    <rPh sb="0" eb="2">
      <t>クッサク</t>
    </rPh>
    <rPh sb="2" eb="3">
      <t>フカ</t>
    </rPh>
    <rPh sb="8" eb="10">
      <t>ケイスウ</t>
    </rPh>
    <phoneticPr fontId="3"/>
  </si>
  <si>
    <t>a=</t>
    <phoneticPr fontId="3"/>
  </si>
  <si>
    <t>地質による係数は、</t>
    <rPh sb="0" eb="2">
      <t>チシツ</t>
    </rPh>
    <rPh sb="5" eb="7">
      <t>ケイスウ</t>
    </rPh>
    <phoneticPr fontId="3"/>
  </si>
  <si>
    <t>b=</t>
    <phoneticPr fontId="3"/>
  </si>
  <si>
    <t>土の平均単位体積重量は、</t>
    <rPh sb="0" eb="1">
      <t>ツチ</t>
    </rPh>
    <rPh sb="2" eb="4">
      <t>ヘイキン</t>
    </rPh>
    <rPh sb="4" eb="6">
      <t>タンイ</t>
    </rPh>
    <rPh sb="6" eb="8">
      <t>タイセキ</t>
    </rPh>
    <rPh sb="8" eb="10">
      <t>ジュウリョウ</t>
    </rPh>
    <phoneticPr fontId="3"/>
  </si>
  <si>
    <r>
      <t>h</t>
    </r>
    <r>
      <rPr>
        <i/>
        <sz val="11"/>
        <color theme="1"/>
        <rFont val="游ゴシック"/>
        <family val="3"/>
        <charset val="128"/>
      </rPr>
      <t>・</t>
    </r>
    <r>
      <rPr>
        <i/>
        <sz val="11"/>
        <color theme="1"/>
        <rFont val="Times New Roman"/>
        <family val="1"/>
      </rPr>
      <t>γ</t>
    </r>
    <phoneticPr fontId="3"/>
  </si>
  <si>
    <t>(kN/m²)</t>
    <phoneticPr fontId="3"/>
  </si>
  <si>
    <t>∑h・γ</t>
    <phoneticPr fontId="3"/>
  </si>
  <si>
    <t>∑h</t>
    <phoneticPr fontId="3"/>
  </si>
  <si>
    <t>(kN/m³）</t>
    <phoneticPr fontId="3"/>
  </si>
  <si>
    <t>よって、主働土圧は</t>
    <rPh sb="4" eb="6">
      <t>シュドウ</t>
    </rPh>
    <rPh sb="6" eb="8">
      <t>ドアツ</t>
    </rPh>
    <phoneticPr fontId="3"/>
  </si>
  <si>
    <t>(kN/m²）</t>
    <phoneticPr fontId="3"/>
  </si>
  <si>
    <r>
      <rPr>
        <i/>
        <sz val="11"/>
        <color theme="1"/>
        <rFont val="Times New Roman"/>
        <family val="1"/>
      </rPr>
      <t>p</t>
    </r>
    <r>
      <rPr>
        <i/>
        <vertAlign val="subscript"/>
        <sz val="11"/>
        <color theme="1"/>
        <rFont val="Times New Roman"/>
        <family val="1"/>
      </rPr>
      <t>A</t>
    </r>
    <r>
      <rPr>
        <sz val="11"/>
        <color theme="1"/>
        <rFont val="Times New Roman"/>
        <family val="1"/>
      </rPr>
      <t>=</t>
    </r>
    <phoneticPr fontId="3"/>
  </si>
  <si>
    <r>
      <rPr>
        <i/>
        <sz val="11"/>
        <color theme="1"/>
        <rFont val="Times New Roman"/>
        <family val="1"/>
      </rPr>
      <t>p</t>
    </r>
    <r>
      <rPr>
        <i/>
        <vertAlign val="subscript"/>
        <sz val="11"/>
        <color theme="1"/>
        <rFont val="Times New Roman"/>
        <family val="1"/>
      </rPr>
      <t>5</t>
    </r>
    <r>
      <rPr>
        <i/>
        <vertAlign val="subscript"/>
        <sz val="11"/>
        <color theme="1"/>
        <rFont val="ＭＳ Ｐ明朝"/>
        <family val="1"/>
        <charset val="128"/>
      </rPr>
      <t>上</t>
    </r>
    <r>
      <rPr>
        <sz val="11"/>
        <color theme="1"/>
        <rFont val="Times New Roman"/>
        <family val="1"/>
      </rPr>
      <t>=</t>
    </r>
    <rPh sb="2" eb="3">
      <t>ウエ</t>
    </rPh>
    <phoneticPr fontId="3"/>
  </si>
  <si>
    <r>
      <rPr>
        <i/>
        <sz val="11"/>
        <color theme="1"/>
        <rFont val="Times New Roman"/>
        <family val="1"/>
      </rPr>
      <t>p</t>
    </r>
    <r>
      <rPr>
        <i/>
        <vertAlign val="subscript"/>
        <sz val="11"/>
        <color theme="1"/>
        <rFont val="Times New Roman"/>
        <family val="1"/>
      </rPr>
      <t>5</t>
    </r>
    <r>
      <rPr>
        <i/>
        <vertAlign val="subscript"/>
        <sz val="11"/>
        <color theme="1"/>
        <rFont val="ＭＳ Ｐ明朝"/>
        <family val="1"/>
        <charset val="128"/>
      </rPr>
      <t>下</t>
    </r>
    <r>
      <rPr>
        <sz val="11"/>
        <color theme="1"/>
        <rFont val="Times New Roman"/>
        <family val="1"/>
      </rPr>
      <t>=</t>
    </r>
    <rPh sb="2" eb="3">
      <t>シタ</t>
    </rPh>
    <phoneticPr fontId="3"/>
  </si>
  <si>
    <t>∑P</t>
    <phoneticPr fontId="3"/>
  </si>
  <si>
    <t>3-2-1. 仮想支持点の計算</t>
    <rPh sb="7" eb="9">
      <t>カソウ</t>
    </rPh>
    <rPh sb="9" eb="11">
      <t>シジ</t>
    </rPh>
    <rPh sb="11" eb="12">
      <t>テン</t>
    </rPh>
    <rPh sb="13" eb="15">
      <t>ケイサン</t>
    </rPh>
    <phoneticPr fontId="3"/>
  </si>
  <si>
    <t>3-2-2. 最大曲げモーメントの計算</t>
    <rPh sb="7" eb="9">
      <t>サイダイ</t>
    </rPh>
    <rPh sb="9" eb="10">
      <t>マ</t>
    </rPh>
    <rPh sb="17" eb="19">
      <t>ケイサン</t>
    </rPh>
    <phoneticPr fontId="3"/>
  </si>
  <si>
    <t>x²</t>
    <phoneticPr fontId="3"/>
  </si>
  <si>
    <r>
      <t>x</t>
    </r>
    <r>
      <rPr>
        <i/>
        <vertAlign val="superscript"/>
        <sz val="11"/>
        <color theme="1"/>
        <rFont val="Times New Roman"/>
        <family val="1"/>
      </rPr>
      <t>3</t>
    </r>
    <phoneticPr fontId="3"/>
  </si>
  <si>
    <t>√(</t>
    <phoneticPr fontId="3"/>
  </si>
  <si>
    <t>²</t>
    <phoneticPr fontId="3"/>
  </si>
  <si>
    <t>3-2-3. 曲げ応力度の照査</t>
    <rPh sb="7" eb="8">
      <t>マ</t>
    </rPh>
    <rPh sb="9" eb="12">
      <t>オウリョクド</t>
    </rPh>
    <rPh sb="13" eb="15">
      <t>ショウサ</t>
    </rPh>
    <phoneticPr fontId="3"/>
  </si>
  <si>
    <t>土の平均単位体積重量は、地表面から仮想支持点までの間における各層の平均なので</t>
    <rPh sb="0" eb="1">
      <t>ツチ</t>
    </rPh>
    <rPh sb="2" eb="4">
      <t>ヘイキン</t>
    </rPh>
    <rPh sb="4" eb="6">
      <t>タンイ</t>
    </rPh>
    <rPh sb="6" eb="8">
      <t>タイセキ</t>
    </rPh>
    <rPh sb="8" eb="10">
      <t>ジュウリョウ</t>
    </rPh>
    <rPh sb="12" eb="15">
      <t>チヒョウメン</t>
    </rPh>
    <rPh sb="17" eb="19">
      <t>カソウ</t>
    </rPh>
    <rPh sb="19" eb="21">
      <t>シジ</t>
    </rPh>
    <rPh sb="21" eb="22">
      <t>テン</t>
    </rPh>
    <rPh sb="25" eb="26">
      <t>アイダ</t>
    </rPh>
    <rPh sb="30" eb="32">
      <t>カクソウ</t>
    </rPh>
    <rPh sb="33" eb="35">
      <t>ヘイキン</t>
    </rPh>
    <phoneticPr fontId="3"/>
  </si>
  <si>
    <t>なお、地表面での上載荷重は、平均単位体積重量を用いて「厚さ」に換算する。</t>
    <rPh sb="3" eb="6">
      <t>チヒョウメン</t>
    </rPh>
    <rPh sb="8" eb="9">
      <t>ウエ</t>
    </rPh>
    <rPh sb="9" eb="10">
      <t>サイ</t>
    </rPh>
    <rPh sb="10" eb="12">
      <t>カジュウ</t>
    </rPh>
    <rPh sb="14" eb="16">
      <t>ヘイキン</t>
    </rPh>
    <rPh sb="16" eb="18">
      <t>タンイ</t>
    </rPh>
    <rPh sb="18" eb="20">
      <t>タイセキ</t>
    </rPh>
    <rPh sb="20" eb="22">
      <t>ジュウリョウ</t>
    </rPh>
    <rPh sb="23" eb="24">
      <t>モチ</t>
    </rPh>
    <rPh sb="27" eb="28">
      <t>アツ</t>
    </rPh>
    <rPh sb="31" eb="33">
      <t>カンサン</t>
    </rPh>
    <phoneticPr fontId="3"/>
  </si>
  <si>
    <t>換算土厚</t>
    <rPh sb="0" eb="2">
      <t>カンサン</t>
    </rPh>
    <rPh sb="2" eb="3">
      <t>ツチ</t>
    </rPh>
    <rPh sb="3" eb="4">
      <t>アツ</t>
    </rPh>
    <phoneticPr fontId="3"/>
  </si>
  <si>
    <t>a. 土圧</t>
    <rPh sb="3" eb="5">
      <t>ドアツ</t>
    </rPh>
    <phoneticPr fontId="3"/>
  </si>
  <si>
    <t>b. 水圧</t>
    <rPh sb="3" eb="5">
      <t>スイアツ</t>
    </rPh>
    <phoneticPr fontId="3"/>
  </si>
  <si>
    <t>土留めに作用する水圧は静水圧とし、掘削底面まで増加、掘削底面からつり合い深さまで減少する</t>
    <rPh sb="0" eb="2">
      <t>ドドメ</t>
    </rPh>
    <rPh sb="4" eb="6">
      <t>サヨウ</t>
    </rPh>
    <rPh sb="8" eb="10">
      <t>スイアツ</t>
    </rPh>
    <rPh sb="11" eb="14">
      <t>セイスイアツ</t>
    </rPh>
    <rPh sb="17" eb="19">
      <t>クッサク</t>
    </rPh>
    <rPh sb="19" eb="21">
      <t>テイメン</t>
    </rPh>
    <rPh sb="23" eb="25">
      <t>ゾウカ</t>
    </rPh>
    <rPh sb="26" eb="28">
      <t>クッサク</t>
    </rPh>
    <rPh sb="28" eb="30">
      <t>テイメン</t>
    </rPh>
    <rPh sb="34" eb="35">
      <t>ア</t>
    </rPh>
    <rPh sb="36" eb="37">
      <t>フカ</t>
    </rPh>
    <phoneticPr fontId="3"/>
  </si>
  <si>
    <t>三角形分布とする。</t>
    <phoneticPr fontId="3"/>
  </si>
  <si>
    <t>2-1-1. 最下段切ばり設置直前</t>
    <rPh sb="7" eb="10">
      <t>サイゲダン</t>
    </rPh>
    <rPh sb="10" eb="11">
      <t>キリ</t>
    </rPh>
    <rPh sb="13" eb="15">
      <t>セッチ</t>
    </rPh>
    <rPh sb="15" eb="17">
      <t>チョクゼン</t>
    </rPh>
    <phoneticPr fontId="3"/>
  </si>
  <si>
    <t>2-1-2. 掘削完了時</t>
    <rPh sb="7" eb="9">
      <t>クッサク</t>
    </rPh>
    <rPh sb="9" eb="11">
      <t>カンリョウ</t>
    </rPh>
    <rPh sb="11" eb="12">
      <t>ジ</t>
    </rPh>
    <phoneticPr fontId="3"/>
  </si>
  <si>
    <t>2-1-3. 結果の比較</t>
    <rPh sb="7" eb="9">
      <t>ケッカ</t>
    </rPh>
    <rPh sb="10" eb="12">
      <t>ヒカク</t>
    </rPh>
    <phoneticPr fontId="3"/>
  </si>
  <si>
    <t>0層</t>
    <rPh sb="1" eb="2">
      <t>ソウ</t>
    </rPh>
    <phoneticPr fontId="3"/>
  </si>
  <si>
    <r>
      <rPr>
        <i/>
        <sz val="11"/>
        <color theme="1"/>
        <rFont val="Times New Roman"/>
        <family val="1"/>
      </rPr>
      <t>p</t>
    </r>
    <r>
      <rPr>
        <i/>
        <vertAlign val="subscript"/>
        <sz val="11"/>
        <color theme="1"/>
        <rFont val="Times New Roman"/>
        <family val="1"/>
      </rPr>
      <t>a0</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</si>
  <si>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a0</t>
    </r>
    <r>
      <rPr>
        <i/>
        <vertAlign val="subscript"/>
        <sz val="11"/>
        <color theme="1"/>
        <rFont val="ＭＳ Ｐ明朝"/>
        <family val="1"/>
        <charset val="128"/>
      </rPr>
      <t>下</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</si>
  <si>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w0</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</si>
  <si>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w0</t>
    </r>
    <r>
      <rPr>
        <i/>
        <vertAlign val="subscript"/>
        <sz val="11"/>
        <color theme="1"/>
        <rFont val="ＭＳ Ｐ明朝"/>
        <family val="1"/>
        <charset val="128"/>
      </rPr>
      <t>下</t>
    </r>
    <r>
      <rPr>
        <sz val="11"/>
        <color theme="1"/>
        <rFont val="Times New Roman"/>
        <family val="1"/>
      </rPr>
      <t>=</t>
    </r>
    <rPh sb="3" eb="4">
      <t>シタ</t>
    </rPh>
    <phoneticPr fontId="3"/>
  </si>
  <si>
    <t>c. 受働土圧</t>
    <rPh sb="3" eb="5">
      <t>ジュドウ</t>
    </rPh>
    <rPh sb="5" eb="7">
      <t>ドアツ</t>
    </rPh>
    <phoneticPr fontId="3"/>
  </si>
  <si>
    <t>受働土圧は、根入れ長の決定に用いた値を採用する。</t>
    <rPh sb="0" eb="2">
      <t>ジュドウ</t>
    </rPh>
    <rPh sb="2" eb="4">
      <t>ドアツ</t>
    </rPh>
    <rPh sb="6" eb="8">
      <t>ネイ</t>
    </rPh>
    <rPh sb="9" eb="10">
      <t>チョウ</t>
    </rPh>
    <rPh sb="11" eb="13">
      <t>ケッテイ</t>
    </rPh>
    <rPh sb="14" eb="15">
      <t>モチ</t>
    </rPh>
    <rPh sb="17" eb="18">
      <t>アタイ</t>
    </rPh>
    <rPh sb="19" eb="21">
      <t>サイヨウ</t>
    </rPh>
    <phoneticPr fontId="3"/>
  </si>
  <si>
    <r>
      <t>y</t>
    </r>
    <r>
      <rPr>
        <i/>
        <vertAlign val="subscript"/>
        <sz val="11"/>
        <color theme="1"/>
        <rFont val="Times New Roman"/>
        <family val="1"/>
      </rPr>
      <t>p</t>
    </r>
    <phoneticPr fontId="3"/>
  </si>
  <si>
    <r>
      <rPr>
        <i/>
        <sz val="11"/>
        <color theme="1"/>
        <rFont val="Times New Roman"/>
        <family val="1"/>
      </rPr>
      <t>p</t>
    </r>
    <r>
      <rPr>
        <i/>
        <vertAlign val="subscript"/>
        <sz val="11"/>
        <color theme="1"/>
        <rFont val="Times New Roman"/>
        <family val="1"/>
      </rPr>
      <t>4</t>
    </r>
    <r>
      <rPr>
        <i/>
        <vertAlign val="subscript"/>
        <sz val="11"/>
        <color theme="1"/>
        <rFont val="ＭＳ Ｐ明朝"/>
        <family val="1"/>
        <charset val="128"/>
      </rPr>
      <t>上</t>
    </r>
    <r>
      <rPr>
        <sz val="11"/>
        <color theme="1"/>
        <rFont val="Times New Roman"/>
        <family val="1"/>
      </rPr>
      <t>=</t>
    </r>
    <rPh sb="2" eb="3">
      <t>ウエ</t>
    </rPh>
    <phoneticPr fontId="3"/>
  </si>
  <si>
    <r>
      <rPr>
        <i/>
        <sz val="11"/>
        <color theme="1"/>
        <rFont val="Times New Roman"/>
        <family val="1"/>
      </rPr>
      <t>p</t>
    </r>
    <r>
      <rPr>
        <i/>
        <vertAlign val="subscript"/>
        <sz val="11"/>
        <color theme="1"/>
        <rFont val="Times New Roman"/>
        <family val="1"/>
      </rPr>
      <t>4</t>
    </r>
    <r>
      <rPr>
        <i/>
        <vertAlign val="subscript"/>
        <sz val="11"/>
        <color theme="1"/>
        <rFont val="ＭＳ Ｐ明朝"/>
        <family val="1"/>
        <charset val="128"/>
      </rPr>
      <t>下</t>
    </r>
    <r>
      <rPr>
        <sz val="11"/>
        <color theme="1"/>
        <rFont val="Times New Roman"/>
        <family val="1"/>
      </rPr>
      <t>=</t>
    </r>
    <rPh sb="2" eb="3">
      <t>シタ</t>
    </rPh>
    <phoneticPr fontId="3"/>
  </si>
  <si>
    <t>仮想支持点の最小値は、「掘削底面以深75cm（H11道仮p91）」であるが、</t>
    <rPh sb="0" eb="2">
      <t>カソウ</t>
    </rPh>
    <rPh sb="2" eb="4">
      <t>シジ</t>
    </rPh>
    <rPh sb="4" eb="5">
      <t>テン</t>
    </rPh>
    <rPh sb="6" eb="9">
      <t>サイショウチ</t>
    </rPh>
    <rPh sb="12" eb="14">
      <t>クッサク</t>
    </rPh>
    <rPh sb="14" eb="15">
      <t>ソコ</t>
    </rPh>
    <rPh sb="15" eb="16">
      <t>メン</t>
    </rPh>
    <rPh sb="16" eb="18">
      <t>イシン</t>
    </rPh>
    <rPh sb="26" eb="27">
      <t>ミチ</t>
    </rPh>
    <rPh sb="27" eb="28">
      <t>カリ</t>
    </rPh>
    <phoneticPr fontId="3"/>
  </si>
  <si>
    <t>各層の値を合計すると、</t>
    <rPh sb="0" eb="2">
      <t>カクソウ</t>
    </rPh>
    <rPh sb="3" eb="4">
      <t>アタイ</t>
    </rPh>
    <rPh sb="5" eb="7">
      <t>ゴウケイ</t>
    </rPh>
    <phoneticPr fontId="3"/>
  </si>
  <si>
    <r>
      <t>掘削底面からp=0までの距離をℓ</t>
    </r>
    <r>
      <rPr>
        <vertAlign val="subscript"/>
        <sz val="11"/>
        <color theme="1"/>
        <rFont val="游ゴシック"/>
        <family val="3"/>
        <charset val="128"/>
        <scheme val="minor"/>
      </rPr>
      <t>e</t>
    </r>
    <r>
      <rPr>
        <sz val="11"/>
        <color theme="1"/>
        <rFont val="游ゴシック"/>
        <family val="2"/>
        <scheme val="minor"/>
      </rPr>
      <t>とすると、</t>
    </r>
    <rPh sb="0" eb="2">
      <t>クッサク</t>
    </rPh>
    <rPh sb="2" eb="3">
      <t>ソコ</t>
    </rPh>
    <rPh sb="3" eb="4">
      <t>メン</t>
    </rPh>
    <rPh sb="12" eb="14">
      <t>キョリ</t>
    </rPh>
    <phoneticPr fontId="3"/>
  </si>
  <si>
    <r>
      <t>ℓ</t>
    </r>
    <r>
      <rPr>
        <vertAlign val="subscript"/>
        <sz val="11"/>
        <color theme="1"/>
        <rFont val="游ゴシック"/>
        <family val="3"/>
        <charset val="128"/>
        <scheme val="minor"/>
      </rPr>
      <t>e</t>
    </r>
    <phoneticPr fontId="3"/>
  </si>
  <si>
    <r>
      <rPr>
        <i/>
        <sz val="11"/>
        <color theme="1"/>
        <rFont val="Times New Roman"/>
        <family val="1"/>
      </rPr>
      <t>p</t>
    </r>
    <r>
      <rPr>
        <i/>
        <vertAlign val="subscript"/>
        <sz val="11"/>
        <color theme="1"/>
        <rFont val="Times New Roman"/>
        <family val="1"/>
      </rPr>
      <t>4</t>
    </r>
    <r>
      <rPr>
        <i/>
        <vertAlign val="subscript"/>
        <sz val="11"/>
        <color theme="1"/>
        <rFont val="ＭＳ Ｐ明朝"/>
        <family val="1"/>
        <charset val="128"/>
      </rPr>
      <t>上</t>
    </r>
    <rPh sb="2" eb="3">
      <t>ウエ</t>
    </rPh>
    <phoneticPr fontId="3"/>
  </si>
  <si>
    <r>
      <rPr>
        <i/>
        <sz val="11"/>
        <color theme="1"/>
        <rFont val="Times New Roman"/>
        <family val="1"/>
      </rPr>
      <t>p</t>
    </r>
    <r>
      <rPr>
        <i/>
        <vertAlign val="subscript"/>
        <sz val="11"/>
        <color theme="1"/>
        <rFont val="Times New Roman"/>
        <family val="1"/>
      </rPr>
      <t>4</t>
    </r>
    <r>
      <rPr>
        <i/>
        <vertAlign val="subscript"/>
        <sz val="11"/>
        <color theme="1"/>
        <rFont val="ＭＳ Ｐ明朝"/>
        <family val="1"/>
        <charset val="128"/>
      </rPr>
      <t>下</t>
    </r>
    <rPh sb="2" eb="3">
      <t>シタ</t>
    </rPh>
    <phoneticPr fontId="3"/>
  </si>
  <si>
    <r>
      <t>3-ℓ</t>
    </r>
    <r>
      <rPr>
        <vertAlign val="subscript"/>
        <sz val="11"/>
        <rFont val="游ゴシック"/>
        <family val="3"/>
        <charset val="128"/>
        <scheme val="minor"/>
      </rPr>
      <t>e</t>
    </r>
    <phoneticPr fontId="3"/>
  </si>
  <si>
    <t>断面力の算定は、最下段の切ばりと仮想支持点を支点とする単純ばりとして計算する</t>
    <rPh sb="0" eb="3">
      <t>ダンメンリョク</t>
    </rPh>
    <rPh sb="4" eb="6">
      <t>サンテイ</t>
    </rPh>
    <rPh sb="8" eb="11">
      <t>サイゲダン</t>
    </rPh>
    <rPh sb="12" eb="13">
      <t>キ</t>
    </rPh>
    <rPh sb="16" eb="18">
      <t>カソウ</t>
    </rPh>
    <rPh sb="18" eb="21">
      <t>シジテン</t>
    </rPh>
    <rPh sb="22" eb="24">
      <t>シテン</t>
    </rPh>
    <rPh sb="27" eb="29">
      <t>タンジュン</t>
    </rPh>
    <rPh sb="34" eb="36">
      <t>ケイサン</t>
    </rPh>
    <phoneticPr fontId="3"/>
  </si>
  <si>
    <t>また、pが負となる作用力は無視する。</t>
    <rPh sb="5" eb="6">
      <t>フ</t>
    </rPh>
    <rPh sb="9" eb="12">
      <t>サヨウリョク</t>
    </rPh>
    <rPh sb="13" eb="15">
      <t>ムシ</t>
    </rPh>
    <phoneticPr fontId="3"/>
  </si>
  <si>
    <t>0点</t>
    <rPh sb="1" eb="2">
      <t>テン</t>
    </rPh>
    <phoneticPr fontId="3"/>
  </si>
  <si>
    <r>
      <rPr>
        <i/>
        <sz val="11"/>
        <color theme="1"/>
        <rFont val="Times New Roman"/>
        <family val="1"/>
      </rPr>
      <t>p</t>
    </r>
    <r>
      <rPr>
        <i/>
        <vertAlign val="subscript"/>
        <sz val="11"/>
        <color theme="1"/>
        <rFont val="Times New Roman"/>
        <family val="1"/>
      </rPr>
      <t>0</t>
    </r>
    <r>
      <rPr>
        <sz val="11"/>
        <color theme="1"/>
        <rFont val="Times New Roman"/>
        <family val="1"/>
      </rPr>
      <t>=</t>
    </r>
    <phoneticPr fontId="3"/>
  </si>
  <si>
    <t>　最大曲げモーメントは、「3層」で発生すると想定されるので、A点から下方向に距離 「x」 を定義し、その「x」から上部方向における曲げモーメントを計算する。</t>
    <rPh sb="1" eb="3">
      <t>サイダイ</t>
    </rPh>
    <rPh sb="3" eb="4">
      <t>マ</t>
    </rPh>
    <rPh sb="14" eb="15">
      <t>ソウ</t>
    </rPh>
    <rPh sb="17" eb="19">
      <t>ハッセイ</t>
    </rPh>
    <rPh sb="22" eb="24">
      <t>ソウテイ</t>
    </rPh>
    <rPh sb="31" eb="32">
      <t>テン</t>
    </rPh>
    <rPh sb="34" eb="37">
      <t>シタホウコウ</t>
    </rPh>
    <rPh sb="38" eb="40">
      <t>キョリ</t>
    </rPh>
    <rPh sb="46" eb="48">
      <t>テイギ</t>
    </rPh>
    <rPh sb="57" eb="59">
      <t>ジョウブ</t>
    </rPh>
    <rPh sb="59" eb="61">
      <t>ホウコウ</t>
    </rPh>
    <rPh sb="65" eb="66">
      <t>マ</t>
    </rPh>
    <rPh sb="73" eb="75">
      <t>ケイサン</t>
    </rPh>
    <phoneticPr fontId="3"/>
  </si>
  <si>
    <r>
      <rPr>
        <i/>
        <sz val="11"/>
        <color theme="1"/>
        <rFont val="Times New Roman"/>
        <family val="1"/>
      </rPr>
      <t>p</t>
    </r>
    <r>
      <rPr>
        <i/>
        <vertAlign val="subscript"/>
        <sz val="11"/>
        <color theme="1"/>
        <rFont val="Times New Roman"/>
        <family val="1"/>
      </rPr>
      <t>3'</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</si>
  <si>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3'</t>
    </r>
    <r>
      <rPr>
        <i/>
        <vertAlign val="subscript"/>
        <sz val="11"/>
        <color theme="1"/>
        <rFont val="ＭＳ Ｐ明朝"/>
        <family val="1"/>
        <charset val="128"/>
      </rPr>
      <t>下</t>
    </r>
    <r>
      <rPr>
        <sz val="11"/>
        <color theme="1"/>
        <rFont val="Times New Roman"/>
        <family val="1"/>
      </rPr>
      <t>=</t>
    </r>
    <rPh sb="3" eb="4">
      <t>シタ</t>
    </rPh>
    <phoneticPr fontId="3"/>
  </si>
  <si>
    <r>
      <rPr>
        <i/>
        <sz val="11"/>
        <color theme="1"/>
        <rFont val="Times New Roman"/>
        <family val="1"/>
      </rPr>
      <t>p</t>
    </r>
    <r>
      <rPr>
        <i/>
        <vertAlign val="subscript"/>
        <sz val="11"/>
        <color theme="1"/>
        <rFont val="Times New Roman"/>
        <family val="1"/>
      </rPr>
      <t>4'</t>
    </r>
    <r>
      <rPr>
        <i/>
        <vertAlign val="subscript"/>
        <sz val="11"/>
        <color theme="1"/>
        <rFont val="ＭＳ Ｐ明朝"/>
        <family val="1"/>
        <charset val="128"/>
      </rPr>
      <t>上</t>
    </r>
    <r>
      <rPr>
        <sz val="11"/>
        <color theme="1"/>
        <rFont val="Times New Roman"/>
        <family val="1"/>
      </rPr>
      <t>=</t>
    </r>
    <rPh sb="3" eb="4">
      <t>ウエ</t>
    </rPh>
    <phoneticPr fontId="3"/>
  </si>
  <si>
    <r>
      <rPr>
        <i/>
        <sz val="11"/>
        <color theme="1"/>
        <rFont val="Times New Roman"/>
        <family val="1"/>
      </rPr>
      <t>p</t>
    </r>
    <r>
      <rPr>
        <i/>
        <vertAlign val="subscript"/>
        <sz val="11"/>
        <color theme="1"/>
        <rFont val="Times New Roman"/>
        <family val="1"/>
      </rPr>
      <t>4'</t>
    </r>
    <r>
      <rPr>
        <i/>
        <vertAlign val="subscript"/>
        <sz val="11"/>
        <color theme="1"/>
        <rFont val="ＭＳ Ｐ明朝"/>
        <family val="1"/>
        <charset val="128"/>
      </rPr>
      <t>下</t>
    </r>
    <r>
      <rPr>
        <sz val="11"/>
        <color theme="1"/>
        <rFont val="Times New Roman"/>
        <family val="1"/>
      </rPr>
      <t>=</t>
    </r>
    <rPh sb="3" eb="4">
      <t>シタ</t>
    </rPh>
    <phoneticPr fontId="3"/>
  </si>
  <si>
    <r>
      <t>p</t>
    </r>
    <r>
      <rPr>
        <i/>
        <vertAlign val="subscript"/>
        <sz val="11"/>
        <color theme="1"/>
        <rFont val="Times New Roman"/>
        <family val="1"/>
      </rPr>
      <t>4'</t>
    </r>
    <r>
      <rPr>
        <i/>
        <vertAlign val="subscript"/>
        <sz val="11"/>
        <color theme="1"/>
        <rFont val="ＭＳ Ｐ明朝"/>
        <family val="1"/>
        <charset val="128"/>
      </rPr>
      <t>上</t>
    </r>
    <rPh sb="3" eb="4">
      <t>ウエ</t>
    </rPh>
    <phoneticPr fontId="3"/>
  </si>
  <si>
    <r>
      <t>p</t>
    </r>
    <r>
      <rPr>
        <i/>
        <vertAlign val="subscript"/>
        <sz val="11"/>
        <color theme="1"/>
        <rFont val="Times New Roman"/>
        <family val="1"/>
      </rPr>
      <t>4'</t>
    </r>
    <r>
      <rPr>
        <i/>
        <vertAlign val="subscript"/>
        <sz val="11"/>
        <color theme="1"/>
        <rFont val="ＭＳ Ｐ明朝"/>
        <family val="1"/>
        <charset val="128"/>
      </rPr>
      <t>下</t>
    </r>
    <rPh sb="3" eb="4">
      <t>シタ</t>
    </rPh>
    <phoneticPr fontId="3"/>
  </si>
  <si>
    <r>
      <t>ℓ</t>
    </r>
    <r>
      <rPr>
        <vertAlign val="subscript"/>
        <sz val="11"/>
        <rFont val="游ゴシック"/>
        <family val="3"/>
        <charset val="128"/>
        <scheme val="minor"/>
      </rPr>
      <t>e</t>
    </r>
    <phoneticPr fontId="3"/>
  </si>
  <si>
    <t>断面力の算定は、切ばりと仮想支持点を支点とする単純ばりとして計算する</t>
    <rPh sb="0" eb="3">
      <t>ダンメンリョク</t>
    </rPh>
    <rPh sb="4" eb="6">
      <t>サンテイ</t>
    </rPh>
    <rPh sb="8" eb="9">
      <t>キ</t>
    </rPh>
    <rPh sb="12" eb="14">
      <t>カソウ</t>
    </rPh>
    <rPh sb="14" eb="17">
      <t>シジテン</t>
    </rPh>
    <rPh sb="18" eb="20">
      <t>シテン</t>
    </rPh>
    <rPh sb="23" eb="25">
      <t>タンジュン</t>
    </rPh>
    <rPh sb="30" eb="32">
      <t>ケイサン</t>
    </rPh>
    <phoneticPr fontId="3"/>
  </si>
  <si>
    <r>
      <rPr>
        <i/>
        <sz val="11"/>
        <color theme="1"/>
        <rFont val="Times New Roman"/>
        <family val="1"/>
      </rPr>
      <t>p</t>
    </r>
    <r>
      <rPr>
        <i/>
        <vertAlign val="subscript"/>
        <sz val="11"/>
        <color theme="1"/>
        <rFont val="Times New Roman"/>
        <family val="1"/>
      </rPr>
      <t>0</t>
    </r>
    <r>
      <rPr>
        <i/>
        <vertAlign val="subscript"/>
        <sz val="11"/>
        <color theme="1"/>
        <rFont val="ＭＳ Ｐ明朝"/>
        <family val="1"/>
        <charset val="128"/>
      </rPr>
      <t>上</t>
    </r>
    <r>
      <rPr>
        <sz val="11"/>
        <color theme="1"/>
        <rFont val="Times New Roman"/>
        <family val="1"/>
      </rPr>
      <t>=</t>
    </r>
    <rPh sb="2" eb="3">
      <t>ウエ</t>
    </rPh>
    <phoneticPr fontId="3"/>
  </si>
  <si>
    <r>
      <rPr>
        <i/>
        <sz val="11"/>
        <color theme="1"/>
        <rFont val="Times New Roman"/>
        <family val="1"/>
      </rPr>
      <t>p</t>
    </r>
    <r>
      <rPr>
        <i/>
        <vertAlign val="subscript"/>
        <sz val="11"/>
        <color theme="1"/>
        <rFont val="Times New Roman"/>
        <family val="1"/>
      </rPr>
      <t>0</t>
    </r>
    <r>
      <rPr>
        <i/>
        <vertAlign val="subscript"/>
        <sz val="11"/>
        <color theme="1"/>
        <rFont val="ＭＳ Ｐ明朝"/>
        <family val="1"/>
        <charset val="128"/>
      </rPr>
      <t>下</t>
    </r>
    <r>
      <rPr>
        <sz val="11"/>
        <color theme="1"/>
        <rFont val="Times New Roman"/>
        <family val="1"/>
      </rPr>
      <t>=</t>
    </r>
    <rPh sb="2" eb="3">
      <t>シタ</t>
    </rPh>
    <phoneticPr fontId="3"/>
  </si>
  <si>
    <t>上面</t>
    <rPh sb="0" eb="1">
      <t>ウエ</t>
    </rPh>
    <rPh sb="1" eb="2">
      <t>メン</t>
    </rPh>
    <phoneticPr fontId="3"/>
  </si>
  <si>
    <r>
      <rPr>
        <i/>
        <sz val="11"/>
        <color theme="1"/>
        <rFont val="Times New Roman"/>
        <family val="1"/>
      </rPr>
      <t>p</t>
    </r>
    <r>
      <rPr>
        <i/>
        <vertAlign val="subscript"/>
        <sz val="11"/>
        <color theme="1"/>
        <rFont val="Times New Roman"/>
        <family val="1"/>
      </rPr>
      <t>x</t>
    </r>
    <r>
      <rPr>
        <sz val="11"/>
        <color theme="1"/>
        <rFont val="Times New Roman"/>
        <family val="1"/>
      </rPr>
      <t>=</t>
    </r>
    <phoneticPr fontId="3"/>
  </si>
  <si>
    <t>「x」から重心の鉛直距離</t>
    <rPh sb="5" eb="7">
      <t>ジュウシン</t>
    </rPh>
    <rPh sb="8" eb="10">
      <t>エンチョク</t>
    </rPh>
    <rPh sb="10" eb="12">
      <t>キョリ</t>
    </rPh>
    <phoneticPr fontId="3"/>
  </si>
  <si>
    <t>3-1-3. 曲げ応力度の照査</t>
    <rPh sb="7" eb="8">
      <t>マ</t>
    </rPh>
    <rPh sb="9" eb="12">
      <t>オウリョクド</t>
    </rPh>
    <rPh sb="13" eb="15">
      <t>ショウサ</t>
    </rPh>
    <phoneticPr fontId="3"/>
  </si>
  <si>
    <t>鋼矢板に発生する最大曲げ応力度が、許容応力度以下であれば「OK」と判定し、「4. 支保の設計」に進む。</t>
    <rPh sb="0" eb="3">
      <t>コウヤイタ</t>
    </rPh>
    <rPh sb="4" eb="6">
      <t>ハッセイ</t>
    </rPh>
    <rPh sb="8" eb="10">
      <t>サイダイ</t>
    </rPh>
    <rPh sb="10" eb="11">
      <t>マ</t>
    </rPh>
    <rPh sb="12" eb="14">
      <t>オウリョク</t>
    </rPh>
    <rPh sb="14" eb="15">
      <t>ド</t>
    </rPh>
    <rPh sb="17" eb="19">
      <t>キョヨウ</t>
    </rPh>
    <rPh sb="19" eb="21">
      <t>オウリョク</t>
    </rPh>
    <rPh sb="21" eb="22">
      <t>ド</t>
    </rPh>
    <rPh sb="22" eb="24">
      <t>イカ</t>
    </rPh>
    <rPh sb="33" eb="35">
      <t>ハンテイ</t>
    </rPh>
    <rPh sb="41" eb="42">
      <t>ササ</t>
    </rPh>
    <rPh sb="42" eb="43">
      <t>タモツ</t>
    </rPh>
    <rPh sb="44" eb="46">
      <t>セッケイ</t>
    </rPh>
    <rPh sb="48" eb="49">
      <t>スス</t>
    </rPh>
    <phoneticPr fontId="3"/>
  </si>
  <si>
    <t>鋼矢板に発生する最大曲げ応力度が、許容応力度以下であれば「OK」と判定し、「3-2. 掘削完了時」に進む。</t>
    <rPh sb="0" eb="3">
      <t>コウヤイタ</t>
    </rPh>
    <rPh sb="4" eb="6">
      <t>ハッセイ</t>
    </rPh>
    <rPh sb="8" eb="10">
      <t>サイダイ</t>
    </rPh>
    <rPh sb="10" eb="11">
      <t>マ</t>
    </rPh>
    <rPh sb="12" eb="14">
      <t>オウリョク</t>
    </rPh>
    <rPh sb="14" eb="15">
      <t>ド</t>
    </rPh>
    <rPh sb="17" eb="19">
      <t>キョヨウ</t>
    </rPh>
    <rPh sb="19" eb="21">
      <t>オウリョク</t>
    </rPh>
    <rPh sb="21" eb="22">
      <t>ド</t>
    </rPh>
    <rPh sb="22" eb="24">
      <t>イカ</t>
    </rPh>
    <rPh sb="33" eb="35">
      <t>ハンテイ</t>
    </rPh>
    <rPh sb="50" eb="51">
      <t>スス</t>
    </rPh>
    <phoneticPr fontId="3"/>
  </si>
  <si>
    <t>)－</t>
    <phoneticPr fontId="3"/>
  </si>
  <si>
    <t>・(</t>
    <phoneticPr fontId="3"/>
  </si>
  <si>
    <t>H11道仮p.92</t>
    <rPh sb="3" eb="5">
      <t>ミチカリ</t>
    </rPh>
    <phoneticPr fontId="3"/>
  </si>
  <si>
    <t>4.変位量の検討（鋼矢板の剛性の検討）</t>
    <rPh sb="2" eb="5">
      <t>ヘンイリョウ</t>
    </rPh>
    <rPh sb="6" eb="8">
      <t>ケントウ</t>
    </rPh>
    <rPh sb="9" eb="10">
      <t>ハガネ</t>
    </rPh>
    <rPh sb="10" eb="12">
      <t>ヤイタ</t>
    </rPh>
    <rPh sb="13" eb="15">
      <t>ゴウセイ</t>
    </rPh>
    <rPh sb="16" eb="18">
      <t>ケントウ</t>
    </rPh>
    <phoneticPr fontId="3"/>
  </si>
  <si>
    <t>　鋼矢板は、最上段切ばり位置を剛な支点とし、仮想支持点深さの1/2の点を弾性支点として、その間を単純ばりとする。</t>
    <rPh sb="1" eb="2">
      <t>ハガネ</t>
    </rPh>
    <rPh sb="2" eb="4">
      <t>ヤイタ</t>
    </rPh>
    <rPh sb="6" eb="9">
      <t>サイジョウダン</t>
    </rPh>
    <rPh sb="9" eb="10">
      <t>キリ</t>
    </rPh>
    <rPh sb="12" eb="14">
      <t>イチ</t>
    </rPh>
    <rPh sb="15" eb="16">
      <t>ゴウ</t>
    </rPh>
    <rPh sb="17" eb="19">
      <t>シテン</t>
    </rPh>
    <rPh sb="22" eb="24">
      <t>カソウ</t>
    </rPh>
    <rPh sb="24" eb="26">
      <t>シジ</t>
    </rPh>
    <rPh sb="26" eb="27">
      <t>テン</t>
    </rPh>
    <rPh sb="27" eb="28">
      <t>フカ</t>
    </rPh>
    <rPh sb="34" eb="35">
      <t>テン</t>
    </rPh>
    <rPh sb="36" eb="38">
      <t>ダンセイ</t>
    </rPh>
    <rPh sb="38" eb="40">
      <t>シテン</t>
    </rPh>
    <rPh sb="46" eb="47">
      <t>カン</t>
    </rPh>
    <rPh sb="48" eb="50">
      <t>タンジュン</t>
    </rPh>
    <phoneticPr fontId="3"/>
  </si>
  <si>
    <r>
      <t>単純ばりのスパンℓ</t>
    </r>
    <r>
      <rPr>
        <b/>
        <vertAlign val="subscript"/>
        <sz val="11"/>
        <color theme="1"/>
        <rFont val="游ゴシック"/>
        <family val="3"/>
        <charset val="128"/>
        <scheme val="minor"/>
      </rPr>
      <t>1</t>
    </r>
    <r>
      <rPr>
        <sz val="11"/>
        <color theme="1"/>
        <rFont val="游ゴシック"/>
        <family val="2"/>
        <scheme val="minor"/>
      </rPr>
      <t>は、</t>
    </r>
    <rPh sb="0" eb="2">
      <t>タンジュン</t>
    </rPh>
    <phoneticPr fontId="3"/>
  </si>
  <si>
    <r>
      <t>ℓ</t>
    </r>
    <r>
      <rPr>
        <vertAlign val="subscript"/>
        <sz val="11"/>
        <color theme="1"/>
        <rFont val="游ゴシック"/>
        <family val="3"/>
        <charset val="128"/>
        <scheme val="minor"/>
      </rPr>
      <t>1</t>
    </r>
    <phoneticPr fontId="3"/>
  </si>
  <si>
    <t>W</t>
    <phoneticPr fontId="3"/>
  </si>
  <si>
    <t>　荷重は、断面決定用の土圧と水圧をスパン全長にわたり載荷する。ただし、全載荷重をスパンで除した荷重強度を算出し、等価な長方形分布荷重とする。</t>
    <phoneticPr fontId="3"/>
  </si>
  <si>
    <r>
      <rPr>
        <i/>
        <strike/>
        <sz val="11"/>
        <color theme="1"/>
        <rFont val="Times New Roman"/>
        <family val="1"/>
      </rPr>
      <t>p</t>
    </r>
    <r>
      <rPr>
        <i/>
        <strike/>
        <vertAlign val="subscript"/>
        <sz val="11"/>
        <color theme="1"/>
        <rFont val="Times New Roman"/>
        <family val="1"/>
      </rPr>
      <t>p4</t>
    </r>
    <r>
      <rPr>
        <i/>
        <strike/>
        <vertAlign val="subscript"/>
        <sz val="11"/>
        <color theme="1"/>
        <rFont val="ＭＳ Ｐ明朝"/>
        <family val="1"/>
        <charset val="128"/>
      </rPr>
      <t>上</t>
    </r>
    <r>
      <rPr>
        <strike/>
        <sz val="11"/>
        <color theme="1"/>
        <rFont val="Times New Roman"/>
        <family val="1"/>
      </rPr>
      <t>=</t>
    </r>
    <rPh sb="3" eb="4">
      <t>ウエ</t>
    </rPh>
    <phoneticPr fontId="3"/>
  </si>
  <si>
    <r>
      <rPr>
        <i/>
        <strike/>
        <sz val="11"/>
        <color theme="1"/>
        <rFont val="Times New Roman"/>
        <family val="1"/>
      </rPr>
      <t>p</t>
    </r>
    <r>
      <rPr>
        <i/>
        <strike/>
        <vertAlign val="subscript"/>
        <sz val="11"/>
        <color theme="1"/>
        <rFont val="Times New Roman"/>
        <family val="1"/>
      </rPr>
      <t>p4</t>
    </r>
    <r>
      <rPr>
        <i/>
        <strike/>
        <vertAlign val="subscript"/>
        <sz val="11"/>
        <color theme="1"/>
        <rFont val="ＭＳ Ｐ明朝"/>
        <family val="1"/>
        <charset val="128"/>
      </rPr>
      <t>下</t>
    </r>
    <r>
      <rPr>
        <strike/>
        <sz val="11"/>
        <color theme="1"/>
        <rFont val="Times New Roman"/>
        <family val="1"/>
      </rPr>
      <t>=</t>
    </r>
    <rPh sb="3" eb="4">
      <t>シタ</t>
    </rPh>
    <phoneticPr fontId="3"/>
  </si>
  <si>
    <t>　ただし、受働土圧は無視する。</t>
    <rPh sb="5" eb="7">
      <t>ジュドウ</t>
    </rPh>
    <rPh sb="7" eb="9">
      <t>ドアツ</t>
    </rPh>
    <rPh sb="10" eb="12">
      <t>ムシ</t>
    </rPh>
    <phoneticPr fontId="3"/>
  </si>
  <si>
    <t>　単純張りの範囲の作用力は下記のとおりとなる。</t>
    <rPh sb="1" eb="4">
      <t>タンジュンバ</t>
    </rPh>
    <rPh sb="6" eb="8">
      <t>ハンイ</t>
    </rPh>
    <rPh sb="9" eb="12">
      <t>サヨウリョク</t>
    </rPh>
    <rPh sb="13" eb="15">
      <t>カキ</t>
    </rPh>
    <phoneticPr fontId="3"/>
  </si>
  <si>
    <t>　2層から5層までの作用力と層厚は、下記の表のとおりである。</t>
    <rPh sb="2" eb="3">
      <t>ソウ</t>
    </rPh>
    <rPh sb="6" eb="7">
      <t>ソウ</t>
    </rPh>
    <rPh sb="10" eb="13">
      <t>サヨウリョク</t>
    </rPh>
    <rPh sb="14" eb="16">
      <t>ソウアツ</t>
    </rPh>
    <rPh sb="18" eb="20">
      <t>カキ</t>
    </rPh>
    <rPh sb="21" eb="22">
      <t>ヒョウ</t>
    </rPh>
    <phoneticPr fontId="3"/>
  </si>
  <si>
    <t>　全載荷重をスパンで除して、分布荷重Wを求める。</t>
    <rPh sb="1" eb="2">
      <t>ゼン</t>
    </rPh>
    <rPh sb="2" eb="3">
      <t>サイ</t>
    </rPh>
    <rPh sb="3" eb="5">
      <t>カジュウ</t>
    </rPh>
    <rPh sb="10" eb="11">
      <t>ジョ</t>
    </rPh>
    <rPh sb="14" eb="18">
      <t>ブンプカジュウ</t>
    </rPh>
    <rPh sb="20" eb="21">
      <t>モト</t>
    </rPh>
    <phoneticPr fontId="3"/>
  </si>
  <si>
    <r>
      <t>δ</t>
    </r>
    <r>
      <rPr>
        <vertAlign val="subscript"/>
        <sz val="11"/>
        <color theme="1"/>
        <rFont val="游ゴシック"/>
        <family val="3"/>
        <charset val="128"/>
        <scheme val="minor"/>
      </rPr>
      <t>1</t>
    </r>
    <phoneticPr fontId="3"/>
  </si>
  <si>
    <r>
      <t>5</t>
    </r>
    <r>
      <rPr>
        <i/>
        <sz val="11"/>
        <color theme="1"/>
        <rFont val="Times New Roman"/>
        <family val="1"/>
      </rPr>
      <t>W</t>
    </r>
    <r>
      <rPr>
        <sz val="11"/>
        <color theme="1"/>
        <rFont val="游ゴシック"/>
        <family val="2"/>
        <scheme val="minor"/>
      </rPr>
      <t>ℓ⁴</t>
    </r>
    <phoneticPr fontId="3"/>
  </si>
  <si>
    <r>
      <t>384</t>
    </r>
    <r>
      <rPr>
        <i/>
        <sz val="11"/>
        <color theme="1"/>
        <rFont val="Times New Roman"/>
        <family val="1"/>
      </rPr>
      <t xml:space="preserve"> E I K</t>
    </r>
    <r>
      <rPr>
        <i/>
        <vertAlign val="subscript"/>
        <sz val="11"/>
        <color theme="1"/>
        <rFont val="Times New Roman"/>
        <family val="1"/>
      </rPr>
      <t>I</t>
    </r>
    <phoneticPr fontId="3"/>
  </si>
  <si>
    <t>⁴</t>
    <phoneticPr fontId="3"/>
  </si>
  <si>
    <r>
      <t>K</t>
    </r>
    <r>
      <rPr>
        <i/>
        <vertAlign val="subscript"/>
        <sz val="11"/>
        <color theme="1"/>
        <rFont val="Times New Roman"/>
        <family val="1"/>
      </rPr>
      <t>I</t>
    </r>
    <phoneticPr fontId="3"/>
  </si>
  <si>
    <r>
      <t>δ</t>
    </r>
    <r>
      <rPr>
        <vertAlign val="subscript"/>
        <sz val="11"/>
        <color theme="1"/>
        <rFont val="游ゴシック"/>
        <family val="3"/>
        <charset val="128"/>
        <scheme val="minor"/>
      </rPr>
      <t>2</t>
    </r>
    <phoneticPr fontId="3"/>
  </si>
  <si>
    <r>
      <t>0.5</t>
    </r>
    <r>
      <rPr>
        <i/>
        <sz val="11"/>
        <color theme="1"/>
        <rFont val="Times New Roman"/>
        <family val="1"/>
      </rPr>
      <t>W</t>
    </r>
    <r>
      <rPr>
        <sz val="11"/>
        <color theme="1"/>
        <rFont val="游ゴシック"/>
        <family val="2"/>
        <scheme val="minor"/>
      </rPr>
      <t>ℓ</t>
    </r>
    <phoneticPr fontId="3"/>
  </si>
  <si>
    <r>
      <t>2</t>
    </r>
    <r>
      <rPr>
        <i/>
        <sz val="11"/>
        <color theme="1"/>
        <rFont val="Times New Roman"/>
        <family val="1"/>
      </rPr>
      <t xml:space="preserve"> k</t>
    </r>
    <r>
      <rPr>
        <i/>
        <vertAlign val="subscript"/>
        <sz val="11"/>
        <color theme="1"/>
        <rFont val="Times New Roman"/>
        <family val="1"/>
      </rPr>
      <t>h</t>
    </r>
    <r>
      <rPr>
        <i/>
        <sz val="11"/>
        <color theme="1"/>
        <rFont val="Times New Roman"/>
        <family val="1"/>
      </rPr>
      <t xml:space="preserve"> h</t>
    </r>
    <r>
      <rPr>
        <i/>
        <vertAlign val="subscript"/>
        <sz val="11"/>
        <color theme="1"/>
        <rFont val="Times New Roman"/>
        <family val="1"/>
      </rPr>
      <t>p</t>
    </r>
    <r>
      <rPr>
        <i/>
        <sz val="11"/>
        <color theme="1"/>
        <rFont val="Times New Roman"/>
        <family val="1"/>
      </rPr>
      <t xml:space="preserve"> B</t>
    </r>
    <phoneticPr fontId="3"/>
  </si>
  <si>
    <t>η</t>
    <phoneticPr fontId="3"/>
  </si>
  <si>
    <t>-3/4</t>
    <phoneticPr fontId="3"/>
  </si>
  <si>
    <r>
      <t>k</t>
    </r>
    <r>
      <rPr>
        <i/>
        <vertAlign val="subscript"/>
        <sz val="11"/>
        <color theme="1"/>
        <rFont val="Times New Roman"/>
        <family val="1"/>
      </rPr>
      <t>h</t>
    </r>
    <phoneticPr fontId="3"/>
  </si>
  <si>
    <r>
      <t>k</t>
    </r>
    <r>
      <rPr>
        <i/>
        <vertAlign val="subscript"/>
        <sz val="11"/>
        <color theme="1"/>
        <rFont val="Times New Roman"/>
        <family val="1"/>
      </rPr>
      <t>h0</t>
    </r>
    <phoneticPr fontId="3"/>
  </si>
  <si>
    <t>α</t>
    <phoneticPr fontId="3"/>
  </si>
  <si>
    <r>
      <rPr>
        <i/>
        <sz val="11"/>
        <color theme="1"/>
        <rFont val="Times New Roman"/>
        <family val="1"/>
      </rPr>
      <t>E</t>
    </r>
    <r>
      <rPr>
        <vertAlign val="subscript"/>
        <sz val="11"/>
        <color theme="1"/>
        <rFont val="游ゴシック"/>
        <family val="3"/>
        <charset val="128"/>
        <scheme val="minor"/>
      </rPr>
      <t>0</t>
    </r>
    <phoneticPr fontId="3"/>
  </si>
  <si>
    <r>
      <t>B</t>
    </r>
    <r>
      <rPr>
        <i/>
        <vertAlign val="subscript"/>
        <sz val="11"/>
        <color theme="1"/>
        <rFont val="Times New Roman"/>
        <family val="1"/>
      </rPr>
      <t>H</t>
    </r>
    <phoneticPr fontId="3"/>
  </si>
  <si>
    <t>η：壁体形式に関わる係数</t>
    <phoneticPr fontId="3"/>
  </si>
  <si>
    <r>
      <rPr>
        <i/>
        <sz val="11"/>
        <color theme="1"/>
        <rFont val="游ゴシック"/>
        <family val="3"/>
        <charset val="128"/>
      </rPr>
      <t>α</t>
    </r>
    <r>
      <rPr>
        <sz val="11"/>
        <color theme="1"/>
        <rFont val="游ゴシック"/>
        <family val="2"/>
        <scheme val="minor"/>
      </rPr>
      <t>：地盤反力係数の推定に用いる係数</t>
    </r>
    <rPh sb="2" eb="4">
      <t>ジバン</t>
    </rPh>
    <rPh sb="4" eb="6">
      <t>ハンリョク</t>
    </rPh>
    <rPh sb="6" eb="8">
      <t>ケイスウ</t>
    </rPh>
    <rPh sb="9" eb="11">
      <t>スイテイ</t>
    </rPh>
    <rPh sb="12" eb="13">
      <t>モチ</t>
    </rPh>
    <rPh sb="15" eb="17">
      <t>ケイスウ</t>
    </rPh>
    <phoneticPr fontId="3"/>
  </si>
  <si>
    <r>
      <t>E</t>
    </r>
    <r>
      <rPr>
        <i/>
        <vertAlign val="subscript"/>
        <sz val="11"/>
        <color theme="1"/>
        <rFont val="Times New Roman"/>
        <family val="1"/>
      </rPr>
      <t>0</t>
    </r>
    <phoneticPr fontId="3"/>
  </si>
  <si>
    <r>
      <rPr>
        <i/>
        <sz val="11"/>
        <color theme="1"/>
        <rFont val="Times New Roman"/>
        <family val="1"/>
      </rPr>
      <t>B</t>
    </r>
    <r>
      <rPr>
        <i/>
        <vertAlign val="subscript"/>
        <sz val="11"/>
        <color theme="1"/>
        <rFont val="Times New Roman"/>
        <family val="1"/>
      </rPr>
      <t>H</t>
    </r>
    <r>
      <rPr>
        <sz val="11"/>
        <color theme="1"/>
        <rFont val="游ゴシック"/>
        <family val="2"/>
        <scheme val="minor"/>
      </rPr>
      <t>：換算載荷幅</t>
    </r>
    <rPh sb="3" eb="5">
      <t>カンサン</t>
    </rPh>
    <rPh sb="5" eb="7">
      <t>サイカ</t>
    </rPh>
    <rPh sb="7" eb="8">
      <t>ハバ</t>
    </rPh>
    <phoneticPr fontId="3"/>
  </si>
  <si>
    <t>N：各層の「標準貫入試験のN値」の平均値</t>
    <rPh sb="2" eb="3">
      <t>カク</t>
    </rPh>
    <rPh sb="3" eb="4">
      <t>ソウ</t>
    </rPh>
    <rPh sb="17" eb="20">
      <t>ヘイキンチ</t>
    </rPh>
    <phoneticPr fontId="3"/>
  </si>
  <si>
    <r>
      <t>h</t>
    </r>
    <r>
      <rPr>
        <i/>
        <vertAlign val="subscript"/>
        <sz val="11"/>
        <color theme="1"/>
        <rFont val="Times New Roman"/>
        <family val="1"/>
      </rPr>
      <t>p</t>
    </r>
    <phoneticPr fontId="3"/>
  </si>
  <si>
    <r>
      <rPr>
        <i/>
        <sz val="11"/>
        <color theme="1"/>
        <rFont val="游ゴシック"/>
        <family val="1"/>
        <charset val="128"/>
      </rPr>
      <t>B</t>
    </r>
    <r>
      <rPr>
        <sz val="11"/>
        <color theme="1"/>
        <rFont val="游ゴシック"/>
        <family val="2"/>
        <scheme val="minor"/>
      </rPr>
      <t>：鋼矢板の単位幅</t>
    </r>
    <rPh sb="2" eb="3">
      <t>ハガネ</t>
    </rPh>
    <rPh sb="3" eb="5">
      <t>ヤイタ</t>
    </rPh>
    <rPh sb="6" eb="8">
      <t>タンイ</t>
    </rPh>
    <rPh sb="8" eb="9">
      <t>ハバ</t>
    </rPh>
    <phoneticPr fontId="3"/>
  </si>
  <si>
    <t>δ</t>
    <phoneticPr fontId="3"/>
  </si>
  <si>
    <r>
      <t>　変位量δは、単純ばり中央の最大たわみδ</t>
    </r>
    <r>
      <rPr>
        <vertAlign val="subscript"/>
        <sz val="11"/>
        <color theme="1"/>
        <rFont val="游ゴシック"/>
        <family val="3"/>
        <charset val="128"/>
        <scheme val="minor"/>
      </rPr>
      <t>1</t>
    </r>
    <r>
      <rPr>
        <sz val="11"/>
        <color theme="1"/>
        <rFont val="游ゴシック"/>
        <family val="2"/>
        <scheme val="minor"/>
      </rPr>
      <t>と、その最大たわみが生じる点における弾性支点の変位の影響δ</t>
    </r>
    <r>
      <rPr>
        <vertAlign val="subscript"/>
        <sz val="11"/>
        <color theme="1"/>
        <rFont val="游ゴシック"/>
        <family val="3"/>
        <charset val="128"/>
        <scheme val="minor"/>
      </rPr>
      <t>2</t>
    </r>
    <r>
      <rPr>
        <sz val="11"/>
        <color theme="1"/>
        <rFont val="游ゴシック"/>
        <family val="2"/>
        <scheme val="minor"/>
      </rPr>
      <t>との合計として求める。</t>
    </r>
    <rPh sb="1" eb="4">
      <t>ヘンイリョウ</t>
    </rPh>
    <rPh sb="7" eb="9">
      <t>タンジュン</t>
    </rPh>
    <rPh sb="11" eb="13">
      <t>チュウオウ</t>
    </rPh>
    <rPh sb="14" eb="16">
      <t>サイダイ</t>
    </rPh>
    <rPh sb="25" eb="27">
      <t>サイダイ</t>
    </rPh>
    <rPh sb="31" eb="32">
      <t>ショウ</t>
    </rPh>
    <rPh sb="34" eb="35">
      <t>テン</t>
    </rPh>
    <rPh sb="39" eb="41">
      <t>ダンセイ</t>
    </rPh>
    <rPh sb="41" eb="43">
      <t>シテン</t>
    </rPh>
    <rPh sb="44" eb="46">
      <t>ヘンイ</t>
    </rPh>
    <rPh sb="47" eb="49">
      <t>エイキョウ</t>
    </rPh>
    <rPh sb="53" eb="55">
      <t>ゴウケイ</t>
    </rPh>
    <rPh sb="58" eb="59">
      <t>モト</t>
    </rPh>
    <phoneticPr fontId="3"/>
  </si>
  <si>
    <t>4-1. 単純ばりのスパン</t>
    <rPh sb="5" eb="7">
      <t>タンジュン</t>
    </rPh>
    <phoneticPr fontId="3"/>
  </si>
  <si>
    <t>4-3. 変位量の照査</t>
    <rPh sb="5" eb="8">
      <t>ヘンイリョウ</t>
    </rPh>
    <rPh sb="9" eb="11">
      <t>ショウサ</t>
    </rPh>
    <phoneticPr fontId="3"/>
  </si>
  <si>
    <r>
      <t>m</t>
    </r>
    <r>
      <rPr>
        <vertAlign val="superscript"/>
        <sz val="11"/>
        <color theme="1"/>
        <rFont val="游ゴシック"/>
        <family val="3"/>
        <charset val="128"/>
        <scheme val="minor"/>
      </rPr>
      <t>4</t>
    </r>
    <phoneticPr fontId="3"/>
  </si>
  <si>
    <r>
      <rPr>
        <i/>
        <sz val="11"/>
        <color theme="1"/>
        <rFont val="游ゴシック"/>
        <family val="1"/>
        <charset val="128"/>
      </rPr>
      <t>k</t>
    </r>
    <r>
      <rPr>
        <i/>
        <vertAlign val="subscript"/>
        <sz val="11"/>
        <color theme="1"/>
        <rFont val="游ゴシック"/>
        <family val="1"/>
        <charset val="128"/>
      </rPr>
      <t>h</t>
    </r>
    <r>
      <rPr>
        <sz val="11"/>
        <color theme="1"/>
        <rFont val="游ゴシック"/>
        <family val="2"/>
        <scheme val="minor"/>
      </rPr>
      <t>：水平方向地盤反力係数</t>
    </r>
    <r>
      <rPr>
        <sz val="11"/>
        <color theme="1"/>
        <rFont val="游ゴシック"/>
        <family val="1"/>
        <scheme val="minor"/>
      </rPr>
      <t>(kN/m</t>
    </r>
    <r>
      <rPr>
        <vertAlign val="superscript"/>
        <sz val="11"/>
        <color theme="1"/>
        <rFont val="游ゴシック"/>
        <family val="3"/>
        <charset val="128"/>
        <scheme val="minor"/>
      </rPr>
      <t>3</t>
    </r>
    <r>
      <rPr>
        <sz val="11"/>
        <color theme="1"/>
        <rFont val="游ゴシック"/>
        <family val="1"/>
        <scheme val="minor"/>
      </rPr>
      <t>)</t>
    </r>
    <phoneticPr fontId="3"/>
  </si>
  <si>
    <r>
      <rPr>
        <i/>
        <sz val="11"/>
        <color theme="1"/>
        <rFont val="Times New Roman"/>
        <family val="1"/>
      </rPr>
      <t>k</t>
    </r>
    <r>
      <rPr>
        <i/>
        <vertAlign val="subscript"/>
        <sz val="11"/>
        <color theme="1"/>
        <rFont val="Times New Roman"/>
        <family val="1"/>
      </rPr>
      <t>H0</t>
    </r>
    <r>
      <rPr>
        <sz val="11"/>
        <color theme="1"/>
        <rFont val="游ゴシック"/>
        <family val="2"/>
        <scheme val="minor"/>
      </rPr>
      <t>：直径30cmの剛体円板による平板載荷試験の値に相当する水平方向地盤反力係数(kN/m</t>
    </r>
    <r>
      <rPr>
        <vertAlign val="superscript"/>
        <sz val="11"/>
        <color theme="1"/>
        <rFont val="游ゴシック"/>
        <family val="3"/>
        <charset val="128"/>
        <scheme val="minor"/>
      </rPr>
      <t>3</t>
    </r>
    <r>
      <rPr>
        <sz val="11"/>
        <color theme="1"/>
        <rFont val="游ゴシック"/>
        <family val="2"/>
        <scheme val="minor"/>
      </rPr>
      <t>)</t>
    </r>
    <phoneticPr fontId="3"/>
  </si>
  <si>
    <r>
      <rPr>
        <i/>
        <sz val="11"/>
        <color theme="1"/>
        <rFont val="Times New Roman"/>
        <family val="1"/>
      </rPr>
      <t>E</t>
    </r>
    <r>
      <rPr>
        <i/>
        <vertAlign val="subscript"/>
        <sz val="11"/>
        <color theme="1"/>
        <rFont val="Times New Roman"/>
        <family val="1"/>
      </rPr>
      <t>0</t>
    </r>
    <r>
      <rPr>
        <sz val="11"/>
        <color theme="1"/>
        <rFont val="游ゴシック"/>
        <family val="2"/>
        <scheme val="minor"/>
      </rPr>
      <t>：測定または推定した設計の対象とする位置での地盤の変形係数(kN/m</t>
    </r>
    <r>
      <rPr>
        <vertAlign val="superscript"/>
        <sz val="11"/>
        <color theme="1"/>
        <rFont val="游ゴシック"/>
        <family val="3"/>
        <charset val="128"/>
        <scheme val="minor"/>
      </rPr>
      <t>2</t>
    </r>
    <r>
      <rPr>
        <sz val="11"/>
        <color theme="1"/>
        <rFont val="游ゴシック"/>
        <family val="2"/>
        <scheme val="minor"/>
      </rPr>
      <t>)</t>
    </r>
    <rPh sb="3" eb="5">
      <t>ソクテイ</t>
    </rPh>
    <rPh sb="8" eb="10">
      <t>スイテイ</t>
    </rPh>
    <rPh sb="12" eb="14">
      <t>セッケイ</t>
    </rPh>
    <rPh sb="15" eb="17">
      <t>タイショウ</t>
    </rPh>
    <rPh sb="20" eb="22">
      <t>イチ</t>
    </rPh>
    <rPh sb="24" eb="26">
      <t>ジバン</t>
    </rPh>
    <rPh sb="27" eb="29">
      <t>ヘンケイ</t>
    </rPh>
    <rPh sb="29" eb="31">
      <t>ケイスウ</t>
    </rPh>
    <phoneticPr fontId="3"/>
  </si>
  <si>
    <r>
      <rPr>
        <i/>
        <sz val="11"/>
        <color theme="1"/>
        <rFont val="游ゴシック"/>
        <family val="1"/>
        <charset val="128"/>
      </rPr>
      <t>h</t>
    </r>
    <r>
      <rPr>
        <i/>
        <vertAlign val="subscript"/>
        <sz val="11"/>
        <color theme="1"/>
        <rFont val="游ゴシック"/>
        <family val="1"/>
        <charset val="128"/>
      </rPr>
      <t>p</t>
    </r>
    <r>
      <rPr>
        <sz val="11"/>
        <color theme="1"/>
        <rFont val="游ゴシック"/>
        <family val="2"/>
        <scheme val="minor"/>
      </rPr>
      <t>：仮想支持点の深さ</t>
    </r>
    <r>
      <rPr>
        <sz val="11"/>
        <color theme="1"/>
        <rFont val="游ゴシック"/>
        <family val="1"/>
        <scheme val="minor"/>
      </rPr>
      <t>(m)</t>
    </r>
    <rPh sb="3" eb="5">
      <t>カソウ</t>
    </rPh>
    <rPh sb="5" eb="8">
      <t>シジテン</t>
    </rPh>
    <rPh sb="9" eb="10">
      <t>フカ</t>
    </rPh>
    <phoneticPr fontId="3"/>
  </si>
  <si>
    <t>R₂</t>
    <phoneticPr fontId="3"/>
  </si>
  <si>
    <r>
      <t>R</t>
    </r>
    <r>
      <rPr>
        <vertAlign val="subscript"/>
        <sz val="11"/>
        <color theme="1"/>
        <rFont val="游ゴシック"/>
        <family val="3"/>
        <charset val="128"/>
        <scheme val="minor"/>
      </rPr>
      <t>2</t>
    </r>
    <phoneticPr fontId="3"/>
  </si>
  <si>
    <t>5-1-1. 荷重の計算</t>
    <rPh sb="7" eb="9">
      <t>カジュウ</t>
    </rPh>
    <rPh sb="10" eb="12">
      <t>ケイサン</t>
    </rPh>
    <phoneticPr fontId="3"/>
  </si>
  <si>
    <t>1-5. 火打ちの設定</t>
    <rPh sb="5" eb="7">
      <t>ヒウ</t>
    </rPh>
    <rPh sb="9" eb="11">
      <t>セッテイ</t>
    </rPh>
    <phoneticPr fontId="3"/>
  </si>
  <si>
    <t>腹起し方向の幅</t>
    <rPh sb="0" eb="2">
      <t>ハラオコ</t>
    </rPh>
    <rPh sb="3" eb="5">
      <t>ホウコウ</t>
    </rPh>
    <rPh sb="6" eb="7">
      <t>ハバ</t>
    </rPh>
    <phoneticPr fontId="3"/>
  </si>
  <si>
    <t>ℓ₂</t>
    <phoneticPr fontId="3"/>
  </si>
  <si>
    <t>角度</t>
    <rPh sb="0" eb="2">
      <t>カクド</t>
    </rPh>
    <phoneticPr fontId="3"/>
  </si>
  <si>
    <t>度</t>
    <rPh sb="0" eb="1">
      <t>ド</t>
    </rPh>
    <phoneticPr fontId="3"/>
  </si>
  <si>
    <t>切ばりの水平間隔</t>
    <rPh sb="0" eb="1">
      <t>キ</t>
    </rPh>
    <rPh sb="4" eb="6">
      <t>スイヘイ</t>
    </rPh>
    <rPh sb="6" eb="8">
      <t>カンカク</t>
    </rPh>
    <phoneticPr fontId="3"/>
  </si>
  <si>
    <t>=</t>
  </si>
  <si>
    <t>火打ちの腹起し方向の幅</t>
    <rPh sb="0" eb="2">
      <t>ヒウ</t>
    </rPh>
    <rPh sb="4" eb="6">
      <t>ハラオコ</t>
    </rPh>
    <rPh sb="7" eb="9">
      <t>ホウコウ</t>
    </rPh>
    <rPh sb="10" eb="11">
      <t>ハバ</t>
    </rPh>
    <phoneticPr fontId="3"/>
  </si>
  <si>
    <t>火打ちの角度</t>
    <rPh sb="0" eb="2">
      <t>ヒウ</t>
    </rPh>
    <rPh sb="4" eb="6">
      <t>カクド</t>
    </rPh>
    <phoneticPr fontId="3"/>
  </si>
  <si>
    <r>
      <t>　腹起しを設計する際の荷重の載荷方法は、単位長さ当りの支保工反力R</t>
    </r>
    <r>
      <rPr>
        <vertAlign val="subscript"/>
        <sz val="11"/>
        <color theme="1"/>
        <rFont val="游ゴシック"/>
        <family val="3"/>
        <charset val="128"/>
        <scheme val="minor"/>
      </rPr>
      <t>1</t>
    </r>
    <r>
      <rPr>
        <sz val="11"/>
        <color theme="1"/>
        <rFont val="游ゴシック"/>
        <family val="2"/>
        <scheme val="minor"/>
      </rPr>
      <t>を等分布荷重として載荷する。そして、切ばりの水平間隔Bから火打ちを差し引いた長さを支間（スパン）とする単純ばりとして断面力を計算する。</t>
    </r>
    <rPh sb="1" eb="3">
      <t>ハラオコ</t>
    </rPh>
    <rPh sb="5" eb="7">
      <t>セッケイ</t>
    </rPh>
    <rPh sb="9" eb="10">
      <t>サイ</t>
    </rPh>
    <rPh sb="11" eb="13">
      <t>カジュウ</t>
    </rPh>
    <rPh sb="14" eb="16">
      <t>サイカ</t>
    </rPh>
    <rPh sb="15" eb="16">
      <t>ニ</t>
    </rPh>
    <rPh sb="16" eb="18">
      <t>ホウホウ</t>
    </rPh>
    <rPh sb="20" eb="22">
      <t>タンイ</t>
    </rPh>
    <rPh sb="22" eb="23">
      <t>ナガ</t>
    </rPh>
    <rPh sb="24" eb="25">
      <t>アタ</t>
    </rPh>
    <rPh sb="27" eb="30">
      <t>シホコウ</t>
    </rPh>
    <rPh sb="30" eb="32">
      <t>ハンリョク</t>
    </rPh>
    <rPh sb="35" eb="38">
      <t>トウブンプ</t>
    </rPh>
    <rPh sb="38" eb="40">
      <t>カジュウ</t>
    </rPh>
    <rPh sb="43" eb="45">
      <t>サイカ</t>
    </rPh>
    <rPh sb="52" eb="53">
      <t>キリ</t>
    </rPh>
    <rPh sb="56" eb="58">
      <t>スイヘイ</t>
    </rPh>
    <rPh sb="58" eb="60">
      <t>カンカク</t>
    </rPh>
    <rPh sb="63" eb="65">
      <t>ヒウ</t>
    </rPh>
    <rPh sb="67" eb="68">
      <t>サ</t>
    </rPh>
    <rPh sb="69" eb="70">
      <t>ヒ</t>
    </rPh>
    <rPh sb="72" eb="73">
      <t>ナガ</t>
    </rPh>
    <rPh sb="75" eb="77">
      <t>シカン</t>
    </rPh>
    <rPh sb="85" eb="87">
      <t>タンジュン</t>
    </rPh>
    <rPh sb="92" eb="94">
      <t>ダンメン</t>
    </rPh>
    <rPh sb="94" eb="95">
      <t>リョク</t>
    </rPh>
    <rPh sb="96" eb="98">
      <t>ケイサン</t>
    </rPh>
    <phoneticPr fontId="3"/>
  </si>
  <si>
    <t>火打ち間の幅</t>
    <rPh sb="0" eb="2">
      <t>ヒウ</t>
    </rPh>
    <rPh sb="3" eb="4">
      <t>アイダ</t>
    </rPh>
    <rPh sb="5" eb="6">
      <t>ハバ</t>
    </rPh>
    <phoneticPr fontId="3"/>
  </si>
  <si>
    <t>ℓ₁</t>
    <phoneticPr fontId="3"/>
  </si>
  <si>
    <t>よって、H11道仮p118より、支間は</t>
    <rPh sb="7" eb="8">
      <t>ミチ</t>
    </rPh>
    <rPh sb="8" eb="9">
      <t>カリ</t>
    </rPh>
    <phoneticPr fontId="3"/>
  </si>
  <si>
    <r>
      <t>R</t>
    </r>
    <r>
      <rPr>
        <i/>
        <vertAlign val="subscript"/>
        <sz val="11"/>
        <color theme="1"/>
        <rFont val="Times New Roman"/>
        <family val="1"/>
      </rPr>
      <t>1</t>
    </r>
    <phoneticPr fontId="3"/>
  </si>
  <si>
    <t>よって、上段の「単位長さあたりの支保工反力」は</t>
    <rPh sb="4" eb="6">
      <t>ジョウダン</t>
    </rPh>
    <rPh sb="8" eb="10">
      <t>タンイ</t>
    </rPh>
    <rPh sb="10" eb="11">
      <t>ナガ</t>
    </rPh>
    <rPh sb="16" eb="19">
      <t>シホコウ</t>
    </rPh>
    <rPh sb="19" eb="21">
      <t>ハンリョク</t>
    </rPh>
    <phoneticPr fontId="3"/>
  </si>
  <si>
    <t>よって、下段の「単位長さあたりの支保工反力」は</t>
    <rPh sb="4" eb="6">
      <t>カダン</t>
    </rPh>
    <rPh sb="8" eb="10">
      <t>タンイ</t>
    </rPh>
    <rPh sb="10" eb="11">
      <t>ナガ</t>
    </rPh>
    <rPh sb="16" eb="19">
      <t>シホコウ</t>
    </rPh>
    <rPh sb="19" eb="21">
      <t>ハンリョク</t>
    </rPh>
    <phoneticPr fontId="3"/>
  </si>
  <si>
    <t>H11道仮p118,119</t>
    <phoneticPr fontId="3"/>
  </si>
  <si>
    <t>h</t>
  </si>
  <si>
    <t>mm</t>
  </si>
  <si>
    <t>H11道仮p320</t>
  </si>
  <si>
    <t>5-1-2. 断面力の計算</t>
    <rPh sb="7" eb="10">
      <t>ダンメンリョク</t>
    </rPh>
    <rPh sb="11" eb="13">
      <t>ケイサン</t>
    </rPh>
    <phoneticPr fontId="3"/>
  </si>
  <si>
    <t>＜軸力＞</t>
    <rPh sb="1" eb="3">
      <t>ジクリョク</t>
    </rPh>
    <phoneticPr fontId="3"/>
  </si>
  <si>
    <r>
      <t>N</t>
    </r>
    <r>
      <rPr>
        <vertAlign val="subscript"/>
        <sz val="11"/>
        <color theme="1"/>
        <rFont val="游ゴシック"/>
        <family val="3"/>
        <charset val="128"/>
        <scheme val="minor"/>
      </rPr>
      <t>1</t>
    </r>
    <phoneticPr fontId="3"/>
  </si>
  <si>
    <t>5. 腹起しの設計</t>
    <rPh sb="3" eb="5">
      <t>ハラオコ</t>
    </rPh>
    <rPh sb="7" eb="9">
      <t>セッケイ</t>
    </rPh>
    <phoneticPr fontId="3"/>
  </si>
  <si>
    <t>軸力を考慮する腹起しの軸力分担幅は、</t>
    <rPh sb="0" eb="2">
      <t>ジクリョク</t>
    </rPh>
    <rPh sb="3" eb="5">
      <t>コウリョ</t>
    </rPh>
    <rPh sb="7" eb="9">
      <t>ハラオコ</t>
    </rPh>
    <rPh sb="11" eb="13">
      <t>ジクリョク</t>
    </rPh>
    <rPh sb="13" eb="15">
      <t>ブンタン</t>
    </rPh>
    <rPh sb="15" eb="16">
      <t>ハバ</t>
    </rPh>
    <phoneticPr fontId="3"/>
  </si>
  <si>
    <t>ℓ₄</t>
    <phoneticPr fontId="3"/>
  </si>
  <si>
    <t>火打ちの腹起し方向の幅（妻部）</t>
    <rPh sb="0" eb="2">
      <t>ヒウ</t>
    </rPh>
    <rPh sb="4" eb="6">
      <t>ハラオコ</t>
    </rPh>
    <rPh sb="7" eb="9">
      <t>ホウコウ</t>
    </rPh>
    <rPh sb="10" eb="11">
      <t>ハバ</t>
    </rPh>
    <rPh sb="12" eb="13">
      <t>ツマ</t>
    </rPh>
    <rPh sb="13" eb="14">
      <t>ブ</t>
    </rPh>
    <phoneticPr fontId="3"/>
  </si>
  <si>
    <t>火打ち間の幅（妻部）</t>
    <rPh sb="0" eb="2">
      <t>ヒウ</t>
    </rPh>
    <rPh sb="3" eb="4">
      <t>アイダ</t>
    </rPh>
    <rPh sb="5" eb="6">
      <t>ハバ</t>
    </rPh>
    <rPh sb="7" eb="8">
      <t>ツマ</t>
    </rPh>
    <rPh sb="8" eb="9">
      <t>ブ</t>
    </rPh>
    <phoneticPr fontId="3"/>
  </si>
  <si>
    <t>ℓ₃</t>
    <phoneticPr fontId="3"/>
  </si>
  <si>
    <r>
      <t>R</t>
    </r>
    <r>
      <rPr>
        <vertAlign val="subscript"/>
        <sz val="11"/>
        <color theme="1"/>
        <rFont val="Times New Roman"/>
        <family val="3"/>
      </rPr>
      <t>1</t>
    </r>
    <phoneticPr fontId="3"/>
  </si>
  <si>
    <t>N₂</t>
    <phoneticPr fontId="3"/>
  </si>
  <si>
    <r>
      <t>M</t>
    </r>
    <r>
      <rPr>
        <vertAlign val="subscript"/>
        <sz val="11"/>
        <color theme="1"/>
        <rFont val="Times New Roman"/>
        <family val="1"/>
      </rPr>
      <t>max1</t>
    </r>
    <phoneticPr fontId="3"/>
  </si>
  <si>
    <r>
      <t>S</t>
    </r>
    <r>
      <rPr>
        <i/>
        <vertAlign val="subscript"/>
        <sz val="11"/>
        <color theme="1"/>
        <rFont val="Times New Roman"/>
        <family val="1"/>
      </rPr>
      <t>max1</t>
    </r>
    <phoneticPr fontId="3"/>
  </si>
  <si>
    <r>
      <t>M</t>
    </r>
    <r>
      <rPr>
        <vertAlign val="subscript"/>
        <sz val="11"/>
        <color theme="1"/>
        <rFont val="Times New Roman"/>
        <family val="1"/>
      </rPr>
      <t>max2</t>
    </r>
    <phoneticPr fontId="3"/>
  </si>
  <si>
    <r>
      <t>S</t>
    </r>
    <r>
      <rPr>
        <i/>
        <vertAlign val="subscript"/>
        <sz val="11"/>
        <color theme="1"/>
        <rFont val="Times New Roman"/>
        <family val="1"/>
      </rPr>
      <t>max2</t>
    </r>
    <phoneticPr fontId="3"/>
  </si>
  <si>
    <r>
      <t>R</t>
    </r>
    <r>
      <rPr>
        <i/>
        <vertAlign val="subscript"/>
        <sz val="11"/>
        <color theme="1"/>
        <rFont val="Times New Roman"/>
        <family val="1"/>
      </rPr>
      <t>2</t>
    </r>
    <phoneticPr fontId="3"/>
  </si>
  <si>
    <t>(1) 諸条件の計算</t>
    <rPh sb="4" eb="7">
      <t>ショジョウケン</t>
    </rPh>
    <rPh sb="8" eb="10">
      <t>ケイサン</t>
    </rPh>
    <phoneticPr fontId="3"/>
  </si>
  <si>
    <t>(2)上段</t>
    <phoneticPr fontId="3"/>
  </si>
  <si>
    <t>(3)下段</t>
    <rPh sb="3" eb="4">
      <t>シタ</t>
    </rPh>
    <phoneticPr fontId="3"/>
  </si>
  <si>
    <t>H-350</t>
  </si>
  <si>
    <t>：フランジ片幅</t>
    <rPh sb="5" eb="6">
      <t>カタ</t>
    </rPh>
    <rPh sb="6" eb="7">
      <t>ハバ</t>
    </rPh>
    <phoneticPr fontId="3"/>
  </si>
  <si>
    <t>：フランジ厚</t>
    <rPh sb="5" eb="6">
      <t>アツ</t>
    </rPh>
    <phoneticPr fontId="3"/>
  </si>
  <si>
    <t>：弱軸まわりの座屈長（水平方向座屈長）</t>
    <rPh sb="1" eb="3">
      <t>ジャクジク</t>
    </rPh>
    <rPh sb="7" eb="10">
      <t>ザクツチョウ</t>
    </rPh>
    <rPh sb="11" eb="15">
      <t>スイヘイホウコウ</t>
    </rPh>
    <rPh sb="15" eb="17">
      <t>ザクツ</t>
    </rPh>
    <rPh sb="17" eb="18">
      <t>チョウ</t>
    </rPh>
    <phoneticPr fontId="3"/>
  </si>
  <si>
    <r>
      <t>σ</t>
    </r>
    <r>
      <rPr>
        <i/>
        <vertAlign val="subscript"/>
        <sz val="11"/>
        <color theme="1"/>
        <rFont val="Yu Gothic"/>
        <family val="1"/>
        <charset val="128"/>
      </rPr>
      <t>c</t>
    </r>
    <r>
      <rPr>
        <i/>
        <vertAlign val="subscript"/>
        <sz val="11"/>
        <color theme="1"/>
        <rFont val="Times New Roman"/>
        <family val="1"/>
      </rPr>
      <t>a</t>
    </r>
    <r>
      <rPr>
        <i/>
        <vertAlign val="subscript"/>
        <sz val="11"/>
        <color theme="1"/>
        <rFont val="Yu Gothic"/>
        <family val="1"/>
        <charset val="128"/>
      </rPr>
      <t>z</t>
    </r>
    <phoneticPr fontId="3"/>
  </si>
  <si>
    <t>5-1-3. 応力度の照査(上段）</t>
    <rPh sb="7" eb="10">
      <t>オウリョクド</t>
    </rPh>
    <rPh sb="11" eb="13">
      <t>ショウサ</t>
    </rPh>
    <rPh sb="14" eb="16">
      <t>ジョウダン</t>
    </rPh>
    <phoneticPr fontId="3"/>
  </si>
  <si>
    <t>(1) 安定の照査</t>
    <rPh sb="4" eb="6">
      <t>アンテイ</t>
    </rPh>
    <rPh sb="7" eb="9">
      <t>ショウサ</t>
    </rPh>
    <phoneticPr fontId="3"/>
  </si>
  <si>
    <t>(2)せん断力の照査</t>
    <rPh sb="8" eb="10">
      <t>ショウサ</t>
    </rPh>
    <phoneticPr fontId="3"/>
  </si>
  <si>
    <t>最大せん断力をウェブの面積で除して求める。</t>
    <phoneticPr fontId="3"/>
  </si>
  <si>
    <t>5-1-4. 応力度の照査(下段）</t>
    <rPh sb="7" eb="10">
      <t>オウリョクド</t>
    </rPh>
    <rPh sb="11" eb="13">
      <t>ショウサ</t>
    </rPh>
    <rPh sb="14" eb="16">
      <t>カダン</t>
    </rPh>
    <phoneticPr fontId="3"/>
  </si>
  <si>
    <t>5-1. 一般部</t>
    <rPh sb="5" eb="8">
      <t>イッパンブ</t>
    </rPh>
    <phoneticPr fontId="3"/>
  </si>
  <si>
    <t>5-2. 端部</t>
    <rPh sb="5" eb="7">
      <t>タンブ</t>
    </rPh>
    <phoneticPr fontId="3"/>
  </si>
  <si>
    <t>5-2-1. 荷重の計算</t>
    <rPh sb="7" eb="9">
      <t>カジュウ</t>
    </rPh>
    <rPh sb="10" eb="12">
      <t>ケイサン</t>
    </rPh>
    <phoneticPr fontId="3"/>
  </si>
  <si>
    <t>下段の「単位長さあたりの支保工反力」は</t>
    <rPh sb="0" eb="2">
      <t>カダン</t>
    </rPh>
    <rPh sb="4" eb="6">
      <t>タンイ</t>
    </rPh>
    <rPh sb="6" eb="7">
      <t>ナガ</t>
    </rPh>
    <rPh sb="12" eb="15">
      <t>シホコウ</t>
    </rPh>
    <rPh sb="15" eb="17">
      <t>ハンリョク</t>
    </rPh>
    <phoneticPr fontId="3"/>
  </si>
  <si>
    <t>上段の「単位長さあたりの支保工反力」は</t>
    <rPh sb="0" eb="2">
      <t>ジョウダン</t>
    </rPh>
    <rPh sb="4" eb="6">
      <t>タンイ</t>
    </rPh>
    <rPh sb="6" eb="7">
      <t>ナガ</t>
    </rPh>
    <rPh sb="12" eb="15">
      <t>シホコウ</t>
    </rPh>
    <rPh sb="15" eb="17">
      <t>ハンリョク</t>
    </rPh>
    <phoneticPr fontId="3"/>
  </si>
  <si>
    <t>一般部の計算より、</t>
    <phoneticPr fontId="3"/>
  </si>
  <si>
    <t>5-2-2. 断面力の計算</t>
    <rPh sb="7" eb="10">
      <t>ダンメンリョク</t>
    </rPh>
    <rPh sb="11" eb="13">
      <t>ケイサン</t>
    </rPh>
    <phoneticPr fontId="3"/>
  </si>
  <si>
    <t>　端部においては、掘削幅（短辺）から火打ちを差し引いた長さを支間（スパン）とする単純ばりとして断面力を計算する。</t>
    <rPh sb="1" eb="3">
      <t>タンブ</t>
    </rPh>
    <rPh sb="9" eb="12">
      <t>クッサクハバ</t>
    </rPh>
    <rPh sb="18" eb="20">
      <t>ヒウ</t>
    </rPh>
    <rPh sb="22" eb="23">
      <t>サ</t>
    </rPh>
    <rPh sb="24" eb="25">
      <t>ヒ</t>
    </rPh>
    <rPh sb="27" eb="28">
      <t>ナガ</t>
    </rPh>
    <rPh sb="30" eb="32">
      <t>シカン</t>
    </rPh>
    <rPh sb="40" eb="42">
      <t>タンジュン</t>
    </rPh>
    <rPh sb="47" eb="49">
      <t>ダンメン</t>
    </rPh>
    <rPh sb="49" eb="50">
      <t>リョク</t>
    </rPh>
    <rPh sb="51" eb="53">
      <t>ケイサン</t>
    </rPh>
    <phoneticPr fontId="3"/>
  </si>
  <si>
    <t>掘削幅（短辺）</t>
    <rPh sb="0" eb="2">
      <t>クッサク</t>
    </rPh>
    <rPh sb="2" eb="3">
      <t>ハバ</t>
    </rPh>
    <rPh sb="4" eb="6">
      <t>タンヘン</t>
    </rPh>
    <phoneticPr fontId="3"/>
  </si>
  <si>
    <t>腹起し方向の幅（端部）</t>
    <rPh sb="0" eb="2">
      <t>ハラオコ</t>
    </rPh>
    <rPh sb="3" eb="5">
      <t>ホウコウ</t>
    </rPh>
    <rPh sb="6" eb="7">
      <t>ハバ</t>
    </rPh>
    <rPh sb="8" eb="10">
      <t>タンブ</t>
    </rPh>
    <phoneticPr fontId="3"/>
  </si>
  <si>
    <t>ℓ₂’</t>
    <phoneticPr fontId="3"/>
  </si>
  <si>
    <t>ℓ₁'</t>
    <phoneticPr fontId="3"/>
  </si>
  <si>
    <t>ℓ₂'</t>
    <phoneticPr fontId="3"/>
  </si>
  <si>
    <t>　また、端部は、軸力が作用する腹起し材であるため、曲げと圧縮を受ける部材として設計する。</t>
    <rPh sb="4" eb="6">
      <t>タンブ</t>
    </rPh>
    <rPh sb="5" eb="6">
      <t>ブ</t>
    </rPh>
    <rPh sb="8" eb="10">
      <t>ジクリョク</t>
    </rPh>
    <rPh sb="11" eb="13">
      <t>サヨウ</t>
    </rPh>
    <rPh sb="15" eb="17">
      <t>ハラオコ</t>
    </rPh>
    <rPh sb="18" eb="19">
      <t>ザイ</t>
    </rPh>
    <rPh sb="25" eb="26">
      <t>マ</t>
    </rPh>
    <rPh sb="28" eb="30">
      <t>アッシュク</t>
    </rPh>
    <rPh sb="31" eb="32">
      <t>ウ</t>
    </rPh>
    <rPh sb="34" eb="36">
      <t>ブザイ</t>
    </rPh>
    <rPh sb="39" eb="41">
      <t>セッケイ</t>
    </rPh>
    <phoneticPr fontId="3"/>
  </si>
  <si>
    <t>ℓ₄'</t>
    <phoneticPr fontId="3"/>
  </si>
  <si>
    <t>ℓ₃'</t>
    <phoneticPr fontId="3"/>
  </si>
  <si>
    <t>H-400</t>
  </si>
  <si>
    <t>本数</t>
    <rPh sb="0" eb="2">
      <t>ホンスウ</t>
    </rPh>
    <phoneticPr fontId="3"/>
  </si>
  <si>
    <t>本</t>
    <rPh sb="0" eb="1">
      <t>ホン</t>
    </rPh>
    <phoneticPr fontId="3"/>
  </si>
  <si>
    <t>6. 切ばりの設計</t>
    <rPh sb="3" eb="4">
      <t>キリ</t>
    </rPh>
    <rPh sb="7" eb="9">
      <t>セッケイ</t>
    </rPh>
    <phoneticPr fontId="3"/>
  </si>
  <si>
    <t>鉛直方向の座屈長（切ばり全長）</t>
    <rPh sb="0" eb="2">
      <t>エンチョク</t>
    </rPh>
    <rPh sb="2" eb="4">
      <t>ホウコウ</t>
    </rPh>
    <rPh sb="5" eb="7">
      <t>ザクツ</t>
    </rPh>
    <rPh sb="7" eb="8">
      <t>ナガ</t>
    </rPh>
    <rPh sb="9" eb="10">
      <t>キリ</t>
    </rPh>
    <rPh sb="12" eb="14">
      <t>ゼンチョウ</t>
    </rPh>
    <phoneticPr fontId="3"/>
  </si>
  <si>
    <t>軸力を考慮する荷重負担幅（水平間隔）</t>
    <rPh sb="0" eb="2">
      <t>ジクリョク</t>
    </rPh>
    <rPh sb="3" eb="5">
      <t>コウリョ</t>
    </rPh>
    <rPh sb="7" eb="9">
      <t>カジュウ</t>
    </rPh>
    <rPh sb="9" eb="11">
      <t>フタン</t>
    </rPh>
    <rPh sb="11" eb="12">
      <t>ハバ</t>
    </rPh>
    <rPh sb="13" eb="15">
      <t>スイヘイ</t>
    </rPh>
    <rPh sb="15" eb="17">
      <t>カンカク</t>
    </rPh>
    <phoneticPr fontId="3"/>
  </si>
  <si>
    <t>水平方向の座屈長（火打ち間距離）</t>
    <rPh sb="0" eb="2">
      <t>スイヘイ</t>
    </rPh>
    <rPh sb="2" eb="4">
      <t>ホウコウ</t>
    </rPh>
    <rPh sb="5" eb="7">
      <t>ザクツ</t>
    </rPh>
    <rPh sb="7" eb="8">
      <t>ナガ</t>
    </rPh>
    <rPh sb="9" eb="11">
      <t>ヒウ</t>
    </rPh>
    <rPh sb="12" eb="13">
      <t>カン</t>
    </rPh>
    <rPh sb="13" eb="15">
      <t>キョリ</t>
    </rPh>
    <phoneticPr fontId="3"/>
  </si>
  <si>
    <t>L₁</t>
    <phoneticPr fontId="3"/>
  </si>
  <si>
    <t>L₂</t>
    <phoneticPr fontId="3"/>
  </si>
  <si>
    <t>tan(</t>
    <phoneticPr fontId="3"/>
  </si>
  <si>
    <t>))</t>
    <phoneticPr fontId="3"/>
  </si>
  <si>
    <t>荷重は、腹起しの設計で算出した「単位長さあたりの支保工反力」なので、</t>
    <rPh sb="0" eb="2">
      <t>カジュウ</t>
    </rPh>
    <rPh sb="4" eb="6">
      <t>ハラオコ</t>
    </rPh>
    <rPh sb="8" eb="10">
      <t>セッケイ</t>
    </rPh>
    <rPh sb="11" eb="13">
      <t>サンシュツ</t>
    </rPh>
    <rPh sb="16" eb="18">
      <t>タンイ</t>
    </rPh>
    <rPh sb="18" eb="19">
      <t>ナガ</t>
    </rPh>
    <rPh sb="24" eb="27">
      <t>シホコウ</t>
    </rPh>
    <rPh sb="27" eb="29">
      <t>ハンリョク</t>
    </rPh>
    <phoneticPr fontId="3"/>
  </si>
  <si>
    <t>上段</t>
    <rPh sb="0" eb="2">
      <t>ジョウダン</t>
    </rPh>
    <phoneticPr fontId="3"/>
  </si>
  <si>
    <t>下段</t>
    <rPh sb="0" eb="2">
      <t>ゲダン</t>
    </rPh>
    <phoneticPr fontId="3"/>
  </si>
  <si>
    <r>
      <t>w</t>
    </r>
    <r>
      <rPr>
        <vertAlign val="subscript"/>
        <sz val="11"/>
        <color theme="1"/>
        <rFont val="Times New Roman"/>
        <family val="1"/>
      </rPr>
      <t>x1</t>
    </r>
    <phoneticPr fontId="3"/>
  </si>
  <si>
    <r>
      <t>w</t>
    </r>
    <r>
      <rPr>
        <vertAlign val="subscript"/>
        <sz val="11"/>
        <color theme="1"/>
        <rFont val="Times New Roman"/>
        <family val="1"/>
      </rPr>
      <t>x2</t>
    </r>
    <phoneticPr fontId="3"/>
  </si>
  <si>
    <r>
      <t>w</t>
    </r>
    <r>
      <rPr>
        <i/>
        <sz val="11"/>
        <color theme="1"/>
        <rFont val="ＭＳ Ｐ明朝"/>
        <family val="1"/>
        <charset val="128"/>
      </rPr>
      <t>・　</t>
    </r>
    <r>
      <rPr>
        <i/>
        <sz val="11"/>
        <color theme="1"/>
        <rFont val="Times New Roman"/>
        <family val="1"/>
      </rPr>
      <t>L₁</t>
    </r>
    <r>
      <rPr>
        <i/>
        <vertAlign val="superscript"/>
        <sz val="11"/>
        <color theme="1"/>
        <rFont val="Times New Roman"/>
        <family val="1"/>
      </rPr>
      <t>2</t>
    </r>
    <phoneticPr fontId="3"/>
  </si>
  <si>
    <t>＜最大曲げモーメント＞</t>
    <rPh sb="1" eb="3">
      <t>サイダイ</t>
    </rPh>
    <phoneticPr fontId="3"/>
  </si>
  <si>
    <t>6-1. 荷重の計算</t>
    <rPh sb="5" eb="7">
      <t>カジュウ</t>
    </rPh>
    <rPh sb="8" eb="10">
      <t>ケイサン</t>
    </rPh>
    <phoneticPr fontId="3"/>
  </si>
  <si>
    <t>6-2. 断面力の計算</t>
    <rPh sb="5" eb="8">
      <t>ダンメンリョク</t>
    </rPh>
    <rPh sb="9" eb="11">
      <t>ケイサン</t>
    </rPh>
    <phoneticPr fontId="3"/>
  </si>
  <si>
    <t>(1)上段</t>
    <rPh sb="3" eb="5">
      <t>ジョウダン</t>
    </rPh>
    <phoneticPr fontId="3"/>
  </si>
  <si>
    <t>(2)下段</t>
    <rPh sb="3" eb="5">
      <t>カダン</t>
    </rPh>
    <phoneticPr fontId="3"/>
  </si>
  <si>
    <t>6-3. 応力度の照査（上段）</t>
    <rPh sb="5" eb="8">
      <t>オウリョクド</t>
    </rPh>
    <rPh sb="9" eb="11">
      <t>ショウサ</t>
    </rPh>
    <rPh sb="12" eb="14">
      <t>ジョウダン</t>
    </rPh>
    <phoneticPr fontId="3"/>
  </si>
  <si>
    <t>H-300</t>
  </si>
  <si>
    <t>6-4. 応力度の照査（下段）</t>
    <rPh sb="5" eb="8">
      <t>オウリョクド</t>
    </rPh>
    <rPh sb="9" eb="11">
      <t>ショウサ</t>
    </rPh>
    <rPh sb="12" eb="14">
      <t>ゲダン</t>
    </rPh>
    <phoneticPr fontId="3"/>
  </si>
  <si>
    <t>ただし、5m以下（H11道仮p122）</t>
    <rPh sb="6" eb="8">
      <t>イカ</t>
    </rPh>
    <rPh sb="12" eb="13">
      <t>ミチ</t>
    </rPh>
    <rPh sb="13" eb="14">
      <t>カリ</t>
    </rPh>
    <phoneticPr fontId="3"/>
  </si>
  <si>
    <t>H-300を最小部材（H11道仮p122）</t>
    <rPh sb="6" eb="8">
      <t>サイショウ</t>
    </rPh>
    <rPh sb="8" eb="10">
      <t>ブザイ</t>
    </rPh>
    <rPh sb="14" eb="15">
      <t>ミチ</t>
    </rPh>
    <rPh sb="15" eb="16">
      <t>カリ</t>
    </rPh>
    <phoneticPr fontId="3"/>
  </si>
  <si>
    <t>7. 火打ちの設計</t>
    <rPh sb="3" eb="4">
      <t>ヒ</t>
    </rPh>
    <rPh sb="4" eb="5">
      <t>ウ</t>
    </rPh>
    <rPh sb="7" eb="9">
      <t>セッケイ</t>
    </rPh>
    <phoneticPr fontId="3"/>
  </si>
  <si>
    <t>H11道仮p124</t>
    <phoneticPr fontId="3"/>
  </si>
  <si>
    <t>7-1. 荷重の計算</t>
    <rPh sb="5" eb="7">
      <t>カジュウ</t>
    </rPh>
    <rPh sb="8" eb="10">
      <t>ケイサン</t>
    </rPh>
    <phoneticPr fontId="3"/>
  </si>
  <si>
    <t>曲げモーメントおよび自重は、スパンが短いため無視する。</t>
    <rPh sb="0" eb="1">
      <t>マ</t>
    </rPh>
    <rPh sb="10" eb="12">
      <t>ジジュウ</t>
    </rPh>
    <rPh sb="18" eb="19">
      <t>ミジカ</t>
    </rPh>
    <rPh sb="22" eb="24">
      <t>ムシ</t>
    </rPh>
    <phoneticPr fontId="3"/>
  </si>
  <si>
    <t>cosθ</t>
    <phoneticPr fontId="3"/>
  </si>
  <si>
    <t>7-2. 断面力の計算</t>
    <rPh sb="5" eb="8">
      <t>ダンメンリョク</t>
    </rPh>
    <rPh sb="9" eb="11">
      <t>ケイサン</t>
    </rPh>
    <phoneticPr fontId="3"/>
  </si>
  <si>
    <t>7-3. 応力度の照査（上段）</t>
    <rPh sb="5" eb="8">
      <t>オウリョクド</t>
    </rPh>
    <rPh sb="9" eb="11">
      <t>ショウサ</t>
    </rPh>
    <rPh sb="12" eb="14">
      <t>ジョウダン</t>
    </rPh>
    <phoneticPr fontId="3"/>
  </si>
  <si>
    <r>
      <t>σ</t>
    </r>
    <r>
      <rPr>
        <i/>
        <vertAlign val="subscript"/>
        <sz val="11"/>
        <color theme="1"/>
        <rFont val="Times New Roman"/>
        <family val="1"/>
      </rPr>
      <t>ca</t>
    </r>
    <phoneticPr fontId="3"/>
  </si>
  <si>
    <r>
      <t>：許容軸方向圧縮応力度（N/mm</t>
    </r>
    <r>
      <rPr>
        <vertAlign val="superscript"/>
        <sz val="11"/>
        <color theme="1"/>
        <rFont val="游ゴシック"/>
        <family val="3"/>
        <charset val="128"/>
        <scheme val="minor"/>
      </rPr>
      <t>2</t>
    </r>
    <r>
      <rPr>
        <sz val="11"/>
        <color theme="1"/>
        <rFont val="游ゴシック"/>
        <family val="2"/>
        <scheme val="minor"/>
      </rPr>
      <t>）</t>
    </r>
    <rPh sb="1" eb="3">
      <t>キョヨウ</t>
    </rPh>
    <rPh sb="3" eb="4">
      <t>ジク</t>
    </rPh>
    <rPh sb="4" eb="6">
      <t>ホウコウ</t>
    </rPh>
    <rPh sb="6" eb="8">
      <t>アッシュク</t>
    </rPh>
    <rPh sb="8" eb="11">
      <t>オウリョクド</t>
    </rPh>
    <phoneticPr fontId="3"/>
  </si>
  <si>
    <t>：座屈長さ</t>
    <rPh sb="1" eb="4">
      <t>ザクツチョウ</t>
    </rPh>
    <phoneticPr fontId="3"/>
  </si>
  <si>
    <r>
      <t>σ</t>
    </r>
    <r>
      <rPr>
        <i/>
        <vertAlign val="subscript"/>
        <sz val="11"/>
        <color theme="1"/>
        <rFont val="Times New Roman"/>
        <family val="1"/>
        <charset val="161"/>
      </rPr>
      <t>c</t>
    </r>
    <r>
      <rPr>
        <i/>
        <vertAlign val="subscript"/>
        <sz val="11"/>
        <color theme="1"/>
        <rFont val="Times New Roman"/>
        <family val="1"/>
      </rPr>
      <t>a</t>
    </r>
    <phoneticPr fontId="3"/>
  </si>
  <si>
    <t>7-4. 応力度の照査（下段）</t>
    <rPh sb="5" eb="8">
      <t>オウリョクド</t>
    </rPh>
    <rPh sb="9" eb="11">
      <t>ショウサ</t>
    </rPh>
    <rPh sb="12" eb="14">
      <t>ゲダン</t>
    </rPh>
    <phoneticPr fontId="3"/>
  </si>
  <si>
    <t>8. まとめ</t>
    <phoneticPr fontId="3"/>
  </si>
  <si>
    <t>曲げ応力度（最下段切ばり設置直前）</t>
    <rPh sb="0" eb="1">
      <t>マ</t>
    </rPh>
    <rPh sb="2" eb="5">
      <t>オウリョクド</t>
    </rPh>
    <rPh sb="6" eb="9">
      <t>サイゲダン</t>
    </rPh>
    <rPh sb="9" eb="10">
      <t>キ</t>
    </rPh>
    <rPh sb="12" eb="14">
      <t>セッチ</t>
    </rPh>
    <rPh sb="14" eb="16">
      <t>チョクゼン</t>
    </rPh>
    <phoneticPr fontId="3"/>
  </si>
  <si>
    <t>曲げ応力度（掘削完了時）</t>
    <rPh sb="0" eb="1">
      <t>マ</t>
    </rPh>
    <rPh sb="2" eb="5">
      <t>オウリョクド</t>
    </rPh>
    <rPh sb="6" eb="8">
      <t>クッサク</t>
    </rPh>
    <rPh sb="8" eb="10">
      <t>カンリョウ</t>
    </rPh>
    <rPh sb="10" eb="11">
      <t>ドキ</t>
    </rPh>
    <phoneticPr fontId="3"/>
  </si>
  <si>
    <t>変位量</t>
    <rPh sb="0" eb="2">
      <t>ヘンイ</t>
    </rPh>
    <rPh sb="2" eb="3">
      <t>リョウ</t>
    </rPh>
    <phoneticPr fontId="3"/>
  </si>
  <si>
    <t>腹起し（一般部）</t>
    <rPh sb="0" eb="2">
      <t>ハラオコ</t>
    </rPh>
    <rPh sb="4" eb="7">
      <t>イッパンブ</t>
    </rPh>
    <phoneticPr fontId="3"/>
  </si>
  <si>
    <t>腹起し（端部）</t>
    <rPh sb="0" eb="2">
      <t>ハラオコ</t>
    </rPh>
    <rPh sb="4" eb="6">
      <t>タンブ</t>
    </rPh>
    <phoneticPr fontId="3"/>
  </si>
  <si>
    <t>切ばり</t>
    <rPh sb="0" eb="1">
      <t>キ</t>
    </rPh>
    <phoneticPr fontId="3"/>
  </si>
  <si>
    <t>火打ち</t>
    <rPh sb="0" eb="2">
      <t>ヒウ</t>
    </rPh>
    <phoneticPr fontId="3"/>
  </si>
  <si>
    <t>照査式(1)</t>
    <rPh sb="0" eb="2">
      <t>ショウサ</t>
    </rPh>
    <rPh sb="2" eb="3">
      <t>シキ</t>
    </rPh>
    <phoneticPr fontId="3"/>
  </si>
  <si>
    <t>照査式(2)</t>
    <rPh sb="0" eb="2">
      <t>ショウサ</t>
    </rPh>
    <rPh sb="2" eb="3">
      <t>シキ</t>
    </rPh>
    <phoneticPr fontId="3"/>
  </si>
  <si>
    <t>せん断力</t>
    <rPh sb="2" eb="4">
      <t>ダンリョク</t>
    </rPh>
    <phoneticPr fontId="3"/>
  </si>
  <si>
    <t>軸圧縮力</t>
    <rPh sb="0" eb="3">
      <t>ジクアッシュク</t>
    </rPh>
    <rPh sb="3" eb="4">
      <t>リョク</t>
    </rPh>
    <phoneticPr fontId="3"/>
  </si>
  <si>
    <t>ボイリングの検討</t>
    <rPh sb="6" eb="8">
      <t>ケントウ</t>
    </rPh>
    <phoneticPr fontId="3"/>
  </si>
  <si>
    <t>仮設土留め壁の設計計算例　ー２段切ばり式鋼矢板、火打ち有り、砂質地盤の場合ー</t>
    <rPh sb="0" eb="2">
      <t>カセツ</t>
    </rPh>
    <rPh sb="2" eb="4">
      <t>ドド</t>
    </rPh>
    <rPh sb="5" eb="6">
      <t>ヘキ</t>
    </rPh>
    <rPh sb="7" eb="9">
      <t>セッケイ</t>
    </rPh>
    <rPh sb="9" eb="11">
      <t>ケイサン</t>
    </rPh>
    <rPh sb="11" eb="12">
      <t>レイ</t>
    </rPh>
    <rPh sb="15" eb="16">
      <t>ダン</t>
    </rPh>
    <rPh sb="16" eb="17">
      <t>キリ</t>
    </rPh>
    <rPh sb="19" eb="20">
      <t>シキ</t>
    </rPh>
    <rPh sb="20" eb="23">
      <t>コウヤイタ</t>
    </rPh>
    <rPh sb="24" eb="25">
      <t>ヒ</t>
    </rPh>
    <rPh sb="25" eb="26">
      <t>ウ</t>
    </rPh>
    <rPh sb="27" eb="28">
      <t>ア</t>
    </rPh>
    <rPh sb="30" eb="32">
      <t>サシツ</t>
    </rPh>
    <rPh sb="32" eb="34">
      <t>ジバン</t>
    </rPh>
    <rPh sb="35" eb="37">
      <t>バアイ</t>
    </rPh>
    <phoneticPr fontId="3"/>
  </si>
  <si>
    <r>
      <t>δ</t>
    </r>
    <r>
      <rPr>
        <vertAlign val="subscript"/>
        <sz val="11"/>
        <color theme="1"/>
        <rFont val="游ゴシック"/>
        <family val="3"/>
        <charset val="128"/>
        <scheme val="minor"/>
      </rPr>
      <t>a</t>
    </r>
    <phoneticPr fontId="3"/>
  </si>
  <si>
    <t>下記に示す設計プロセスは「掘削深さH=3.0m超え10.0m以下、砂質地盤」が適用範囲です。（H11道仮p28）</t>
    <rPh sb="0" eb="2">
      <t>カキ</t>
    </rPh>
    <rPh sb="3" eb="4">
      <t>シメ</t>
    </rPh>
    <rPh sb="5" eb="7">
      <t>セッケイ</t>
    </rPh>
    <rPh sb="13" eb="15">
      <t>クッサク</t>
    </rPh>
    <rPh sb="15" eb="16">
      <t>フカ</t>
    </rPh>
    <rPh sb="23" eb="24">
      <t>コ</t>
    </rPh>
    <rPh sb="30" eb="32">
      <t>イカ</t>
    </rPh>
    <rPh sb="33" eb="35">
      <t>サシツ</t>
    </rPh>
    <rPh sb="35" eb="37">
      <t>ジバン</t>
    </rPh>
    <rPh sb="39" eb="43">
      <t>テキヨウハンイ</t>
    </rPh>
    <rPh sb="50" eb="51">
      <t>ミチ</t>
    </rPh>
    <rPh sb="51" eb="52">
      <t>カリ</t>
    </rPh>
    <phoneticPr fontId="3"/>
  </si>
  <si>
    <t>H11道仮p94</t>
    <phoneticPr fontId="3"/>
  </si>
  <si>
    <t>許容変位量</t>
    <rPh sb="0" eb="2">
      <t>キョヨウ</t>
    </rPh>
    <rPh sb="2" eb="4">
      <t>ヘンイ</t>
    </rPh>
    <rPh sb="4" eb="5">
      <t>リョウ</t>
    </rPh>
    <phoneticPr fontId="3"/>
  </si>
  <si>
    <t>4-2. 荷重の計算</t>
    <rPh sb="5" eb="7">
      <t>カジュウ</t>
    </rPh>
    <rPh sb="8" eb="10">
      <t>ケイサン</t>
    </rPh>
    <phoneticPr fontId="3"/>
  </si>
  <si>
    <t>1-1-1. 掘削寸法・荷重・地下水位</t>
    <rPh sb="7" eb="9">
      <t>クッサク</t>
    </rPh>
    <rPh sb="9" eb="11">
      <t>スンポウ</t>
    </rPh>
    <rPh sb="12" eb="14">
      <t>カジュウ</t>
    </rPh>
    <phoneticPr fontId="3"/>
  </si>
  <si>
    <t>1-1-2. 地盤物性値一覧</t>
    <rPh sb="7" eb="9">
      <t>ジバン</t>
    </rPh>
    <rPh sb="9" eb="11">
      <t>ブッセイ</t>
    </rPh>
    <rPh sb="11" eb="12">
      <t>アタイ</t>
    </rPh>
    <rPh sb="12" eb="14">
      <t>イチラン</t>
    </rPh>
    <phoneticPr fontId="3"/>
  </si>
  <si>
    <r>
      <t xml:space="preserve">1-1-3. 土留め壁頭部の許容変位量 </t>
    </r>
    <r>
      <rPr>
        <sz val="11"/>
        <color theme="1"/>
        <rFont val="游ゴシック"/>
        <family val="1"/>
        <charset val="128"/>
      </rPr>
      <t>δ</t>
    </r>
    <r>
      <rPr>
        <vertAlign val="subscript"/>
        <sz val="11"/>
        <color theme="1"/>
        <rFont val="Times New Roman"/>
        <family val="1"/>
      </rPr>
      <t>a</t>
    </r>
    <rPh sb="7" eb="9">
      <t>ドド</t>
    </rPh>
    <rPh sb="10" eb="11">
      <t>ヘキ</t>
    </rPh>
    <rPh sb="11" eb="13">
      <t>トウブ</t>
    </rPh>
    <rPh sb="14" eb="16">
      <t>キョヨウ</t>
    </rPh>
    <rPh sb="16" eb="18">
      <t>ヘンイ</t>
    </rPh>
    <rPh sb="18" eb="19">
      <t>リョウ</t>
    </rPh>
    <phoneticPr fontId="3"/>
  </si>
  <si>
    <t>上段の位置</t>
    <rPh sb="0" eb="1">
      <t>ウエ</t>
    </rPh>
    <rPh sb="3" eb="5">
      <t>イチ</t>
    </rPh>
    <phoneticPr fontId="3"/>
  </si>
  <si>
    <t>下段の位置</t>
    <rPh sb="0" eb="1">
      <t>シタ</t>
    </rPh>
    <rPh sb="1" eb="2">
      <t>ダン</t>
    </rPh>
    <rPh sb="3" eb="5">
      <t>イチ</t>
    </rPh>
    <phoneticPr fontId="3"/>
  </si>
  <si>
    <t>一般部</t>
    <rPh sb="0" eb="3">
      <t>イッパンブ</t>
    </rPh>
    <phoneticPr fontId="3"/>
  </si>
  <si>
    <t>端部</t>
    <rPh sb="0" eb="2">
      <t>タンブ</t>
    </rPh>
    <phoneticPr fontId="3"/>
  </si>
  <si>
    <t>上段</t>
    <rPh sb="0" eb="2">
      <t>ウエダン</t>
    </rPh>
    <phoneticPr fontId="3"/>
  </si>
  <si>
    <t>Ka・(∑γ・h+q)</t>
    <phoneticPr fontId="3"/>
  </si>
  <si>
    <t>-2c√Ka</t>
    <phoneticPr fontId="3"/>
  </si>
  <si>
    <t>ℓ₀</t>
    <phoneticPr fontId="3"/>
  </si>
  <si>
    <r>
      <t>) ℓ</t>
    </r>
    <r>
      <rPr>
        <vertAlign val="subscript"/>
        <sz val="11"/>
        <color theme="1"/>
        <rFont val="游ゴシック"/>
        <family val="3"/>
        <charset val="128"/>
        <scheme val="minor"/>
      </rPr>
      <t>0</t>
    </r>
    <phoneticPr fontId="3"/>
  </si>
  <si>
    <r>
      <rPr>
        <i/>
        <sz val="11"/>
        <color theme="1"/>
        <rFont val="Times New Roman"/>
        <family val="1"/>
      </rPr>
      <t>p</t>
    </r>
    <r>
      <rPr>
        <i/>
        <vertAlign val="subscript"/>
        <sz val="11"/>
        <color theme="1"/>
        <rFont val="Times New Roman"/>
        <family val="1"/>
      </rPr>
      <t>a4'</t>
    </r>
    <r>
      <rPr>
        <i/>
        <vertAlign val="subscript"/>
        <sz val="11"/>
        <color theme="1"/>
        <rFont val="ＭＳ Ｐ明朝"/>
        <family val="1"/>
        <charset val="128"/>
      </rPr>
      <t xml:space="preserve">下  </t>
    </r>
    <r>
      <rPr>
        <sz val="11"/>
        <color theme="1"/>
        <rFont val="Times New Roman"/>
        <family val="1"/>
      </rPr>
      <t>=</t>
    </r>
    <rPh sb="4" eb="5">
      <t>シタ</t>
    </rPh>
    <phoneticPr fontId="3"/>
  </si>
  <si>
    <t>Kp・(∑γ・h')</t>
    <phoneticPr fontId="3"/>
  </si>
  <si>
    <t>+2c√Kp</t>
    <phoneticPr fontId="3"/>
  </si>
  <si>
    <r>
      <rPr>
        <i/>
        <sz val="11"/>
        <color theme="1"/>
        <rFont val="Times New Roman"/>
        <family val="1"/>
      </rPr>
      <t>p</t>
    </r>
    <r>
      <rPr>
        <i/>
        <vertAlign val="subscript"/>
        <sz val="11"/>
        <color theme="1"/>
        <rFont val="Times New Roman"/>
        <family val="1"/>
      </rPr>
      <t>w4</t>
    </r>
    <r>
      <rPr>
        <i/>
        <vertAlign val="subscript"/>
        <sz val="11"/>
        <color theme="1"/>
        <rFont val="ＭＳ Ｐ明朝"/>
        <family val="1"/>
        <charset val="128"/>
      </rPr>
      <t>下</t>
    </r>
    <r>
      <rPr>
        <i/>
        <vertAlign val="subscript"/>
        <sz val="11"/>
        <color theme="1"/>
        <rFont val="Times New Roman"/>
        <family val="1"/>
      </rPr>
      <t xml:space="preserve">  </t>
    </r>
    <r>
      <rPr>
        <sz val="11"/>
        <color theme="1"/>
        <rFont val="Times New Roman"/>
        <family val="1"/>
      </rPr>
      <t>=</t>
    </r>
    <rPh sb="3" eb="4">
      <t>シタ</t>
    </rPh>
    <phoneticPr fontId="3"/>
  </si>
  <si>
    <t>上に同じ</t>
    <rPh sb="0" eb="1">
      <t>ウエ</t>
    </rPh>
    <rPh sb="2" eb="3">
      <t>オナ</t>
    </rPh>
    <phoneticPr fontId="3"/>
  </si>
  <si>
    <r>
      <t>)×ℓ</t>
    </r>
    <r>
      <rPr>
        <vertAlign val="subscript"/>
        <sz val="11"/>
        <color theme="1"/>
        <rFont val="游ゴシック"/>
        <family val="3"/>
        <charset val="128"/>
        <scheme val="minor"/>
      </rPr>
      <t xml:space="preserve">0 </t>
    </r>
    <r>
      <rPr>
        <sz val="11"/>
        <color theme="1"/>
        <rFont val="游ゴシック"/>
        <family val="3"/>
        <charset val="128"/>
        <scheme val="minor"/>
      </rPr>
      <t>/</t>
    </r>
    <phoneticPr fontId="3"/>
  </si>
  <si>
    <t>2-3-1. ボイリングの検討</t>
    <rPh sb="13" eb="15">
      <t>ケントウ</t>
    </rPh>
    <phoneticPr fontId="3"/>
  </si>
  <si>
    <t>2-3-2. パイピングの検討</t>
    <rPh sb="13" eb="15">
      <t>ケントウ</t>
    </rPh>
    <phoneticPr fontId="3"/>
  </si>
  <si>
    <t>d. A点における反力の計算</t>
    <rPh sb="4" eb="5">
      <t>テン</t>
    </rPh>
    <rPh sb="9" eb="11">
      <t>ハンリョク</t>
    </rPh>
    <rPh sb="12" eb="14">
      <t>ケイサン</t>
    </rPh>
    <phoneticPr fontId="3"/>
  </si>
  <si>
    <t>まず、各層の主働土圧、水圧、受働土圧を合計する。</t>
    <rPh sb="3" eb="5">
      <t>カクソウ</t>
    </rPh>
    <rPh sb="6" eb="8">
      <t>シュドウ</t>
    </rPh>
    <rPh sb="8" eb="10">
      <t>ドアツ</t>
    </rPh>
    <rPh sb="11" eb="13">
      <t>スイアツ</t>
    </rPh>
    <rPh sb="14" eb="16">
      <t>ジュドウ</t>
    </rPh>
    <rPh sb="16" eb="18">
      <t>ドアツ</t>
    </rPh>
    <rPh sb="19" eb="21">
      <t>ゴウケイ</t>
    </rPh>
    <phoneticPr fontId="3"/>
  </si>
  <si>
    <t>　最大曲げモーメントは、「3'層」で発生すると想定されるので、3'層の上面から下方向に距離 「x」 を定義し、その「x」から上部方向における曲げモーメントを計算する。</t>
    <rPh sb="1" eb="3">
      <t>サイダイ</t>
    </rPh>
    <rPh sb="3" eb="4">
      <t>マ</t>
    </rPh>
    <rPh sb="15" eb="16">
      <t>ソウ</t>
    </rPh>
    <rPh sb="18" eb="20">
      <t>ハッセイ</t>
    </rPh>
    <rPh sb="23" eb="25">
      <t>ソウテイ</t>
    </rPh>
    <rPh sb="33" eb="34">
      <t>ソウ</t>
    </rPh>
    <rPh sb="35" eb="36">
      <t>ウエ</t>
    </rPh>
    <rPh sb="36" eb="37">
      <t>メン</t>
    </rPh>
    <rPh sb="39" eb="42">
      <t>シタホウコウ</t>
    </rPh>
    <rPh sb="43" eb="45">
      <t>キョリ</t>
    </rPh>
    <rPh sb="51" eb="53">
      <t>テイギ</t>
    </rPh>
    <rPh sb="62" eb="64">
      <t>ジョウブ</t>
    </rPh>
    <rPh sb="64" eb="66">
      <t>ホウコウ</t>
    </rPh>
    <rPh sb="70" eb="71">
      <t>マ</t>
    </rPh>
    <rPh sb="78" eb="80">
      <t>ケイサン</t>
    </rPh>
    <phoneticPr fontId="3"/>
  </si>
  <si>
    <r>
      <t>p</t>
    </r>
    <r>
      <rPr>
        <i/>
        <vertAlign val="subscript"/>
        <sz val="11"/>
        <color theme="1"/>
        <rFont val="Times New Roman"/>
        <family val="1"/>
      </rPr>
      <t>x</t>
    </r>
    <phoneticPr fontId="3"/>
  </si>
  <si>
    <t>一般部においても、軸力が作用する腹起し材であるため、曲げと圧縮を受ける部材として設計する。</t>
    <rPh sb="0" eb="3">
      <t>イッパンブ</t>
    </rPh>
    <rPh sb="9" eb="11">
      <t>ジクリョク</t>
    </rPh>
    <rPh sb="12" eb="14">
      <t>サヨウ</t>
    </rPh>
    <rPh sb="16" eb="18">
      <t>ハラオコ</t>
    </rPh>
    <rPh sb="19" eb="20">
      <t>ザイ</t>
    </rPh>
    <rPh sb="26" eb="27">
      <t>マ</t>
    </rPh>
    <rPh sb="29" eb="31">
      <t>アッシュク</t>
    </rPh>
    <rPh sb="32" eb="33">
      <t>ウ</t>
    </rPh>
    <rPh sb="35" eb="37">
      <t>ブザイ</t>
    </rPh>
    <rPh sb="40" eb="42">
      <t>セッケイ</t>
    </rPh>
    <phoneticPr fontId="3"/>
  </si>
  <si>
    <t>温度変化に伴う軸力増加は</t>
    <rPh sb="0" eb="2">
      <t>オンド</t>
    </rPh>
    <rPh sb="2" eb="4">
      <t>ヘンカ</t>
    </rPh>
    <rPh sb="5" eb="6">
      <t>トモナ</t>
    </rPh>
    <rPh sb="7" eb="9">
      <t>ジクリョク</t>
    </rPh>
    <rPh sb="9" eb="11">
      <t>ゾウカ</t>
    </rPh>
    <phoneticPr fontId="3"/>
  </si>
  <si>
    <t>火打ちの腹起し方向の幅（端部）</t>
    <rPh sb="0" eb="2">
      <t>ヒウ</t>
    </rPh>
    <rPh sb="4" eb="6">
      <t>ハラオコ</t>
    </rPh>
    <rPh sb="7" eb="9">
      <t>ホウコウ</t>
    </rPh>
    <rPh sb="10" eb="11">
      <t>ハバ</t>
    </rPh>
    <rPh sb="12" eb="13">
      <t>ハシ</t>
    </rPh>
    <rPh sb="13" eb="14">
      <t>ブ</t>
    </rPh>
    <phoneticPr fontId="3"/>
  </si>
  <si>
    <t>火打ち間の幅（端部）</t>
    <rPh sb="0" eb="2">
      <t>ヒウ</t>
    </rPh>
    <rPh sb="3" eb="4">
      <t>アイダ</t>
    </rPh>
    <rPh sb="5" eb="6">
      <t>ハバ</t>
    </rPh>
    <rPh sb="7" eb="8">
      <t>ハシ</t>
    </rPh>
    <rPh sb="8" eb="9">
      <t>ブ</t>
    </rPh>
    <phoneticPr fontId="3"/>
  </si>
  <si>
    <t>5-2-3. 応力度の照査(上段）</t>
    <rPh sb="7" eb="10">
      <t>オウリョクド</t>
    </rPh>
    <rPh sb="11" eb="13">
      <t>ショウサ</t>
    </rPh>
    <rPh sb="14" eb="16">
      <t>ジョウダン</t>
    </rPh>
    <phoneticPr fontId="3"/>
  </si>
  <si>
    <t>5-2-4. 応力度の照査(下段）</t>
    <rPh sb="7" eb="10">
      <t>オウリョクド</t>
    </rPh>
    <rPh sb="11" eb="13">
      <t>ショウサ</t>
    </rPh>
    <rPh sb="14" eb="16">
      <t>カダン</t>
    </rPh>
    <phoneticPr fontId="3"/>
  </si>
  <si>
    <r>
      <t>N</t>
    </r>
    <r>
      <rPr>
        <vertAlign val="subscript"/>
        <sz val="11"/>
        <color theme="1"/>
        <rFont val="Times New Roman"/>
        <family val="1"/>
      </rPr>
      <t>1</t>
    </r>
    <phoneticPr fontId="3"/>
  </si>
  <si>
    <r>
      <t>N</t>
    </r>
    <r>
      <rPr>
        <vertAlign val="subscript"/>
        <sz val="11"/>
        <color theme="1"/>
        <rFont val="Times New Roman"/>
        <family val="1"/>
      </rPr>
      <t>2</t>
    </r>
    <phoneticPr fontId="3"/>
  </si>
  <si>
    <r>
      <t>ℓ</t>
    </r>
    <r>
      <rPr>
        <vertAlign val="subscript"/>
        <sz val="11"/>
        <color theme="1"/>
        <rFont val="游ゴシック"/>
        <family val="3"/>
        <charset val="128"/>
        <scheme val="minor"/>
      </rPr>
      <t>1</t>
    </r>
    <r>
      <rPr>
        <sz val="11"/>
        <color theme="1"/>
        <rFont val="游ゴシック"/>
        <family val="2"/>
        <scheme val="minor"/>
      </rPr>
      <t>'</t>
    </r>
    <phoneticPr fontId="3"/>
  </si>
  <si>
    <r>
      <t>ℓ</t>
    </r>
    <r>
      <rPr>
        <vertAlign val="subscript"/>
        <sz val="11"/>
        <color theme="1"/>
        <rFont val="游ゴシック"/>
        <family val="3"/>
        <charset val="128"/>
        <scheme val="minor"/>
      </rPr>
      <t>2'</t>
    </r>
    <r>
      <rPr>
        <sz val="11"/>
        <color theme="1"/>
        <rFont val="游ゴシック"/>
        <family val="2"/>
        <scheme val="minor"/>
      </rPr>
      <t/>
    </r>
  </si>
  <si>
    <r>
      <t>(ℓ</t>
    </r>
    <r>
      <rPr>
        <vertAlign val="subscript"/>
        <sz val="11"/>
        <color theme="1"/>
        <rFont val="游ゴシック"/>
        <family val="3"/>
        <charset val="128"/>
        <scheme val="minor"/>
      </rPr>
      <t>1</t>
    </r>
    <r>
      <rPr>
        <sz val="11"/>
        <color theme="1"/>
        <rFont val="游ゴシック"/>
        <family val="2"/>
        <scheme val="minor"/>
      </rPr>
      <t>'</t>
    </r>
    <phoneticPr fontId="3"/>
  </si>
  <si>
    <r>
      <t>(ℓ</t>
    </r>
    <r>
      <rPr>
        <vertAlign val="subscript"/>
        <sz val="11"/>
        <color theme="1"/>
        <rFont val="游ゴシック"/>
        <family val="3"/>
        <charset val="128"/>
        <scheme val="minor"/>
      </rPr>
      <t>2'</t>
    </r>
    <phoneticPr fontId="3"/>
  </si>
  <si>
    <t>：座屈長</t>
    <rPh sb="1" eb="4">
      <t>ザクツチョウ</t>
    </rPh>
    <phoneticPr fontId="3"/>
  </si>
  <si>
    <t>2.根入れ長の計算（鋼矢板の長さの決定）</t>
    <rPh sb="2" eb="4">
      <t>ネイ</t>
    </rPh>
    <rPh sb="5" eb="6">
      <t>チョウ</t>
    </rPh>
    <rPh sb="7" eb="9">
      <t>ケイサン</t>
    </rPh>
    <rPh sb="10" eb="11">
      <t>ハガネ</t>
    </rPh>
    <rPh sb="11" eb="13">
      <t>ヤイタ</t>
    </rPh>
    <rPh sb="14" eb="15">
      <t>チョウ</t>
    </rPh>
    <rPh sb="17" eb="19">
      <t>ケッテイ</t>
    </rPh>
    <phoneticPr fontId="3"/>
  </si>
  <si>
    <t>参考までに、地表面からの距離は、「掘削深さ＋ℓ」なので、</t>
    <rPh sb="0" eb="2">
      <t>サンコウ</t>
    </rPh>
    <rPh sb="6" eb="9">
      <t>チヒョウメン</t>
    </rPh>
    <rPh sb="12" eb="14">
      <t>キョリ</t>
    </rPh>
    <rPh sb="17" eb="19">
      <t>クッサク</t>
    </rPh>
    <rPh sb="19" eb="20">
      <t>フカ</t>
    </rPh>
    <phoneticPr fontId="3"/>
  </si>
  <si>
    <t>© 2023 ce-note.com</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</si>
</sst>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00_ "/>
    <numFmt numFmtId="179" formatCode="#,##0.000;[Red]\-#,##0.000"/>
    <numFmt numFmtId="180" formatCode="0.0000000"/>
    <numFmt numFmtId="181" formatCode="#,##0.0"/>
    <numFmt numFmtId="182" formatCode="#,##0.000000;[Red]\-#,##0.000000"/>
    <numFmt numFmtId="183" formatCode="0.0000"/>
    <numFmt numFmtId="184" formatCode="0.0000_ "/>
    <numFmt numFmtId="185" formatCode="0.000"/>
  </numFmts>
  <fonts count="54">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vertAlign val="superscript"/>
      <sz val="11"/>
      <color theme="1"/>
      <name val="游ゴシック"/>
      <family val="3"/>
      <charset val="128"/>
      <scheme val="minor"/>
    </font>
    <font>
      <vertAlign val="subscript"/>
      <sz val="11"/>
      <color theme="1"/>
      <name val="游ゴシック"/>
      <family val="3"/>
      <charset val="128"/>
      <scheme val="minor"/>
    </font>
    <font>
      <sz val="11"/>
      <color theme="1"/>
      <name val="Times New Roman"/>
      <family val="1"/>
    </font>
    <font>
      <i/>
      <sz val="11"/>
      <color theme="1"/>
      <name val="Times New Roman"/>
      <family val="1"/>
    </font>
    <font>
      <sz val="11"/>
      <color theme="1"/>
      <name val="游ゴシック"/>
      <family val="3"/>
      <charset val="128"/>
      <scheme val="minor"/>
    </font>
    <font>
      <vertAlign val="subscript"/>
      <sz val="11"/>
      <color theme="1"/>
      <name val="Times New Roman"/>
      <family val="1"/>
    </font>
    <font>
      <i/>
      <vertAlign val="subscript"/>
      <sz val="11"/>
      <color theme="1"/>
      <name val="Times New Roman"/>
      <family val="1"/>
    </font>
    <font>
      <i/>
      <sz val="11"/>
      <color theme="1"/>
      <name val="游ゴシック"/>
      <family val="2"/>
    </font>
    <font>
      <i/>
      <sz val="11"/>
      <color theme="1"/>
      <name val="ＭＳ Ｐ明朝"/>
      <family val="1"/>
      <charset val="128"/>
    </font>
    <font>
      <sz val="11"/>
      <color theme="1"/>
      <name val="游ゴシック"/>
      <family val="1"/>
      <scheme val="minor"/>
    </font>
    <font>
      <i/>
      <sz val="11"/>
      <color theme="1"/>
      <name val="Times New Roman"/>
      <family val="3"/>
      <charset val="128"/>
    </font>
    <font>
      <sz val="11"/>
      <color theme="1"/>
      <name val="Yu Gothic"/>
      <family val="1"/>
      <charset val="128"/>
    </font>
    <font>
      <vertAlign val="subscript"/>
      <sz val="11"/>
      <color theme="1"/>
      <name val="游ゴシック"/>
      <family val="1"/>
      <charset val="128"/>
    </font>
    <font>
      <vertAlign val="subscript"/>
      <sz val="11"/>
      <color theme="1"/>
      <name val="Yu Gothic"/>
      <family val="1"/>
      <charset val="128"/>
    </font>
    <font>
      <i/>
      <vertAlign val="subscript"/>
      <sz val="11"/>
      <color theme="1"/>
      <name val="ＭＳ Ｐ明朝"/>
      <family val="1"/>
      <charset val="128"/>
    </font>
    <font>
      <vertAlign val="subscript"/>
      <sz val="11"/>
      <color theme="1"/>
      <name val="ＭＳ Ｐ明朝"/>
      <family val="1"/>
      <charset val="128"/>
    </font>
    <font>
      <sz val="11"/>
      <color theme="0"/>
      <name val="游ゴシック"/>
      <family val="3"/>
      <charset val="128"/>
      <scheme val="minor"/>
    </font>
    <font>
      <sz val="11"/>
      <color rgb="FFFF0000"/>
      <name val="游ゴシック"/>
      <family val="3"/>
      <charset val="128"/>
      <scheme val="minor"/>
    </font>
    <font>
      <sz val="11"/>
      <name val="游ゴシック"/>
      <family val="2"/>
      <scheme val="minor"/>
    </font>
    <font>
      <b/>
      <vertAlign val="subscript"/>
      <sz val="11"/>
      <color theme="1"/>
      <name val="Times New Roman"/>
      <family val="1"/>
    </font>
    <font>
      <vertAlign val="subscript"/>
      <sz val="11"/>
      <name val="游ゴシック"/>
      <family val="3"/>
      <charset val="128"/>
      <scheme val="minor"/>
    </font>
    <font>
      <i/>
      <sz val="11"/>
      <color theme="1"/>
      <name val="Times New Roman"/>
      <family val="1"/>
      <charset val="161"/>
    </font>
    <font>
      <i/>
      <sz val="11"/>
      <color rgb="FFFF0000"/>
      <name val="Times New Roman"/>
      <family val="1"/>
      <charset val="161"/>
    </font>
    <font>
      <i/>
      <sz val="11"/>
      <color rgb="FFFF0000"/>
      <name val="ＭＳ Ｐ明朝"/>
      <family val="1"/>
      <charset val="128"/>
    </font>
    <font>
      <vertAlign val="subscript"/>
      <sz val="11"/>
      <color rgb="FFFF0000"/>
      <name val="Times New Roman"/>
      <family val="1"/>
    </font>
    <font>
      <i/>
      <sz val="11"/>
      <color rgb="FFFF0000"/>
      <name val="Times New Roman"/>
      <family val="1"/>
    </font>
    <font>
      <sz val="11"/>
      <color rgb="FFFF0000"/>
      <name val="游ゴシック"/>
      <family val="2"/>
      <scheme val="minor"/>
    </font>
    <font>
      <i/>
      <vertAlign val="superscript"/>
      <sz val="11"/>
      <color theme="1"/>
      <name val="Times New Roman"/>
      <family val="1"/>
    </font>
    <font>
      <vertAlign val="superscript"/>
      <sz val="11"/>
      <color theme="1"/>
      <name val="游ゴシック"/>
      <family val="2"/>
      <scheme val="minor"/>
    </font>
    <font>
      <sz val="11"/>
      <name val="游ゴシック"/>
      <family val="3"/>
      <charset val="128"/>
      <scheme val="minor"/>
    </font>
    <font>
      <sz val="11"/>
      <name val="游ゴシック"/>
      <family val="3"/>
      <charset val="128"/>
    </font>
    <font>
      <i/>
      <vertAlign val="subscript"/>
      <sz val="11"/>
      <color theme="1"/>
      <name val="游ゴシック"/>
      <family val="1"/>
      <charset val="128"/>
    </font>
    <font>
      <vertAlign val="subscript"/>
      <sz val="11"/>
      <color theme="1"/>
      <name val="游ゴシック"/>
      <family val="3"/>
      <charset val="128"/>
    </font>
    <font>
      <i/>
      <sz val="11"/>
      <color theme="1"/>
      <name val="游ゴシック"/>
      <family val="3"/>
      <charset val="128"/>
      <scheme val="minor"/>
    </font>
    <font>
      <sz val="11"/>
      <color theme="1"/>
      <name val="游ゴシック"/>
      <family val="1"/>
      <charset val="128"/>
      <scheme val="minor"/>
    </font>
    <font>
      <i/>
      <sz val="11"/>
      <color theme="1"/>
      <name val="游ゴシック"/>
      <family val="3"/>
      <charset val="128"/>
    </font>
    <font>
      <sz val="11"/>
      <color theme="1"/>
      <name val="ＭＳ Ｐ明朝"/>
      <family val="1"/>
      <charset val="128"/>
    </font>
    <font>
      <b/>
      <vertAlign val="subscript"/>
      <sz val="11"/>
      <color theme="1"/>
      <name val="游ゴシック"/>
      <family val="3"/>
      <charset val="128"/>
      <scheme val="minor"/>
    </font>
    <font>
      <strike/>
      <sz val="11"/>
      <color theme="1"/>
      <name val="Times New Roman"/>
      <family val="1"/>
    </font>
    <font>
      <i/>
      <strike/>
      <sz val="11"/>
      <color theme="1"/>
      <name val="Times New Roman"/>
      <family val="1"/>
    </font>
    <font>
      <i/>
      <strike/>
      <vertAlign val="subscript"/>
      <sz val="11"/>
      <color theme="1"/>
      <name val="Times New Roman"/>
      <family val="1"/>
    </font>
    <font>
      <i/>
      <strike/>
      <vertAlign val="subscript"/>
      <sz val="11"/>
      <color theme="1"/>
      <name val="ＭＳ Ｐ明朝"/>
      <family val="1"/>
      <charset val="128"/>
    </font>
    <font>
      <strike/>
      <sz val="11"/>
      <color theme="1"/>
      <name val="游ゴシック"/>
      <family val="2"/>
      <scheme val="minor"/>
    </font>
    <font>
      <i/>
      <sz val="11"/>
      <color theme="1"/>
      <name val="游ゴシック"/>
      <family val="1"/>
      <charset val="128"/>
    </font>
    <font>
      <vertAlign val="subscript"/>
      <sz val="11"/>
      <color theme="1"/>
      <name val="Times New Roman"/>
      <family val="3"/>
    </font>
    <font>
      <i/>
      <vertAlign val="subscript"/>
      <sz val="11"/>
      <color theme="1"/>
      <name val="Yu Gothic"/>
      <family val="1"/>
      <charset val="128"/>
    </font>
    <font>
      <i/>
      <vertAlign val="subscript"/>
      <sz val="11"/>
      <color theme="1"/>
      <name val="Times New Roman"/>
      <family val="1"/>
      <charset val="161"/>
    </font>
    <font>
      <sz val="6"/>
      <color theme="0"/>
      <name val="游ゴシック"/>
      <family val="2"/>
      <scheme val="minor"/>
    </font>
    <font>
      <sz val="11"/>
      <color theme="1"/>
      <name val="游ゴシック"/>
      <family val="1"/>
      <charset val="128"/>
    </font>
    <font>
      <u/>
      <sz val="11"/>
      <color theme="10"/>
      <name val="游ゴシック"/>
      <family val="2"/>
      <scheme val="minor"/>
    </font>
  </fonts>
  <fills count="5">
    <fill>
      <patternFill patternType="none"/>
    </fill>
    <fill>
      <patternFill patternType="gray125"/>
    </fill>
    <fill>
      <patternFill patternType="solid">
        <fgColor rgb="FFFFCCFF"/>
        <bgColor indexed="64"/>
      </patternFill>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s>
  <cellStyleXfs count="4">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53" fillId="0" borderId="0" applyNumberFormat="0" applyFill="0" applyBorder="0" applyAlignment="0" applyProtection="0"/>
  </cellStyleXfs>
  <cellXfs count="931">
    <xf numFmtId="0" fontId="0" fillId="0" borderId="0" xfId="0"/>
    <xf numFmtId="177" fontId="0" fillId="0" borderId="0" xfId="1" applyNumberFormat="1" applyFont="1" applyAlignme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4" xfId="0" applyBorder="1" applyAlignment="1">
      <alignment horizontal="center"/>
    </xf>
    <xf numFmtId="0" fontId="0" fillId="0" borderId="5" xfId="0" applyBorder="1" applyAlignment="1">
      <alignment horizontal="center"/>
    </xf>
    <xf numFmtId="177" fontId="0" fillId="0" borderId="1" xfId="1" applyNumberFormat="1" applyFont="1" applyBorder="1" applyAlignment="1"/>
    <xf numFmtId="177" fontId="0" fillId="0" borderId="2" xfId="1" applyNumberFormat="1" applyFont="1" applyBorder="1" applyAlignment="1"/>
    <xf numFmtId="177" fontId="0" fillId="0" borderId="3" xfId="1" applyNumberFormat="1" applyFont="1" applyBorder="1" applyAlignment="1"/>
    <xf numFmtId="177" fontId="0" fillId="0" borderId="4" xfId="1" applyNumberFormat="1" applyFont="1" applyBorder="1" applyAlignment="1"/>
    <xf numFmtId="177" fontId="0" fillId="0" borderId="0" xfId="1" applyNumberFormat="1" applyFont="1" applyBorder="1" applyAlignment="1"/>
    <xf numFmtId="177" fontId="0" fillId="0" borderId="0" xfId="1" applyNumberFormat="1" applyFont="1" applyBorder="1" applyAlignment="1">
      <alignment horizontal="center"/>
    </xf>
    <xf numFmtId="177" fontId="0" fillId="0" borderId="5" xfId="1" applyNumberFormat="1" applyFont="1" applyBorder="1" applyAlignment="1"/>
    <xf numFmtId="177" fontId="0" fillId="0" borderId="6" xfId="1" applyNumberFormat="1" applyFont="1" applyBorder="1" applyAlignment="1"/>
    <xf numFmtId="177" fontId="0" fillId="0" borderId="7" xfId="1" applyNumberFormat="1" applyFont="1" applyBorder="1" applyAlignment="1"/>
    <xf numFmtId="177" fontId="0" fillId="0" borderId="7" xfId="1" applyNumberFormat="1" applyFont="1" applyBorder="1" applyAlignment="1">
      <alignment horizontal="center"/>
    </xf>
    <xf numFmtId="177" fontId="0" fillId="0" borderId="8" xfId="1" applyNumberFormat="1" applyFont="1" applyBorder="1" applyAlignment="1"/>
    <xf numFmtId="0" fontId="0" fillId="0" borderId="7" xfId="0" applyBorder="1" applyAlignment="1">
      <alignment horizontal="center"/>
    </xf>
    <xf numFmtId="0" fontId="0" fillId="0" borderId="7" xfId="0" applyBorder="1" applyAlignment="1">
      <alignment horizontal="center" vertical="center"/>
    </xf>
    <xf numFmtId="2" fontId="0" fillId="0" borderId="7" xfId="0" applyNumberFormat="1" applyBorder="1" applyAlignment="1">
      <alignment horizontal="center"/>
    </xf>
    <xf numFmtId="2" fontId="0" fillId="0" borderId="7" xfId="0" applyNumberFormat="1" applyBorder="1" applyAlignment="1">
      <alignment horizontal="left"/>
    </xf>
    <xf numFmtId="40" fontId="0" fillId="0" borderId="0" xfId="1" applyNumberFormat="1" applyFont="1" applyBorder="1" applyAlignment="1">
      <alignment horizontal="center"/>
    </xf>
    <xf numFmtId="0" fontId="0" fillId="0" borderId="7" xfId="0" applyBorder="1"/>
    <xf numFmtId="0" fontId="0" fillId="0" borderId="7" xfId="0" applyBorder="1" applyAlignment="1">
      <alignment horizontal="left"/>
    </xf>
    <xf numFmtId="38" fontId="0" fillId="0" borderId="0" xfId="1" applyFont="1" applyBorder="1" applyAlignment="1">
      <alignment horizontal="center"/>
    </xf>
    <xf numFmtId="177" fontId="0" fillId="0" borderId="0" xfId="1" applyNumberFormat="1" applyFont="1" applyBorder="1" applyAlignment="1">
      <alignment horizontal="center" vertical="center"/>
    </xf>
    <xf numFmtId="38" fontId="0" fillId="0" borderId="7" xfId="1" applyFont="1" applyBorder="1" applyAlignment="1"/>
    <xf numFmtId="177" fontId="0" fillId="0" borderId="11" xfId="1" applyNumberFormat="1" applyFont="1" applyBorder="1" applyAlignment="1"/>
    <xf numFmtId="38" fontId="0" fillId="0" borderId="0" xfId="1" applyFont="1" applyBorder="1" applyAlignment="1"/>
    <xf numFmtId="177" fontId="0" fillId="0" borderId="0" xfId="1" applyNumberFormat="1" applyFont="1" applyBorder="1" applyAlignment="1">
      <alignment vertical="center"/>
    </xf>
    <xf numFmtId="177" fontId="0" fillId="0" borderId="0" xfId="1" applyNumberFormat="1" applyFont="1" applyBorder="1" applyAlignment="1">
      <alignment horizontal="left" vertical="center"/>
    </xf>
    <xf numFmtId="177" fontId="7" fillId="0" borderId="0" xfId="1" applyNumberFormat="1" applyFont="1" applyBorder="1" applyAlignment="1"/>
    <xf numFmtId="177" fontId="7" fillId="0" borderId="0" xfId="1" applyNumberFormat="1" applyFont="1" applyBorder="1" applyAlignment="1">
      <alignment horizontal="center"/>
    </xf>
    <xf numFmtId="177" fontId="7" fillId="0" borderId="0" xfId="1" applyNumberFormat="1" applyFont="1" applyBorder="1" applyAlignment="1">
      <alignment horizontal="center" vertical="center"/>
    </xf>
    <xf numFmtId="177" fontId="8" fillId="0" borderId="0" xfId="1" applyNumberFormat="1" applyFont="1" applyBorder="1" applyAlignment="1"/>
    <xf numFmtId="177" fontId="13" fillId="0" borderId="0" xfId="1" applyNumberFormat="1" applyFont="1" applyBorder="1" applyAlignment="1"/>
    <xf numFmtId="179" fontId="8" fillId="0" borderId="0" xfId="1" applyNumberFormat="1" applyFont="1" applyBorder="1" applyAlignment="1"/>
    <xf numFmtId="177" fontId="0" fillId="0" borderId="0" xfId="1" applyNumberFormat="1" applyFont="1" applyFill="1" applyBorder="1" applyAlignment="1">
      <alignment horizontal="center"/>
    </xf>
    <xf numFmtId="177" fontId="0" fillId="0" borderId="0" xfId="1" quotePrefix="1" applyNumberFormat="1" applyFont="1" applyBorder="1" applyAlignment="1"/>
    <xf numFmtId="177" fontId="0" fillId="0" borderId="0" xfId="1" applyNumberFormat="1" applyFont="1" applyBorder="1" applyAlignment="1">
      <alignment horizontal="center" shrinkToFit="1"/>
    </xf>
    <xf numFmtId="177" fontId="0" fillId="0" borderId="2" xfId="1" applyNumberFormat="1" applyFont="1" applyBorder="1" applyAlignment="1">
      <alignment horizontal="center"/>
    </xf>
    <xf numFmtId="38" fontId="0" fillId="0" borderId="2" xfId="1" applyFont="1" applyBorder="1" applyAlignment="1">
      <alignment horizontal="center"/>
    </xf>
    <xf numFmtId="38" fontId="0" fillId="0" borderId="5" xfId="1" applyFont="1" applyBorder="1" applyAlignment="1"/>
    <xf numFmtId="38" fontId="0" fillId="0" borderId="11" xfId="1" applyFont="1" applyBorder="1" applyAlignment="1"/>
    <xf numFmtId="2" fontId="0" fillId="0" borderId="7" xfId="0" applyNumberFormat="1" applyBorder="1"/>
    <xf numFmtId="1" fontId="0" fillId="0" borderId="2" xfId="0" applyNumberFormat="1" applyBorder="1" applyAlignment="1">
      <alignment horizontal="center"/>
    </xf>
    <xf numFmtId="1" fontId="0" fillId="0" borderId="7" xfId="0" applyNumberFormat="1" applyBorder="1" applyAlignment="1">
      <alignment horizontal="center"/>
    </xf>
    <xf numFmtId="177" fontId="0" fillId="0" borderId="15" xfId="1" applyNumberFormat="1" applyFont="1" applyBorder="1" applyAlignment="1"/>
    <xf numFmtId="0" fontId="0" fillId="0" borderId="2" xfId="0" applyBorder="1" applyAlignment="1">
      <alignment horizontal="center"/>
    </xf>
    <xf numFmtId="2" fontId="0" fillId="0" borderId="2" xfId="0" applyNumberFormat="1" applyBorder="1" applyAlignment="1">
      <alignment horizontal="center"/>
    </xf>
    <xf numFmtId="0" fontId="0" fillId="0" borderId="2" xfId="0" applyBorder="1" applyAlignment="1">
      <alignment horizontal="center" vertical="center"/>
    </xf>
    <xf numFmtId="177" fontId="21" fillId="0" borderId="0" xfId="1" applyNumberFormat="1" applyFont="1" applyBorder="1" applyAlignment="1">
      <alignment shrinkToFit="1"/>
    </xf>
    <xf numFmtId="177" fontId="21" fillId="0" borderId="5" xfId="1" applyNumberFormat="1" applyFont="1" applyBorder="1" applyAlignment="1">
      <alignment shrinkToFit="1"/>
    </xf>
    <xf numFmtId="177" fontId="21" fillId="0" borderId="0" xfId="1" applyNumberFormat="1" applyFont="1" applyAlignment="1">
      <alignment shrinkToFit="1"/>
    </xf>
    <xf numFmtId="177" fontId="0" fillId="0" borderId="0" xfId="1" applyNumberFormat="1" applyFont="1" applyBorder="1" applyAlignment="1">
      <alignment horizontal="left" shrinkToFit="1"/>
    </xf>
    <xf numFmtId="177" fontId="7" fillId="0" borderId="5" xfId="1" applyNumberFormat="1" applyFont="1" applyBorder="1" applyAlignment="1"/>
    <xf numFmtId="0" fontId="0" fillId="0" borderId="2" xfId="0" applyBorder="1" applyAlignment="1">
      <alignment horizontal="left"/>
    </xf>
    <xf numFmtId="2" fontId="0" fillId="0" borderId="2" xfId="0" applyNumberFormat="1" applyBorder="1" applyAlignment="1">
      <alignment horizontal="left"/>
    </xf>
    <xf numFmtId="40" fontId="0" fillId="0" borderId="2" xfId="1" applyNumberFormat="1" applyFont="1" applyBorder="1" applyAlignment="1">
      <alignment horizontal="center" shrinkToFit="1"/>
    </xf>
    <xf numFmtId="40" fontId="0" fillId="0" borderId="7" xfId="1" applyNumberFormat="1" applyFont="1" applyBorder="1" applyAlignment="1">
      <alignment horizontal="center" shrinkToFit="1"/>
    </xf>
    <xf numFmtId="40" fontId="0" fillId="0" borderId="11" xfId="1" applyNumberFormat="1" applyFont="1" applyBorder="1" applyAlignment="1">
      <alignment horizontal="center" shrinkToFit="1"/>
    </xf>
    <xf numFmtId="1" fontId="0" fillId="0" borderId="11" xfId="0" applyNumberFormat="1" applyBorder="1" applyAlignment="1">
      <alignment horizontal="center"/>
    </xf>
    <xf numFmtId="0" fontId="0" fillId="0" borderId="11" xfId="0" applyBorder="1" applyAlignment="1">
      <alignment horizontal="center" vertical="center"/>
    </xf>
    <xf numFmtId="2" fontId="0" fillId="0" borderId="11" xfId="0" applyNumberFormat="1" applyBorder="1" applyAlignment="1">
      <alignment horizontal="center"/>
    </xf>
    <xf numFmtId="0" fontId="0" fillId="0" borderId="11" xfId="0" applyBorder="1" applyAlignment="1">
      <alignment horizontal="left"/>
    </xf>
    <xf numFmtId="2" fontId="0" fillId="0" borderId="11" xfId="0" applyNumberFormat="1" applyBorder="1" applyAlignment="1">
      <alignment horizontal="left"/>
    </xf>
    <xf numFmtId="2" fontId="0" fillId="0" borderId="11" xfId="0" applyNumberFormat="1" applyBorder="1"/>
    <xf numFmtId="0" fontId="0" fillId="0" borderId="11" xfId="0" applyBorder="1"/>
    <xf numFmtId="40" fontId="0" fillId="0" borderId="22" xfId="1" applyNumberFormat="1" applyFont="1" applyBorder="1" applyAlignment="1">
      <alignment horizontal="center" shrinkToFit="1"/>
    </xf>
    <xf numFmtId="177" fontId="0" fillId="0" borderId="22" xfId="1" applyNumberFormat="1" applyFont="1" applyBorder="1" applyAlignment="1"/>
    <xf numFmtId="0" fontId="0" fillId="0" borderId="22" xfId="0" applyBorder="1" applyAlignment="1">
      <alignment horizontal="left"/>
    </xf>
    <xf numFmtId="2" fontId="0" fillId="0" borderId="22" xfId="0" applyNumberFormat="1" applyBorder="1" applyAlignment="1">
      <alignment horizontal="left"/>
    </xf>
    <xf numFmtId="2" fontId="0" fillId="0" borderId="22" xfId="0" applyNumberFormat="1" applyBorder="1" applyAlignment="1">
      <alignment horizontal="center"/>
    </xf>
    <xf numFmtId="0" fontId="0" fillId="0" borderId="24" xfId="0" applyBorder="1" applyAlignment="1">
      <alignment horizontal="left"/>
    </xf>
    <xf numFmtId="177" fontId="0" fillId="0" borderId="24" xfId="1" applyNumberFormat="1" applyFont="1" applyBorder="1" applyAlignment="1"/>
    <xf numFmtId="2" fontId="0" fillId="0" borderId="24" xfId="0" applyNumberFormat="1" applyBorder="1" applyAlignment="1">
      <alignment horizontal="center"/>
    </xf>
    <xf numFmtId="2" fontId="0" fillId="0" borderId="24" xfId="0" applyNumberFormat="1" applyBorder="1" applyAlignment="1">
      <alignment horizontal="left"/>
    </xf>
    <xf numFmtId="177" fontId="0" fillId="0" borderId="12" xfId="1" applyNumberFormat="1" applyFont="1" applyBorder="1" applyAlignment="1"/>
    <xf numFmtId="0" fontId="0" fillId="0" borderId="0" xfId="0" applyAlignment="1">
      <alignment horizontal="center"/>
    </xf>
    <xf numFmtId="0" fontId="22" fillId="0" borderId="0" xfId="0" applyFont="1"/>
    <xf numFmtId="0" fontId="22" fillId="0" borderId="7" xfId="0" applyFont="1" applyBorder="1"/>
    <xf numFmtId="40" fontId="0" fillId="0" borderId="0" xfId="1" applyNumberFormat="1" applyFont="1" applyBorder="1" applyAlignment="1"/>
    <xf numFmtId="0" fontId="22" fillId="0" borderId="1" xfId="0" applyFont="1" applyBorder="1"/>
    <xf numFmtId="0" fontId="22" fillId="0" borderId="2" xfId="0" applyFont="1" applyBorder="1"/>
    <xf numFmtId="0" fontId="22" fillId="0" borderId="3" xfId="0" applyFont="1" applyBorder="1"/>
    <xf numFmtId="0" fontId="22" fillId="0" borderId="4" xfId="0" applyFont="1" applyBorder="1"/>
    <xf numFmtId="0" fontId="22" fillId="0" borderId="5" xfId="0" applyFont="1" applyBorder="1"/>
    <xf numFmtId="0" fontId="22" fillId="0" borderId="0" xfId="0" applyFont="1" applyAlignment="1">
      <alignment horizontal="right"/>
    </xf>
    <xf numFmtId="0" fontId="22" fillId="0" borderId="6" xfId="0" applyFont="1" applyBorder="1"/>
    <xf numFmtId="0" fontId="22" fillId="0" borderId="8" xfId="0" applyFont="1" applyBorder="1"/>
    <xf numFmtId="177" fontId="0" fillId="0" borderId="29" xfId="1" applyNumberFormat="1" applyFont="1" applyBorder="1" applyAlignment="1"/>
    <xf numFmtId="0" fontId="0" fillId="0" borderId="0" xfId="0" applyAlignment="1">
      <alignment horizontal="center" vertical="center"/>
    </xf>
    <xf numFmtId="2" fontId="0" fillId="0" borderId="0" xfId="0" applyNumberFormat="1" applyAlignment="1">
      <alignment horizontal="center" shrinkToFit="1"/>
    </xf>
    <xf numFmtId="2" fontId="0" fillId="0" borderId="0" xfId="0" applyNumberFormat="1" applyAlignment="1">
      <alignment horizontal="center"/>
    </xf>
    <xf numFmtId="0" fontId="0" fillId="0" borderId="0" xfId="0" applyAlignment="1">
      <alignment horizontal="left" shrinkToFit="1"/>
    </xf>
    <xf numFmtId="0" fontId="0" fillId="0" borderId="0" xfId="0" applyAlignment="1">
      <alignment horizontal="left"/>
    </xf>
    <xf numFmtId="2" fontId="0" fillId="0" borderId="0" xfId="0" applyNumberFormat="1" applyAlignment="1">
      <alignment horizontal="left"/>
    </xf>
    <xf numFmtId="0" fontId="0" fillId="0" borderId="0" xfId="0" applyAlignment="1">
      <alignment horizontal="left" vertical="center"/>
    </xf>
    <xf numFmtId="2" fontId="0" fillId="0" borderId="0" xfId="0" applyNumberFormat="1" applyAlignment="1">
      <alignment shrinkToFit="1"/>
    </xf>
    <xf numFmtId="2" fontId="22" fillId="0" borderId="0" xfId="0" applyNumberFormat="1" applyFont="1" applyAlignment="1">
      <alignment shrinkToFit="1"/>
    </xf>
    <xf numFmtId="40" fontId="0" fillId="0" borderId="5" xfId="1" applyNumberFormat="1" applyFont="1" applyBorder="1" applyAlignment="1"/>
    <xf numFmtId="1" fontId="0" fillId="0" borderId="0" xfId="0" applyNumberFormat="1" applyAlignment="1">
      <alignment horizontal="center"/>
    </xf>
    <xf numFmtId="177" fontId="0" fillId="0" borderId="6" xfId="1" applyNumberFormat="1" applyFont="1" applyBorder="1" applyAlignment="1">
      <alignment horizontal="left" shrinkToFit="1"/>
    </xf>
    <xf numFmtId="177" fontId="0" fillId="0" borderId="7" xfId="1" applyNumberFormat="1" applyFont="1" applyBorder="1" applyAlignment="1">
      <alignment horizontal="left" shrinkToFit="1"/>
    </xf>
    <xf numFmtId="177" fontId="0" fillId="0" borderId="7" xfId="1" applyNumberFormat="1" applyFont="1" applyFill="1" applyBorder="1" applyAlignment="1">
      <alignment horizontal="center"/>
    </xf>
    <xf numFmtId="177" fontId="0" fillId="0" borderId="7" xfId="1" applyNumberFormat="1" applyFont="1" applyBorder="1" applyAlignment="1">
      <alignment horizontal="center" shrinkToFit="1"/>
    </xf>
    <xf numFmtId="177" fontId="0" fillId="0" borderId="8" xfId="1" applyNumberFormat="1" applyFont="1" applyBorder="1" applyAlignment="1">
      <alignment horizontal="center" shrinkToFit="1"/>
    </xf>
    <xf numFmtId="177" fontId="0" fillId="0" borderId="0" xfId="1" applyNumberFormat="1" applyFont="1" applyBorder="1" applyAlignment="1">
      <alignment horizontal="left" vertical="top" wrapText="1"/>
    </xf>
    <xf numFmtId="177" fontId="0" fillId="0" borderId="5" xfId="1" applyNumberFormat="1" applyFont="1" applyBorder="1" applyAlignment="1">
      <alignment horizontal="left" vertical="top" wrapText="1"/>
    </xf>
    <xf numFmtId="177" fontId="0" fillId="0" borderId="0" xfId="1" applyNumberFormat="1" applyFont="1" applyBorder="1" applyAlignment="1">
      <alignment horizontal="left"/>
    </xf>
    <xf numFmtId="177" fontId="0" fillId="0" borderId="5" xfId="1" applyNumberFormat="1" applyFont="1" applyBorder="1" applyAlignment="1">
      <alignment vertical="center"/>
    </xf>
    <xf numFmtId="40" fontId="0" fillId="0" borderId="0" xfId="1" applyNumberFormat="1" applyFont="1" applyBorder="1" applyAlignment="1">
      <alignment vertical="center"/>
    </xf>
    <xf numFmtId="40" fontId="0" fillId="0" borderId="2" xfId="1" applyNumberFormat="1" applyFont="1" applyBorder="1" applyAlignment="1"/>
    <xf numFmtId="177" fontId="0" fillId="0" borderId="0" xfId="1" applyNumberFormat="1" applyFont="1" applyBorder="1" applyAlignment="1">
      <alignment vertical="top" wrapText="1"/>
    </xf>
    <xf numFmtId="177" fontId="0" fillId="0" borderId="0" xfId="1" applyNumberFormat="1" applyFont="1" applyFill="1" applyBorder="1" applyAlignment="1"/>
    <xf numFmtId="40" fontId="30" fillId="0" borderId="0" xfId="1" applyNumberFormat="1" applyFont="1" applyBorder="1" applyAlignment="1">
      <alignment horizontal="center"/>
    </xf>
    <xf numFmtId="177" fontId="0" fillId="0" borderId="0" xfId="1" applyNumberFormat="1" applyFont="1" applyBorder="1" applyAlignment="1">
      <alignment horizontal="center" vertical="center" wrapText="1"/>
    </xf>
    <xf numFmtId="177" fontId="0" fillId="0" borderId="25" xfId="1" applyNumberFormat="1" applyFont="1" applyBorder="1" applyAlignment="1"/>
    <xf numFmtId="2" fontId="0" fillId="0" borderId="5" xfId="0" applyNumberFormat="1" applyBorder="1" applyAlignment="1">
      <alignment horizontal="center"/>
    </xf>
    <xf numFmtId="177" fontId="0" fillId="0" borderId="0" xfId="1" applyNumberFormat="1" applyFont="1" applyFill="1" applyAlignment="1">
      <alignment horizontal="left" wrapText="1"/>
    </xf>
    <xf numFmtId="177" fontId="7" fillId="0" borderId="7" xfId="1" applyNumberFormat="1" applyFont="1" applyBorder="1" applyAlignment="1"/>
    <xf numFmtId="40" fontId="7" fillId="0" borderId="11" xfId="1" applyNumberFormat="1" applyFont="1" applyBorder="1" applyAlignment="1">
      <alignment shrinkToFit="1"/>
    </xf>
    <xf numFmtId="40" fontId="7" fillId="0" borderId="0" xfId="1" applyNumberFormat="1" applyFont="1" applyBorder="1" applyAlignment="1">
      <alignment shrinkToFit="1"/>
    </xf>
    <xf numFmtId="40" fontId="7" fillId="0" borderId="7" xfId="1" applyNumberFormat="1" applyFont="1" applyBorder="1" applyAlignment="1">
      <alignment shrinkToFit="1"/>
    </xf>
    <xf numFmtId="40" fontId="7" fillId="0" borderId="8" xfId="1" applyNumberFormat="1" applyFont="1" applyBorder="1" applyAlignment="1">
      <alignment shrinkToFit="1"/>
    </xf>
    <xf numFmtId="40" fontId="7" fillId="0" borderId="12" xfId="1" applyNumberFormat="1" applyFont="1" applyBorder="1" applyAlignment="1">
      <alignment shrinkToFit="1"/>
    </xf>
    <xf numFmtId="40" fontId="6" fillId="0" borderId="11" xfId="1" applyNumberFormat="1" applyFont="1" applyBorder="1" applyAlignment="1">
      <alignment shrinkToFit="1"/>
    </xf>
    <xf numFmtId="40" fontId="7" fillId="0" borderId="22" xfId="1" applyNumberFormat="1" applyFont="1" applyBorder="1" applyAlignment="1">
      <alignment shrinkToFit="1"/>
    </xf>
    <xf numFmtId="40" fontId="6" fillId="0" borderId="22" xfId="1" applyNumberFormat="1" applyFont="1" applyBorder="1" applyAlignment="1">
      <alignment shrinkToFit="1"/>
    </xf>
    <xf numFmtId="40" fontId="7" fillId="0" borderId="21" xfId="1" applyNumberFormat="1" applyFont="1" applyBorder="1" applyAlignment="1">
      <alignment shrinkToFit="1"/>
    </xf>
    <xf numFmtId="40" fontId="6" fillId="0" borderId="0" xfId="1" applyNumberFormat="1" applyFont="1" applyBorder="1" applyAlignment="1">
      <alignment shrinkToFit="1"/>
    </xf>
    <xf numFmtId="0" fontId="6" fillId="0" borderId="0" xfId="0" applyFont="1" applyAlignment="1">
      <alignment horizontal="center" shrinkToFit="1"/>
    </xf>
    <xf numFmtId="177" fontId="0" fillId="0" borderId="0" xfId="1" applyNumberFormat="1" applyFont="1" applyFill="1" applyBorder="1" applyAlignment="1">
      <alignment horizontal="left" wrapText="1"/>
    </xf>
    <xf numFmtId="177" fontId="0" fillId="0" borderId="5" xfId="1" applyNumberFormat="1" applyFont="1" applyFill="1" applyBorder="1" applyAlignment="1">
      <alignment horizontal="left" wrapText="1"/>
    </xf>
    <xf numFmtId="177" fontId="0" fillId="0" borderId="0" xfId="1" quotePrefix="1" applyNumberFormat="1" applyFont="1" applyBorder="1" applyAlignment="1">
      <alignment vertical="top"/>
    </xf>
    <xf numFmtId="38" fontId="32" fillId="0" borderId="0" xfId="1" applyFont="1" applyBorder="1" applyAlignment="1">
      <alignment horizontal="left"/>
    </xf>
    <xf numFmtId="177" fontId="0" fillId="0" borderId="10" xfId="1" applyNumberFormat="1" applyFont="1" applyBorder="1" applyAlignment="1"/>
    <xf numFmtId="1" fontId="0" fillId="0" borderId="22" xfId="0" applyNumberFormat="1" applyBorder="1" applyAlignment="1">
      <alignment horizontal="center"/>
    </xf>
    <xf numFmtId="177" fontId="8" fillId="0" borderId="7" xfId="1" applyNumberFormat="1" applyFont="1" applyBorder="1" applyAlignment="1"/>
    <xf numFmtId="177" fontId="32" fillId="0" borderId="7" xfId="1" quotePrefix="1" applyNumberFormat="1" applyFont="1" applyBorder="1" applyAlignment="1"/>
    <xf numFmtId="177" fontId="0" fillId="0" borderId="4" xfId="1" applyNumberFormat="1" applyFont="1" applyBorder="1" applyAlignment="1">
      <alignment vertical="top" wrapText="1"/>
    </xf>
    <xf numFmtId="177" fontId="25" fillId="0" borderId="0" xfId="1" applyNumberFormat="1" applyFont="1" applyBorder="1" applyAlignment="1"/>
    <xf numFmtId="38" fontId="8" fillId="0" borderId="0" xfId="1" applyFont="1" applyBorder="1" applyAlignment="1"/>
    <xf numFmtId="38" fontId="0" fillId="0" borderId="0" xfId="1" applyFont="1" applyFill="1" applyBorder="1" applyAlignment="1">
      <alignment horizontal="center"/>
    </xf>
    <xf numFmtId="177" fontId="8" fillId="0" borderId="0" xfId="1" applyNumberFormat="1" applyFont="1" applyBorder="1" applyAlignment="1">
      <alignment horizontal="center"/>
    </xf>
    <xf numFmtId="177" fontId="8" fillId="0" borderId="0" xfId="1" applyNumberFormat="1" applyFont="1" applyBorder="1" applyAlignment="1">
      <alignment horizontal="center" shrinkToFit="1"/>
    </xf>
    <xf numFmtId="38" fontId="0" fillId="0" borderId="0" xfId="1" applyFont="1" applyBorder="1" applyAlignment="1">
      <alignment horizontal="center" vertical="center"/>
    </xf>
    <xf numFmtId="40" fontId="0" fillId="0" borderId="7" xfId="1" applyNumberFormat="1" applyFont="1" applyBorder="1" applyAlignment="1">
      <alignment horizontal="center"/>
    </xf>
    <xf numFmtId="177" fontId="7" fillId="0" borderId="7" xfId="1" applyNumberFormat="1" applyFont="1" applyBorder="1" applyAlignment="1">
      <alignment horizontal="center"/>
    </xf>
    <xf numFmtId="38" fontId="0" fillId="0" borderId="7" xfId="1" applyFont="1" applyBorder="1" applyAlignment="1">
      <alignment horizontal="center"/>
    </xf>
    <xf numFmtId="177" fontId="7" fillId="0" borderId="0" xfId="1" applyNumberFormat="1" applyFont="1" applyBorder="1" applyAlignment="1">
      <alignment horizontal="right"/>
    </xf>
    <xf numFmtId="177" fontId="0" fillId="0" borderId="5" xfId="1" applyNumberFormat="1" applyFont="1" applyBorder="1" applyAlignment="1">
      <alignment horizontal="left" shrinkToFit="1"/>
    </xf>
    <xf numFmtId="177" fontId="7" fillId="0" borderId="0" xfId="1" applyNumberFormat="1" applyFont="1" applyBorder="1" applyAlignment="1">
      <alignment horizontal="left"/>
    </xf>
    <xf numFmtId="177" fontId="7" fillId="0" borderId="0" xfId="1" applyNumberFormat="1" applyFont="1" applyBorder="1" applyAlignment="1">
      <alignment horizontal="right" shrinkToFit="1"/>
    </xf>
    <xf numFmtId="38" fontId="8" fillId="0" borderId="0" xfId="1" applyFont="1" applyBorder="1" applyAlignment="1">
      <alignment horizontal="center"/>
    </xf>
    <xf numFmtId="38" fontId="0" fillId="0" borderId="0" xfId="1" applyFont="1" applyBorder="1" applyAlignment="1">
      <alignment horizontal="center" shrinkToFit="1"/>
    </xf>
    <xf numFmtId="38" fontId="0" fillId="0" borderId="7" xfId="1" applyFont="1" applyBorder="1" applyAlignment="1">
      <alignment horizontal="center" shrinkToFit="1"/>
    </xf>
    <xf numFmtId="177" fontId="7" fillId="0" borderId="0" xfId="1" applyNumberFormat="1" applyFont="1" applyBorder="1" applyAlignment="1">
      <alignment horizontal="right" vertical="center"/>
    </xf>
    <xf numFmtId="177" fontId="7" fillId="0" borderId="7" xfId="1" applyNumberFormat="1" applyFont="1" applyBorder="1" applyAlignment="1">
      <alignment horizontal="center" vertical="center"/>
    </xf>
    <xf numFmtId="177" fontId="8" fillId="0" borderId="7" xfId="1" applyNumberFormat="1" applyFont="1" applyBorder="1" applyAlignment="1">
      <alignment horizontal="center"/>
    </xf>
    <xf numFmtId="177" fontId="8" fillId="0" borderId="0" xfId="1" applyNumberFormat="1" applyFont="1" applyBorder="1" applyAlignment="1">
      <alignment horizontal="left"/>
    </xf>
    <xf numFmtId="177" fontId="7" fillId="0" borderId="0" xfId="1" applyNumberFormat="1" applyFont="1" applyBorder="1" applyAlignment="1">
      <alignment vertical="center"/>
    </xf>
    <xf numFmtId="40" fontId="8" fillId="0" borderId="0" xfId="1" applyNumberFormat="1" applyFont="1" applyBorder="1" applyAlignment="1">
      <alignment horizontal="center"/>
    </xf>
    <xf numFmtId="0" fontId="0" fillId="0" borderId="0" xfId="0" applyAlignment="1">
      <alignment horizontal="center" shrinkToFit="1"/>
    </xf>
    <xf numFmtId="2" fontId="22" fillId="0" borderId="0" xfId="0" applyNumberFormat="1" applyFont="1" applyAlignment="1">
      <alignment horizontal="left" vertical="center"/>
    </xf>
    <xf numFmtId="177" fontId="7" fillId="0" borderId="7" xfId="1" applyNumberFormat="1" applyFont="1" applyBorder="1" applyAlignment="1">
      <alignment horizontal="right" vertical="center"/>
    </xf>
    <xf numFmtId="177" fontId="0" fillId="0" borderId="7" xfId="1" applyNumberFormat="1" applyFont="1" applyBorder="1" applyAlignment="1">
      <alignment horizontal="center" vertical="center"/>
    </xf>
    <xf numFmtId="177" fontId="0" fillId="0" borderId="5" xfId="1" applyNumberFormat="1" applyFont="1" applyBorder="1" applyAlignment="1">
      <alignment shrinkToFit="1"/>
    </xf>
    <xf numFmtId="177" fontId="7" fillId="0" borderId="4" xfId="1" applyNumberFormat="1" applyFont="1" applyBorder="1" applyAlignment="1">
      <alignment horizontal="right"/>
    </xf>
    <xf numFmtId="177" fontId="7" fillId="0" borderId="6" xfId="1" applyNumberFormat="1" applyFont="1" applyBorder="1" applyAlignment="1">
      <alignment horizontal="right"/>
    </xf>
    <xf numFmtId="177" fontId="7" fillId="0" borderId="7" xfId="1" applyNumberFormat="1" applyFont="1" applyBorder="1" applyAlignment="1">
      <alignment horizontal="right"/>
    </xf>
    <xf numFmtId="177" fontId="7" fillId="0" borderId="7" xfId="1" applyNumberFormat="1" applyFont="1" applyBorder="1" applyAlignment="1">
      <alignment horizontal="left"/>
    </xf>
    <xf numFmtId="177" fontId="0" fillId="0" borderId="8" xfId="1" applyNumberFormat="1" applyFont="1" applyBorder="1" applyAlignment="1">
      <alignment horizontal="left" shrinkToFit="1"/>
    </xf>
    <xf numFmtId="177" fontId="8" fillId="0" borderId="7" xfId="1" applyNumberFormat="1" applyFont="1" applyBorder="1" applyAlignment="1">
      <alignment horizontal="left"/>
    </xf>
    <xf numFmtId="38" fontId="0" fillId="0" borderId="5" xfId="1" applyFont="1" applyBorder="1" applyAlignment="1">
      <alignment horizontal="center"/>
    </xf>
    <xf numFmtId="177" fontId="8" fillId="0" borderId="7" xfId="1" applyNumberFormat="1" applyFont="1" applyBorder="1" applyAlignment="1">
      <alignment horizontal="center" shrinkToFit="1"/>
    </xf>
    <xf numFmtId="177" fontId="0" fillId="0" borderId="7" xfId="1" applyNumberFormat="1" applyFont="1" applyBorder="1" applyAlignment="1">
      <alignment vertical="center"/>
    </xf>
    <xf numFmtId="177" fontId="0" fillId="0" borderId="7" xfId="1" applyNumberFormat="1" applyFont="1" applyBorder="1" applyAlignment="1">
      <alignment horizontal="left" vertical="center"/>
    </xf>
    <xf numFmtId="38" fontId="0" fillId="0" borderId="8" xfId="1" applyFont="1" applyBorder="1" applyAlignment="1">
      <alignment horizontal="center"/>
    </xf>
    <xf numFmtId="38" fontId="0" fillId="0" borderId="7" xfId="1" applyFont="1" applyFill="1" applyBorder="1" applyAlignment="1">
      <alignment horizontal="center"/>
    </xf>
    <xf numFmtId="177" fontId="0" fillId="0" borderId="9" xfId="1" applyNumberFormat="1" applyFont="1" applyBorder="1" applyAlignment="1"/>
    <xf numFmtId="2" fontId="22" fillId="0" borderId="0" xfId="0" applyNumberFormat="1" applyFont="1" applyAlignment="1">
      <alignment horizontal="center"/>
    </xf>
    <xf numFmtId="0" fontId="0" fillId="0" borderId="8" xfId="0" applyBorder="1" applyAlignment="1">
      <alignment horizontal="center" vertical="center"/>
    </xf>
    <xf numFmtId="177" fontId="33" fillId="0" borderId="0" xfId="1" applyNumberFormat="1" applyFont="1" applyBorder="1" applyAlignment="1">
      <alignment shrinkToFit="1"/>
    </xf>
    <xf numFmtId="177" fontId="20" fillId="0" borderId="0" xfId="1" applyNumberFormat="1" applyFont="1" applyFill="1" applyBorder="1" applyAlignment="1">
      <alignment shrinkToFit="1"/>
    </xf>
    <xf numFmtId="177" fontId="20" fillId="0" borderId="5" xfId="1" applyNumberFormat="1" applyFont="1" applyFill="1" applyBorder="1" applyAlignment="1">
      <alignment shrinkToFit="1"/>
    </xf>
    <xf numFmtId="0" fontId="0" fillId="0" borderId="6" xfId="0" applyBorder="1"/>
    <xf numFmtId="40" fontId="0" fillId="0" borderId="0" xfId="1" applyNumberFormat="1" applyFont="1" applyFill="1" applyBorder="1" applyAlignment="1">
      <alignment horizontal="center"/>
    </xf>
    <xf numFmtId="177" fontId="0" fillId="0" borderId="0" xfId="1" applyNumberFormat="1" applyFont="1" applyFill="1" applyBorder="1" applyAlignment="1">
      <alignment horizontal="left"/>
    </xf>
    <xf numFmtId="40" fontId="0" fillId="0" borderId="0" xfId="1" applyNumberFormat="1" applyFont="1" applyBorder="1" applyAlignment="1">
      <alignment horizontal="center" shrinkToFit="1"/>
    </xf>
    <xf numFmtId="40" fontId="0" fillId="0" borderId="10" xfId="1" applyNumberFormat="1" applyFont="1" applyBorder="1" applyAlignment="1">
      <alignment horizontal="center" shrinkToFit="1"/>
    </xf>
    <xf numFmtId="40" fontId="0" fillId="0" borderId="11" xfId="1" applyNumberFormat="1" applyFont="1" applyBorder="1" applyAlignment="1">
      <alignment horizontal="center"/>
    </xf>
    <xf numFmtId="40" fontId="0" fillId="0" borderId="2" xfId="1" applyNumberFormat="1" applyFont="1" applyBorder="1" applyAlignment="1">
      <alignment horizontal="center"/>
    </xf>
    <xf numFmtId="2" fontId="0" fillId="0" borderId="15" xfId="0" applyNumberFormat="1" applyBorder="1" applyAlignment="1">
      <alignment horizontal="center"/>
    </xf>
    <xf numFmtId="177" fontId="8" fillId="0" borderId="0" xfId="1" applyNumberFormat="1" applyFont="1" applyBorder="1" applyAlignment="1">
      <alignment horizontal="center" vertical="center"/>
    </xf>
    <xf numFmtId="177" fontId="0" fillId="0" borderId="2" xfId="1" applyNumberFormat="1" applyFont="1" applyBorder="1" applyAlignment="1">
      <alignment horizontal="left" shrinkToFit="1"/>
    </xf>
    <xf numFmtId="177" fontId="0" fillId="0" borderId="4" xfId="1" applyNumberFormat="1" applyFont="1" applyBorder="1" applyAlignment="1">
      <alignment horizontal="left" shrinkToFit="1"/>
    </xf>
    <xf numFmtId="40" fontId="0" fillId="0" borderId="11" xfId="1" applyNumberFormat="1" applyFont="1" applyFill="1" applyBorder="1" applyAlignment="1">
      <alignment horizontal="center" shrinkToFit="1"/>
    </xf>
    <xf numFmtId="177" fontId="0" fillId="0" borderId="11" xfId="1" applyNumberFormat="1" applyFont="1" applyFill="1" applyBorder="1" applyAlignment="1"/>
    <xf numFmtId="177" fontId="0" fillId="0" borderId="7" xfId="1" applyNumberFormat="1" applyFont="1" applyFill="1" applyBorder="1" applyAlignment="1"/>
    <xf numFmtId="0" fontId="0" fillId="0" borderId="12" xfId="0" applyBorder="1" applyAlignment="1">
      <alignment horizontal="center" vertical="center"/>
    </xf>
    <xf numFmtId="38" fontId="0" fillId="0" borderId="11" xfId="1" applyFont="1" applyFill="1" applyBorder="1" applyAlignment="1"/>
    <xf numFmtId="2" fontId="0" fillId="0" borderId="7" xfId="0" quotePrefix="1" applyNumberFormat="1" applyBorder="1"/>
    <xf numFmtId="40" fontId="0" fillId="0" borderId="15" xfId="1" applyNumberFormat="1" applyFont="1" applyBorder="1" applyAlignment="1">
      <alignment horizontal="center" shrinkToFit="1"/>
    </xf>
    <xf numFmtId="0" fontId="0" fillId="0" borderId="15" xfId="0" applyBorder="1" applyAlignment="1">
      <alignment horizontal="left"/>
    </xf>
    <xf numFmtId="2" fontId="0" fillId="0" borderId="15" xfId="0" applyNumberFormat="1" applyBorder="1" applyAlignment="1">
      <alignment horizontal="left"/>
    </xf>
    <xf numFmtId="177" fontId="0" fillId="0" borderId="2" xfId="1" applyNumberFormat="1" applyFont="1" applyFill="1" applyBorder="1" applyAlignment="1">
      <alignment horizontal="center"/>
    </xf>
    <xf numFmtId="177" fontId="0" fillId="0" borderId="6" xfId="1" applyNumberFormat="1" applyFont="1" applyFill="1" applyBorder="1" applyAlignment="1"/>
    <xf numFmtId="2" fontId="0" fillId="0" borderId="0" xfId="0" applyNumberFormat="1"/>
    <xf numFmtId="177" fontId="0" fillId="0" borderId="0" xfId="1" applyNumberFormat="1" applyFont="1" applyFill="1" applyBorder="1" applyAlignment="1">
      <alignment horizontal="center" vertical="center"/>
    </xf>
    <xf numFmtId="178" fontId="0" fillId="0" borderId="0" xfId="0" applyNumberFormat="1" applyAlignment="1">
      <alignment horizontal="center" shrinkToFit="1"/>
    </xf>
    <xf numFmtId="2" fontId="0" fillId="0" borderId="0" xfId="0" quotePrefix="1" applyNumberFormat="1"/>
    <xf numFmtId="177" fontId="0" fillId="0" borderId="2" xfId="1" applyNumberFormat="1" applyFont="1" applyFill="1" applyBorder="1" applyAlignment="1"/>
    <xf numFmtId="40" fontId="0" fillId="0" borderId="2" xfId="1" applyNumberFormat="1" applyFont="1" applyFill="1" applyBorder="1" applyAlignment="1">
      <alignment horizontal="center"/>
    </xf>
    <xf numFmtId="177" fontId="25" fillId="0" borderId="0" xfId="1" applyNumberFormat="1" applyFont="1" applyBorder="1" applyAlignment="1">
      <alignment horizontal="center"/>
    </xf>
    <xf numFmtId="2" fontId="0" fillId="0" borderId="6" xfId="0" applyNumberFormat="1" applyBorder="1" applyAlignment="1">
      <alignment horizontal="center"/>
    </xf>
    <xf numFmtId="177" fontId="0" fillId="0" borderId="0" xfId="1" applyNumberFormat="1" applyFont="1" applyBorder="1" applyAlignment="1">
      <alignment horizontal="right"/>
    </xf>
    <xf numFmtId="177" fontId="0" fillId="0" borderId="5" xfId="1" applyNumberFormat="1" applyFont="1" applyBorder="1" applyAlignment="1">
      <alignment horizontal="center" shrinkToFit="1"/>
    </xf>
    <xf numFmtId="177" fontId="0" fillId="0" borderId="1" xfId="1" applyNumberFormat="1" applyFont="1" applyBorder="1" applyAlignment="1">
      <alignment horizontal="left" shrinkToFit="1"/>
    </xf>
    <xf numFmtId="177" fontId="0" fillId="0" borderId="2" xfId="1" applyNumberFormat="1" applyFont="1" applyBorder="1" applyAlignment="1">
      <alignment horizontal="center" shrinkToFit="1"/>
    </xf>
    <xf numFmtId="177" fontId="0" fillId="0" borderId="3" xfId="1" applyNumberFormat="1" applyFont="1" applyBorder="1" applyAlignment="1">
      <alignment horizontal="center" shrinkToFit="1"/>
    </xf>
    <xf numFmtId="177" fontId="0" fillId="0" borderId="7" xfId="1" applyNumberFormat="1" applyFont="1" applyBorder="1" applyAlignment="1">
      <alignment shrinkToFit="1"/>
    </xf>
    <xf numFmtId="177" fontId="0" fillId="0" borderId="7" xfId="1" applyNumberFormat="1" applyFont="1" applyBorder="1" applyAlignment="1">
      <alignment horizontal="left" vertical="top" wrapText="1"/>
    </xf>
    <xf numFmtId="2" fontId="0" fillId="0" borderId="0" xfId="0" applyNumberFormat="1" applyAlignment="1" applyProtection="1">
      <alignment horizontal="center"/>
      <protection locked="0"/>
    </xf>
    <xf numFmtId="1" fontId="0" fillId="0" borderId="0" xfId="0" applyNumberFormat="1" applyAlignment="1" applyProtection="1">
      <alignment horizontal="center"/>
      <protection locked="0"/>
    </xf>
    <xf numFmtId="0" fontId="0" fillId="0" borderId="0" xfId="0" applyAlignment="1" applyProtection="1">
      <alignment horizontal="center"/>
      <protection locked="0"/>
    </xf>
    <xf numFmtId="2" fontId="0" fillId="0" borderId="0" xfId="0" applyNumberFormat="1" applyProtection="1">
      <protection locked="0"/>
    </xf>
    <xf numFmtId="177" fontId="7" fillId="0" borderId="11" xfId="1" applyNumberFormat="1" applyFont="1" applyBorder="1" applyAlignment="1"/>
    <xf numFmtId="40" fontId="6" fillId="0" borderId="7" xfId="1" applyNumberFormat="1" applyFont="1" applyBorder="1" applyAlignment="1">
      <alignment shrinkToFit="1"/>
    </xf>
    <xf numFmtId="40" fontId="8" fillId="0" borderId="7" xfId="1" applyNumberFormat="1" applyFont="1" applyBorder="1" applyAlignment="1">
      <alignment shrinkToFit="1"/>
    </xf>
    <xf numFmtId="40" fontId="7" fillId="0" borderId="0" xfId="1" applyNumberFormat="1" applyFont="1" applyBorder="1" applyAlignment="1">
      <alignment horizontal="center" shrinkToFit="1"/>
    </xf>
    <xf numFmtId="177" fontId="0" fillId="0" borderId="0" xfId="1" applyNumberFormat="1" applyFont="1" applyFill="1" applyAlignment="1"/>
    <xf numFmtId="0" fontId="6" fillId="0" borderId="6" xfId="0" applyFont="1" applyBorder="1" applyAlignment="1">
      <alignment shrinkToFit="1"/>
    </xf>
    <xf numFmtId="0" fontId="6" fillId="0" borderId="7" xfId="0" applyFont="1" applyBorder="1" applyAlignment="1">
      <alignment shrinkToFit="1"/>
    </xf>
    <xf numFmtId="2" fontId="22" fillId="0" borderId="7" xfId="0" applyNumberFormat="1" applyFont="1" applyBorder="1"/>
    <xf numFmtId="2" fontId="22" fillId="0" borderId="8" xfId="0" applyNumberFormat="1" applyFont="1" applyBorder="1"/>
    <xf numFmtId="2" fontId="33" fillId="0" borderId="0" xfId="0" applyNumberFormat="1" applyFont="1" applyAlignment="1">
      <alignment horizontal="center" vertical="center"/>
    </xf>
    <xf numFmtId="2" fontId="0" fillId="0" borderId="0" xfId="0" applyNumberFormat="1" applyAlignment="1">
      <alignment horizontal="center" vertical="center" shrinkToFit="1"/>
    </xf>
    <xf numFmtId="0" fontId="0" fillId="0" borderId="0" xfId="0" applyAlignment="1">
      <alignment horizontal="center" vertical="center" shrinkToFit="1"/>
    </xf>
    <xf numFmtId="0" fontId="6" fillId="0" borderId="0" xfId="0" applyFont="1" applyAlignment="1">
      <alignment horizontal="center" vertical="center" shrinkToFit="1"/>
    </xf>
    <xf numFmtId="0" fontId="7" fillId="0" borderId="0" xfId="0" applyFont="1" applyAlignment="1">
      <alignment horizontal="center" vertical="center" shrinkToFit="1"/>
    </xf>
    <xf numFmtId="40" fontId="0" fillId="0" borderId="0" xfId="1" applyNumberFormat="1" applyFont="1" applyBorder="1" applyAlignment="1">
      <alignment horizontal="center" vertical="center" shrinkToFit="1"/>
    </xf>
    <xf numFmtId="0" fontId="8" fillId="0" borderId="7" xfId="0" applyFont="1" applyBorder="1" applyAlignment="1">
      <alignment horizontal="center" shrinkToFit="1"/>
    </xf>
    <xf numFmtId="0" fontId="8" fillId="0" borderId="0" xfId="0" applyFont="1" applyAlignment="1">
      <alignment horizontal="center" shrinkToFit="1"/>
    </xf>
    <xf numFmtId="2" fontId="33" fillId="0" borderId="7" xfId="0" applyNumberFormat="1" applyFont="1" applyBorder="1" applyAlignment="1">
      <alignment horizontal="center" vertical="center"/>
    </xf>
    <xf numFmtId="2" fontId="0" fillId="0" borderId="0" xfId="0" applyNumberFormat="1" applyAlignment="1">
      <alignment horizontal="center" vertical="top"/>
    </xf>
    <xf numFmtId="177" fontId="0" fillId="0" borderId="0" xfId="1" applyNumberFormat="1" applyFont="1" applyFill="1" applyBorder="1" applyAlignment="1">
      <alignment vertical="center"/>
    </xf>
    <xf numFmtId="0" fontId="0" fillId="0" borderId="0" xfId="0" applyAlignment="1">
      <alignment shrinkToFit="1"/>
    </xf>
    <xf numFmtId="2" fontId="33" fillId="0" borderId="0" xfId="0" applyNumberFormat="1" applyFont="1" applyAlignment="1">
      <alignment vertical="center"/>
    </xf>
    <xf numFmtId="0" fontId="6" fillId="0" borderId="0" xfId="0" applyFont="1" applyAlignment="1">
      <alignment shrinkToFit="1"/>
    </xf>
    <xf numFmtId="40" fontId="0" fillId="0" borderId="10" xfId="1" applyNumberFormat="1" applyFont="1" applyBorder="1" applyAlignment="1"/>
    <xf numFmtId="40" fontId="0" fillId="0" borderId="11" xfId="1" applyNumberFormat="1" applyFont="1" applyBorder="1" applyAlignment="1"/>
    <xf numFmtId="177" fontId="0" fillId="0" borderId="0" xfId="1" applyNumberFormat="1" applyFont="1" applyFill="1" applyBorder="1" applyAlignment="1">
      <alignment wrapText="1"/>
    </xf>
    <xf numFmtId="177" fontId="0" fillId="0" borderId="5" xfId="1" applyNumberFormat="1" applyFont="1" applyFill="1" applyBorder="1" applyAlignment="1">
      <alignment wrapText="1"/>
    </xf>
    <xf numFmtId="0" fontId="7" fillId="0" borderId="0" xfId="0" applyFont="1" applyAlignment="1">
      <alignment vertical="center" shrinkToFit="1"/>
    </xf>
    <xf numFmtId="2" fontId="7" fillId="0" borderId="7" xfId="0" applyNumberFormat="1" applyFont="1" applyBorder="1"/>
    <xf numFmtId="2" fontId="7" fillId="0" borderId="2" xfId="0" applyNumberFormat="1" applyFont="1" applyBorder="1"/>
    <xf numFmtId="177" fontId="0" fillId="0" borderId="2" xfId="1" applyNumberFormat="1" applyFont="1" applyFill="1" applyBorder="1" applyAlignment="1">
      <alignment horizontal="left" wrapText="1"/>
    </xf>
    <xf numFmtId="177" fontId="0" fillId="0" borderId="3" xfId="1" applyNumberFormat="1" applyFont="1" applyFill="1" applyBorder="1" applyAlignment="1">
      <alignment horizontal="left" wrapText="1"/>
    </xf>
    <xf numFmtId="177" fontId="0" fillId="0" borderId="7" xfId="1" applyNumberFormat="1" applyFont="1" applyFill="1" applyBorder="1" applyAlignment="1">
      <alignment horizontal="left" wrapText="1"/>
    </xf>
    <xf numFmtId="177" fontId="0" fillId="0" borderId="8" xfId="1" applyNumberFormat="1" applyFont="1" applyFill="1" applyBorder="1" applyAlignment="1">
      <alignment horizontal="left" wrapText="1"/>
    </xf>
    <xf numFmtId="0" fontId="40" fillId="0" borderId="0" xfId="0" applyFont="1" applyAlignment="1">
      <alignment horizontal="center" shrinkToFit="1"/>
    </xf>
    <xf numFmtId="38" fontId="0" fillId="0" borderId="2" xfId="1" applyFont="1" applyBorder="1" applyAlignment="1"/>
    <xf numFmtId="40" fontId="0" fillId="0" borderId="7" xfId="1" applyNumberFormat="1" applyFont="1" applyFill="1" applyBorder="1" applyAlignment="1">
      <alignment wrapText="1"/>
    </xf>
    <xf numFmtId="40" fontId="0" fillId="0" borderId="8" xfId="1" applyNumberFormat="1" applyFont="1" applyFill="1" applyBorder="1" applyAlignment="1">
      <alignment wrapText="1"/>
    </xf>
    <xf numFmtId="0" fontId="0" fillId="0" borderId="0" xfId="0" applyAlignment="1">
      <alignment vertical="top" wrapText="1"/>
    </xf>
    <xf numFmtId="0" fontId="0" fillId="0" borderId="10" xfId="0" applyBorder="1" applyAlignment="1">
      <alignment horizontal="right"/>
    </xf>
    <xf numFmtId="0" fontId="0" fillId="0" borderId="12" xfId="0" applyBorder="1"/>
    <xf numFmtId="0" fontId="0" fillId="0" borderId="8" xfId="0" applyBorder="1"/>
    <xf numFmtId="0" fontId="0" fillId="0" borderId="20" xfId="0" applyBorder="1" applyAlignment="1">
      <alignment horizontal="right"/>
    </xf>
    <xf numFmtId="0" fontId="0" fillId="0" borderId="22" xfId="0" applyBorder="1"/>
    <xf numFmtId="0" fontId="0" fillId="0" borderId="21" xfId="0" applyBorder="1"/>
    <xf numFmtId="0" fontId="6" fillId="0" borderId="2" xfId="0" applyFont="1" applyBorder="1" applyAlignment="1">
      <alignment shrinkToFit="1"/>
    </xf>
    <xf numFmtId="2" fontId="0" fillId="0" borderId="2" xfId="0" applyNumberFormat="1" applyBorder="1"/>
    <xf numFmtId="177" fontId="38" fillId="0" borderId="0" xfId="1" applyNumberFormat="1" applyFont="1" applyBorder="1" applyAlignment="1"/>
    <xf numFmtId="38" fontId="0" fillId="0" borderId="2" xfId="0" applyNumberFormat="1" applyBorder="1" applyAlignment="1">
      <alignment horizontal="center"/>
    </xf>
    <xf numFmtId="0" fontId="0" fillId="0" borderId="0" xfId="0" applyAlignment="1">
      <alignment horizontal="right"/>
    </xf>
    <xf numFmtId="0" fontId="7" fillId="0" borderId="0" xfId="0" applyFont="1" applyAlignment="1">
      <alignment horizontal="center" vertical="center"/>
    </xf>
    <xf numFmtId="38" fontId="0" fillId="0" borderId="0" xfId="0" applyNumberFormat="1" applyAlignment="1">
      <alignment horizontal="center"/>
    </xf>
    <xf numFmtId="40" fontId="0" fillId="0" borderId="0" xfId="0" applyNumberFormat="1" applyAlignment="1">
      <alignment horizontal="center"/>
    </xf>
    <xf numFmtId="0" fontId="38" fillId="0" borderId="0" xfId="0" applyFont="1"/>
    <xf numFmtId="0" fontId="0" fillId="0" borderId="0" xfId="0" quotePrefix="1"/>
    <xf numFmtId="0" fontId="8" fillId="0" borderId="0" xfId="0" applyFont="1" applyAlignment="1">
      <alignment horizontal="center" vertical="center"/>
    </xf>
    <xf numFmtId="0" fontId="13" fillId="0" borderId="0" xfId="0" applyFont="1"/>
    <xf numFmtId="0" fontId="7" fillId="0" borderId="0" xfId="0" applyFont="1" applyAlignment="1">
      <alignment vertical="center"/>
    </xf>
    <xf numFmtId="40" fontId="0" fillId="0" borderId="2" xfId="0" applyNumberFormat="1" applyBorder="1" applyAlignment="1">
      <alignment horizontal="center"/>
    </xf>
    <xf numFmtId="38" fontId="0" fillId="0" borderId="0" xfId="1" applyFont="1" applyFill="1" applyBorder="1" applyAlignment="1" applyProtection="1">
      <protection locked="0"/>
    </xf>
    <xf numFmtId="0" fontId="0" fillId="0" borderId="7" xfId="0" applyBorder="1" applyAlignment="1">
      <alignment horizontal="center" shrinkToFit="1"/>
    </xf>
    <xf numFmtId="0" fontId="6" fillId="0" borderId="2" xfId="0" applyFont="1" applyBorder="1" applyAlignment="1">
      <alignment horizontal="center" shrinkToFit="1"/>
    </xf>
    <xf numFmtId="0" fontId="6" fillId="0" borderId="7" xfId="0" applyFont="1" applyBorder="1" applyAlignment="1">
      <alignment horizontal="center" shrinkToFit="1"/>
    </xf>
    <xf numFmtId="38" fontId="8" fillId="0" borderId="7" xfId="1" applyFont="1" applyBorder="1" applyAlignment="1">
      <alignment horizontal="center"/>
    </xf>
    <xf numFmtId="177" fontId="0" fillId="0" borderId="10" xfId="1" applyNumberFormat="1" applyFont="1" applyFill="1" applyBorder="1" applyAlignment="1">
      <alignment vertical="center"/>
    </xf>
    <xf numFmtId="177" fontId="0" fillId="0" borderId="11" xfId="1" applyNumberFormat="1" applyFont="1" applyFill="1" applyBorder="1" applyAlignment="1">
      <alignment vertical="center"/>
    </xf>
    <xf numFmtId="177" fontId="0" fillId="0" borderId="10" xfId="1" applyNumberFormat="1" applyFont="1" applyFill="1" applyBorder="1" applyAlignment="1"/>
    <xf numFmtId="177" fontId="0" fillId="0" borderId="12" xfId="1" applyNumberFormat="1" applyFont="1" applyFill="1" applyBorder="1" applyAlignment="1"/>
    <xf numFmtId="177" fontId="0" fillId="0" borderId="6" xfId="1" applyNumberFormat="1" applyFont="1" applyFill="1" applyBorder="1" applyAlignment="1">
      <alignment horizontal="center" vertical="center" wrapText="1"/>
    </xf>
    <xf numFmtId="177" fontId="0" fillId="0" borderId="8" xfId="1" applyNumberFormat="1" applyFont="1" applyFill="1" applyBorder="1" applyAlignment="1">
      <alignment horizontal="center" vertical="center" wrapText="1"/>
    </xf>
    <xf numFmtId="2" fontId="30" fillId="0" borderId="7" xfId="0" applyNumberFormat="1" applyFont="1" applyBorder="1" applyAlignment="1">
      <alignment horizontal="center" vertical="center"/>
    </xf>
    <xf numFmtId="40" fontId="30" fillId="0" borderId="7" xfId="1" applyNumberFormat="1" applyFont="1" applyFill="1" applyBorder="1" applyAlignment="1">
      <alignment horizontal="center"/>
    </xf>
    <xf numFmtId="38" fontId="0" fillId="0" borderId="0" xfId="1" applyFont="1" applyBorder="1" applyAlignment="1">
      <alignment horizontal="center" vertical="top" wrapText="1"/>
    </xf>
    <xf numFmtId="40" fontId="0" fillId="0" borderId="0" xfId="1" applyNumberFormat="1" applyFont="1" applyBorder="1" applyAlignment="1">
      <alignment horizontal="center" vertical="top" wrapText="1"/>
    </xf>
    <xf numFmtId="40" fontId="0" fillId="0" borderId="0" xfId="1" applyNumberFormat="1" applyFont="1" applyBorder="1" applyAlignment="1">
      <alignment vertical="top" wrapText="1"/>
    </xf>
    <xf numFmtId="38" fontId="0" fillId="0" borderId="0" xfId="1" applyFont="1" applyBorder="1" applyAlignment="1">
      <alignment horizontal="left" vertical="top" wrapText="1"/>
    </xf>
    <xf numFmtId="177" fontId="25" fillId="0" borderId="7" xfId="1" applyNumberFormat="1" applyFont="1" applyBorder="1" applyAlignment="1"/>
    <xf numFmtId="177" fontId="12" fillId="0" borderId="7" xfId="1" applyNumberFormat="1" applyFont="1" applyBorder="1" applyAlignment="1"/>
    <xf numFmtId="177" fontId="0" fillId="0" borderId="5" xfId="1" applyNumberFormat="1" applyFont="1" applyBorder="1" applyAlignment="1">
      <alignment vertical="top" wrapText="1"/>
    </xf>
    <xf numFmtId="38" fontId="0" fillId="0" borderId="7" xfId="1" applyFont="1" applyBorder="1" applyAlignment="1">
      <alignment horizontal="center" vertical="top" wrapText="1"/>
    </xf>
    <xf numFmtId="40" fontId="0" fillId="0" borderId="0" xfId="1" applyNumberFormat="1" applyFont="1" applyBorder="1" applyAlignment="1">
      <alignment horizontal="center" vertical="center" wrapText="1"/>
    </xf>
    <xf numFmtId="177" fontId="0" fillId="0" borderId="4" xfId="1" applyNumberFormat="1" applyFont="1" applyBorder="1" applyAlignment="1">
      <alignment vertical="top"/>
    </xf>
    <xf numFmtId="38" fontId="0" fillId="0" borderId="0" xfId="1" applyFont="1" applyBorder="1" applyAlignment="1">
      <alignment vertical="top" wrapText="1"/>
    </xf>
    <xf numFmtId="38" fontId="0" fillId="0" borderId="0" xfId="1" applyFont="1" applyBorder="1" applyAlignment="1">
      <alignment vertical="center"/>
    </xf>
    <xf numFmtId="177" fontId="0" fillId="0" borderId="4" xfId="1" applyNumberFormat="1" applyFont="1" applyFill="1" applyBorder="1" applyAlignment="1"/>
    <xf numFmtId="177" fontId="0" fillId="0" borderId="5" xfId="1" applyNumberFormat="1" applyFont="1" applyFill="1" applyBorder="1" applyAlignment="1"/>
    <xf numFmtId="40" fontId="8" fillId="0" borderId="0" xfId="1" applyNumberFormat="1" applyFont="1" applyBorder="1" applyAlignment="1"/>
    <xf numFmtId="38" fontId="0" fillId="0" borderId="0" xfId="1" applyFont="1" applyFill="1" applyBorder="1" applyAlignment="1"/>
    <xf numFmtId="177" fontId="0" fillId="0" borderId="0" xfId="1" applyNumberFormat="1" applyFont="1" applyFill="1" applyBorder="1" applyAlignment="1">
      <alignment horizontal="left" vertical="top" wrapText="1"/>
    </xf>
    <xf numFmtId="177" fontId="7" fillId="0" borderId="2" xfId="1" applyNumberFormat="1" applyFont="1" applyBorder="1" applyAlignment="1">
      <alignment horizontal="center"/>
    </xf>
    <xf numFmtId="38" fontId="0" fillId="0" borderId="0" xfId="1" applyFont="1" applyFill="1" applyBorder="1" applyAlignment="1" applyProtection="1">
      <alignment horizontal="center"/>
      <protection locked="0"/>
    </xf>
    <xf numFmtId="38" fontId="8" fillId="0" borderId="0" xfId="1" applyFont="1" applyFill="1" applyBorder="1" applyAlignment="1">
      <alignment horizontal="center"/>
    </xf>
    <xf numFmtId="177" fontId="0" fillId="0" borderId="0" xfId="1" applyNumberFormat="1" applyFont="1" applyBorder="1" applyAlignment="1">
      <alignment horizontal="left" vertical="top"/>
    </xf>
    <xf numFmtId="38" fontId="0" fillId="0" borderId="0" xfId="1" applyFont="1" applyAlignment="1">
      <alignment horizontal="center"/>
    </xf>
    <xf numFmtId="177" fontId="7" fillId="0" borderId="0" xfId="1" applyNumberFormat="1" applyFont="1" applyBorder="1" applyAlignment="1">
      <alignment horizontal="center" vertical="top" wrapText="1"/>
    </xf>
    <xf numFmtId="177" fontId="0" fillId="0" borderId="0" xfId="1" applyNumberFormat="1" applyFont="1" applyFill="1" applyBorder="1" applyAlignment="1">
      <alignment vertical="top" wrapText="1"/>
    </xf>
    <xf numFmtId="177" fontId="0" fillId="0" borderId="2" xfId="1" applyNumberFormat="1" applyFont="1" applyBorder="1" applyAlignment="1">
      <alignment vertical="center"/>
    </xf>
    <xf numFmtId="38" fontId="0" fillId="0" borderId="2" xfId="1" applyFont="1" applyFill="1" applyBorder="1" applyAlignment="1" applyProtection="1">
      <alignment horizontal="center"/>
      <protection locked="0"/>
    </xf>
    <xf numFmtId="38" fontId="0" fillId="0" borderId="7" xfId="1" applyFont="1" applyFill="1" applyBorder="1" applyAlignment="1" applyProtection="1">
      <alignment horizontal="center"/>
      <protection locked="0"/>
    </xf>
    <xf numFmtId="177" fontId="0" fillId="0" borderId="2" xfId="1" applyNumberFormat="1" applyFont="1" applyBorder="1" applyAlignment="1">
      <alignment vertical="top" wrapText="1"/>
    </xf>
    <xf numFmtId="177" fontId="0" fillId="0" borderId="3" xfId="1" applyNumberFormat="1" applyFont="1" applyBorder="1" applyAlignment="1">
      <alignment vertical="top" wrapText="1"/>
    </xf>
    <xf numFmtId="38" fontId="0" fillId="0" borderId="0" xfId="1" applyFont="1" applyFill="1" applyAlignment="1"/>
    <xf numFmtId="177" fontId="0" fillId="0" borderId="0" xfId="1" applyNumberFormat="1" applyFont="1" applyFill="1" applyBorder="1" applyAlignment="1">
      <alignment horizontal="left" vertical="center"/>
    </xf>
    <xf numFmtId="177" fontId="0" fillId="0" borderId="4" xfId="1" applyNumberFormat="1" applyFont="1" applyBorder="1" applyAlignment="1">
      <alignment horizontal="left" vertical="top" wrapText="1"/>
    </xf>
    <xf numFmtId="38" fontId="0" fillId="0" borderId="10" xfId="1" applyFont="1" applyBorder="1" applyAlignment="1"/>
    <xf numFmtId="177" fontId="0" fillId="0" borderId="7" xfId="1" applyNumberFormat="1" applyFont="1" applyBorder="1" applyAlignment="1">
      <alignment horizontal="left"/>
    </xf>
    <xf numFmtId="38" fontId="51" fillId="0" borderId="7" xfId="1" applyFont="1" applyBorder="1" applyAlignment="1"/>
    <xf numFmtId="177" fontId="0" fillId="0" borderId="1" xfId="1" applyNumberFormat="1" applyFont="1" applyFill="1" applyBorder="1" applyAlignment="1"/>
    <xf numFmtId="177" fontId="0" fillId="0" borderId="3" xfId="1" applyNumberFormat="1" applyFont="1" applyFill="1" applyBorder="1" applyAlignment="1"/>
    <xf numFmtId="177" fontId="7" fillId="0" borderId="0" xfId="1" applyNumberFormat="1" applyFont="1" applyFill="1" applyBorder="1" applyAlignment="1"/>
    <xf numFmtId="177" fontId="0" fillId="0" borderId="0" xfId="1" quotePrefix="1" applyNumberFormat="1" applyFont="1" applyAlignment="1"/>
    <xf numFmtId="177" fontId="0" fillId="0" borderId="10" xfId="1" applyNumberFormat="1" applyFont="1" applyBorder="1" applyAlignment="1">
      <alignment horizontal="right"/>
    </xf>
    <xf numFmtId="177" fontId="0" fillId="0" borderId="20" xfId="1" applyNumberFormat="1" applyFont="1" applyBorder="1" applyAlignment="1"/>
    <xf numFmtId="2" fontId="0" fillId="0" borderId="12" xfId="0" applyNumberFormat="1" applyBorder="1" applyAlignment="1">
      <alignment horizontal="center"/>
    </xf>
    <xf numFmtId="177" fontId="0" fillId="0" borderId="5" xfId="1" applyNumberFormat="1" applyFont="1" applyFill="1" applyBorder="1" applyAlignment="1">
      <alignment horizontal="left" vertical="top" wrapText="1"/>
    </xf>
    <xf numFmtId="177" fontId="0" fillId="0" borderId="4" xfId="1" applyNumberFormat="1" applyFont="1" applyFill="1" applyBorder="1" applyAlignment="1">
      <alignment vertical="top" wrapText="1"/>
    </xf>
    <xf numFmtId="0" fontId="53" fillId="0" borderId="0" xfId="3"/>
    <xf numFmtId="177" fontId="0" fillId="0" borderId="30" xfId="1" applyNumberFormat="1" applyFont="1" applyBorder="1" applyAlignment="1">
      <alignment horizontal="center"/>
    </xf>
    <xf numFmtId="177" fontId="0" fillId="0" borderId="9" xfId="1" applyNumberFormat="1" applyFont="1" applyBorder="1" applyAlignment="1">
      <alignment horizontal="center"/>
    </xf>
    <xf numFmtId="176" fontId="0" fillId="2" borderId="10" xfId="0" applyNumberFormat="1" applyFill="1" applyBorder="1" applyAlignment="1">
      <alignment horizontal="center"/>
    </xf>
    <xf numFmtId="176" fontId="0" fillId="2" borderId="11" xfId="0" applyNumberFormat="1" applyFill="1" applyBorder="1" applyAlignment="1">
      <alignment horizontal="center"/>
    </xf>
    <xf numFmtId="176" fontId="0" fillId="2" borderId="12" xfId="0" applyNumberFormat="1" applyFill="1" applyBorder="1" applyAlignment="1">
      <alignment horizontal="center"/>
    </xf>
    <xf numFmtId="38" fontId="0" fillId="2" borderId="9" xfId="1" applyFont="1" applyFill="1" applyBorder="1" applyAlignment="1" applyProtection="1">
      <alignment horizontal="center"/>
      <protection locked="0"/>
    </xf>
    <xf numFmtId="38" fontId="0" fillId="0" borderId="10" xfId="1" applyFont="1" applyFill="1" applyBorder="1" applyAlignment="1" applyProtection="1">
      <alignment horizontal="center"/>
    </xf>
    <xf numFmtId="38" fontId="0" fillId="0" borderId="11" xfId="1" applyFont="1" applyFill="1" applyBorder="1" applyAlignment="1" applyProtection="1">
      <alignment horizontal="center"/>
    </xf>
    <xf numFmtId="38" fontId="0" fillId="0" borderId="12" xfId="1" applyFont="1" applyFill="1" applyBorder="1" applyAlignment="1" applyProtection="1">
      <alignment horizontal="center"/>
    </xf>
    <xf numFmtId="38" fontId="0" fillId="2" borderId="6" xfId="1" applyFont="1" applyFill="1" applyBorder="1" applyAlignment="1">
      <alignment horizontal="center"/>
    </xf>
    <xf numFmtId="38" fontId="0" fillId="2" borderId="7" xfId="1" applyFont="1" applyFill="1" applyBorder="1" applyAlignment="1">
      <alignment horizontal="center"/>
    </xf>
    <xf numFmtId="38" fontId="0" fillId="2" borderId="8" xfId="1" applyFont="1" applyFill="1" applyBorder="1" applyAlignment="1">
      <alignment horizontal="center"/>
    </xf>
    <xf numFmtId="177" fontId="25" fillId="0" borderId="0" xfId="1" applyNumberFormat="1" applyFont="1" applyBorder="1" applyAlignment="1">
      <alignment horizontal="center"/>
    </xf>
    <xf numFmtId="177" fontId="7" fillId="0" borderId="0" xfId="1" applyNumberFormat="1" applyFont="1" applyBorder="1" applyAlignment="1">
      <alignment horizontal="center"/>
    </xf>
    <xf numFmtId="40" fontId="0" fillId="0" borderId="10" xfId="1" applyNumberFormat="1" applyFont="1" applyFill="1" applyBorder="1" applyAlignment="1" applyProtection="1">
      <alignment horizontal="center"/>
    </xf>
    <xf numFmtId="40" fontId="0" fillId="0" borderId="11" xfId="1" applyNumberFormat="1" applyFont="1" applyFill="1" applyBorder="1" applyAlignment="1" applyProtection="1">
      <alignment horizontal="center"/>
    </xf>
    <xf numFmtId="40" fontId="0" fillId="0" borderId="12" xfId="1" applyNumberFormat="1" applyFont="1" applyFill="1" applyBorder="1" applyAlignment="1" applyProtection="1">
      <alignment horizontal="center"/>
    </xf>
    <xf numFmtId="40" fontId="0" fillId="2" borderId="6" xfId="1" applyNumberFormat="1" applyFont="1" applyFill="1" applyBorder="1" applyAlignment="1">
      <alignment horizontal="center"/>
    </xf>
    <xf numFmtId="40" fontId="0" fillId="2" borderId="7" xfId="1" applyNumberFormat="1" applyFont="1" applyFill="1" applyBorder="1" applyAlignment="1">
      <alignment horizontal="center"/>
    </xf>
    <xf numFmtId="40" fontId="0" fillId="2" borderId="8" xfId="1" applyNumberFormat="1" applyFont="1" applyFill="1" applyBorder="1" applyAlignment="1">
      <alignment horizontal="center"/>
    </xf>
    <xf numFmtId="40" fontId="0" fillId="0" borderId="10" xfId="1" applyNumberFormat="1" applyFont="1" applyFill="1" applyBorder="1" applyAlignment="1">
      <alignment horizontal="center"/>
    </xf>
    <xf numFmtId="40" fontId="0" fillId="0" borderId="11" xfId="1" applyNumberFormat="1" applyFont="1" applyFill="1" applyBorder="1" applyAlignment="1">
      <alignment horizontal="center"/>
    </xf>
    <xf numFmtId="40" fontId="0" fillId="0" borderId="12" xfId="1" applyNumberFormat="1" applyFont="1" applyFill="1" applyBorder="1" applyAlignment="1">
      <alignment horizontal="center"/>
    </xf>
    <xf numFmtId="177" fontId="25" fillId="0" borderId="9" xfId="1" applyNumberFormat="1" applyFont="1" applyBorder="1" applyAlignment="1">
      <alignment horizontal="center"/>
    </xf>
    <xf numFmtId="177" fontId="7" fillId="0" borderId="9" xfId="1" applyNumberFormat="1" applyFont="1" applyBorder="1" applyAlignment="1">
      <alignment horizontal="center"/>
    </xf>
    <xf numFmtId="38" fontId="0" fillId="0" borderId="9" xfId="1" applyFont="1" applyBorder="1" applyAlignment="1">
      <alignment horizontal="center"/>
    </xf>
    <xf numFmtId="40" fontId="0" fillId="0" borderId="9" xfId="1" applyNumberFormat="1" applyFont="1" applyBorder="1" applyAlignment="1">
      <alignment horizontal="center"/>
    </xf>
    <xf numFmtId="38" fontId="0" fillId="2" borderId="10" xfId="1" applyFont="1" applyFill="1" applyBorder="1" applyAlignment="1" applyProtection="1">
      <alignment horizontal="center"/>
      <protection locked="0"/>
    </xf>
    <xf numFmtId="38" fontId="0" fillId="2" borderId="11" xfId="1" applyFont="1" applyFill="1" applyBorder="1" applyAlignment="1" applyProtection="1">
      <alignment horizontal="center"/>
      <protection locked="0"/>
    </xf>
    <xf numFmtId="38" fontId="0" fillId="2" borderId="12" xfId="1" applyFont="1" applyFill="1" applyBorder="1" applyAlignment="1" applyProtection="1">
      <alignment horizontal="center"/>
      <protection locked="0"/>
    </xf>
    <xf numFmtId="176" fontId="0" fillId="0" borderId="10" xfId="0" applyNumberFormat="1" applyBorder="1" applyAlignment="1">
      <alignment horizontal="center"/>
    </xf>
    <xf numFmtId="176" fontId="0" fillId="0" borderId="11" xfId="0" applyNumberFormat="1" applyBorder="1" applyAlignment="1">
      <alignment horizontal="center"/>
    </xf>
    <xf numFmtId="176" fontId="0" fillId="0" borderId="12" xfId="0" applyNumberFormat="1" applyBorder="1" applyAlignment="1">
      <alignment horizontal="center"/>
    </xf>
    <xf numFmtId="177" fontId="8" fillId="0" borderId="0" xfId="1" applyNumberFormat="1" applyFont="1" applyBorder="1" applyAlignment="1">
      <alignment horizontal="center"/>
    </xf>
    <xf numFmtId="40" fontId="0" fillId="2" borderId="10" xfId="1" applyNumberFormat="1" applyFont="1" applyFill="1" applyBorder="1" applyAlignment="1">
      <alignment horizontal="center"/>
    </xf>
    <xf numFmtId="40" fontId="0" fillId="2" borderId="11" xfId="1" applyNumberFormat="1" applyFont="1" applyFill="1" applyBorder="1" applyAlignment="1">
      <alignment horizontal="center"/>
    </xf>
    <xf numFmtId="40" fontId="0" fillId="2" borderId="12" xfId="1" applyNumberFormat="1" applyFont="1" applyFill="1" applyBorder="1" applyAlignment="1">
      <alignment horizontal="center"/>
    </xf>
    <xf numFmtId="38" fontId="0" fillId="2" borderId="10" xfId="1" applyFont="1" applyFill="1" applyBorder="1" applyAlignment="1">
      <alignment horizontal="center"/>
    </xf>
    <xf numFmtId="38" fontId="0" fillId="2" borderId="11" xfId="1" applyFont="1" applyFill="1" applyBorder="1" applyAlignment="1">
      <alignment horizontal="center"/>
    </xf>
    <xf numFmtId="38" fontId="0" fillId="2" borderId="12" xfId="1" applyFont="1" applyFill="1" applyBorder="1" applyAlignment="1">
      <alignment horizontal="center"/>
    </xf>
    <xf numFmtId="185" fontId="0" fillId="0" borderId="10" xfId="0" applyNumberFormat="1" applyBorder="1" applyAlignment="1">
      <alignment horizontal="center"/>
    </xf>
    <xf numFmtId="185" fontId="0" fillId="0" borderId="11" xfId="0" applyNumberFormat="1" applyBorder="1" applyAlignment="1">
      <alignment horizontal="center"/>
    </xf>
    <xf numFmtId="185" fontId="0" fillId="0" borderId="12" xfId="0" applyNumberFormat="1" applyBorder="1" applyAlignment="1">
      <alignment horizontal="center"/>
    </xf>
    <xf numFmtId="38" fontId="8" fillId="2" borderId="16" xfId="1" applyFont="1" applyFill="1" applyBorder="1" applyAlignment="1" applyProtection="1">
      <alignment horizontal="center"/>
      <protection locked="0"/>
    </xf>
    <xf numFmtId="38" fontId="8" fillId="2" borderId="17" xfId="1" applyFont="1" applyFill="1" applyBorder="1" applyAlignment="1" applyProtection="1">
      <alignment horizontal="center"/>
      <protection locked="0"/>
    </xf>
    <xf numFmtId="38" fontId="8" fillId="2" borderId="18" xfId="1" applyFont="1" applyFill="1" applyBorder="1" applyAlignment="1" applyProtection="1">
      <alignment horizontal="center"/>
      <protection locked="0"/>
    </xf>
    <xf numFmtId="9" fontId="0" fillId="2" borderId="10" xfId="1" applyNumberFormat="1" applyFont="1" applyFill="1" applyBorder="1" applyAlignment="1" applyProtection="1">
      <alignment horizontal="center"/>
      <protection locked="0"/>
    </xf>
    <xf numFmtId="9" fontId="0" fillId="2" borderId="11" xfId="1" applyNumberFormat="1" applyFont="1" applyFill="1" applyBorder="1" applyAlignment="1" applyProtection="1">
      <alignment horizontal="center"/>
      <protection locked="0"/>
    </xf>
    <xf numFmtId="9" fontId="0" fillId="2" borderId="12" xfId="1" applyNumberFormat="1" applyFont="1" applyFill="1" applyBorder="1" applyAlignment="1" applyProtection="1">
      <alignment horizontal="center"/>
      <protection locked="0"/>
    </xf>
    <xf numFmtId="0" fontId="0" fillId="0" borderId="9" xfId="0" applyBorder="1" applyAlignment="1">
      <alignment horizontal="center" shrinkToFit="1"/>
    </xf>
    <xf numFmtId="2" fontId="0" fillId="0" borderId="9"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2" borderId="9"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0" borderId="11" xfId="0" applyBorder="1" applyAlignment="1">
      <alignment horizontal="center"/>
    </xf>
    <xf numFmtId="0" fontId="0" fillId="2" borderId="11" xfId="0" applyFill="1" applyBorder="1" applyAlignment="1" applyProtection="1">
      <alignment horizontal="center"/>
      <protection locked="0"/>
    </xf>
    <xf numFmtId="2" fontId="0" fillId="2" borderId="9" xfId="0" applyNumberFormat="1" applyFill="1" applyBorder="1" applyAlignment="1" applyProtection="1">
      <alignment horizontal="center"/>
      <protection locked="0"/>
    </xf>
    <xf numFmtId="38" fontId="0" fillId="0" borderId="10" xfId="1" applyFont="1" applyFill="1" applyBorder="1" applyAlignment="1">
      <alignment horizontal="center"/>
    </xf>
    <xf numFmtId="38" fontId="0" fillId="0" borderId="11" xfId="1" applyFont="1" applyFill="1" applyBorder="1" applyAlignment="1">
      <alignment horizontal="center"/>
    </xf>
    <xf numFmtId="38" fontId="0" fillId="0" borderId="12" xfId="1" applyFont="1" applyFill="1"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0" fillId="0" borderId="1" xfId="0" applyBorder="1" applyAlignment="1">
      <alignment horizontal="center" shrinkToFit="1"/>
    </xf>
    <xf numFmtId="0" fontId="0" fillId="0" borderId="2" xfId="0" applyBorder="1" applyAlignment="1">
      <alignment horizontal="center" shrinkToFit="1"/>
    </xf>
    <xf numFmtId="0" fontId="0" fillId="0" borderId="3" xfId="0" applyBorder="1" applyAlignment="1">
      <alignment horizontal="center" shrinkToFit="1"/>
    </xf>
    <xf numFmtId="177" fontId="8" fillId="0" borderId="4" xfId="1" applyNumberFormat="1" applyFont="1" applyBorder="1" applyAlignment="1">
      <alignment horizontal="center"/>
    </xf>
    <xf numFmtId="177" fontId="8" fillId="0" borderId="5" xfId="1" applyNumberFormat="1" applyFont="1" applyBorder="1" applyAlignment="1">
      <alignment horizontal="center"/>
    </xf>
    <xf numFmtId="0" fontId="0" fillId="0" borderId="6" xfId="0" applyBorder="1" applyAlignment="1">
      <alignment horizontal="center" shrinkToFit="1"/>
    </xf>
    <xf numFmtId="0" fontId="0" fillId="0" borderId="7" xfId="0" applyBorder="1" applyAlignment="1">
      <alignment horizontal="center" shrinkToFit="1"/>
    </xf>
    <xf numFmtId="0" fontId="0" fillId="0" borderId="8" xfId="0" applyBorder="1" applyAlignment="1">
      <alignment horizontal="center" shrinkToFit="1"/>
    </xf>
    <xf numFmtId="177" fontId="7" fillId="0" borderId="4" xfId="1" applyNumberFormat="1" applyFont="1" applyBorder="1" applyAlignment="1">
      <alignment horizontal="center"/>
    </xf>
    <xf numFmtId="177" fontId="7" fillId="0" borderId="5" xfId="1" applyNumberFormat="1" applyFont="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Alignment="1">
      <alignment horizontal="center"/>
    </xf>
    <xf numFmtId="177" fontId="0" fillId="2" borderId="10" xfId="1" applyNumberFormat="1" applyFont="1" applyFill="1" applyBorder="1" applyAlignment="1">
      <alignment horizontal="center"/>
    </xf>
    <xf numFmtId="177" fontId="0" fillId="2" borderId="11" xfId="1" applyNumberFormat="1" applyFont="1" applyFill="1" applyBorder="1" applyAlignment="1">
      <alignment horizontal="center"/>
    </xf>
    <xf numFmtId="177" fontId="0" fillId="2" borderId="12" xfId="1" applyNumberFormat="1" applyFont="1" applyFill="1" applyBorder="1" applyAlignment="1">
      <alignment horizontal="center"/>
    </xf>
    <xf numFmtId="176" fontId="0" fillId="2" borderId="10" xfId="0" applyNumberFormat="1" applyFill="1" applyBorder="1" applyAlignment="1" applyProtection="1">
      <alignment horizontal="center"/>
      <protection locked="0"/>
    </xf>
    <xf numFmtId="176" fontId="0" fillId="2" borderId="11" xfId="0" applyNumberFormat="1" applyFill="1" applyBorder="1" applyAlignment="1" applyProtection="1">
      <alignment horizontal="center"/>
      <protection locked="0"/>
    </xf>
    <xf numFmtId="176" fontId="0" fillId="2" borderId="12" xfId="0" applyNumberFormat="1" applyFill="1" applyBorder="1" applyAlignment="1" applyProtection="1">
      <alignment horizontal="center"/>
      <protection locked="0"/>
    </xf>
    <xf numFmtId="177" fontId="8" fillId="0" borderId="4" xfId="1" applyNumberFormat="1" applyFont="1" applyBorder="1" applyAlignment="1">
      <alignment horizontal="center" shrinkToFit="1"/>
    </xf>
    <xf numFmtId="177" fontId="8" fillId="0" borderId="0" xfId="1" applyNumberFormat="1" applyFont="1" applyBorder="1" applyAlignment="1">
      <alignment horizontal="center" shrinkToFit="1"/>
    </xf>
    <xf numFmtId="177" fontId="8" fillId="0" borderId="5" xfId="1" applyNumberFormat="1" applyFont="1" applyBorder="1" applyAlignment="1">
      <alignment horizontal="center" shrinkToFit="1"/>
    </xf>
    <xf numFmtId="177" fontId="0" fillId="0" borderId="0" xfId="1" applyNumberFormat="1" applyFont="1" applyAlignment="1">
      <alignment horizontal="left" shrinkToFit="1"/>
    </xf>
    <xf numFmtId="177" fontId="0" fillId="0" borderId="0" xfId="1" applyNumberFormat="1" applyFont="1" applyBorder="1" applyAlignment="1">
      <alignment horizontal="center"/>
    </xf>
    <xf numFmtId="40" fontId="0" fillId="0" borderId="10" xfId="1" applyNumberFormat="1" applyFont="1" applyBorder="1" applyAlignment="1">
      <alignment horizontal="center"/>
    </xf>
    <xf numFmtId="40" fontId="0" fillId="0" borderId="11" xfId="1" applyNumberFormat="1" applyFont="1" applyBorder="1" applyAlignment="1">
      <alignment horizontal="center"/>
    </xf>
    <xf numFmtId="40" fontId="0" fillId="0" borderId="12" xfId="1" applyNumberFormat="1" applyFont="1" applyBorder="1" applyAlignment="1">
      <alignment horizontal="center"/>
    </xf>
    <xf numFmtId="177" fontId="0" fillId="0" borderId="9" xfId="1" applyNumberFormat="1" applyFont="1" applyBorder="1" applyAlignment="1">
      <alignment horizontal="left" shrinkToFit="1"/>
    </xf>
    <xf numFmtId="40" fontId="0" fillId="0" borderId="9" xfId="1" applyNumberFormat="1" applyFont="1" applyBorder="1" applyAlignment="1">
      <alignment horizontal="center" shrinkToFit="1"/>
    </xf>
    <xf numFmtId="177" fontId="0" fillId="0" borderId="9" xfId="1" applyNumberFormat="1" applyFont="1" applyBorder="1" applyAlignment="1">
      <alignment horizontal="center" shrinkToFit="1"/>
    </xf>
    <xf numFmtId="177" fontId="0" fillId="0" borderId="8" xfId="1" applyNumberFormat="1" applyFont="1" applyBorder="1" applyAlignment="1">
      <alignment horizontal="center" shrinkToFit="1"/>
    </xf>
    <xf numFmtId="177" fontId="0" fillId="0" borderId="19" xfId="1" applyNumberFormat="1" applyFont="1" applyBorder="1" applyAlignment="1">
      <alignment horizontal="center" shrinkToFit="1"/>
    </xf>
    <xf numFmtId="2" fontId="22" fillId="0" borderId="10" xfId="0" applyNumberFormat="1" applyFont="1" applyBorder="1" applyAlignment="1">
      <alignment horizontal="center"/>
    </xf>
    <xf numFmtId="2" fontId="22" fillId="0" borderId="11" xfId="0" applyNumberFormat="1" applyFont="1" applyBorder="1" applyAlignment="1">
      <alignment horizontal="center"/>
    </xf>
    <xf numFmtId="2" fontId="22" fillId="0" borderId="12" xfId="0" applyNumberFormat="1" applyFont="1" applyBorder="1" applyAlignment="1">
      <alignment horizontal="center"/>
    </xf>
    <xf numFmtId="40" fontId="0" fillId="0" borderId="0" xfId="1" applyNumberFormat="1" applyFont="1" applyBorder="1" applyAlignment="1">
      <alignment horizontal="center"/>
    </xf>
    <xf numFmtId="177" fontId="0" fillId="0" borderId="0" xfId="1" applyNumberFormat="1" applyFont="1" applyBorder="1" applyAlignment="1">
      <alignment horizontal="center" vertical="center"/>
    </xf>
    <xf numFmtId="177" fontId="13" fillId="0" borderId="7" xfId="1" applyNumberFormat="1" applyFont="1" applyBorder="1" applyAlignment="1">
      <alignment horizontal="center"/>
    </xf>
    <xf numFmtId="177" fontId="0" fillId="0" borderId="7" xfId="1" applyNumberFormat="1" applyFont="1" applyBorder="1" applyAlignment="1">
      <alignment horizontal="center"/>
    </xf>
    <xf numFmtId="40" fontId="0" fillId="0" borderId="7" xfId="1" applyNumberFormat="1" applyFont="1" applyBorder="1" applyAlignment="1">
      <alignment horizontal="center"/>
    </xf>
    <xf numFmtId="177" fontId="0" fillId="0" borderId="2" xfId="1" applyNumberFormat="1" applyFont="1" applyBorder="1" applyAlignment="1">
      <alignment horizontal="center"/>
    </xf>
    <xf numFmtId="177" fontId="0" fillId="0" borderId="0" xfId="1" applyNumberFormat="1" applyFont="1" applyBorder="1" applyAlignment="1">
      <alignment horizontal="center" shrinkToFit="1"/>
    </xf>
    <xf numFmtId="40" fontId="0" fillId="2" borderId="0" xfId="1" applyNumberFormat="1" applyFont="1" applyFill="1" applyBorder="1" applyAlignment="1" applyProtection="1">
      <alignment horizontal="center"/>
      <protection locked="0"/>
    </xf>
    <xf numFmtId="177" fontId="8" fillId="0" borderId="0" xfId="1" applyNumberFormat="1" applyFont="1" applyBorder="1" applyAlignment="1">
      <alignment horizontal="center" vertical="center"/>
    </xf>
    <xf numFmtId="177" fontId="8" fillId="0" borderId="7" xfId="1" applyNumberFormat="1" applyFont="1" applyBorder="1" applyAlignment="1">
      <alignment horizontal="center"/>
    </xf>
    <xf numFmtId="38" fontId="0" fillId="0" borderId="0" xfId="1" applyFont="1" applyBorder="1" applyAlignment="1">
      <alignment horizontal="center"/>
    </xf>
    <xf numFmtId="177" fontId="0" fillId="0" borderId="4" xfId="1" applyNumberFormat="1" applyFont="1" applyBorder="1" applyAlignment="1">
      <alignment horizontal="center" shrinkToFit="1"/>
    </xf>
    <xf numFmtId="177" fontId="0" fillId="0" borderId="5" xfId="1" applyNumberFormat="1" applyFont="1" applyBorder="1" applyAlignment="1">
      <alignment horizontal="center" shrinkToFit="1"/>
    </xf>
    <xf numFmtId="177" fontId="0" fillId="0" borderId="0" xfId="1" applyNumberFormat="1" applyFont="1" applyBorder="1" applyAlignment="1">
      <alignment horizontal="right"/>
    </xf>
    <xf numFmtId="177" fontId="0" fillId="0" borderId="10" xfId="1" applyNumberFormat="1" applyFont="1" applyBorder="1" applyAlignment="1">
      <alignment horizontal="center"/>
    </xf>
    <xf numFmtId="177" fontId="0" fillId="0" borderId="11" xfId="1" applyNumberFormat="1" applyFont="1" applyBorder="1" applyAlignment="1">
      <alignment horizontal="center"/>
    </xf>
    <xf numFmtId="177" fontId="0" fillId="0" borderId="12" xfId="1" applyNumberFormat="1" applyFont="1" applyBorder="1" applyAlignment="1">
      <alignment horizontal="center"/>
    </xf>
    <xf numFmtId="177" fontId="7" fillId="0" borderId="0" xfId="1" applyNumberFormat="1" applyFont="1" applyBorder="1" applyAlignment="1">
      <alignment horizontal="center" vertical="center"/>
    </xf>
    <xf numFmtId="177" fontId="7" fillId="0" borderId="7" xfId="1" applyNumberFormat="1" applyFont="1" applyBorder="1" applyAlignment="1">
      <alignment horizontal="center"/>
    </xf>
    <xf numFmtId="177" fontId="7" fillId="0" borderId="2" xfId="1" applyNumberFormat="1" applyFont="1" applyBorder="1" applyAlignment="1">
      <alignment horizontal="center"/>
    </xf>
    <xf numFmtId="38" fontId="0" fillId="0" borderId="2" xfId="1" applyFont="1" applyBorder="1" applyAlignment="1">
      <alignment horizontal="center"/>
    </xf>
    <xf numFmtId="177" fontId="0" fillId="2" borderId="10" xfId="1" applyNumberFormat="1" applyFont="1" applyFill="1" applyBorder="1" applyAlignment="1" applyProtection="1">
      <alignment horizontal="center"/>
      <protection locked="0"/>
    </xf>
    <xf numFmtId="177" fontId="0" fillId="2" borderId="12" xfId="1" applyNumberFormat="1" applyFont="1" applyFill="1" applyBorder="1" applyAlignment="1" applyProtection="1">
      <alignment horizontal="center"/>
      <protection locked="0"/>
    </xf>
    <xf numFmtId="38" fontId="0" fillId="0" borderId="10" xfId="1" applyFont="1" applyBorder="1" applyAlignment="1">
      <alignment horizontal="center"/>
    </xf>
    <xf numFmtId="38" fontId="0" fillId="0" borderId="11" xfId="1" applyFont="1" applyBorder="1" applyAlignment="1">
      <alignment horizontal="center"/>
    </xf>
    <xf numFmtId="38" fontId="0" fillId="0" borderId="12" xfId="1" applyFont="1" applyBorder="1" applyAlignment="1">
      <alignment horizontal="center"/>
    </xf>
    <xf numFmtId="181" fontId="0" fillId="0" borderId="9" xfId="1" applyNumberFormat="1" applyFont="1" applyBorder="1" applyAlignment="1">
      <alignment horizontal="center"/>
    </xf>
    <xf numFmtId="40" fontId="0" fillId="0" borderId="2" xfId="1" applyNumberFormat="1" applyFont="1" applyBorder="1" applyAlignment="1">
      <alignment horizontal="center"/>
    </xf>
    <xf numFmtId="177" fontId="37" fillId="0" borderId="0" xfId="1" applyNumberFormat="1" applyFont="1" applyBorder="1" applyAlignment="1">
      <alignment horizontal="left"/>
    </xf>
    <xf numFmtId="177" fontId="0" fillId="0" borderId="0" xfId="1" applyNumberFormat="1" applyFont="1" applyFill="1" applyBorder="1" applyAlignment="1">
      <alignment horizontal="center"/>
    </xf>
    <xf numFmtId="177" fontId="38" fillId="0" borderId="4" xfId="1" applyNumberFormat="1" applyFont="1" applyBorder="1" applyAlignment="1">
      <alignment horizontal="center"/>
    </xf>
    <xf numFmtId="2" fontId="8" fillId="0" borderId="1" xfId="0" applyNumberFormat="1" applyFont="1" applyBorder="1" applyAlignment="1">
      <alignment horizontal="center" vertical="center"/>
    </xf>
    <xf numFmtId="2" fontId="8" fillId="0" borderId="3" xfId="0" applyNumberFormat="1" applyFont="1" applyBorder="1" applyAlignment="1">
      <alignment horizontal="center" vertical="center"/>
    </xf>
    <xf numFmtId="2" fontId="8" fillId="0" borderId="6" xfId="0" applyNumberFormat="1" applyFont="1" applyBorder="1" applyAlignment="1">
      <alignment horizontal="center" vertical="center"/>
    </xf>
    <xf numFmtId="2" fontId="8" fillId="0" borderId="8" xfId="0" applyNumberFormat="1"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2" fontId="0" fillId="0" borderId="1" xfId="0" applyNumberFormat="1" applyBorder="1" applyAlignment="1">
      <alignment horizontal="center" vertical="center"/>
    </xf>
    <xf numFmtId="2" fontId="0" fillId="0" borderId="2" xfId="0" applyNumberFormat="1" applyBorder="1" applyAlignment="1">
      <alignment horizontal="center" vertical="center"/>
    </xf>
    <xf numFmtId="2" fontId="0" fillId="0" borderId="3" xfId="0" applyNumberFormat="1" applyBorder="1" applyAlignment="1">
      <alignment horizontal="center" vertical="center"/>
    </xf>
    <xf numFmtId="2" fontId="0" fillId="0" borderId="6" xfId="0" applyNumberFormat="1" applyBorder="1" applyAlignment="1">
      <alignment horizontal="center" vertical="center"/>
    </xf>
    <xf numFmtId="2" fontId="0" fillId="0" borderId="7" xfId="0" applyNumberFormat="1" applyBorder="1" applyAlignment="1">
      <alignment horizontal="center" vertical="center"/>
    </xf>
    <xf numFmtId="2" fontId="0" fillId="0" borderId="8" xfId="0" applyNumberFormat="1" applyBorder="1" applyAlignment="1">
      <alignment horizontal="center" vertical="center"/>
    </xf>
    <xf numFmtId="2" fontId="0" fillId="0" borderId="1" xfId="0" applyNumberFormat="1" applyBorder="1" applyAlignment="1">
      <alignment horizontal="center" shrinkToFit="1"/>
    </xf>
    <xf numFmtId="2" fontId="0" fillId="0" borderId="2" xfId="0" applyNumberFormat="1" applyBorder="1" applyAlignment="1">
      <alignment horizontal="center" shrinkToFit="1"/>
    </xf>
    <xf numFmtId="0" fontId="0" fillId="0" borderId="2" xfId="0" applyBorder="1" applyAlignment="1">
      <alignment horizontal="center" vertical="center"/>
    </xf>
    <xf numFmtId="0" fontId="0" fillId="0" borderId="7" xfId="0" applyBorder="1" applyAlignment="1">
      <alignment horizontal="center" vertical="center"/>
    </xf>
    <xf numFmtId="177" fontId="0" fillId="0" borderId="9" xfId="1" applyNumberFormat="1" applyFont="1" applyBorder="1" applyAlignment="1">
      <alignment horizontal="center" vertical="center"/>
    </xf>
    <xf numFmtId="0" fontId="0" fillId="0" borderId="6" xfId="0" applyBorder="1" applyAlignment="1">
      <alignment horizontal="center"/>
    </xf>
    <xf numFmtId="0" fontId="0" fillId="0" borderId="8" xfId="0" applyBorder="1" applyAlignment="1">
      <alignment horizontal="center"/>
    </xf>
    <xf numFmtId="0" fontId="0" fillId="0" borderId="7" xfId="0" applyBorder="1" applyAlignment="1">
      <alignment horizontal="center"/>
    </xf>
    <xf numFmtId="177" fontId="0" fillId="0" borderId="19" xfId="1" applyNumberFormat="1" applyFont="1" applyBorder="1" applyAlignment="1">
      <alignment horizontal="center" vertical="center"/>
    </xf>
    <xf numFmtId="0" fontId="6" fillId="0" borderId="1" xfId="0" applyFont="1" applyBorder="1" applyAlignment="1">
      <alignment horizontal="center" shrinkToFit="1"/>
    </xf>
    <xf numFmtId="0" fontId="6" fillId="0" borderId="2" xfId="0" applyFont="1" applyBorder="1" applyAlignment="1">
      <alignment horizontal="center" shrinkToFit="1"/>
    </xf>
    <xf numFmtId="2" fontId="0" fillId="0" borderId="2" xfId="0" applyNumberFormat="1" applyBorder="1" applyAlignment="1">
      <alignment horizontal="center"/>
    </xf>
    <xf numFmtId="2" fontId="0" fillId="0" borderId="3" xfId="0" applyNumberFormat="1" applyBorder="1" applyAlignment="1">
      <alignment horizontal="center"/>
    </xf>
    <xf numFmtId="40" fontId="0" fillId="0" borderId="10" xfId="1" applyNumberFormat="1" applyFont="1" applyBorder="1" applyAlignment="1">
      <alignment horizontal="center" shrinkToFit="1"/>
    </xf>
    <xf numFmtId="40" fontId="0" fillId="0" borderId="11" xfId="1" applyNumberFormat="1" applyFont="1" applyBorder="1" applyAlignment="1">
      <alignment horizontal="center" shrinkToFit="1"/>
    </xf>
    <xf numFmtId="0" fontId="7" fillId="0" borderId="4" xfId="0" applyFont="1" applyBorder="1" applyAlignment="1">
      <alignment horizontal="center"/>
    </xf>
    <xf numFmtId="0" fontId="7" fillId="0" borderId="0" xfId="0" applyFont="1" applyAlignment="1">
      <alignment horizontal="center"/>
    </xf>
    <xf numFmtId="0" fontId="7" fillId="0" borderId="5" xfId="0" applyFont="1" applyBorder="1" applyAlignment="1">
      <alignment horizontal="center"/>
    </xf>
    <xf numFmtId="2" fontId="0" fillId="0" borderId="6" xfId="0" applyNumberFormat="1" applyBorder="1" applyAlignment="1">
      <alignment horizontal="center" shrinkToFit="1"/>
    </xf>
    <xf numFmtId="2" fontId="0" fillId="0" borderId="7" xfId="0" applyNumberFormat="1" applyBorder="1" applyAlignment="1">
      <alignment horizontal="center" shrinkToFit="1"/>
    </xf>
    <xf numFmtId="0" fontId="6" fillId="0" borderId="6" xfId="0" applyFont="1" applyBorder="1" applyAlignment="1">
      <alignment horizontal="center" shrinkToFit="1"/>
    </xf>
    <xf numFmtId="0" fontId="6" fillId="0" borderId="7" xfId="0" applyFont="1" applyBorder="1" applyAlignment="1">
      <alignment horizontal="center" shrinkToFit="1"/>
    </xf>
    <xf numFmtId="2" fontId="0" fillId="0" borderId="7" xfId="0" applyNumberFormat="1" applyBorder="1" applyAlignment="1">
      <alignment horizontal="center"/>
    </xf>
    <xf numFmtId="2" fontId="0" fillId="0" borderId="8" xfId="0" applyNumberFormat="1" applyBorder="1" applyAlignment="1">
      <alignment horizontal="center"/>
    </xf>
    <xf numFmtId="2" fontId="22" fillId="0" borderId="10" xfId="0" applyNumberFormat="1" applyFont="1" applyBorder="1" applyAlignment="1">
      <alignment horizontal="center" shrinkToFit="1"/>
    </xf>
    <xf numFmtId="2" fontId="22" fillId="0" borderId="11" xfId="0" applyNumberFormat="1" applyFont="1" applyBorder="1" applyAlignment="1">
      <alignment horizontal="center" shrinkToFit="1"/>
    </xf>
    <xf numFmtId="2" fontId="22" fillId="0" borderId="12" xfId="0" applyNumberFormat="1" applyFont="1" applyBorder="1" applyAlignment="1">
      <alignment horizontal="center" shrinkToFit="1"/>
    </xf>
    <xf numFmtId="0" fontId="22" fillId="0" borderId="0" xfId="0" applyFont="1" applyAlignment="1">
      <alignment horizontal="center"/>
    </xf>
    <xf numFmtId="2" fontId="22" fillId="0" borderId="0" xfId="0" applyNumberFormat="1" applyFont="1" applyAlignment="1">
      <alignment horizontal="center"/>
    </xf>
    <xf numFmtId="40" fontId="0" fillId="0" borderId="6" xfId="1" applyNumberFormat="1" applyFont="1" applyBorder="1" applyAlignment="1">
      <alignment horizontal="center"/>
    </xf>
    <xf numFmtId="40" fontId="0" fillId="0" borderId="8" xfId="1" applyNumberFormat="1" applyFont="1" applyBorder="1" applyAlignment="1">
      <alignment horizontal="center"/>
    </xf>
    <xf numFmtId="177" fontId="0" fillId="0" borderId="0" xfId="0" applyNumberFormat="1" applyAlignment="1">
      <alignment horizontal="center" vertical="center"/>
    </xf>
    <xf numFmtId="0" fontId="0" fillId="0" borderId="0" xfId="0" applyAlignment="1">
      <alignment horizontal="center" vertical="center"/>
    </xf>
    <xf numFmtId="2" fontId="22" fillId="0" borderId="26" xfId="0" applyNumberFormat="1" applyFont="1" applyBorder="1" applyAlignment="1">
      <alignment horizontal="center"/>
    </xf>
    <xf numFmtId="2" fontId="22" fillId="0" borderId="27" xfId="0" applyNumberFormat="1" applyFont="1" applyBorder="1" applyAlignment="1">
      <alignment horizontal="center"/>
    </xf>
    <xf numFmtId="2" fontId="22" fillId="0" borderId="28" xfId="0" applyNumberFormat="1" applyFont="1" applyBorder="1" applyAlignment="1">
      <alignment horizontal="center"/>
    </xf>
    <xf numFmtId="2" fontId="22" fillId="0" borderId="6" xfId="0" applyNumberFormat="1" applyFont="1" applyBorder="1" applyAlignment="1">
      <alignment horizontal="center"/>
    </xf>
    <xf numFmtId="2" fontId="22" fillId="0" borderId="7" xfId="0" applyNumberFormat="1" applyFont="1" applyBorder="1" applyAlignment="1">
      <alignment horizontal="center"/>
    </xf>
    <xf numFmtId="2" fontId="22" fillId="0" borderId="8" xfId="0" applyNumberFormat="1" applyFont="1" applyBorder="1" applyAlignment="1">
      <alignment horizontal="center"/>
    </xf>
    <xf numFmtId="40" fontId="0" fillId="0" borderId="15" xfId="1" applyNumberFormat="1" applyFont="1" applyBorder="1" applyAlignment="1">
      <alignment horizontal="center"/>
    </xf>
    <xf numFmtId="0" fontId="0" fillId="0" borderId="23" xfId="0" applyBorder="1" applyAlignment="1">
      <alignment horizontal="center" shrinkToFit="1"/>
    </xf>
    <xf numFmtId="0" fontId="0" fillId="0" borderId="24" xfId="0" applyBorder="1" applyAlignment="1">
      <alignment horizontal="center" shrinkToFit="1"/>
    </xf>
    <xf numFmtId="0" fontId="0" fillId="0" borderId="25" xfId="0" applyBorder="1" applyAlignment="1">
      <alignment horizontal="center" shrinkToFit="1"/>
    </xf>
    <xf numFmtId="40" fontId="0" fillId="0" borderId="23" xfId="1" applyNumberFormat="1" applyFont="1" applyBorder="1" applyAlignment="1">
      <alignment horizontal="center" shrinkToFit="1"/>
    </xf>
    <xf numFmtId="40" fontId="0" fillId="0" borderId="24" xfId="1" applyNumberFormat="1" applyFont="1" applyBorder="1" applyAlignment="1">
      <alignment horizontal="center" shrinkToFit="1"/>
    </xf>
    <xf numFmtId="40" fontId="0" fillId="0" borderId="25" xfId="1" applyNumberFormat="1" applyFont="1" applyBorder="1" applyAlignment="1">
      <alignment horizontal="center" shrinkToFit="1"/>
    </xf>
    <xf numFmtId="0" fontId="22" fillId="0" borderId="2" xfId="0" applyFont="1" applyBorder="1" applyAlignment="1">
      <alignment horizontal="center"/>
    </xf>
    <xf numFmtId="177" fontId="0" fillId="0" borderId="1" xfId="1" applyNumberFormat="1" applyFont="1" applyBorder="1" applyAlignment="1">
      <alignment horizontal="center"/>
    </xf>
    <xf numFmtId="177" fontId="0" fillId="0" borderId="3" xfId="1" applyNumberFormat="1" applyFont="1" applyBorder="1" applyAlignment="1">
      <alignment horizontal="center"/>
    </xf>
    <xf numFmtId="177" fontId="0" fillId="0" borderId="10" xfId="1" applyNumberFormat="1" applyFont="1" applyBorder="1" applyAlignment="1">
      <alignment horizontal="center" vertical="center"/>
    </xf>
    <xf numFmtId="177" fontId="0" fillId="0" borderId="12" xfId="1" applyNumberFormat="1" applyFont="1" applyBorder="1" applyAlignment="1">
      <alignment horizontal="center" vertical="center"/>
    </xf>
    <xf numFmtId="2" fontId="0" fillId="0" borderId="10" xfId="0" applyNumberFormat="1" applyBorder="1" applyAlignment="1">
      <alignment horizontal="center" shrinkToFit="1"/>
    </xf>
    <xf numFmtId="0" fontId="0" fillId="0" borderId="11" xfId="0" applyBorder="1" applyAlignment="1">
      <alignment horizontal="center" shrinkToFit="1"/>
    </xf>
    <xf numFmtId="2" fontId="0" fillId="0" borderId="11" xfId="0" applyNumberFormat="1" applyBorder="1" applyAlignment="1">
      <alignment horizontal="center"/>
    </xf>
    <xf numFmtId="177" fontId="0" fillId="0" borderId="4" xfId="1" applyNumberFormat="1" applyFont="1" applyBorder="1" applyAlignment="1">
      <alignment horizontal="center"/>
    </xf>
    <xf numFmtId="177" fontId="0" fillId="0" borderId="5" xfId="1" applyNumberFormat="1" applyFont="1" applyBorder="1" applyAlignment="1">
      <alignment horizontal="center"/>
    </xf>
    <xf numFmtId="178" fontId="0" fillId="0" borderId="20" xfId="0" applyNumberFormat="1" applyBorder="1" applyAlignment="1">
      <alignment horizontal="center" shrinkToFit="1"/>
    </xf>
    <xf numFmtId="178" fontId="0" fillId="0" borderId="21" xfId="0" applyNumberFormat="1" applyBorder="1" applyAlignment="1">
      <alignment horizontal="center" shrinkToFit="1"/>
    </xf>
    <xf numFmtId="40" fontId="0" fillId="0" borderId="14" xfId="1" applyNumberFormat="1" applyFont="1" applyBorder="1" applyAlignment="1">
      <alignment horizontal="center"/>
    </xf>
    <xf numFmtId="40" fontId="0" fillId="0" borderId="20" xfId="1" applyNumberFormat="1" applyFont="1" applyBorder="1" applyAlignment="1">
      <alignment horizontal="center" shrinkToFit="1"/>
    </xf>
    <xf numFmtId="40" fontId="0" fillId="0" borderId="22" xfId="1" applyNumberFormat="1" applyFont="1" applyBorder="1" applyAlignment="1">
      <alignment horizontal="center" shrinkToFit="1"/>
    </xf>
    <xf numFmtId="177" fontId="0" fillId="0" borderId="1" xfId="1" applyNumberFormat="1" applyFont="1" applyBorder="1" applyAlignment="1">
      <alignment horizontal="center" vertical="center"/>
    </xf>
    <xf numFmtId="177" fontId="0" fillId="0" borderId="3" xfId="1" applyNumberFormat="1" applyFont="1" applyBorder="1" applyAlignment="1">
      <alignment horizontal="center" vertical="center"/>
    </xf>
    <xf numFmtId="177" fontId="0" fillId="0" borderId="6" xfId="1" applyNumberFormat="1" applyFont="1" applyBorder="1" applyAlignment="1">
      <alignment horizontal="center" vertical="center"/>
    </xf>
    <xf numFmtId="177" fontId="0" fillId="0" borderId="8" xfId="1" applyNumberFormat="1" applyFont="1" applyBorder="1" applyAlignment="1">
      <alignment horizontal="center" vertical="center"/>
    </xf>
    <xf numFmtId="178" fontId="0" fillId="0" borderId="7" xfId="0" applyNumberFormat="1" applyBorder="1" applyAlignment="1">
      <alignment horizontal="center" shrinkToFit="1"/>
    </xf>
    <xf numFmtId="2" fontId="0" fillId="0" borderId="3" xfId="0" applyNumberFormat="1" applyBorder="1" applyAlignment="1">
      <alignment horizontal="center" shrinkToFit="1"/>
    </xf>
    <xf numFmtId="2" fontId="0" fillId="0" borderId="6" xfId="0" applyNumberFormat="1" applyBorder="1" applyAlignment="1">
      <alignment horizontal="center"/>
    </xf>
    <xf numFmtId="178" fontId="0" fillId="0" borderId="10" xfId="0" applyNumberFormat="1" applyBorder="1" applyAlignment="1">
      <alignment horizontal="center" shrinkToFit="1"/>
    </xf>
    <xf numFmtId="178" fontId="0" fillId="0" borderId="11" xfId="0" applyNumberFormat="1" applyBorder="1" applyAlignment="1">
      <alignment horizontal="center" shrinkToFit="1"/>
    </xf>
    <xf numFmtId="0" fontId="6" fillId="0" borderId="0" xfId="0" applyFont="1" applyAlignment="1">
      <alignment horizontal="right" shrinkToFit="1"/>
    </xf>
    <xf numFmtId="2" fontId="22" fillId="0" borderId="10" xfId="0" applyNumberFormat="1" applyFont="1" applyBorder="1" applyAlignment="1">
      <alignment horizontal="center" vertical="center" shrinkToFit="1"/>
    </xf>
    <xf numFmtId="2" fontId="22" fillId="0" borderId="11" xfId="0" applyNumberFormat="1" applyFont="1" applyBorder="1" applyAlignment="1">
      <alignment horizontal="center" vertical="center" shrinkToFit="1"/>
    </xf>
    <xf numFmtId="2" fontId="22" fillId="0" borderId="12" xfId="0" applyNumberFormat="1" applyFont="1" applyBorder="1" applyAlignment="1">
      <alignment horizontal="center" vertical="center" shrinkToFit="1"/>
    </xf>
    <xf numFmtId="0" fontId="0" fillId="0" borderId="0" xfId="0" applyAlignment="1">
      <alignment horizontal="center" vertical="center" shrinkToFit="1"/>
    </xf>
    <xf numFmtId="0" fontId="7" fillId="0" borderId="0" xfId="0" applyFont="1" applyAlignment="1">
      <alignment horizontal="center" vertical="center"/>
    </xf>
    <xf numFmtId="40" fontId="0" fillId="0" borderId="7" xfId="1" applyNumberFormat="1" applyFont="1" applyBorder="1" applyAlignment="1">
      <alignment horizontal="center" shrinkToFit="1"/>
    </xf>
    <xf numFmtId="40" fontId="0" fillId="0" borderId="6" xfId="1" applyNumberFormat="1" applyFont="1" applyBorder="1" applyAlignment="1">
      <alignment horizontal="center" shrinkToFit="1"/>
    </xf>
    <xf numFmtId="2" fontId="0" fillId="0" borderId="1" xfId="0" applyNumberFormat="1" applyBorder="1" applyAlignment="1">
      <alignment horizontal="center"/>
    </xf>
    <xf numFmtId="40" fontId="7" fillId="0" borderId="0" xfId="1" applyNumberFormat="1" applyFont="1" applyBorder="1" applyAlignment="1">
      <alignment horizontal="center"/>
    </xf>
    <xf numFmtId="2" fontId="0" fillId="0" borderId="13" xfId="0" applyNumberFormat="1" applyBorder="1" applyAlignment="1">
      <alignment horizontal="center"/>
    </xf>
    <xf numFmtId="0" fontId="0" fillId="0" borderId="14" xfId="0" applyBorder="1" applyAlignment="1">
      <alignment horizontal="center"/>
    </xf>
    <xf numFmtId="0" fontId="6" fillId="0" borderId="13" xfId="0" applyFont="1" applyBorder="1" applyAlignment="1">
      <alignment horizontal="center" shrinkToFit="1"/>
    </xf>
    <xf numFmtId="0" fontId="6" fillId="0" borderId="15" xfId="0" applyFont="1" applyBorder="1" applyAlignment="1">
      <alignment horizontal="center" shrinkToFit="1"/>
    </xf>
    <xf numFmtId="2" fontId="0" fillId="0" borderId="4" xfId="0" applyNumberFormat="1" applyBorder="1" applyAlignment="1">
      <alignment horizontal="center"/>
    </xf>
    <xf numFmtId="2" fontId="0" fillId="0" borderId="5" xfId="0" applyNumberFormat="1" applyBorder="1" applyAlignment="1">
      <alignment horizontal="center"/>
    </xf>
    <xf numFmtId="0" fontId="0" fillId="0" borderId="13" xfId="0" applyBorder="1" applyAlignment="1">
      <alignment horizontal="center" shrinkToFit="1"/>
    </xf>
    <xf numFmtId="0" fontId="0" fillId="0" borderId="14" xfId="0" applyBorder="1" applyAlignment="1">
      <alignment horizontal="center" shrinkToFit="1"/>
    </xf>
    <xf numFmtId="177" fontId="0" fillId="0" borderId="30" xfId="1" applyNumberFormat="1" applyFont="1" applyBorder="1" applyAlignment="1">
      <alignment horizontal="center" vertical="center"/>
    </xf>
    <xf numFmtId="40" fontId="0" fillId="2" borderId="10" xfId="1" applyNumberFormat="1" applyFont="1" applyFill="1" applyBorder="1" applyAlignment="1" applyProtection="1">
      <alignment horizontal="center"/>
      <protection locked="0"/>
    </xf>
    <xf numFmtId="40" fontId="0" fillId="2" borderId="11" xfId="1" applyNumberFormat="1" applyFont="1" applyFill="1" applyBorder="1" applyAlignment="1" applyProtection="1">
      <alignment horizontal="center"/>
      <protection locked="0"/>
    </xf>
    <xf numFmtId="40" fontId="0" fillId="2" borderId="12" xfId="1" applyNumberFormat="1" applyFont="1" applyFill="1" applyBorder="1" applyAlignment="1" applyProtection="1">
      <alignment horizontal="center"/>
      <protection locked="0"/>
    </xf>
    <xf numFmtId="177" fontId="0" fillId="0" borderId="16" xfId="1" applyNumberFormat="1" applyFont="1" applyBorder="1" applyAlignment="1">
      <alignment horizontal="center"/>
    </xf>
    <xf numFmtId="177" fontId="0" fillId="0" borderId="17" xfId="1" applyNumberFormat="1" applyFont="1" applyBorder="1" applyAlignment="1">
      <alignment horizontal="center"/>
    </xf>
    <xf numFmtId="177" fontId="0" fillId="0" borderId="18" xfId="1" applyNumberFormat="1" applyFont="1" applyBorder="1" applyAlignment="1">
      <alignment horizontal="center"/>
    </xf>
    <xf numFmtId="177" fontId="7" fillId="0" borderId="4" xfId="1" applyNumberFormat="1" applyFont="1" applyBorder="1" applyAlignment="1">
      <alignment horizontal="center" vertical="top"/>
    </xf>
    <xf numFmtId="177" fontId="7" fillId="0" borderId="0" xfId="1" applyNumberFormat="1" applyFont="1" applyBorder="1" applyAlignment="1">
      <alignment horizontal="center" vertical="top"/>
    </xf>
    <xf numFmtId="177" fontId="7" fillId="0" borderId="5" xfId="1" applyNumberFormat="1" applyFont="1" applyBorder="1" applyAlignment="1">
      <alignment horizontal="center" vertical="top"/>
    </xf>
    <xf numFmtId="2" fontId="0" fillId="0" borderId="0" xfId="0" applyNumberFormat="1" applyAlignment="1">
      <alignment horizontal="center"/>
    </xf>
    <xf numFmtId="2" fontId="0" fillId="0" borderId="15" xfId="0" applyNumberFormat="1" applyBorder="1" applyAlignment="1">
      <alignment horizontal="center"/>
    </xf>
    <xf numFmtId="2" fontId="0" fillId="0" borderId="14" xfId="0" applyNumberFormat="1" applyBorder="1" applyAlignment="1">
      <alignment horizontal="center"/>
    </xf>
    <xf numFmtId="40" fontId="0" fillId="0" borderId="5" xfId="1" applyNumberFormat="1" applyFont="1" applyBorder="1" applyAlignment="1">
      <alignment horizontal="center"/>
    </xf>
    <xf numFmtId="40" fontId="0" fillId="0" borderId="4" xfId="1" applyNumberFormat="1" applyFont="1" applyBorder="1" applyAlignment="1">
      <alignment horizontal="center"/>
    </xf>
    <xf numFmtId="177" fontId="0" fillId="0" borderId="0" xfId="1" applyNumberFormat="1" applyFont="1" applyBorder="1" applyAlignment="1">
      <alignment horizontal="left" shrinkToFit="1"/>
    </xf>
    <xf numFmtId="2" fontId="0" fillId="0" borderId="13" xfId="0" applyNumberFormat="1" applyBorder="1" applyAlignment="1">
      <alignment horizontal="center" shrinkToFit="1"/>
    </xf>
    <xf numFmtId="2" fontId="0" fillId="0" borderId="15" xfId="0" applyNumberFormat="1" applyBorder="1" applyAlignment="1">
      <alignment horizontal="center" shrinkToFit="1"/>
    </xf>
    <xf numFmtId="2" fontId="0" fillId="0" borderId="4" xfId="0" applyNumberFormat="1" applyBorder="1" applyAlignment="1">
      <alignment horizontal="center" shrinkToFit="1"/>
    </xf>
    <xf numFmtId="2" fontId="0" fillId="0" borderId="0" xfId="0" applyNumberFormat="1" applyAlignment="1">
      <alignment horizontal="center" shrinkToFit="1"/>
    </xf>
    <xf numFmtId="177" fontId="14" fillId="0" borderId="4" xfId="1" applyNumberFormat="1" applyFont="1" applyBorder="1" applyAlignment="1">
      <alignment horizontal="center"/>
    </xf>
    <xf numFmtId="177" fontId="7" fillId="0" borderId="1" xfId="1" applyNumberFormat="1" applyFont="1" applyBorder="1" applyAlignment="1">
      <alignment horizontal="center" shrinkToFit="1"/>
    </xf>
    <xf numFmtId="177" fontId="7" fillId="0" borderId="2" xfId="1" applyNumberFormat="1" applyFont="1" applyBorder="1" applyAlignment="1">
      <alignment horizontal="center" shrinkToFit="1"/>
    </xf>
    <xf numFmtId="177" fontId="7" fillId="0" borderId="3" xfId="1" applyNumberFormat="1" applyFont="1" applyBorder="1" applyAlignment="1">
      <alignment horizontal="center" shrinkToFi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xf numFmtId="2" fontId="0" fillId="0" borderId="13" xfId="0" applyNumberFormat="1" applyBorder="1" applyAlignment="1">
      <alignment horizontal="center" vertical="center"/>
    </xf>
    <xf numFmtId="2" fontId="0" fillId="0" borderId="14" xfId="0" applyNumberFormat="1" applyBorder="1" applyAlignment="1">
      <alignment horizontal="center" vertical="center"/>
    </xf>
    <xf numFmtId="181" fontId="22" fillId="0" borderId="0" xfId="1" applyNumberFormat="1" applyFont="1" applyBorder="1" applyAlignment="1">
      <alignment horizontal="center" shrinkToFit="1"/>
    </xf>
    <xf numFmtId="181" fontId="22" fillId="0" borderId="10" xfId="1" applyNumberFormat="1" applyFont="1" applyBorder="1" applyAlignment="1">
      <alignment horizontal="center" shrinkToFit="1"/>
    </xf>
    <xf numFmtId="181" fontId="22" fillId="0" borderId="11" xfId="1" applyNumberFormat="1" applyFont="1" applyBorder="1" applyAlignment="1">
      <alignment horizontal="center" shrinkToFit="1"/>
    </xf>
    <xf numFmtId="181" fontId="22" fillId="0" borderId="12" xfId="1" applyNumberFormat="1" applyFont="1" applyBorder="1" applyAlignment="1">
      <alignment horizontal="center" shrinkToFit="1"/>
    </xf>
    <xf numFmtId="179" fontId="0" fillId="0" borderId="7" xfId="1" applyNumberFormat="1" applyFont="1" applyBorder="1" applyAlignment="1">
      <alignment horizontal="center"/>
    </xf>
    <xf numFmtId="38" fontId="0" fillId="0" borderId="7" xfId="1" applyFont="1" applyBorder="1" applyAlignment="1">
      <alignment horizontal="center"/>
    </xf>
    <xf numFmtId="40" fontId="0" fillId="0" borderId="0" xfId="1" applyNumberFormat="1" applyFont="1" applyAlignment="1">
      <alignment horizontal="center"/>
    </xf>
    <xf numFmtId="0" fontId="0" fillId="0" borderId="12" xfId="0" applyBorder="1" applyAlignment="1">
      <alignment horizontal="center" shrinkToFit="1"/>
    </xf>
    <xf numFmtId="2" fontId="0" fillId="0" borderId="4" xfId="0" applyNumberFormat="1" applyBorder="1" applyAlignment="1">
      <alignment horizontal="center" vertical="center"/>
    </xf>
    <xf numFmtId="2" fontId="0" fillId="0" borderId="5" xfId="0" applyNumberFormat="1" applyBorder="1" applyAlignment="1">
      <alignment horizontal="center" vertical="center"/>
    </xf>
    <xf numFmtId="40" fontId="0" fillId="0" borderId="1" xfId="1" applyNumberFormat="1" applyFont="1" applyBorder="1" applyAlignment="1">
      <alignment horizontal="center"/>
    </xf>
    <xf numFmtId="178" fontId="0" fillId="0" borderId="12" xfId="0" applyNumberFormat="1" applyBorder="1" applyAlignment="1">
      <alignment horizontal="center" shrinkToFit="1"/>
    </xf>
    <xf numFmtId="2" fontId="0" fillId="0" borderId="11" xfId="0" applyNumberFormat="1" applyBorder="1" applyAlignment="1">
      <alignment horizontal="center" shrinkToFit="1"/>
    </xf>
    <xf numFmtId="40" fontId="0" fillId="0" borderId="2" xfId="1" applyNumberFormat="1" applyFont="1" applyBorder="1" applyAlignment="1">
      <alignment horizontal="center" shrinkToFit="1"/>
    </xf>
    <xf numFmtId="40" fontId="0" fillId="0" borderId="1" xfId="1" applyNumberFormat="1" applyFont="1" applyBorder="1" applyAlignment="1">
      <alignment horizontal="center" shrinkToFit="1"/>
    </xf>
    <xf numFmtId="4" fontId="0" fillId="0" borderId="0" xfId="1" applyNumberFormat="1" applyFont="1" applyBorder="1" applyAlignment="1">
      <alignment horizontal="center" shrinkToFit="1"/>
    </xf>
    <xf numFmtId="40" fontId="0" fillId="0" borderId="0" xfId="1" applyNumberFormat="1" applyFont="1" applyBorder="1" applyAlignment="1">
      <alignment horizontal="center" shrinkToFit="1"/>
    </xf>
    <xf numFmtId="177" fontId="0" fillId="0" borderId="13" xfId="1" applyNumberFormat="1" applyFont="1" applyBorder="1" applyAlignment="1">
      <alignment horizontal="center" vertical="center"/>
    </xf>
    <xf numFmtId="177" fontId="0" fillId="0" borderId="14" xfId="1" applyNumberFormat="1" applyFont="1" applyBorder="1" applyAlignment="1">
      <alignment horizontal="center" vertical="center"/>
    </xf>
    <xf numFmtId="178" fontId="0" fillId="0" borderId="1" xfId="0" applyNumberFormat="1" applyBorder="1" applyAlignment="1">
      <alignment horizontal="center" vertical="center"/>
    </xf>
    <xf numFmtId="178" fontId="0" fillId="0" borderId="3" xfId="0" applyNumberFormat="1" applyBorder="1" applyAlignment="1">
      <alignment horizontal="center" vertical="center"/>
    </xf>
    <xf numFmtId="178" fontId="0" fillId="0" borderId="6" xfId="0" applyNumberFormat="1" applyBorder="1" applyAlignment="1">
      <alignment horizontal="center" vertical="center"/>
    </xf>
    <xf numFmtId="178" fontId="0" fillId="0" borderId="8" xfId="0" applyNumberFormat="1" applyBorder="1" applyAlignment="1">
      <alignment horizontal="center" vertical="center"/>
    </xf>
    <xf numFmtId="40" fontId="0" fillId="0" borderId="7" xfId="1" applyNumberFormat="1" applyFont="1" applyFill="1" applyBorder="1" applyAlignment="1">
      <alignment horizontal="center"/>
    </xf>
    <xf numFmtId="40" fontId="0" fillId="0" borderId="8" xfId="1" applyNumberFormat="1" applyFont="1" applyFill="1" applyBorder="1" applyAlignment="1">
      <alignment horizontal="center"/>
    </xf>
    <xf numFmtId="40" fontId="0" fillId="0" borderId="10" xfId="1" applyNumberFormat="1" applyFont="1" applyFill="1" applyBorder="1" applyAlignment="1">
      <alignment horizontal="center" shrinkToFit="1"/>
    </xf>
    <xf numFmtId="40" fontId="0" fillId="0" borderId="11" xfId="1" applyNumberFormat="1" applyFont="1" applyFill="1" applyBorder="1" applyAlignment="1">
      <alignment horizontal="center" shrinkToFit="1"/>
    </xf>
    <xf numFmtId="40" fontId="0" fillId="0" borderId="6" xfId="1" applyNumberFormat="1" applyFont="1" applyFill="1" applyBorder="1" applyAlignment="1">
      <alignment horizontal="center"/>
    </xf>
    <xf numFmtId="2" fontId="0" fillId="0" borderId="22" xfId="0" applyNumberFormat="1" applyBorder="1" applyAlignment="1">
      <alignment horizontal="center"/>
    </xf>
    <xf numFmtId="2" fontId="33" fillId="0" borderId="10" xfId="0" applyNumberFormat="1" applyFont="1" applyBorder="1" applyAlignment="1">
      <alignment horizontal="center" shrinkToFit="1"/>
    </xf>
    <xf numFmtId="0" fontId="33" fillId="0" borderId="11" xfId="0" applyFont="1" applyBorder="1" applyAlignment="1">
      <alignment horizontal="center" shrinkToFit="1"/>
    </xf>
    <xf numFmtId="2" fontId="0" fillId="0" borderId="20" xfId="0" applyNumberFormat="1" applyBorder="1" applyAlignment="1">
      <alignment horizontal="center" shrinkToFit="1"/>
    </xf>
    <xf numFmtId="0" fontId="0" fillId="0" borderId="22" xfId="0" applyBorder="1" applyAlignment="1">
      <alignment horizontal="center" shrinkToFit="1"/>
    </xf>
    <xf numFmtId="0" fontId="0" fillId="0" borderId="22" xfId="0" applyBorder="1" applyAlignment="1">
      <alignment horizontal="center"/>
    </xf>
    <xf numFmtId="177" fontId="0" fillId="0" borderId="1" xfId="1" applyNumberFormat="1" applyFont="1" applyFill="1" applyBorder="1" applyAlignment="1">
      <alignment horizontal="center"/>
    </xf>
    <xf numFmtId="177" fontId="0" fillId="0" borderId="2" xfId="1" applyNumberFormat="1" applyFont="1" applyFill="1" applyBorder="1" applyAlignment="1">
      <alignment horizontal="center"/>
    </xf>
    <xf numFmtId="177" fontId="0" fillId="0" borderId="3" xfId="1" applyNumberFormat="1" applyFont="1" applyFill="1" applyBorder="1" applyAlignment="1">
      <alignment horizontal="center"/>
    </xf>
    <xf numFmtId="177" fontId="0" fillId="0" borderId="4" xfId="1" applyNumberFormat="1" applyFont="1" applyFill="1" applyBorder="1" applyAlignment="1">
      <alignment horizontal="center"/>
    </xf>
    <xf numFmtId="177" fontId="0" fillId="0" borderId="5" xfId="1" applyNumberFormat="1" applyFont="1" applyFill="1" applyBorder="1" applyAlignment="1">
      <alignment horizontal="center"/>
    </xf>
    <xf numFmtId="177" fontId="0" fillId="0" borderId="4" xfId="1" applyNumberFormat="1" applyFont="1" applyBorder="1" applyAlignment="1">
      <alignment horizontal="center" vertical="center"/>
    </xf>
    <xf numFmtId="177" fontId="0" fillId="0" borderId="5" xfId="1" applyNumberFormat="1" applyFont="1" applyBorder="1" applyAlignment="1">
      <alignment horizontal="center" vertical="center"/>
    </xf>
    <xf numFmtId="178" fontId="0" fillId="0" borderId="13" xfId="0" applyNumberFormat="1" applyBorder="1" applyAlignment="1">
      <alignment horizontal="center" shrinkToFit="1"/>
    </xf>
    <xf numFmtId="178" fontId="0" fillId="0" borderId="14" xfId="0" applyNumberFormat="1" applyBorder="1" applyAlignment="1">
      <alignment horizontal="center" shrinkToFit="1"/>
    </xf>
    <xf numFmtId="40" fontId="0" fillId="0" borderId="13" xfId="1" applyNumberFormat="1" applyFont="1" applyBorder="1" applyAlignment="1">
      <alignment horizontal="center" shrinkToFit="1"/>
    </xf>
    <xf numFmtId="40" fontId="0" fillId="0" borderId="15" xfId="1" applyNumberFormat="1" applyFont="1" applyBorder="1" applyAlignment="1">
      <alignment horizontal="center" shrinkToFit="1"/>
    </xf>
    <xf numFmtId="2" fontId="0" fillId="0" borderId="0" xfId="0" applyNumberFormat="1" applyAlignment="1">
      <alignment horizontal="left" shrinkToFit="1"/>
    </xf>
    <xf numFmtId="2" fontId="0" fillId="0" borderId="0" xfId="0" applyNumberFormat="1" applyAlignment="1">
      <alignment horizontal="center" vertical="center"/>
    </xf>
    <xf numFmtId="0" fontId="6" fillId="0" borderId="4" xfId="0" applyFont="1" applyBorder="1" applyAlignment="1">
      <alignment horizontal="center" shrinkToFit="1"/>
    </xf>
    <xf numFmtId="0" fontId="6" fillId="0" borderId="0" xfId="0" applyFont="1" applyAlignment="1">
      <alignment horizontal="center" shrinkToFit="1"/>
    </xf>
    <xf numFmtId="2" fontId="0" fillId="0" borderId="0" xfId="0" applyNumberFormat="1" applyAlignment="1">
      <alignment horizontal="center" vertical="center" shrinkToFit="1"/>
    </xf>
    <xf numFmtId="177" fontId="0" fillId="0" borderId="1" xfId="1" applyNumberFormat="1" applyFont="1" applyFill="1" applyBorder="1" applyAlignment="1">
      <alignment horizontal="center" vertical="center"/>
    </xf>
    <xf numFmtId="177" fontId="0" fillId="0" borderId="3" xfId="1" applyNumberFormat="1" applyFont="1" applyFill="1" applyBorder="1" applyAlignment="1">
      <alignment horizontal="center" vertical="center"/>
    </xf>
    <xf numFmtId="177" fontId="0" fillId="0" borderId="4" xfId="1" applyNumberFormat="1" applyFont="1" applyFill="1" applyBorder="1" applyAlignment="1">
      <alignment horizontal="center" vertical="center"/>
    </xf>
    <xf numFmtId="177" fontId="0" fillId="0" borderId="5" xfId="1" applyNumberFormat="1" applyFont="1" applyFill="1" applyBorder="1" applyAlignment="1">
      <alignment horizontal="center" vertical="center"/>
    </xf>
    <xf numFmtId="177" fontId="0" fillId="0" borderId="6" xfId="1" applyNumberFormat="1" applyFont="1" applyFill="1" applyBorder="1" applyAlignment="1">
      <alignment horizontal="center" vertical="center"/>
    </xf>
    <xf numFmtId="177" fontId="0" fillId="0" borderId="8" xfId="1" applyNumberFormat="1" applyFont="1" applyFill="1" applyBorder="1" applyAlignment="1">
      <alignment horizontal="center" vertical="center"/>
    </xf>
    <xf numFmtId="0" fontId="0" fillId="0" borderId="4" xfId="0" applyBorder="1" applyAlignment="1">
      <alignment horizontal="center" shrinkToFit="1"/>
    </xf>
    <xf numFmtId="0" fontId="0" fillId="0" borderId="5" xfId="0" applyBorder="1" applyAlignment="1">
      <alignment horizontal="center" shrinkToFit="1"/>
    </xf>
    <xf numFmtId="40" fontId="0" fillId="0" borderId="22" xfId="1" applyNumberFormat="1" applyFont="1" applyBorder="1" applyAlignment="1">
      <alignment horizontal="center"/>
    </xf>
    <xf numFmtId="40" fontId="0" fillId="0" borderId="21" xfId="1" applyNumberFormat="1" applyFont="1" applyBorder="1" applyAlignment="1">
      <alignment horizontal="center"/>
    </xf>
    <xf numFmtId="177" fontId="0" fillId="0" borderId="22" xfId="1" applyNumberFormat="1" applyFont="1" applyBorder="1" applyAlignment="1">
      <alignment horizontal="center"/>
    </xf>
    <xf numFmtId="40" fontId="0" fillId="0" borderId="20" xfId="1" applyNumberFormat="1" applyFont="1" applyBorder="1" applyAlignment="1">
      <alignment horizontal="center"/>
    </xf>
    <xf numFmtId="40" fontId="0" fillId="0" borderId="3" xfId="1" applyNumberFormat="1" applyFont="1" applyBorder="1" applyAlignment="1">
      <alignment horizontal="center"/>
    </xf>
    <xf numFmtId="40" fontId="8" fillId="0" borderId="0" xfId="1" applyNumberFormat="1" applyFont="1" applyBorder="1" applyAlignment="1">
      <alignment horizontal="center" shrinkToFit="1"/>
    </xf>
    <xf numFmtId="177" fontId="7" fillId="0" borderId="4" xfId="1" applyNumberFormat="1" applyFont="1" applyBorder="1" applyAlignment="1">
      <alignment horizontal="center" vertical="center"/>
    </xf>
    <xf numFmtId="40" fontId="8" fillId="0" borderId="7" xfId="1" applyNumberFormat="1" applyFont="1" applyBorder="1" applyAlignment="1">
      <alignment horizontal="center"/>
    </xf>
    <xf numFmtId="180" fontId="8" fillId="0" borderId="0" xfId="1" applyNumberFormat="1" applyFont="1" applyBorder="1" applyAlignment="1">
      <alignment horizontal="center"/>
    </xf>
    <xf numFmtId="4" fontId="33" fillId="0" borderId="0" xfId="1" applyNumberFormat="1" applyFont="1" applyBorder="1" applyAlignment="1">
      <alignment horizontal="center" shrinkToFit="1"/>
    </xf>
    <xf numFmtId="40" fontId="0" fillId="0" borderId="0" xfId="1" applyNumberFormat="1" applyFont="1" applyBorder="1" applyAlignment="1">
      <alignment horizontal="right"/>
    </xf>
    <xf numFmtId="40" fontId="8" fillId="0" borderId="7" xfId="1" applyNumberFormat="1" applyFont="1" applyBorder="1" applyAlignment="1">
      <alignment horizontal="center" shrinkToFit="1"/>
    </xf>
    <xf numFmtId="40" fontId="8" fillId="0" borderId="11" xfId="1" applyNumberFormat="1" applyFont="1" applyBorder="1" applyAlignment="1">
      <alignment horizontal="center" shrinkToFit="1"/>
    </xf>
    <xf numFmtId="40" fontId="8" fillId="0" borderId="12" xfId="1" applyNumberFormat="1" applyFont="1" applyBorder="1" applyAlignment="1">
      <alignment horizontal="center" shrinkToFit="1"/>
    </xf>
    <xf numFmtId="40" fontId="8" fillId="0" borderId="24" xfId="1" applyNumberFormat="1" applyFont="1" applyBorder="1" applyAlignment="1">
      <alignment horizontal="center" shrinkToFit="1"/>
    </xf>
    <xf numFmtId="40" fontId="8" fillId="0" borderId="25" xfId="1" applyNumberFormat="1" applyFont="1" applyBorder="1" applyAlignment="1">
      <alignment horizontal="center" shrinkToFit="1"/>
    </xf>
    <xf numFmtId="40" fontId="8" fillId="0" borderId="22" xfId="1" applyNumberFormat="1" applyFont="1" applyBorder="1" applyAlignment="1">
      <alignment horizontal="center" shrinkToFit="1"/>
    </xf>
    <xf numFmtId="40" fontId="7" fillId="0" borderId="10" xfId="1" applyNumberFormat="1" applyFont="1" applyBorder="1" applyAlignment="1">
      <alignment horizontal="center" shrinkToFit="1"/>
    </xf>
    <xf numFmtId="40" fontId="7" fillId="0" borderId="11" xfId="1" applyNumberFormat="1" applyFont="1" applyBorder="1" applyAlignment="1">
      <alignment horizontal="center" shrinkToFit="1"/>
    </xf>
    <xf numFmtId="2" fontId="0" fillId="0" borderId="12" xfId="0" applyNumberFormat="1" applyBorder="1" applyAlignment="1">
      <alignment horizontal="center" shrinkToFit="1"/>
    </xf>
    <xf numFmtId="40" fontId="0" fillId="0" borderId="1" xfId="1" applyNumberFormat="1" applyFont="1" applyBorder="1" applyAlignment="1">
      <alignment horizontal="center" vertical="center"/>
    </xf>
    <xf numFmtId="40" fontId="0" fillId="0" borderId="3" xfId="1" applyNumberFormat="1" applyFont="1" applyBorder="1" applyAlignment="1">
      <alignment horizontal="center" vertical="center"/>
    </xf>
    <xf numFmtId="40" fontId="0" fillId="0" borderId="6" xfId="1" applyNumberFormat="1" applyFont="1" applyBorder="1" applyAlignment="1">
      <alignment horizontal="center" vertical="center"/>
    </xf>
    <xf numFmtId="40" fontId="0" fillId="0" borderId="8" xfId="1" applyNumberFormat="1" applyFont="1" applyBorder="1" applyAlignment="1">
      <alignment horizontal="center" vertical="center"/>
    </xf>
    <xf numFmtId="0" fontId="7" fillId="0" borderId="0" xfId="0" applyFont="1" applyAlignment="1">
      <alignment horizontal="center" vertical="center" shrinkToFit="1"/>
    </xf>
    <xf numFmtId="0" fontId="6" fillId="0" borderId="0" xfId="0" applyFont="1" applyAlignment="1">
      <alignment horizontal="center" vertical="center" shrinkToFit="1"/>
    </xf>
    <xf numFmtId="2" fontId="0" fillId="0" borderId="7" xfId="0" applyNumberFormat="1" applyBorder="1" applyAlignment="1">
      <alignment horizontal="center" vertical="center" shrinkToFit="1"/>
    </xf>
    <xf numFmtId="0" fontId="0" fillId="0" borderId="7" xfId="0" applyBorder="1" applyAlignment="1">
      <alignment horizontal="center" vertical="center" shrinkToFit="1"/>
    </xf>
    <xf numFmtId="2" fontId="8" fillId="0" borderId="1" xfId="0" applyNumberFormat="1"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8" xfId="0" applyFont="1" applyBorder="1" applyAlignment="1">
      <alignment horizontal="center" vertical="center" shrinkToFit="1"/>
    </xf>
    <xf numFmtId="0" fontId="7" fillId="0" borderId="6" xfId="0" applyFont="1" applyBorder="1" applyAlignment="1">
      <alignment horizontal="center" shrinkToFit="1"/>
    </xf>
    <xf numFmtId="0" fontId="7" fillId="0" borderId="8" xfId="0" applyFont="1" applyBorder="1" applyAlignment="1">
      <alignment horizontal="center" shrinkToFit="1"/>
    </xf>
    <xf numFmtId="1" fontId="0" fillId="0" borderId="7" xfId="0" applyNumberFormat="1" applyBorder="1" applyAlignment="1">
      <alignment horizontal="center" shrinkToFit="1"/>
    </xf>
    <xf numFmtId="40" fontId="0" fillId="0" borderId="7" xfId="1" applyNumberFormat="1" applyFont="1" applyFill="1" applyBorder="1" applyAlignment="1">
      <alignment horizontal="center" wrapText="1"/>
    </xf>
    <xf numFmtId="40" fontId="0" fillId="0" borderId="8" xfId="1" applyNumberFormat="1" applyFont="1" applyFill="1" applyBorder="1" applyAlignment="1">
      <alignment horizontal="center" wrapText="1"/>
    </xf>
    <xf numFmtId="0" fontId="7" fillId="0" borderId="4" xfId="0" applyFont="1" applyBorder="1" applyAlignment="1">
      <alignment horizontal="center" shrinkToFit="1"/>
    </xf>
    <xf numFmtId="0" fontId="7" fillId="0" borderId="5" xfId="0" applyFont="1" applyBorder="1" applyAlignment="1">
      <alignment horizontal="center" shrinkToFit="1"/>
    </xf>
    <xf numFmtId="1" fontId="0" fillId="0" borderId="2" xfId="0" applyNumberFormat="1" applyBorder="1" applyAlignment="1">
      <alignment horizontal="center" shrinkToFit="1"/>
    </xf>
    <xf numFmtId="40" fontId="0" fillId="0" borderId="2" xfId="1" applyNumberFormat="1" applyFont="1" applyFill="1" applyBorder="1" applyAlignment="1">
      <alignment horizontal="center" wrapText="1"/>
    </xf>
    <xf numFmtId="40" fontId="0" fillId="0" borderId="3" xfId="1" applyNumberFormat="1" applyFont="1" applyFill="1" applyBorder="1" applyAlignment="1">
      <alignment horizontal="center" wrapText="1"/>
    </xf>
    <xf numFmtId="0" fontId="0" fillId="0" borderId="21" xfId="0" applyBorder="1" applyAlignment="1">
      <alignment horizontal="center" shrinkToFit="1"/>
    </xf>
    <xf numFmtId="40" fontId="0" fillId="0" borderId="12" xfId="1" applyNumberFormat="1" applyFont="1" applyBorder="1" applyAlignment="1">
      <alignment horizontal="center" shrinkToFit="1"/>
    </xf>
    <xf numFmtId="177" fontId="0" fillId="0" borderId="23" xfId="1" applyNumberFormat="1" applyFont="1" applyBorder="1" applyAlignment="1">
      <alignment horizontal="center"/>
    </xf>
    <xf numFmtId="177" fontId="0" fillId="0" borderId="25" xfId="1" applyNumberFormat="1" applyFont="1" applyBorder="1" applyAlignment="1">
      <alignment horizontal="center"/>
    </xf>
    <xf numFmtId="177" fontId="0" fillId="0" borderId="24" xfId="1" applyNumberFormat="1" applyFont="1" applyBorder="1" applyAlignment="1">
      <alignment horizontal="center"/>
    </xf>
    <xf numFmtId="178" fontId="0" fillId="0" borderId="6" xfId="0" applyNumberFormat="1" applyBorder="1" applyAlignment="1">
      <alignment horizontal="center" shrinkToFit="1"/>
    </xf>
    <xf numFmtId="178" fontId="0" fillId="0" borderId="8" xfId="0" applyNumberFormat="1" applyBorder="1" applyAlignment="1">
      <alignment horizontal="center" shrinkToFit="1"/>
    </xf>
    <xf numFmtId="2" fontId="33" fillId="0" borderId="10" xfId="0" applyNumberFormat="1" applyFont="1" applyBorder="1" applyAlignment="1">
      <alignment horizontal="center" vertical="center"/>
    </xf>
    <xf numFmtId="2" fontId="33" fillId="0" borderId="11" xfId="0" applyNumberFormat="1" applyFont="1" applyBorder="1" applyAlignment="1">
      <alignment horizontal="center" vertical="center"/>
    </xf>
    <xf numFmtId="2" fontId="33" fillId="0" borderId="12" xfId="0" applyNumberFormat="1" applyFont="1" applyBorder="1" applyAlignment="1">
      <alignment horizontal="center" vertical="center"/>
    </xf>
    <xf numFmtId="2" fontId="33" fillId="0" borderId="0" xfId="0" applyNumberFormat="1" applyFont="1" applyAlignment="1">
      <alignment horizontal="center" vertical="center"/>
    </xf>
    <xf numFmtId="2" fontId="8" fillId="0" borderId="7" xfId="0" applyNumberFormat="1" applyFont="1" applyBorder="1" applyAlignment="1">
      <alignment horizontal="center" shrinkToFit="1"/>
    </xf>
    <xf numFmtId="0" fontId="8" fillId="0" borderId="7" xfId="0" applyFont="1" applyBorder="1" applyAlignment="1">
      <alignment horizontal="center" shrinkToFit="1"/>
    </xf>
    <xf numFmtId="2" fontId="8" fillId="0" borderId="0" xfId="0" applyNumberFormat="1" applyFont="1" applyAlignment="1">
      <alignment horizontal="center" shrinkToFit="1"/>
    </xf>
    <xf numFmtId="0" fontId="8" fillId="0" borderId="0" xfId="0" applyFont="1" applyAlignment="1">
      <alignment horizontal="center" shrinkToFit="1"/>
    </xf>
    <xf numFmtId="0" fontId="7" fillId="0" borderId="7" xfId="0" applyFont="1" applyBorder="1" applyAlignment="1">
      <alignment horizontal="center" shrinkToFit="1"/>
    </xf>
    <xf numFmtId="0" fontId="7" fillId="0" borderId="0" xfId="0" applyFont="1" applyAlignment="1">
      <alignment horizontal="center" shrinkToFit="1"/>
    </xf>
    <xf numFmtId="2" fontId="22" fillId="3" borderId="7" xfId="0" applyNumberFormat="1" applyFont="1" applyFill="1" applyBorder="1" applyAlignment="1">
      <alignment horizontal="center"/>
    </xf>
    <xf numFmtId="2" fontId="22" fillId="3" borderId="8" xfId="0" applyNumberFormat="1" applyFont="1" applyFill="1" applyBorder="1" applyAlignment="1">
      <alignment horizontal="center"/>
    </xf>
    <xf numFmtId="2" fontId="0" fillId="3" borderId="7" xfId="0" applyNumberFormat="1" applyFill="1" applyBorder="1" applyAlignment="1">
      <alignment horizontal="center"/>
    </xf>
    <xf numFmtId="2" fontId="0" fillId="3" borderId="8" xfId="0" applyNumberFormat="1" applyFill="1" applyBorder="1" applyAlignment="1">
      <alignment horizontal="center"/>
    </xf>
    <xf numFmtId="2" fontId="33" fillId="0" borderId="1" xfId="0" applyNumberFormat="1" applyFont="1" applyBorder="1" applyAlignment="1">
      <alignment horizontal="center" vertical="center"/>
    </xf>
    <xf numFmtId="2" fontId="33" fillId="0" borderId="3" xfId="0" applyNumberFormat="1" applyFont="1" applyBorder="1" applyAlignment="1">
      <alignment horizontal="center" vertical="center"/>
    </xf>
    <xf numFmtId="2" fontId="33" fillId="0" borderId="6" xfId="0" applyNumberFormat="1" applyFont="1" applyBorder="1" applyAlignment="1">
      <alignment horizontal="center" vertical="center"/>
    </xf>
    <xf numFmtId="2" fontId="33" fillId="0" borderId="8" xfId="0" applyNumberFormat="1" applyFont="1" applyBorder="1" applyAlignment="1">
      <alignment horizontal="center" vertical="center"/>
    </xf>
    <xf numFmtId="2" fontId="0" fillId="0" borderId="0" xfId="0" applyNumberFormat="1" applyAlignment="1" applyProtection="1">
      <alignment horizontal="center"/>
      <protection locked="0"/>
    </xf>
    <xf numFmtId="2" fontId="0" fillId="0" borderId="10" xfId="0" applyNumberFormat="1" applyBorder="1" applyAlignment="1" applyProtection="1">
      <alignment horizontal="center"/>
      <protection locked="0"/>
    </xf>
    <xf numFmtId="2" fontId="0" fillId="0" borderId="11" xfId="0" applyNumberFormat="1" applyBorder="1" applyAlignment="1" applyProtection="1">
      <alignment horizontal="center"/>
      <protection locked="0"/>
    </xf>
    <xf numFmtId="2" fontId="0" fillId="0" borderId="12" xfId="0" applyNumberFormat="1" applyBorder="1" applyAlignment="1" applyProtection="1">
      <alignment horizontal="center"/>
      <protection locked="0"/>
    </xf>
    <xf numFmtId="2" fontId="0" fillId="0" borderId="0" xfId="0" applyNumberFormat="1" applyAlignment="1" applyProtection="1">
      <alignment horizontal="center" vertical="center"/>
      <protection locked="0"/>
    </xf>
    <xf numFmtId="2" fontId="0" fillId="0" borderId="7" xfId="0" applyNumberFormat="1" applyBorder="1" applyAlignment="1" applyProtection="1">
      <alignment horizontal="center"/>
      <protection locked="0"/>
    </xf>
    <xf numFmtId="2" fontId="0" fillId="0" borderId="2" xfId="0" applyNumberFormat="1" applyBorder="1" applyAlignment="1" applyProtection="1">
      <alignment horizontal="center"/>
      <protection locked="0"/>
    </xf>
    <xf numFmtId="0" fontId="0" fillId="0" borderId="9" xfId="0" applyBorder="1" applyAlignment="1" applyProtection="1">
      <alignment horizontal="center"/>
      <protection locked="0"/>
    </xf>
    <xf numFmtId="2" fontId="0" fillId="0" borderId="9" xfId="0" applyNumberFormat="1" applyBorder="1" applyAlignment="1" applyProtection="1">
      <alignment horizontal="center"/>
      <protection locked="0"/>
    </xf>
    <xf numFmtId="177" fontId="0" fillId="0" borderId="6" xfId="1" applyNumberFormat="1" applyFont="1" applyBorder="1" applyAlignment="1">
      <alignment horizontal="center"/>
    </xf>
    <xf numFmtId="177" fontId="0" fillId="0" borderId="8" xfId="1" applyNumberFormat="1" applyFont="1" applyBorder="1" applyAlignment="1">
      <alignment horizontal="center"/>
    </xf>
    <xf numFmtId="2" fontId="0" fillId="0" borderId="23" xfId="0" applyNumberFormat="1" applyBorder="1" applyAlignment="1" applyProtection="1">
      <alignment horizontal="center"/>
      <protection locked="0"/>
    </xf>
    <xf numFmtId="2" fontId="0" fillId="0" borderId="24" xfId="0" applyNumberFormat="1" applyBorder="1" applyAlignment="1" applyProtection="1">
      <alignment horizontal="center"/>
      <protection locked="0"/>
    </xf>
    <xf numFmtId="2" fontId="0" fillId="0" borderId="25" xfId="0" applyNumberFormat="1" applyBorder="1" applyAlignment="1" applyProtection="1">
      <alignment horizontal="center"/>
      <protection locked="0"/>
    </xf>
    <xf numFmtId="40" fontId="0" fillId="0" borderId="30" xfId="1" applyNumberFormat="1" applyFont="1" applyBorder="1" applyAlignment="1">
      <alignment horizontal="center"/>
    </xf>
    <xf numFmtId="0" fontId="0" fillId="0" borderId="30" xfId="0" applyBorder="1" applyAlignment="1">
      <alignment horizontal="center"/>
    </xf>
    <xf numFmtId="2" fontId="0" fillId="0" borderId="30" xfId="0" applyNumberFormat="1" applyBorder="1" applyAlignment="1" applyProtection="1">
      <alignment horizontal="center"/>
      <protection locked="0"/>
    </xf>
    <xf numFmtId="0" fontId="0" fillId="0" borderId="30" xfId="0" applyBorder="1" applyAlignment="1" applyProtection="1">
      <alignment horizontal="center"/>
      <protection locked="0"/>
    </xf>
    <xf numFmtId="0" fontId="0" fillId="0" borderId="23" xfId="0" applyBorder="1" applyAlignment="1">
      <alignment horizontal="center"/>
    </xf>
    <xf numFmtId="0" fontId="0" fillId="0" borderId="25" xfId="0" applyBorder="1" applyAlignment="1">
      <alignment horizontal="center"/>
    </xf>
    <xf numFmtId="2" fontId="0" fillId="0" borderId="7" xfId="0" applyNumberFormat="1" applyBorder="1" applyAlignment="1" applyProtection="1">
      <alignment horizontal="right"/>
      <protection locked="0"/>
    </xf>
    <xf numFmtId="177" fontId="0" fillId="0" borderId="1" xfId="1" applyNumberFormat="1" applyFont="1" applyBorder="1" applyAlignment="1">
      <alignment horizontal="left" vertical="top" wrapText="1"/>
    </xf>
    <xf numFmtId="177" fontId="0" fillId="0" borderId="2" xfId="1" applyNumberFormat="1" applyFont="1" applyBorder="1" applyAlignment="1">
      <alignment horizontal="left" vertical="top" wrapText="1"/>
    </xf>
    <xf numFmtId="177" fontId="0" fillId="0" borderId="3" xfId="1" applyNumberFormat="1" applyFont="1" applyBorder="1" applyAlignment="1">
      <alignment horizontal="left" vertical="top" wrapText="1"/>
    </xf>
    <xf numFmtId="177" fontId="0" fillId="0" borderId="4" xfId="1" applyNumberFormat="1" applyFont="1" applyBorder="1" applyAlignment="1">
      <alignment horizontal="left" vertical="top" wrapText="1"/>
    </xf>
    <xf numFmtId="177" fontId="0" fillId="0" borderId="0" xfId="1" applyNumberFormat="1" applyFont="1" applyBorder="1" applyAlignment="1">
      <alignment horizontal="left" vertical="top" wrapText="1"/>
    </xf>
    <xf numFmtId="177" fontId="0" fillId="0" borderId="5" xfId="1" applyNumberFormat="1" applyFont="1" applyBorder="1" applyAlignment="1">
      <alignment horizontal="left" vertical="top" wrapText="1"/>
    </xf>
    <xf numFmtId="177" fontId="25" fillId="0" borderId="7" xfId="1" applyNumberFormat="1" applyFont="1" applyBorder="1" applyAlignment="1">
      <alignment horizontal="center"/>
    </xf>
    <xf numFmtId="177" fontId="7" fillId="0" borderId="0" xfId="1" applyNumberFormat="1" applyFont="1" applyBorder="1" applyAlignment="1">
      <alignment horizontal="left" vertical="center"/>
    </xf>
    <xf numFmtId="177" fontId="26" fillId="0" borderId="0" xfId="1" applyNumberFormat="1" applyFont="1" applyBorder="1" applyAlignment="1">
      <alignment horizontal="center"/>
    </xf>
    <xf numFmtId="177" fontId="29" fillId="0" borderId="0" xfId="1" applyNumberFormat="1" applyFont="1" applyBorder="1" applyAlignment="1">
      <alignment horizontal="center"/>
    </xf>
    <xf numFmtId="177" fontId="0" fillId="0" borderId="7" xfId="1" applyNumberFormat="1" applyFont="1" applyBorder="1" applyAlignment="1">
      <alignment horizontal="center" shrinkToFit="1"/>
    </xf>
    <xf numFmtId="40" fontId="0" fillId="0" borderId="10" xfId="1" applyNumberFormat="1" applyFont="1" applyBorder="1" applyAlignment="1">
      <alignment horizontal="center" vertical="center"/>
    </xf>
    <xf numFmtId="40" fontId="0" fillId="0" borderId="11" xfId="1" applyNumberFormat="1" applyFont="1" applyBorder="1" applyAlignment="1">
      <alignment horizontal="center" vertical="center"/>
    </xf>
    <xf numFmtId="40" fontId="0" fillId="0" borderId="12" xfId="1" applyNumberFormat="1" applyFont="1" applyBorder="1" applyAlignment="1">
      <alignment horizontal="center" vertical="center"/>
    </xf>
    <xf numFmtId="40" fontId="0" fillId="0" borderId="2" xfId="1" applyNumberFormat="1" applyFont="1" applyBorder="1" applyAlignment="1">
      <alignment horizontal="center" vertical="center"/>
    </xf>
    <xf numFmtId="40" fontId="0" fillId="0" borderId="7" xfId="1" applyNumberFormat="1" applyFont="1" applyBorder="1" applyAlignment="1">
      <alignment horizontal="center" vertical="center"/>
    </xf>
    <xf numFmtId="40" fontId="0" fillId="0" borderId="0" xfId="1" applyNumberFormat="1" applyFont="1" applyFill="1" applyBorder="1" applyAlignment="1">
      <alignment horizontal="center"/>
    </xf>
    <xf numFmtId="177" fontId="0" fillId="0" borderId="0" xfId="1" applyNumberFormat="1" applyFont="1" applyFill="1" applyBorder="1" applyAlignment="1">
      <alignment horizontal="left" wrapText="1"/>
    </xf>
    <xf numFmtId="40" fontId="0" fillId="0" borderId="0" xfId="1" applyNumberFormat="1" applyFont="1" applyBorder="1" applyAlignment="1">
      <alignment horizontal="center" vertical="center" shrinkToFit="1"/>
    </xf>
    <xf numFmtId="0" fontId="8" fillId="0" borderId="0" xfId="0" applyFont="1" applyAlignment="1">
      <alignment horizontal="center" vertical="center" shrinkToFit="1"/>
    </xf>
    <xf numFmtId="40" fontId="8" fillId="0" borderId="0" xfId="0" applyNumberFormat="1" applyFont="1" applyAlignment="1">
      <alignment horizontal="center" vertical="center" shrinkToFit="1"/>
    </xf>
    <xf numFmtId="4" fontId="33" fillId="0" borderId="7" xfId="1" applyNumberFormat="1" applyFont="1" applyBorder="1" applyAlignment="1">
      <alignment horizontal="center" shrinkToFit="1"/>
    </xf>
    <xf numFmtId="180" fontId="8" fillId="0" borderId="10" xfId="1" applyNumberFormat="1" applyFont="1" applyBorder="1" applyAlignment="1">
      <alignment horizontal="center"/>
    </xf>
    <xf numFmtId="180" fontId="8" fillId="0" borderId="11" xfId="1" applyNumberFormat="1" applyFont="1" applyBorder="1" applyAlignment="1">
      <alignment horizontal="center"/>
    </xf>
    <xf numFmtId="180" fontId="8" fillId="0" borderId="12" xfId="1" applyNumberFormat="1" applyFont="1" applyBorder="1" applyAlignment="1">
      <alignment horizontal="center"/>
    </xf>
    <xf numFmtId="9" fontId="0" fillId="0" borderId="10" xfId="2" applyFont="1" applyBorder="1" applyAlignment="1">
      <alignment horizontal="center"/>
    </xf>
    <xf numFmtId="9" fontId="0" fillId="0" borderId="11" xfId="2" applyFont="1" applyBorder="1" applyAlignment="1">
      <alignment horizontal="center"/>
    </xf>
    <xf numFmtId="9" fontId="0" fillId="0" borderId="12" xfId="2" applyFont="1" applyBorder="1" applyAlignment="1">
      <alignment horizontal="center"/>
    </xf>
    <xf numFmtId="40" fontId="0" fillId="0" borderId="7" xfId="1" applyNumberFormat="1" applyFont="1" applyBorder="1" applyAlignment="1">
      <alignment horizontal="center" vertical="top" wrapText="1"/>
    </xf>
    <xf numFmtId="177" fontId="26" fillId="0" borderId="0" xfId="1" applyNumberFormat="1" applyFont="1" applyBorder="1" applyAlignment="1">
      <alignment horizontal="right"/>
    </xf>
    <xf numFmtId="177" fontId="29" fillId="0" borderId="0" xfId="1" applyNumberFormat="1" applyFont="1" applyBorder="1" applyAlignment="1">
      <alignment horizontal="right"/>
    </xf>
    <xf numFmtId="177" fontId="0" fillId="0" borderId="20" xfId="1" applyNumberFormat="1" applyFont="1" applyBorder="1" applyAlignment="1">
      <alignment horizontal="center" vertical="center"/>
    </xf>
    <xf numFmtId="177" fontId="0" fillId="0" borderId="21" xfId="1" applyNumberFormat="1" applyFont="1" applyBorder="1" applyAlignment="1">
      <alignment horizontal="center" vertical="center"/>
    </xf>
    <xf numFmtId="2" fontId="0" fillId="0" borderId="22" xfId="0" applyNumberFormat="1" applyBorder="1" applyAlignment="1">
      <alignment horizontal="center" shrinkToFit="1"/>
    </xf>
    <xf numFmtId="40" fontId="0" fillId="0" borderId="21" xfId="1" applyNumberFormat="1" applyFont="1" applyBorder="1" applyAlignment="1">
      <alignment horizontal="center" shrinkToFit="1"/>
    </xf>
    <xf numFmtId="2" fontId="8" fillId="0" borderId="4" xfId="0" applyNumberFormat="1" applyFont="1" applyBorder="1" applyAlignment="1">
      <alignment horizontal="center" vertical="center"/>
    </xf>
    <xf numFmtId="2" fontId="8" fillId="0" borderId="5" xfId="0" applyNumberFormat="1" applyFont="1" applyBorder="1" applyAlignment="1">
      <alignment horizontal="center" vertical="center"/>
    </xf>
    <xf numFmtId="177" fontId="0" fillId="0" borderId="0" xfId="1" applyNumberFormat="1" applyFont="1" applyBorder="1" applyAlignment="1">
      <alignment horizontal="center" vertical="top" wrapText="1"/>
    </xf>
    <xf numFmtId="177" fontId="0" fillId="0" borderId="2" xfId="1" applyNumberFormat="1" applyFont="1" applyBorder="1" applyAlignment="1">
      <alignment horizontal="center" vertical="top" wrapText="1"/>
    </xf>
    <xf numFmtId="2" fontId="33" fillId="3" borderId="1" xfId="0" applyNumberFormat="1" applyFont="1" applyFill="1" applyBorder="1" applyAlignment="1">
      <alignment horizontal="center" vertical="center"/>
    </xf>
    <xf numFmtId="2" fontId="33" fillId="3" borderId="3" xfId="0" applyNumberFormat="1" applyFont="1" applyFill="1" applyBorder="1" applyAlignment="1">
      <alignment horizontal="center" vertical="center"/>
    </xf>
    <xf numFmtId="2" fontId="33" fillId="3" borderId="6" xfId="0" applyNumberFormat="1" applyFont="1" applyFill="1" applyBorder="1" applyAlignment="1">
      <alignment horizontal="center" vertical="center"/>
    </xf>
    <xf numFmtId="2" fontId="33" fillId="3" borderId="8" xfId="0" applyNumberFormat="1" applyFont="1" applyFill="1" applyBorder="1" applyAlignment="1">
      <alignment horizontal="center" vertical="center"/>
    </xf>
    <xf numFmtId="2" fontId="22" fillId="0" borderId="5" xfId="0" applyNumberFormat="1" applyFont="1" applyBorder="1" applyAlignment="1">
      <alignment horizontal="center"/>
    </xf>
    <xf numFmtId="2" fontId="0" fillId="3" borderId="2" xfId="0" applyNumberFormat="1" applyFill="1" applyBorder="1" applyAlignment="1">
      <alignment horizontal="center"/>
    </xf>
    <xf numFmtId="2" fontId="0" fillId="3" borderId="3" xfId="0" applyNumberFormat="1" applyFill="1" applyBorder="1" applyAlignment="1">
      <alignment horizontal="center"/>
    </xf>
    <xf numFmtId="178" fontId="0" fillId="0" borderId="0" xfId="0" applyNumberFormat="1" applyAlignment="1">
      <alignment horizontal="center" shrinkToFit="1"/>
    </xf>
    <xf numFmtId="184" fontId="0" fillId="0" borderId="0" xfId="0" applyNumberFormat="1" applyAlignment="1">
      <alignment horizont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40" fontId="0" fillId="0" borderId="2" xfId="0" applyNumberFormat="1" applyBorder="1" applyAlignment="1">
      <alignment horizontal="center"/>
    </xf>
    <xf numFmtId="0" fontId="0" fillId="2" borderId="0" xfId="0" applyFill="1" applyAlignment="1" applyProtection="1">
      <alignment horizontal="center"/>
      <protection locked="0"/>
    </xf>
    <xf numFmtId="183" fontId="0" fillId="0" borderId="10" xfId="0" applyNumberFormat="1" applyBorder="1" applyAlignment="1">
      <alignment horizontal="center"/>
    </xf>
    <xf numFmtId="183" fontId="0" fillId="0" borderId="11" xfId="0" applyNumberFormat="1" applyBorder="1" applyAlignment="1">
      <alignment horizontal="center"/>
    </xf>
    <xf numFmtId="183" fontId="0" fillId="0" borderId="12" xfId="0" applyNumberFormat="1" applyBorder="1" applyAlignment="1">
      <alignment horizontal="center"/>
    </xf>
    <xf numFmtId="183" fontId="0" fillId="0" borderId="0" xfId="0" applyNumberFormat="1" applyAlignment="1">
      <alignment horizontal="center"/>
    </xf>
    <xf numFmtId="38" fontId="0" fillId="0" borderId="0" xfId="0" applyNumberFormat="1" applyAlignment="1" applyProtection="1">
      <alignment horizontal="center"/>
      <protection locked="0"/>
    </xf>
    <xf numFmtId="38" fontId="0" fillId="0" borderId="0" xfId="0" applyNumberFormat="1" applyAlignment="1">
      <alignment horizontal="center" vertical="center"/>
    </xf>
    <xf numFmtId="38" fontId="0" fillId="0" borderId="0" xfId="0" applyNumberFormat="1" applyAlignment="1">
      <alignment horizontal="center" shrinkToFit="1"/>
    </xf>
    <xf numFmtId="0" fontId="0" fillId="0" borderId="0" xfId="0" applyAlignment="1">
      <alignment horizontal="center" shrinkToFit="1"/>
    </xf>
    <xf numFmtId="182" fontId="0" fillId="0" borderId="0" xfId="0" applyNumberFormat="1" applyAlignment="1">
      <alignment horizontal="center" shrinkToFit="1"/>
    </xf>
    <xf numFmtId="40" fontId="0" fillId="0" borderId="0" xfId="0" applyNumberFormat="1" applyAlignment="1">
      <alignment horizontal="center"/>
    </xf>
    <xf numFmtId="0" fontId="0" fillId="2" borderId="0" xfId="0" applyFill="1" applyAlignment="1">
      <alignment horizontal="center"/>
    </xf>
    <xf numFmtId="1" fontId="0" fillId="0" borderId="0" xfId="0" applyNumberFormat="1" applyAlignment="1">
      <alignment horizontal="center" shrinkToFit="1"/>
    </xf>
    <xf numFmtId="0" fontId="8" fillId="0" borderId="0" xfId="0" applyFont="1" applyAlignment="1">
      <alignment horizontal="center" vertical="center"/>
    </xf>
    <xf numFmtId="0" fontId="13" fillId="0" borderId="0" xfId="0" applyFont="1" applyAlignment="1">
      <alignment horizontal="center" vertical="center"/>
    </xf>
    <xf numFmtId="2" fontId="0" fillId="0" borderId="30" xfId="0" applyNumberFormat="1" applyBorder="1" applyAlignment="1">
      <alignment horizontal="center"/>
    </xf>
    <xf numFmtId="2" fontId="0" fillId="0" borderId="0" xfId="0" applyNumberFormat="1" applyAlignment="1">
      <alignment horizontal="left" vertical="center"/>
    </xf>
    <xf numFmtId="2" fontId="46" fillId="0" borderId="7" xfId="0" applyNumberFormat="1" applyFont="1" applyBorder="1" applyAlignment="1">
      <alignment horizontal="center"/>
    </xf>
    <xf numFmtId="2" fontId="46" fillId="0" borderId="8" xfId="0" applyNumberFormat="1" applyFont="1" applyBorder="1" applyAlignment="1">
      <alignment horizontal="center"/>
    </xf>
    <xf numFmtId="2" fontId="33" fillId="4" borderId="1" xfId="0" applyNumberFormat="1" applyFont="1" applyFill="1" applyBorder="1" applyAlignment="1">
      <alignment horizontal="center" vertical="center"/>
    </xf>
    <xf numFmtId="2" fontId="33" fillId="4" borderId="3" xfId="0" applyNumberFormat="1" applyFont="1" applyFill="1" applyBorder="1" applyAlignment="1">
      <alignment horizontal="center" vertical="center"/>
    </xf>
    <xf numFmtId="2" fontId="33" fillId="4" borderId="6" xfId="0" applyNumberFormat="1" applyFont="1" applyFill="1" applyBorder="1" applyAlignment="1">
      <alignment horizontal="center" vertical="center"/>
    </xf>
    <xf numFmtId="2" fontId="33" fillId="4" borderId="8" xfId="0" applyNumberFormat="1" applyFont="1" applyFill="1" applyBorder="1" applyAlignment="1">
      <alignment horizontal="center" vertical="center"/>
    </xf>
    <xf numFmtId="2" fontId="46" fillId="0" borderId="2" xfId="0" applyNumberFormat="1" applyFont="1" applyBorder="1" applyAlignment="1">
      <alignment horizontal="center"/>
    </xf>
    <xf numFmtId="2" fontId="46" fillId="0" borderId="3" xfId="0" applyNumberFormat="1" applyFont="1" applyBorder="1" applyAlignment="1">
      <alignment horizontal="center"/>
    </xf>
    <xf numFmtId="0" fontId="42" fillId="0" borderId="6" xfId="0" applyFont="1" applyBorder="1" applyAlignment="1">
      <alignment horizontal="center" shrinkToFit="1"/>
    </xf>
    <xf numFmtId="0" fontId="42" fillId="0" borderId="7" xfId="0" applyFont="1" applyBorder="1" applyAlignment="1">
      <alignment horizontal="center" shrinkToFit="1"/>
    </xf>
    <xf numFmtId="0" fontId="42" fillId="0" borderId="1" xfId="0" applyFont="1" applyBorder="1" applyAlignment="1">
      <alignment horizontal="center" shrinkToFit="1"/>
    </xf>
    <xf numFmtId="0" fontId="42" fillId="0" borderId="2" xfId="0" applyFont="1" applyBorder="1" applyAlignment="1">
      <alignment horizontal="center" shrinkToFit="1"/>
    </xf>
    <xf numFmtId="38" fontId="0" fillId="0" borderId="0" xfId="1" applyFont="1" applyFill="1" applyBorder="1" applyAlignment="1" applyProtection="1">
      <alignment horizontal="center"/>
      <protection locked="0"/>
    </xf>
    <xf numFmtId="0" fontId="7" fillId="0" borderId="7" xfId="0" applyFont="1" applyBorder="1" applyAlignment="1">
      <alignment horizontal="center"/>
    </xf>
    <xf numFmtId="182" fontId="0" fillId="0" borderId="0" xfId="1" applyNumberFormat="1" applyFont="1" applyFill="1" applyBorder="1" applyAlignment="1">
      <alignment horizontal="center"/>
    </xf>
    <xf numFmtId="38" fontId="0" fillId="0" borderId="0" xfId="1" applyFont="1" applyFill="1" applyBorder="1" applyAlignment="1">
      <alignment horizontal="center"/>
    </xf>
    <xf numFmtId="40" fontId="0" fillId="0" borderId="0" xfId="1" applyNumberFormat="1" applyFont="1" applyFill="1" applyBorder="1" applyAlignment="1" applyProtection="1">
      <alignment horizontal="center"/>
      <protection locked="0"/>
    </xf>
    <xf numFmtId="177" fontId="8" fillId="0" borderId="10" xfId="1" applyNumberFormat="1" applyFont="1" applyBorder="1" applyAlignment="1">
      <alignment horizontal="center"/>
    </xf>
    <xf numFmtId="177" fontId="8" fillId="0" borderId="11" xfId="1" applyNumberFormat="1" applyFont="1" applyBorder="1" applyAlignment="1">
      <alignment horizontal="center"/>
    </xf>
    <xf numFmtId="177" fontId="8" fillId="0" borderId="12" xfId="1" applyNumberFormat="1" applyFont="1" applyBorder="1" applyAlignment="1">
      <alignment horizontal="center"/>
    </xf>
    <xf numFmtId="177" fontId="25" fillId="0" borderId="0" xfId="1" applyNumberFormat="1" applyFont="1" applyBorder="1" applyAlignment="1">
      <alignment horizontal="center" vertical="center"/>
    </xf>
    <xf numFmtId="40" fontId="8" fillId="0" borderId="0" xfId="1" applyNumberFormat="1" applyFont="1" applyBorder="1" applyAlignment="1">
      <alignment horizontal="center"/>
    </xf>
    <xf numFmtId="40" fontId="8" fillId="0" borderId="10" xfId="1" applyNumberFormat="1" applyFont="1" applyBorder="1" applyAlignment="1">
      <alignment horizontal="center"/>
    </xf>
    <xf numFmtId="40" fontId="8" fillId="0" borderId="12" xfId="1" applyNumberFormat="1" applyFont="1" applyBorder="1" applyAlignment="1">
      <alignment horizontal="center"/>
    </xf>
    <xf numFmtId="177" fontId="7" fillId="0" borderId="1" xfId="1" applyNumberFormat="1" applyFont="1" applyBorder="1" applyAlignment="1">
      <alignment horizontal="right"/>
    </xf>
    <xf numFmtId="177" fontId="7" fillId="0" borderId="2" xfId="1" applyNumberFormat="1" applyFont="1" applyBorder="1" applyAlignment="1">
      <alignment horizontal="right"/>
    </xf>
    <xf numFmtId="177" fontId="7" fillId="0" borderId="2" xfId="1" applyNumberFormat="1" applyFont="1" applyBorder="1" applyAlignment="1">
      <alignment horizontal="left"/>
    </xf>
    <xf numFmtId="177" fontId="7" fillId="0" borderId="0" xfId="1" applyNumberFormat="1" applyFont="1" applyBorder="1" applyAlignment="1">
      <alignment horizontal="right"/>
    </xf>
    <xf numFmtId="38" fontId="0" fillId="0" borderId="10" xfId="1" applyFont="1" applyBorder="1" applyAlignment="1">
      <alignment horizontal="center" shrinkToFit="1"/>
    </xf>
    <xf numFmtId="38" fontId="0" fillId="0" borderId="12" xfId="1" applyFont="1" applyBorder="1" applyAlignment="1">
      <alignment horizontal="center" shrinkToFit="1"/>
    </xf>
    <xf numFmtId="177" fontId="0" fillId="0" borderId="2" xfId="1" applyNumberFormat="1" applyFont="1" applyBorder="1" applyAlignment="1">
      <alignment horizontal="left" shrinkToFit="1"/>
    </xf>
    <xf numFmtId="177" fontId="0" fillId="0" borderId="3" xfId="1" applyNumberFormat="1" applyFont="1" applyBorder="1" applyAlignment="1">
      <alignment horizontal="left" shrinkToFit="1"/>
    </xf>
    <xf numFmtId="177" fontId="0" fillId="0" borderId="5" xfId="1" applyNumberFormat="1" applyFont="1" applyBorder="1" applyAlignment="1">
      <alignment horizontal="left" shrinkToFit="1"/>
    </xf>
    <xf numFmtId="177" fontId="7" fillId="0" borderId="0" xfId="1" applyNumberFormat="1" applyFont="1" applyBorder="1" applyAlignment="1">
      <alignment horizontal="right" vertical="center"/>
    </xf>
    <xf numFmtId="177" fontId="7" fillId="0" borderId="7" xfId="1" applyNumberFormat="1" applyFont="1" applyBorder="1" applyAlignment="1">
      <alignment horizontal="center" vertical="center"/>
    </xf>
    <xf numFmtId="38" fontId="0" fillId="0" borderId="7" xfId="1" applyFont="1" applyBorder="1" applyAlignment="1">
      <alignment horizontal="center" shrinkToFit="1"/>
    </xf>
    <xf numFmtId="38" fontId="0" fillId="0" borderId="2" xfId="1" applyFont="1" applyBorder="1" applyAlignment="1">
      <alignment horizontal="center" shrinkToFit="1"/>
    </xf>
    <xf numFmtId="38" fontId="0" fillId="0" borderId="0" xfId="1" applyFont="1" applyBorder="1" applyAlignment="1">
      <alignment horizontal="center" shrinkToFit="1"/>
    </xf>
    <xf numFmtId="38" fontId="8" fillId="0" borderId="2" xfId="1" applyFont="1" applyBorder="1" applyAlignment="1">
      <alignment horizontal="center"/>
    </xf>
    <xf numFmtId="177" fontId="7" fillId="0" borderId="0" xfId="1" applyNumberFormat="1" applyFont="1" applyBorder="1" applyAlignment="1">
      <alignment horizontal="center" vertical="center" wrapText="1"/>
    </xf>
    <xf numFmtId="40" fontId="0" fillId="0" borderId="0" xfId="1" applyNumberFormat="1" applyFont="1" applyBorder="1" applyAlignment="1">
      <alignment horizontal="center" vertical="top" wrapText="1"/>
    </xf>
    <xf numFmtId="38" fontId="0" fillId="0" borderId="0" xfId="1" applyFont="1" applyBorder="1" applyAlignment="1">
      <alignment horizontal="center" vertical="top" wrapText="1"/>
    </xf>
    <xf numFmtId="40" fontId="0" fillId="0" borderId="10" xfId="1" applyNumberFormat="1" applyFont="1" applyBorder="1" applyAlignment="1">
      <alignment horizontal="center" vertical="top" wrapText="1"/>
    </xf>
    <xf numFmtId="40" fontId="0" fillId="0" borderId="11" xfId="1" applyNumberFormat="1" applyFont="1" applyBorder="1" applyAlignment="1">
      <alignment horizontal="center" vertical="top" wrapText="1"/>
    </xf>
    <xf numFmtId="40" fontId="0" fillId="0" borderId="12" xfId="1" applyNumberFormat="1" applyFont="1" applyBorder="1" applyAlignment="1">
      <alignment horizontal="center" vertical="top" wrapText="1"/>
    </xf>
    <xf numFmtId="40" fontId="8" fillId="0" borderId="7" xfId="1" applyNumberFormat="1" applyFont="1" applyBorder="1" applyAlignment="1">
      <alignment horizontal="right" shrinkToFit="1"/>
    </xf>
    <xf numFmtId="177" fontId="0" fillId="0" borderId="0" xfId="1" applyNumberFormat="1" applyFont="1" applyBorder="1" applyAlignment="1">
      <alignment horizontal="center" vertical="center" wrapText="1"/>
    </xf>
    <xf numFmtId="40" fontId="0" fillId="0" borderId="0" xfId="1" applyNumberFormat="1" applyFont="1" applyBorder="1" applyAlignment="1">
      <alignment horizontal="center" vertical="center" wrapText="1"/>
    </xf>
    <xf numFmtId="177" fontId="0" fillId="0" borderId="4" xfId="1" applyNumberFormat="1" applyFont="1" applyBorder="1" applyAlignment="1">
      <alignment horizontal="left" vertical="center"/>
    </xf>
    <xf numFmtId="177" fontId="0" fillId="0" borderId="0" xfId="1" applyNumberFormat="1" applyFont="1" applyBorder="1" applyAlignment="1">
      <alignment horizontal="left" vertical="center"/>
    </xf>
    <xf numFmtId="2" fontId="0" fillId="0" borderId="8" xfId="0" applyNumberFormat="1" applyBorder="1" applyAlignment="1">
      <alignment horizontal="center" shrinkToFit="1"/>
    </xf>
    <xf numFmtId="177" fontId="0" fillId="0" borderId="0" xfId="1" applyNumberFormat="1" applyFont="1" applyAlignment="1">
      <alignment horizontal="center" vertical="center"/>
    </xf>
    <xf numFmtId="38" fontId="0" fillId="0" borderId="0" xfId="1" applyFont="1" applyAlignment="1">
      <alignment horizontal="center" vertical="center"/>
    </xf>
    <xf numFmtId="177" fontId="8" fillId="0" borderId="10" xfId="1" applyNumberFormat="1" applyFont="1" applyBorder="1" applyAlignment="1">
      <alignment horizontal="center" shrinkToFit="1"/>
    </xf>
    <xf numFmtId="177" fontId="8" fillId="0" borderId="11" xfId="1" applyNumberFormat="1" applyFont="1" applyBorder="1" applyAlignment="1">
      <alignment horizontal="center" shrinkToFit="1"/>
    </xf>
    <xf numFmtId="177" fontId="8" fillId="0" borderId="12" xfId="1" applyNumberFormat="1" applyFont="1" applyBorder="1" applyAlignment="1">
      <alignment horizontal="center" shrinkToFit="1"/>
    </xf>
    <xf numFmtId="38" fontId="8" fillId="0" borderId="0" xfId="1" applyFont="1" applyBorder="1" applyAlignment="1">
      <alignment horizontal="center"/>
    </xf>
    <xf numFmtId="38" fontId="8" fillId="0" borderId="7" xfId="1" applyFont="1" applyBorder="1" applyAlignment="1">
      <alignment horizontal="center"/>
    </xf>
    <xf numFmtId="38" fontId="8" fillId="0" borderId="0" xfId="1" applyFont="1" applyBorder="1" applyAlignment="1">
      <alignment horizontal="center" shrinkToFit="1"/>
    </xf>
    <xf numFmtId="177" fontId="8" fillId="0" borderId="0" xfId="1" applyNumberFormat="1" applyFont="1" applyFill="1" applyBorder="1" applyAlignment="1">
      <alignment horizontal="center" shrinkToFit="1"/>
    </xf>
    <xf numFmtId="177" fontId="7" fillId="0" borderId="0" xfId="1" applyNumberFormat="1" applyFont="1" applyBorder="1" applyAlignment="1">
      <alignment horizontal="right" shrinkToFit="1"/>
    </xf>
    <xf numFmtId="177" fontId="0" fillId="0" borderId="1" xfId="1" applyNumberFormat="1" applyFont="1" applyFill="1" applyBorder="1" applyAlignment="1">
      <alignment horizontal="left" vertical="top" wrapText="1"/>
    </xf>
    <xf numFmtId="177" fontId="0" fillId="0" borderId="2" xfId="1" applyNumberFormat="1" applyFont="1" applyFill="1" applyBorder="1" applyAlignment="1">
      <alignment horizontal="left" vertical="top" wrapText="1"/>
    </xf>
    <xf numFmtId="177" fontId="0" fillId="0" borderId="3" xfId="1" applyNumberFormat="1" applyFont="1" applyFill="1" applyBorder="1" applyAlignment="1">
      <alignment horizontal="left" vertical="top" wrapText="1"/>
    </xf>
    <xf numFmtId="177" fontId="0" fillId="0" borderId="4" xfId="1" applyNumberFormat="1" applyFont="1" applyFill="1" applyBorder="1" applyAlignment="1">
      <alignment horizontal="left" vertical="top" wrapText="1"/>
    </xf>
    <xf numFmtId="177" fontId="0" fillId="0" borderId="0" xfId="1" applyNumberFormat="1" applyFont="1" applyFill="1" applyBorder="1" applyAlignment="1">
      <alignment horizontal="left" vertical="top" wrapText="1"/>
    </xf>
    <xf numFmtId="177" fontId="0" fillId="0" borderId="5" xfId="1" applyNumberFormat="1" applyFont="1" applyFill="1" applyBorder="1" applyAlignment="1">
      <alignment horizontal="left" vertical="top" wrapText="1"/>
    </xf>
    <xf numFmtId="40" fontId="0" fillId="0" borderId="9" xfId="1" applyNumberFormat="1" applyFont="1" applyBorder="1" applyAlignment="1">
      <alignment horizontal="center" vertical="center"/>
    </xf>
    <xf numFmtId="40" fontId="0" fillId="0" borderId="12" xfId="1" applyNumberFormat="1" applyFont="1" applyFill="1" applyBorder="1" applyAlignment="1">
      <alignment horizontal="center" shrinkToFit="1"/>
    </xf>
    <xf numFmtId="177" fontId="38" fillId="0" borderId="0" xfId="1" applyNumberFormat="1" applyFont="1" applyBorder="1" applyAlignment="1">
      <alignment horizontal="center" vertical="center"/>
    </xf>
    <xf numFmtId="177" fontId="8" fillId="0" borderId="0" xfId="1" applyNumberFormat="1" applyFont="1" applyFill="1" applyBorder="1" applyAlignment="1">
      <alignment horizontal="center"/>
    </xf>
    <xf numFmtId="40" fontId="0" fillId="0" borderId="0" xfId="1" applyNumberFormat="1" applyFont="1" applyFill="1" applyBorder="1" applyAlignment="1">
      <alignment horizontal="center" vertical="top" wrapText="1"/>
    </xf>
    <xf numFmtId="177" fontId="0" fillId="0" borderId="0" xfId="1" applyNumberFormat="1" applyFont="1" applyFill="1" applyBorder="1" applyAlignment="1">
      <alignment horizontal="left" shrinkToFit="1"/>
    </xf>
    <xf numFmtId="38" fontId="0" fillId="0" borderId="0" xfId="1" applyFont="1" applyAlignment="1">
      <alignment horizontal="center"/>
    </xf>
    <xf numFmtId="38" fontId="0" fillId="0" borderId="0" xfId="1" applyFont="1" applyBorder="1" applyAlignment="1">
      <alignment horizontal="center" vertical="center"/>
    </xf>
    <xf numFmtId="38" fontId="0" fillId="0" borderId="3" xfId="1" applyFont="1" applyBorder="1" applyAlignment="1">
      <alignment horizontal="center"/>
    </xf>
    <xf numFmtId="177" fontId="7" fillId="0" borderId="0" xfId="1" applyNumberFormat="1" applyFont="1" applyBorder="1" applyAlignment="1">
      <alignment horizontal="center" shrinkToFit="1"/>
    </xf>
    <xf numFmtId="177" fontId="7" fillId="0" borderId="0" xfId="1" applyNumberFormat="1" applyFont="1" applyBorder="1" applyAlignment="1">
      <alignment horizontal="left" shrinkToFit="1"/>
    </xf>
    <xf numFmtId="38" fontId="8" fillId="0" borderId="0" xfId="1" applyFont="1" applyFill="1" applyBorder="1" applyAlignment="1">
      <alignment horizontal="center"/>
    </xf>
    <xf numFmtId="40" fontId="8" fillId="0" borderId="0" xfId="1" applyNumberFormat="1" applyFont="1" applyFill="1" applyBorder="1" applyAlignment="1">
      <alignment horizontal="center"/>
    </xf>
    <xf numFmtId="38" fontId="0" fillId="0" borderId="2" xfId="1" applyFont="1" applyFill="1" applyBorder="1" applyAlignment="1">
      <alignment horizontal="center" shrinkToFit="1"/>
    </xf>
    <xf numFmtId="40" fontId="0" fillId="0" borderId="2" xfId="1" applyNumberFormat="1" applyFont="1" applyFill="1" applyBorder="1" applyAlignment="1">
      <alignment horizontal="center"/>
    </xf>
    <xf numFmtId="177" fontId="0" fillId="0" borderId="0" xfId="1" applyNumberFormat="1" applyFont="1" applyFill="1" applyBorder="1" applyAlignment="1">
      <alignment horizontal="center" vertical="center"/>
    </xf>
    <xf numFmtId="38" fontId="8" fillId="0" borderId="2" xfId="1" applyFont="1" applyFill="1" applyBorder="1" applyAlignment="1">
      <alignment horizontal="center"/>
    </xf>
    <xf numFmtId="177" fontId="25" fillId="0" borderId="0" xfId="1" applyNumberFormat="1" applyFont="1" applyFill="1" applyBorder="1" applyAlignment="1">
      <alignment horizontal="center" vertical="center"/>
    </xf>
    <xf numFmtId="177" fontId="15" fillId="0" borderId="0" xfId="1" applyNumberFormat="1" applyFont="1" applyFill="1" applyBorder="1" applyAlignment="1">
      <alignment horizontal="center" vertical="center"/>
    </xf>
    <xf numFmtId="177" fontId="6" fillId="0" borderId="0" xfId="1" applyNumberFormat="1" applyFont="1" applyFill="1" applyBorder="1" applyAlignment="1">
      <alignment horizontal="center" vertical="center"/>
    </xf>
    <xf numFmtId="177" fontId="0" fillId="0" borderId="7" xfId="1" applyNumberFormat="1" applyFont="1" applyBorder="1" applyAlignment="1">
      <alignment horizontal="center" vertical="top" wrapText="1"/>
    </xf>
    <xf numFmtId="177" fontId="7" fillId="0" borderId="0" xfId="1" applyNumberFormat="1" applyFont="1" applyBorder="1" applyAlignment="1">
      <alignment horizontal="center" vertical="top" wrapText="1"/>
    </xf>
    <xf numFmtId="40" fontId="0" fillId="0" borderId="0" xfId="1" applyNumberFormat="1" applyFont="1" applyBorder="1" applyAlignment="1">
      <alignment horizontal="center" vertical="center"/>
    </xf>
    <xf numFmtId="177" fontId="7" fillId="0" borderId="10" xfId="1" applyNumberFormat="1" applyFont="1" applyBorder="1" applyAlignment="1">
      <alignment horizontal="center" vertical="center"/>
    </xf>
    <xf numFmtId="177" fontId="7" fillId="0" borderId="11" xfId="1" applyNumberFormat="1" applyFont="1" applyBorder="1" applyAlignment="1">
      <alignment horizontal="center" vertical="center"/>
    </xf>
    <xf numFmtId="38" fontId="0" fillId="0" borderId="10" xfId="1" applyFont="1" applyBorder="1" applyAlignment="1">
      <alignment horizontal="center" vertical="top" wrapText="1"/>
    </xf>
    <xf numFmtId="38" fontId="0" fillId="0" borderId="11" xfId="1" applyFont="1" applyBorder="1" applyAlignment="1">
      <alignment horizontal="center" vertical="top" wrapText="1"/>
    </xf>
    <xf numFmtId="38" fontId="0" fillId="0" borderId="12" xfId="1" applyFont="1" applyBorder="1" applyAlignment="1">
      <alignment horizontal="center" vertical="top" wrapText="1"/>
    </xf>
    <xf numFmtId="177" fontId="7" fillId="0" borderId="10" xfId="1" applyNumberFormat="1" applyFont="1" applyBorder="1" applyAlignment="1">
      <alignment horizontal="center"/>
    </xf>
    <xf numFmtId="177" fontId="7" fillId="0" borderId="11" xfId="1" applyNumberFormat="1" applyFont="1" applyBorder="1" applyAlignment="1">
      <alignment horizontal="center"/>
    </xf>
    <xf numFmtId="177" fontId="0" fillId="0" borderId="0" xfId="1" applyNumberFormat="1" applyFont="1" applyAlignment="1">
      <alignment horizontal="center"/>
    </xf>
    <xf numFmtId="177" fontId="0" fillId="0" borderId="0" xfId="1" applyNumberFormat="1" applyFont="1" applyBorder="1" applyAlignment="1">
      <alignment horizontal="left"/>
    </xf>
  </cellXfs>
  <cellStyles count="4">
    <cellStyle name="パーセント" xfId="2" builtinId="5"/>
    <cellStyle name="ハイパーリンク" xfId="3" builtinId="8"/>
    <cellStyle name="桁区切り" xfId="1" builtinId="6"/>
    <cellStyle name="標準" xfId="0" builtinId="0"/>
  </cellStyles>
  <dxfs count="27">
    <dxf>
      <font>
        <color rgb="FF9C0006"/>
      </font>
      <fill>
        <patternFill>
          <bgColor rgb="FFFFC7CE"/>
        </patternFill>
      </fill>
    </dxf>
    <dxf>
      <font>
        <color rgb="FF9C0006"/>
      </font>
      <fill>
        <patternFill>
          <bgColor rgb="FFFFC7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8998</xdr:colOff>
      <xdr:row>106</xdr:row>
      <xdr:rowOff>150702</xdr:rowOff>
    </xdr:from>
    <xdr:to>
      <xdr:col>31</xdr:col>
      <xdr:colOff>95745</xdr:colOff>
      <xdr:row>106</xdr:row>
      <xdr:rowOff>150702</xdr:rowOff>
    </xdr:to>
    <xdr:cxnSp macro="">
      <xdr:nvCxnSpPr>
        <xdr:cNvPr id="2" name="直線コネクタ 1">
          <a:extLst>
            <a:ext uri="{FF2B5EF4-FFF2-40B4-BE49-F238E27FC236}">
              <a16:creationId xmlns:a16="http://schemas.microsoft.com/office/drawing/2014/main" id="{74522F57-4AFF-4FD3-8395-7B15C2897C8B}"/>
            </a:ext>
          </a:extLst>
        </xdr:cNvPr>
        <xdr:cNvCxnSpPr/>
      </xdr:nvCxnSpPr>
      <xdr:spPr>
        <a:xfrm>
          <a:off x="6254677" y="17867202"/>
          <a:ext cx="101203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8998</xdr:colOff>
      <xdr:row>110</xdr:row>
      <xdr:rowOff>132555</xdr:rowOff>
    </xdr:from>
    <xdr:to>
      <xdr:col>31</xdr:col>
      <xdr:colOff>98126</xdr:colOff>
      <xdr:row>110</xdr:row>
      <xdr:rowOff>132555</xdr:rowOff>
    </xdr:to>
    <xdr:cxnSp macro="">
      <xdr:nvCxnSpPr>
        <xdr:cNvPr id="3" name="直線コネクタ 2">
          <a:extLst>
            <a:ext uri="{FF2B5EF4-FFF2-40B4-BE49-F238E27FC236}">
              <a16:creationId xmlns:a16="http://schemas.microsoft.com/office/drawing/2014/main" id="{BCB1454C-B680-48D3-A06B-8A7014789DFB}"/>
            </a:ext>
          </a:extLst>
        </xdr:cNvPr>
        <xdr:cNvCxnSpPr/>
      </xdr:nvCxnSpPr>
      <xdr:spPr>
        <a:xfrm>
          <a:off x="6254677" y="18828769"/>
          <a:ext cx="101441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8998</xdr:colOff>
      <xdr:row>107</xdr:row>
      <xdr:rowOff>36197</xdr:rowOff>
    </xdr:from>
    <xdr:to>
      <xdr:col>28</xdr:col>
      <xdr:colOff>195066</xdr:colOff>
      <xdr:row>107</xdr:row>
      <xdr:rowOff>37112</xdr:rowOff>
    </xdr:to>
    <xdr:cxnSp macro="">
      <xdr:nvCxnSpPr>
        <xdr:cNvPr id="4" name="直線コネクタ 3">
          <a:extLst>
            <a:ext uri="{FF2B5EF4-FFF2-40B4-BE49-F238E27FC236}">
              <a16:creationId xmlns:a16="http://schemas.microsoft.com/office/drawing/2014/main" id="{89FC5744-CDE1-47B0-9FF1-9D7F5518FBF7}"/>
            </a:ext>
          </a:extLst>
        </xdr:cNvPr>
        <xdr:cNvCxnSpPr>
          <a:endCxn id="14" idx="0"/>
        </xdr:cNvCxnSpPr>
      </xdr:nvCxnSpPr>
      <xdr:spPr>
        <a:xfrm flipV="1">
          <a:off x="6254677" y="17997626"/>
          <a:ext cx="417389" cy="9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8998</xdr:colOff>
      <xdr:row>110</xdr:row>
      <xdr:rowOff>5397</xdr:rowOff>
    </xdr:from>
    <xdr:to>
      <xdr:col>28</xdr:col>
      <xdr:colOff>194396</xdr:colOff>
      <xdr:row>110</xdr:row>
      <xdr:rowOff>5397</xdr:rowOff>
    </xdr:to>
    <xdr:cxnSp macro="">
      <xdr:nvCxnSpPr>
        <xdr:cNvPr id="5" name="直線コネクタ 4">
          <a:extLst>
            <a:ext uri="{FF2B5EF4-FFF2-40B4-BE49-F238E27FC236}">
              <a16:creationId xmlns:a16="http://schemas.microsoft.com/office/drawing/2014/main" id="{2D383B96-F5DC-4970-9BA0-3D096C8D17B2}"/>
            </a:ext>
          </a:extLst>
        </xdr:cNvPr>
        <xdr:cNvCxnSpPr/>
      </xdr:nvCxnSpPr>
      <xdr:spPr>
        <a:xfrm>
          <a:off x="6254677" y="18701611"/>
          <a:ext cx="41671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139969</xdr:colOff>
      <xdr:row>107</xdr:row>
      <xdr:rowOff>37112</xdr:rowOff>
    </xdr:from>
    <xdr:to>
      <xdr:col>31</xdr:col>
      <xdr:colOff>98126</xdr:colOff>
      <xdr:row>107</xdr:row>
      <xdr:rowOff>37112</xdr:rowOff>
    </xdr:to>
    <xdr:cxnSp macro="">
      <xdr:nvCxnSpPr>
        <xdr:cNvPr id="6" name="直線コネクタ 5">
          <a:extLst>
            <a:ext uri="{FF2B5EF4-FFF2-40B4-BE49-F238E27FC236}">
              <a16:creationId xmlns:a16="http://schemas.microsoft.com/office/drawing/2014/main" id="{17B16E94-E7E1-4ECC-B332-982EE54961CB}"/>
            </a:ext>
          </a:extLst>
        </xdr:cNvPr>
        <xdr:cNvCxnSpPr/>
      </xdr:nvCxnSpPr>
      <xdr:spPr>
        <a:xfrm>
          <a:off x="6848290" y="17998541"/>
          <a:ext cx="4208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142350</xdr:colOff>
      <xdr:row>110</xdr:row>
      <xdr:rowOff>5397</xdr:rowOff>
    </xdr:from>
    <xdr:to>
      <xdr:col>31</xdr:col>
      <xdr:colOff>95745</xdr:colOff>
      <xdr:row>110</xdr:row>
      <xdr:rowOff>5397</xdr:rowOff>
    </xdr:to>
    <xdr:cxnSp macro="">
      <xdr:nvCxnSpPr>
        <xdr:cNvPr id="7" name="直線コネクタ 6">
          <a:extLst>
            <a:ext uri="{FF2B5EF4-FFF2-40B4-BE49-F238E27FC236}">
              <a16:creationId xmlns:a16="http://schemas.microsoft.com/office/drawing/2014/main" id="{20CD5770-E183-4195-BC7C-518FB3126287}"/>
            </a:ext>
          </a:extLst>
        </xdr:cNvPr>
        <xdr:cNvCxnSpPr/>
      </xdr:nvCxnSpPr>
      <xdr:spPr>
        <a:xfrm>
          <a:off x="6850671" y="18701611"/>
          <a:ext cx="41603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12534</xdr:colOff>
      <xdr:row>107</xdr:row>
      <xdr:rowOff>81988</xdr:rowOff>
    </xdr:from>
    <xdr:to>
      <xdr:col>29</xdr:col>
      <xdr:colOff>12534</xdr:colOff>
      <xdr:row>109</xdr:row>
      <xdr:rowOff>201729</xdr:rowOff>
    </xdr:to>
    <xdr:cxnSp macro="">
      <xdr:nvCxnSpPr>
        <xdr:cNvPr id="8" name="直線コネクタ 7">
          <a:extLst>
            <a:ext uri="{FF2B5EF4-FFF2-40B4-BE49-F238E27FC236}">
              <a16:creationId xmlns:a16="http://schemas.microsoft.com/office/drawing/2014/main" id="{AC5F8634-E046-4689-9E84-851AA31F0989}"/>
            </a:ext>
          </a:extLst>
        </xdr:cNvPr>
        <xdr:cNvCxnSpPr/>
      </xdr:nvCxnSpPr>
      <xdr:spPr>
        <a:xfrm>
          <a:off x="6720855" y="18043417"/>
          <a:ext cx="0" cy="6095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89185</xdr:colOff>
      <xdr:row>107</xdr:row>
      <xdr:rowOff>83780</xdr:rowOff>
    </xdr:from>
    <xdr:to>
      <xdr:col>29</xdr:col>
      <xdr:colOff>89185</xdr:colOff>
      <xdr:row>109</xdr:row>
      <xdr:rowOff>201729</xdr:rowOff>
    </xdr:to>
    <xdr:cxnSp macro="">
      <xdr:nvCxnSpPr>
        <xdr:cNvPr id="9" name="直線コネクタ 8">
          <a:extLst>
            <a:ext uri="{FF2B5EF4-FFF2-40B4-BE49-F238E27FC236}">
              <a16:creationId xmlns:a16="http://schemas.microsoft.com/office/drawing/2014/main" id="{9B185037-A270-43DE-93B8-F0AEB674452C}"/>
            </a:ext>
          </a:extLst>
        </xdr:cNvPr>
        <xdr:cNvCxnSpPr/>
      </xdr:nvCxnSpPr>
      <xdr:spPr>
        <a:xfrm>
          <a:off x="6797506" y="18045209"/>
          <a:ext cx="0" cy="6078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7148</xdr:colOff>
      <xdr:row>106</xdr:row>
      <xdr:rowOff>138824</xdr:rowOff>
    </xdr:from>
    <xdr:to>
      <xdr:col>27</xdr:col>
      <xdr:colOff>7148</xdr:colOff>
      <xdr:row>107</xdr:row>
      <xdr:rowOff>36801</xdr:rowOff>
    </xdr:to>
    <xdr:cxnSp macro="">
      <xdr:nvCxnSpPr>
        <xdr:cNvPr id="10" name="直線コネクタ 9">
          <a:extLst>
            <a:ext uri="{FF2B5EF4-FFF2-40B4-BE49-F238E27FC236}">
              <a16:creationId xmlns:a16="http://schemas.microsoft.com/office/drawing/2014/main" id="{1A21AB1E-A76C-45BA-8081-41406DDE42F0}"/>
            </a:ext>
          </a:extLst>
        </xdr:cNvPr>
        <xdr:cNvCxnSpPr/>
      </xdr:nvCxnSpPr>
      <xdr:spPr>
        <a:xfrm>
          <a:off x="6252827" y="17855324"/>
          <a:ext cx="0" cy="1429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11983</xdr:colOff>
      <xdr:row>110</xdr:row>
      <xdr:rowOff>1924</xdr:rowOff>
    </xdr:from>
    <xdr:to>
      <xdr:col>27</xdr:col>
      <xdr:colOff>11983</xdr:colOff>
      <xdr:row>110</xdr:row>
      <xdr:rowOff>124794</xdr:rowOff>
    </xdr:to>
    <xdr:cxnSp macro="">
      <xdr:nvCxnSpPr>
        <xdr:cNvPr id="11" name="直線コネクタ 10">
          <a:extLst>
            <a:ext uri="{FF2B5EF4-FFF2-40B4-BE49-F238E27FC236}">
              <a16:creationId xmlns:a16="http://schemas.microsoft.com/office/drawing/2014/main" id="{F6A8C805-B6EB-4C25-B5CC-81B30B815B7E}"/>
            </a:ext>
          </a:extLst>
        </xdr:cNvPr>
        <xdr:cNvCxnSpPr/>
      </xdr:nvCxnSpPr>
      <xdr:spPr>
        <a:xfrm>
          <a:off x="6257662" y="18698138"/>
          <a:ext cx="0" cy="12287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96744</xdr:colOff>
      <xdr:row>106</xdr:row>
      <xdr:rowOff>138824</xdr:rowOff>
    </xdr:from>
    <xdr:to>
      <xdr:col>31</xdr:col>
      <xdr:colOff>96744</xdr:colOff>
      <xdr:row>107</xdr:row>
      <xdr:rowOff>36801</xdr:rowOff>
    </xdr:to>
    <xdr:cxnSp macro="">
      <xdr:nvCxnSpPr>
        <xdr:cNvPr id="12" name="直線コネクタ 11">
          <a:extLst>
            <a:ext uri="{FF2B5EF4-FFF2-40B4-BE49-F238E27FC236}">
              <a16:creationId xmlns:a16="http://schemas.microsoft.com/office/drawing/2014/main" id="{6763B37F-5BD4-4086-B3C7-F97D5A3F4E10}"/>
            </a:ext>
          </a:extLst>
        </xdr:cNvPr>
        <xdr:cNvCxnSpPr/>
      </xdr:nvCxnSpPr>
      <xdr:spPr>
        <a:xfrm>
          <a:off x="7267708" y="17855324"/>
          <a:ext cx="0" cy="1429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96214</xdr:colOff>
      <xdr:row>110</xdr:row>
      <xdr:rowOff>1924</xdr:rowOff>
    </xdr:from>
    <xdr:to>
      <xdr:col>31</xdr:col>
      <xdr:colOff>96214</xdr:colOff>
      <xdr:row>110</xdr:row>
      <xdr:rowOff>124794</xdr:rowOff>
    </xdr:to>
    <xdr:cxnSp macro="">
      <xdr:nvCxnSpPr>
        <xdr:cNvPr id="13" name="直線コネクタ 12">
          <a:extLst>
            <a:ext uri="{FF2B5EF4-FFF2-40B4-BE49-F238E27FC236}">
              <a16:creationId xmlns:a16="http://schemas.microsoft.com/office/drawing/2014/main" id="{FE78B1D3-019D-4A72-BFD7-19DEB79099A2}"/>
            </a:ext>
          </a:extLst>
        </xdr:cNvPr>
        <xdr:cNvCxnSpPr/>
      </xdr:nvCxnSpPr>
      <xdr:spPr>
        <a:xfrm>
          <a:off x="7267178" y="18698138"/>
          <a:ext cx="0" cy="12287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143819</xdr:colOff>
      <xdr:row>107</xdr:row>
      <xdr:rowOff>36197</xdr:rowOff>
    </xdr:from>
    <xdr:to>
      <xdr:col>29</xdr:col>
      <xdr:colOff>12611</xdr:colOff>
      <xdr:row>107</xdr:row>
      <xdr:rowOff>136083</xdr:rowOff>
    </xdr:to>
    <xdr:sp macro="" textlink="">
      <xdr:nvSpPr>
        <xdr:cNvPr id="14" name="円弧 13">
          <a:extLst>
            <a:ext uri="{FF2B5EF4-FFF2-40B4-BE49-F238E27FC236}">
              <a16:creationId xmlns:a16="http://schemas.microsoft.com/office/drawing/2014/main" id="{CAE7DA89-97C0-47C6-AB81-505CE85BCB63}"/>
            </a:ext>
          </a:extLst>
        </xdr:cNvPr>
        <xdr:cNvSpPr/>
      </xdr:nvSpPr>
      <xdr:spPr>
        <a:xfrm>
          <a:off x="6620819" y="17997626"/>
          <a:ext cx="100113" cy="99886"/>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88814</xdr:colOff>
      <xdr:row>107</xdr:row>
      <xdr:rowOff>31002</xdr:rowOff>
    </xdr:from>
    <xdr:to>
      <xdr:col>29</xdr:col>
      <xdr:colOff>191678</xdr:colOff>
      <xdr:row>107</xdr:row>
      <xdr:rowOff>140413</xdr:rowOff>
    </xdr:to>
    <xdr:sp macro="" textlink="">
      <xdr:nvSpPr>
        <xdr:cNvPr id="15" name="円弧 14">
          <a:extLst>
            <a:ext uri="{FF2B5EF4-FFF2-40B4-BE49-F238E27FC236}">
              <a16:creationId xmlns:a16="http://schemas.microsoft.com/office/drawing/2014/main" id="{53963B9F-C8FC-4536-80CB-4B688080451C}"/>
            </a:ext>
          </a:extLst>
        </xdr:cNvPr>
        <xdr:cNvSpPr/>
      </xdr:nvSpPr>
      <xdr:spPr>
        <a:xfrm flipH="1">
          <a:off x="6797135" y="17992431"/>
          <a:ext cx="102864" cy="109411"/>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88809</xdr:colOff>
      <xdr:row>109</xdr:row>
      <xdr:rowOff>142198</xdr:rowOff>
    </xdr:from>
    <xdr:to>
      <xdr:col>29</xdr:col>
      <xdr:colOff>201198</xdr:colOff>
      <xdr:row>110</xdr:row>
      <xdr:rowOff>6262</xdr:rowOff>
    </xdr:to>
    <xdr:sp macro="" textlink="">
      <xdr:nvSpPr>
        <xdr:cNvPr id="16" name="円弧 15">
          <a:extLst>
            <a:ext uri="{FF2B5EF4-FFF2-40B4-BE49-F238E27FC236}">
              <a16:creationId xmlns:a16="http://schemas.microsoft.com/office/drawing/2014/main" id="{7E28BA67-B0F0-4507-AB31-FFAC13D650CA}"/>
            </a:ext>
          </a:extLst>
        </xdr:cNvPr>
        <xdr:cNvSpPr/>
      </xdr:nvSpPr>
      <xdr:spPr>
        <a:xfrm flipH="1" flipV="1">
          <a:off x="6797130" y="18593484"/>
          <a:ext cx="112389" cy="10899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139626</xdr:colOff>
      <xdr:row>109</xdr:row>
      <xdr:rowOff>142197</xdr:rowOff>
    </xdr:from>
    <xdr:to>
      <xdr:col>29</xdr:col>
      <xdr:colOff>12608</xdr:colOff>
      <xdr:row>110</xdr:row>
      <xdr:rowOff>6261</xdr:rowOff>
    </xdr:to>
    <xdr:sp macro="" textlink="">
      <xdr:nvSpPr>
        <xdr:cNvPr id="17" name="円弧 16">
          <a:extLst>
            <a:ext uri="{FF2B5EF4-FFF2-40B4-BE49-F238E27FC236}">
              <a16:creationId xmlns:a16="http://schemas.microsoft.com/office/drawing/2014/main" id="{B68B71CA-F84F-4113-9864-19737F8B643F}"/>
            </a:ext>
          </a:extLst>
        </xdr:cNvPr>
        <xdr:cNvSpPr/>
      </xdr:nvSpPr>
      <xdr:spPr>
        <a:xfrm flipV="1">
          <a:off x="6616626" y="18593483"/>
          <a:ext cx="104303" cy="10899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14951</xdr:colOff>
      <xdr:row>104</xdr:row>
      <xdr:rowOff>239117</xdr:rowOff>
    </xdr:from>
    <xdr:to>
      <xdr:col>31</xdr:col>
      <xdr:colOff>95744</xdr:colOff>
      <xdr:row>104</xdr:row>
      <xdr:rowOff>239117</xdr:rowOff>
    </xdr:to>
    <xdr:cxnSp macro="">
      <xdr:nvCxnSpPr>
        <xdr:cNvPr id="18" name="直線矢印コネクタ 17">
          <a:extLst>
            <a:ext uri="{FF2B5EF4-FFF2-40B4-BE49-F238E27FC236}">
              <a16:creationId xmlns:a16="http://schemas.microsoft.com/office/drawing/2014/main" id="{7227F513-DC09-4182-B13C-2BFD4C434B50}"/>
            </a:ext>
          </a:extLst>
        </xdr:cNvPr>
        <xdr:cNvCxnSpPr/>
      </xdr:nvCxnSpPr>
      <xdr:spPr>
        <a:xfrm flipH="1">
          <a:off x="6260630" y="17465760"/>
          <a:ext cx="1006078"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96744</xdr:colOff>
      <xdr:row>104</xdr:row>
      <xdr:rowOff>181109</xdr:rowOff>
    </xdr:from>
    <xdr:to>
      <xdr:col>31</xdr:col>
      <xdr:colOff>96744</xdr:colOff>
      <xdr:row>105</xdr:row>
      <xdr:rowOff>69562</xdr:rowOff>
    </xdr:to>
    <xdr:cxnSp macro="">
      <xdr:nvCxnSpPr>
        <xdr:cNvPr id="19" name="直線コネクタ 18">
          <a:extLst>
            <a:ext uri="{FF2B5EF4-FFF2-40B4-BE49-F238E27FC236}">
              <a16:creationId xmlns:a16="http://schemas.microsoft.com/office/drawing/2014/main" id="{E5F92394-836A-4636-AD61-288202BB04D5}"/>
            </a:ext>
          </a:extLst>
        </xdr:cNvPr>
        <xdr:cNvCxnSpPr/>
      </xdr:nvCxnSpPr>
      <xdr:spPr>
        <a:xfrm>
          <a:off x="7267708" y="17407752"/>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7148</xdr:colOff>
      <xdr:row>104</xdr:row>
      <xdr:rowOff>187062</xdr:rowOff>
    </xdr:from>
    <xdr:to>
      <xdr:col>27</xdr:col>
      <xdr:colOff>7148</xdr:colOff>
      <xdr:row>105</xdr:row>
      <xdr:rowOff>73444</xdr:rowOff>
    </xdr:to>
    <xdr:cxnSp macro="">
      <xdr:nvCxnSpPr>
        <xdr:cNvPr id="20" name="直線コネクタ 19">
          <a:extLst>
            <a:ext uri="{FF2B5EF4-FFF2-40B4-BE49-F238E27FC236}">
              <a16:creationId xmlns:a16="http://schemas.microsoft.com/office/drawing/2014/main" id="{047FC9E4-6B55-416F-A20D-CE705AC68E5E}"/>
            </a:ext>
          </a:extLst>
        </xdr:cNvPr>
        <xdr:cNvCxnSpPr/>
      </xdr:nvCxnSpPr>
      <xdr:spPr>
        <a:xfrm>
          <a:off x="6252827" y="17413705"/>
          <a:ext cx="0" cy="1313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191430</xdr:colOff>
      <xdr:row>106</xdr:row>
      <xdr:rowOff>156115</xdr:rowOff>
    </xdr:from>
    <xdr:to>
      <xdr:col>33</xdr:col>
      <xdr:colOff>191430</xdr:colOff>
      <xdr:row>110</xdr:row>
      <xdr:rowOff>140045</xdr:rowOff>
    </xdr:to>
    <xdr:cxnSp macro="">
      <xdr:nvCxnSpPr>
        <xdr:cNvPr id="27" name="直線矢印コネクタ 26">
          <a:extLst>
            <a:ext uri="{FF2B5EF4-FFF2-40B4-BE49-F238E27FC236}">
              <a16:creationId xmlns:a16="http://schemas.microsoft.com/office/drawing/2014/main" id="{235CDBFB-2344-4D80-B47F-FF17ED225DAD}"/>
            </a:ext>
          </a:extLst>
        </xdr:cNvPr>
        <xdr:cNvCxnSpPr/>
      </xdr:nvCxnSpPr>
      <xdr:spPr>
        <a:xfrm flipV="1">
          <a:off x="7825037" y="17872615"/>
          <a:ext cx="0" cy="963644"/>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38814</xdr:colOff>
      <xdr:row>106</xdr:row>
      <xdr:rowOff>150702</xdr:rowOff>
    </xdr:from>
    <xdr:to>
      <xdr:col>34</xdr:col>
      <xdr:colOff>26134</xdr:colOff>
      <xdr:row>106</xdr:row>
      <xdr:rowOff>150702</xdr:rowOff>
    </xdr:to>
    <xdr:cxnSp macro="">
      <xdr:nvCxnSpPr>
        <xdr:cNvPr id="28" name="直線コネクタ 27">
          <a:extLst>
            <a:ext uri="{FF2B5EF4-FFF2-40B4-BE49-F238E27FC236}">
              <a16:creationId xmlns:a16="http://schemas.microsoft.com/office/drawing/2014/main" id="{596EFE8D-0A1D-42BE-9F3E-4DABF54D530F}"/>
            </a:ext>
          </a:extLst>
        </xdr:cNvPr>
        <xdr:cNvCxnSpPr/>
      </xdr:nvCxnSpPr>
      <xdr:spPr>
        <a:xfrm>
          <a:off x="7672421" y="17867202"/>
          <a:ext cx="2186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56132</xdr:colOff>
      <xdr:row>110</xdr:row>
      <xdr:rowOff>132555</xdr:rowOff>
    </xdr:from>
    <xdr:to>
      <xdr:col>34</xdr:col>
      <xdr:colOff>45833</xdr:colOff>
      <xdr:row>110</xdr:row>
      <xdr:rowOff>132555</xdr:rowOff>
    </xdr:to>
    <xdr:cxnSp macro="">
      <xdr:nvCxnSpPr>
        <xdr:cNvPr id="29" name="直線コネクタ 28">
          <a:extLst>
            <a:ext uri="{FF2B5EF4-FFF2-40B4-BE49-F238E27FC236}">
              <a16:creationId xmlns:a16="http://schemas.microsoft.com/office/drawing/2014/main" id="{A4787737-7C71-4198-B5D3-0164128A9AFC}"/>
            </a:ext>
          </a:extLst>
        </xdr:cNvPr>
        <xdr:cNvCxnSpPr/>
      </xdr:nvCxnSpPr>
      <xdr:spPr>
        <a:xfrm>
          <a:off x="7689739" y="18828769"/>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166248</xdr:colOff>
      <xdr:row>104</xdr:row>
      <xdr:rowOff>17649</xdr:rowOff>
    </xdr:from>
    <xdr:ext cx="270843" cy="254493"/>
    <xdr:sp macro="" textlink="">
      <xdr:nvSpPr>
        <xdr:cNvPr id="30" name="テキスト ボックス 29">
          <a:extLst>
            <a:ext uri="{FF2B5EF4-FFF2-40B4-BE49-F238E27FC236}">
              <a16:creationId xmlns:a16="http://schemas.microsoft.com/office/drawing/2014/main" id="{6C7D0848-21F0-4FC5-85AB-E0CF85E2E8D9}"/>
            </a:ext>
          </a:extLst>
        </xdr:cNvPr>
        <xdr:cNvSpPr txBox="1"/>
      </xdr:nvSpPr>
      <xdr:spPr>
        <a:xfrm>
          <a:off x="6643248" y="17244292"/>
          <a:ext cx="27084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33</xdr:col>
      <xdr:colOff>167828</xdr:colOff>
      <xdr:row>107</xdr:row>
      <xdr:rowOff>237960</xdr:rowOff>
    </xdr:from>
    <xdr:ext cx="286553" cy="254493"/>
    <xdr:sp macro="" textlink="">
      <xdr:nvSpPr>
        <xdr:cNvPr id="33" name="テキスト ボックス 32">
          <a:extLst>
            <a:ext uri="{FF2B5EF4-FFF2-40B4-BE49-F238E27FC236}">
              <a16:creationId xmlns:a16="http://schemas.microsoft.com/office/drawing/2014/main" id="{8E1C13B9-7FFB-4167-BA93-271D2BC80597}"/>
            </a:ext>
          </a:extLst>
        </xdr:cNvPr>
        <xdr:cNvSpPr txBox="1"/>
      </xdr:nvSpPr>
      <xdr:spPr>
        <a:xfrm>
          <a:off x="7801435" y="18199389"/>
          <a:ext cx="28655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H</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twoCellAnchor>
    <xdr:from>
      <xdr:col>26</xdr:col>
      <xdr:colOff>193777</xdr:colOff>
      <xdr:row>108</xdr:row>
      <xdr:rowOff>125171</xdr:rowOff>
    </xdr:from>
    <xdr:to>
      <xdr:col>31</xdr:col>
      <xdr:colOff>176924</xdr:colOff>
      <xdr:row>108</xdr:row>
      <xdr:rowOff>125171</xdr:rowOff>
    </xdr:to>
    <xdr:cxnSp macro="">
      <xdr:nvCxnSpPr>
        <xdr:cNvPr id="34" name="直線コネクタ 33">
          <a:extLst>
            <a:ext uri="{FF2B5EF4-FFF2-40B4-BE49-F238E27FC236}">
              <a16:creationId xmlns:a16="http://schemas.microsoft.com/office/drawing/2014/main" id="{5ED78931-5761-40A5-8385-B48D2BFB6D48}"/>
            </a:ext>
          </a:extLst>
        </xdr:cNvPr>
        <xdr:cNvCxnSpPr/>
      </xdr:nvCxnSpPr>
      <xdr:spPr>
        <a:xfrm>
          <a:off x="6208134" y="18331528"/>
          <a:ext cx="1139754" cy="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48581</xdr:colOff>
      <xdr:row>106</xdr:row>
      <xdr:rowOff>69520</xdr:rowOff>
    </xdr:from>
    <xdr:to>
      <xdr:col>29</xdr:col>
      <xdr:colOff>52911</xdr:colOff>
      <xdr:row>112</xdr:row>
      <xdr:rowOff>0</xdr:rowOff>
    </xdr:to>
    <xdr:cxnSp macro="">
      <xdr:nvCxnSpPr>
        <xdr:cNvPr id="35" name="直線コネクタ 34">
          <a:extLst>
            <a:ext uri="{FF2B5EF4-FFF2-40B4-BE49-F238E27FC236}">
              <a16:creationId xmlns:a16="http://schemas.microsoft.com/office/drawing/2014/main" id="{A2A723AC-7B3D-4114-8B4A-58D606AAA292}"/>
            </a:ext>
          </a:extLst>
        </xdr:cNvPr>
        <xdr:cNvCxnSpPr/>
      </xdr:nvCxnSpPr>
      <xdr:spPr>
        <a:xfrm flipH="1">
          <a:off x="6756902" y="17786020"/>
          <a:ext cx="4330" cy="115621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40804</xdr:colOff>
      <xdr:row>107</xdr:row>
      <xdr:rowOff>113075</xdr:rowOff>
    </xdr:from>
    <xdr:ext cx="768159" cy="328423"/>
    <xdr:sp macro="" textlink="">
      <xdr:nvSpPr>
        <xdr:cNvPr id="36" name="テキスト ボックス 35">
          <a:extLst>
            <a:ext uri="{FF2B5EF4-FFF2-40B4-BE49-F238E27FC236}">
              <a16:creationId xmlns:a16="http://schemas.microsoft.com/office/drawing/2014/main" id="{8A73E64B-1E13-4D57-827C-4EF4035A7115}"/>
            </a:ext>
          </a:extLst>
        </xdr:cNvPr>
        <xdr:cNvSpPr txBox="1"/>
      </xdr:nvSpPr>
      <xdr:spPr>
        <a:xfrm>
          <a:off x="5838630" y="17738466"/>
          <a:ext cx="7681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強軸</a:t>
          </a:r>
          <a:r>
            <a:rPr kumimoji="1" lang="en-US" altLang="ja-JP" sz="1100">
              <a:latin typeface="Times New Roman" panose="02020603050405020304" pitchFamily="18" charset="0"/>
              <a:cs typeface="Times New Roman" panose="02020603050405020304" pitchFamily="18" charset="0"/>
            </a:rPr>
            <a:t>(y</a:t>
          </a:r>
          <a:r>
            <a:rPr kumimoji="1" lang="ja-JP" altLang="en-US" sz="1100"/>
            <a:t>軸</a:t>
          </a:r>
          <a:r>
            <a:rPr kumimoji="1" lang="en-US" altLang="ja-JP" sz="1100"/>
            <a:t>)</a:t>
          </a:r>
        </a:p>
      </xdr:txBody>
    </xdr:sp>
    <xdr:clientData/>
  </xdr:oneCellAnchor>
  <xdr:oneCellAnchor>
    <xdr:from>
      <xdr:col>27</xdr:col>
      <xdr:colOff>213788</xdr:colOff>
      <xdr:row>110</xdr:row>
      <xdr:rowOff>167108</xdr:rowOff>
    </xdr:from>
    <xdr:ext cx="760208" cy="328423"/>
    <xdr:sp macro="" textlink="">
      <xdr:nvSpPr>
        <xdr:cNvPr id="37" name="テキスト ボックス 36">
          <a:extLst>
            <a:ext uri="{FF2B5EF4-FFF2-40B4-BE49-F238E27FC236}">
              <a16:creationId xmlns:a16="http://schemas.microsoft.com/office/drawing/2014/main" id="{EADB9906-2D79-45FA-AE89-CAB6310B2365}"/>
            </a:ext>
          </a:extLst>
        </xdr:cNvPr>
        <xdr:cNvSpPr txBox="1"/>
      </xdr:nvSpPr>
      <xdr:spPr>
        <a:xfrm>
          <a:off x="6459467" y="18863322"/>
          <a:ext cx="760208"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弱</a:t>
          </a:r>
          <a:r>
            <a:rPr kumimoji="1" lang="ja-JP" altLang="ja-JP" sz="1100">
              <a:solidFill>
                <a:schemeClr val="tx1"/>
              </a:solidFill>
              <a:effectLst/>
              <a:latin typeface="+mn-lt"/>
              <a:ea typeface="+mn-ea"/>
              <a:cs typeface="+mn-cs"/>
            </a:rPr>
            <a:t>軸</a:t>
          </a:r>
          <a:r>
            <a:rPr kumimoji="1" lang="en-US" altLang="ja-JP" sz="1100">
              <a:latin typeface="Times New Roman" panose="02020603050405020304" pitchFamily="18" charset="0"/>
              <a:cs typeface="Times New Roman" panose="02020603050405020304" pitchFamily="18" charset="0"/>
            </a:rPr>
            <a:t>(z</a:t>
          </a:r>
          <a:r>
            <a:rPr kumimoji="1" lang="ja-JP" altLang="en-US" sz="1100"/>
            <a:t>軸</a:t>
          </a:r>
          <a:r>
            <a:rPr kumimoji="1" lang="en-US" altLang="ja-JP" sz="1100"/>
            <a:t>)</a:t>
          </a:r>
        </a:p>
      </xdr:txBody>
    </xdr:sp>
    <xdr:clientData/>
  </xdr:oneCellAnchor>
  <xdr:twoCellAnchor>
    <xdr:from>
      <xdr:col>31</xdr:col>
      <xdr:colOff>146990</xdr:colOff>
      <xdr:row>106</xdr:row>
      <xdr:rowOff>150702</xdr:rowOff>
    </xdr:from>
    <xdr:to>
      <xdr:col>32</xdr:col>
      <xdr:colOff>134309</xdr:colOff>
      <xdr:row>106</xdr:row>
      <xdr:rowOff>150702</xdr:rowOff>
    </xdr:to>
    <xdr:cxnSp macro="">
      <xdr:nvCxnSpPr>
        <xdr:cNvPr id="38" name="直線コネクタ 37">
          <a:extLst>
            <a:ext uri="{FF2B5EF4-FFF2-40B4-BE49-F238E27FC236}">
              <a16:creationId xmlns:a16="http://schemas.microsoft.com/office/drawing/2014/main" id="{52490CE3-4DE0-43A7-B7E1-2152A30F2AD6}"/>
            </a:ext>
          </a:extLst>
        </xdr:cNvPr>
        <xdr:cNvCxnSpPr/>
      </xdr:nvCxnSpPr>
      <xdr:spPr>
        <a:xfrm>
          <a:off x="7317954" y="17867202"/>
          <a:ext cx="21864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146990</xdr:colOff>
      <xdr:row>107</xdr:row>
      <xdr:rowOff>35040</xdr:rowOff>
    </xdr:from>
    <xdr:to>
      <xdr:col>32</xdr:col>
      <xdr:colOff>134309</xdr:colOff>
      <xdr:row>107</xdr:row>
      <xdr:rowOff>35040</xdr:rowOff>
    </xdr:to>
    <xdr:cxnSp macro="">
      <xdr:nvCxnSpPr>
        <xdr:cNvPr id="39" name="直線コネクタ 38">
          <a:extLst>
            <a:ext uri="{FF2B5EF4-FFF2-40B4-BE49-F238E27FC236}">
              <a16:creationId xmlns:a16="http://schemas.microsoft.com/office/drawing/2014/main" id="{77B583E8-325C-40C0-9122-7F8CC0CCA4B0}"/>
            </a:ext>
          </a:extLst>
        </xdr:cNvPr>
        <xdr:cNvCxnSpPr/>
      </xdr:nvCxnSpPr>
      <xdr:spPr>
        <a:xfrm>
          <a:off x="7317954" y="17996469"/>
          <a:ext cx="21864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51956</xdr:colOff>
      <xdr:row>107</xdr:row>
      <xdr:rowOff>35011</xdr:rowOff>
    </xdr:from>
    <xdr:to>
      <xdr:col>32</xdr:col>
      <xdr:colOff>51956</xdr:colOff>
      <xdr:row>108</xdr:row>
      <xdr:rowOff>24062</xdr:rowOff>
    </xdr:to>
    <xdr:cxnSp macro="">
      <xdr:nvCxnSpPr>
        <xdr:cNvPr id="40" name="直線矢印コネクタ 39">
          <a:extLst>
            <a:ext uri="{FF2B5EF4-FFF2-40B4-BE49-F238E27FC236}">
              <a16:creationId xmlns:a16="http://schemas.microsoft.com/office/drawing/2014/main" id="{C5880319-8AD1-4B8E-A853-40D40E0D3ADA}"/>
            </a:ext>
          </a:extLst>
        </xdr:cNvPr>
        <xdr:cNvCxnSpPr/>
      </xdr:nvCxnSpPr>
      <xdr:spPr>
        <a:xfrm flipV="1">
          <a:off x="7454242" y="17996440"/>
          <a:ext cx="0" cy="233979"/>
        </a:xfrm>
        <a:prstGeom prst="straightConnector1">
          <a:avLst/>
        </a:prstGeom>
        <a:ln>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51956</xdr:colOff>
      <xdr:row>105</xdr:row>
      <xdr:rowOff>153394</xdr:rowOff>
    </xdr:from>
    <xdr:to>
      <xdr:col>32</xdr:col>
      <xdr:colOff>51956</xdr:colOff>
      <xdr:row>106</xdr:row>
      <xdr:rowOff>151970</xdr:rowOff>
    </xdr:to>
    <xdr:cxnSp macro="">
      <xdr:nvCxnSpPr>
        <xdr:cNvPr id="41" name="直線矢印コネクタ 40">
          <a:extLst>
            <a:ext uri="{FF2B5EF4-FFF2-40B4-BE49-F238E27FC236}">
              <a16:creationId xmlns:a16="http://schemas.microsoft.com/office/drawing/2014/main" id="{2C03F65B-44CC-45A0-8D51-D7E0998E9A7A}"/>
            </a:ext>
          </a:extLst>
        </xdr:cNvPr>
        <xdr:cNvCxnSpPr/>
      </xdr:nvCxnSpPr>
      <xdr:spPr>
        <a:xfrm flipV="1">
          <a:off x="7454242" y="17624965"/>
          <a:ext cx="0" cy="243505"/>
        </a:xfrm>
        <a:prstGeom prst="straightConnector1">
          <a:avLst/>
        </a:prstGeom>
        <a:ln>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68299</xdr:colOff>
      <xdr:row>106</xdr:row>
      <xdr:rowOff>70217</xdr:rowOff>
    </xdr:from>
    <xdr:ext cx="270908" cy="254493"/>
    <xdr:sp macro="" textlink="">
      <xdr:nvSpPr>
        <xdr:cNvPr id="42" name="テキスト ボックス 41">
          <a:extLst>
            <a:ext uri="{FF2B5EF4-FFF2-40B4-BE49-F238E27FC236}">
              <a16:creationId xmlns:a16="http://schemas.microsoft.com/office/drawing/2014/main" id="{15A8A246-BCEF-4B7F-831F-6E5B5F61C476}"/>
            </a:ext>
          </a:extLst>
        </xdr:cNvPr>
        <xdr:cNvSpPr txBox="1"/>
      </xdr:nvSpPr>
      <xdr:spPr>
        <a:xfrm>
          <a:off x="7489516" y="17455413"/>
          <a:ext cx="270908"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t</a:t>
          </a:r>
          <a:r>
            <a:rPr kumimoji="1" lang="en-US" altLang="ja-JP" sz="1100" i="1" baseline="-25000">
              <a:latin typeface="Times New Roman" panose="02020603050405020304" pitchFamily="18" charset="0"/>
              <a:cs typeface="Times New Roman" panose="02020603050405020304" pitchFamily="18" charset="0"/>
            </a:rPr>
            <a:t>2</a:t>
          </a:r>
          <a:endParaRPr kumimoji="1" lang="ja-JP" altLang="en-US" sz="1100" i="1" baseline="-25000">
            <a:latin typeface="Times New Roman" panose="02020603050405020304" pitchFamily="18" charset="0"/>
            <a:cs typeface="Times New Roman" panose="02020603050405020304" pitchFamily="18" charset="0"/>
          </a:endParaRPr>
        </a:p>
      </xdr:txBody>
    </xdr:sp>
    <xdr:clientData/>
  </xdr:oneCellAnchor>
  <xdr:oneCellAnchor>
    <xdr:from>
      <xdr:col>29</xdr:col>
      <xdr:colOff>104924</xdr:colOff>
      <xdr:row>108</xdr:row>
      <xdr:rowOff>178194</xdr:rowOff>
    </xdr:from>
    <xdr:ext cx="270908" cy="254493"/>
    <xdr:sp macro="" textlink="">
      <xdr:nvSpPr>
        <xdr:cNvPr id="43" name="テキスト ボックス 42">
          <a:extLst>
            <a:ext uri="{FF2B5EF4-FFF2-40B4-BE49-F238E27FC236}">
              <a16:creationId xmlns:a16="http://schemas.microsoft.com/office/drawing/2014/main" id="{D1C3AD48-3307-4C56-A09A-C2DC3883DB39}"/>
            </a:ext>
          </a:extLst>
        </xdr:cNvPr>
        <xdr:cNvSpPr txBox="1"/>
      </xdr:nvSpPr>
      <xdr:spPr>
        <a:xfrm>
          <a:off x="6759435" y="17942319"/>
          <a:ext cx="270908"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t</a:t>
          </a:r>
          <a:r>
            <a:rPr kumimoji="1" lang="en-US" altLang="ja-JP" sz="1100" i="1" baseline="-25000">
              <a:latin typeface="Times New Roman" panose="02020603050405020304" pitchFamily="18" charset="0"/>
              <a:cs typeface="Times New Roman" panose="02020603050405020304" pitchFamily="18" charset="0"/>
            </a:rPr>
            <a:t>1</a:t>
          </a:r>
          <a:endParaRPr kumimoji="1" lang="ja-JP" altLang="en-US" sz="1100" i="1" baseline="-25000">
            <a:latin typeface="Times New Roman" panose="02020603050405020304" pitchFamily="18" charset="0"/>
            <a:cs typeface="Times New Roman" panose="02020603050405020304" pitchFamily="18" charset="0"/>
          </a:endParaRPr>
        </a:p>
      </xdr:txBody>
    </xdr:sp>
    <xdr:clientData/>
  </xdr:oneCellAnchor>
  <xdr:twoCellAnchor>
    <xdr:from>
      <xdr:col>29</xdr:col>
      <xdr:colOff>89495</xdr:colOff>
      <xdr:row>109</xdr:row>
      <xdr:rowOff>15486</xdr:rowOff>
    </xdr:from>
    <xdr:to>
      <xdr:col>30</xdr:col>
      <xdr:colOff>107674</xdr:colOff>
      <xdr:row>109</xdr:row>
      <xdr:rowOff>15486</xdr:rowOff>
    </xdr:to>
    <xdr:cxnSp macro="">
      <xdr:nvCxnSpPr>
        <xdr:cNvPr id="46" name="直線矢印コネクタ 45">
          <a:extLst>
            <a:ext uri="{FF2B5EF4-FFF2-40B4-BE49-F238E27FC236}">
              <a16:creationId xmlns:a16="http://schemas.microsoft.com/office/drawing/2014/main" id="{65E3ED36-84E0-DF54-A8F0-C16274B55A9A}"/>
            </a:ext>
          </a:extLst>
        </xdr:cNvPr>
        <xdr:cNvCxnSpPr/>
      </xdr:nvCxnSpPr>
      <xdr:spPr>
        <a:xfrm flipH="1">
          <a:off x="6814973" y="18121269"/>
          <a:ext cx="250092" cy="0"/>
        </a:xfrm>
        <a:prstGeom prst="straightConnector1">
          <a:avLst/>
        </a:prstGeom>
        <a:ln>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215051</xdr:colOff>
      <xdr:row>109</xdr:row>
      <xdr:rowOff>15486</xdr:rowOff>
    </xdr:from>
    <xdr:to>
      <xdr:col>29</xdr:col>
      <xdr:colOff>3765</xdr:colOff>
      <xdr:row>109</xdr:row>
      <xdr:rowOff>15486</xdr:rowOff>
    </xdr:to>
    <xdr:cxnSp macro="">
      <xdr:nvCxnSpPr>
        <xdr:cNvPr id="49" name="直線矢印コネクタ 48">
          <a:extLst>
            <a:ext uri="{FF2B5EF4-FFF2-40B4-BE49-F238E27FC236}">
              <a16:creationId xmlns:a16="http://schemas.microsoft.com/office/drawing/2014/main" id="{38D95FEA-983A-D881-6D68-58E53C46500B}"/>
            </a:ext>
          </a:extLst>
        </xdr:cNvPr>
        <xdr:cNvCxnSpPr/>
      </xdr:nvCxnSpPr>
      <xdr:spPr>
        <a:xfrm flipH="1">
          <a:off x="6410631" y="18017736"/>
          <a:ext cx="247645" cy="0"/>
        </a:xfrm>
        <a:prstGeom prst="straightConnector1">
          <a:avLst/>
        </a:prstGeom>
        <a:ln>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187963</xdr:colOff>
      <xdr:row>40</xdr:row>
      <xdr:rowOff>115089</xdr:rowOff>
    </xdr:from>
    <xdr:to>
      <xdr:col>34</xdr:col>
      <xdr:colOff>93540</xdr:colOff>
      <xdr:row>40</xdr:row>
      <xdr:rowOff>115089</xdr:rowOff>
    </xdr:to>
    <xdr:cxnSp macro="">
      <xdr:nvCxnSpPr>
        <xdr:cNvPr id="3" name="直線コネクタ 2">
          <a:extLst>
            <a:ext uri="{FF2B5EF4-FFF2-40B4-BE49-F238E27FC236}">
              <a16:creationId xmlns:a16="http://schemas.microsoft.com/office/drawing/2014/main" id="{8A7B8756-E6D8-4DFD-94B7-F7D39A4B7EC4}"/>
            </a:ext>
          </a:extLst>
        </xdr:cNvPr>
        <xdr:cNvCxnSpPr/>
      </xdr:nvCxnSpPr>
      <xdr:spPr>
        <a:xfrm>
          <a:off x="5164776" y="8675683"/>
          <a:ext cx="239398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151571</xdr:colOff>
      <xdr:row>40</xdr:row>
      <xdr:rowOff>109858</xdr:rowOff>
    </xdr:from>
    <xdr:to>
      <xdr:col>28</xdr:col>
      <xdr:colOff>16171</xdr:colOff>
      <xdr:row>40</xdr:row>
      <xdr:rowOff>188166</xdr:rowOff>
    </xdr:to>
    <xdr:cxnSp macro="">
      <xdr:nvCxnSpPr>
        <xdr:cNvPr id="13" name="直線コネクタ 12">
          <a:extLst>
            <a:ext uri="{FF2B5EF4-FFF2-40B4-BE49-F238E27FC236}">
              <a16:creationId xmlns:a16="http://schemas.microsoft.com/office/drawing/2014/main" id="{4E901EED-968F-41B7-BBFA-FCF1EAF16BF9}"/>
            </a:ext>
          </a:extLst>
        </xdr:cNvPr>
        <xdr:cNvCxnSpPr/>
      </xdr:nvCxnSpPr>
      <xdr:spPr>
        <a:xfrm>
          <a:off x="6033259" y="8670452"/>
          <a:ext cx="90818" cy="7830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104253</xdr:colOff>
      <xdr:row>40</xdr:row>
      <xdr:rowOff>111702</xdr:rowOff>
    </xdr:from>
    <xdr:to>
      <xdr:col>27</xdr:col>
      <xdr:colOff>192350</xdr:colOff>
      <xdr:row>40</xdr:row>
      <xdr:rowOff>190010</xdr:rowOff>
    </xdr:to>
    <xdr:cxnSp macro="">
      <xdr:nvCxnSpPr>
        <xdr:cNvPr id="14" name="直線コネクタ 13">
          <a:extLst>
            <a:ext uri="{FF2B5EF4-FFF2-40B4-BE49-F238E27FC236}">
              <a16:creationId xmlns:a16="http://schemas.microsoft.com/office/drawing/2014/main" id="{4E0C77D0-C399-44AE-BC6A-02480E48B7D2}"/>
            </a:ext>
          </a:extLst>
        </xdr:cNvPr>
        <xdr:cNvCxnSpPr/>
      </xdr:nvCxnSpPr>
      <xdr:spPr>
        <a:xfrm>
          <a:off x="5985941" y="8672296"/>
          <a:ext cx="88097" cy="7830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104289</xdr:colOff>
      <xdr:row>40</xdr:row>
      <xdr:rowOff>152534</xdr:rowOff>
    </xdr:from>
    <xdr:to>
      <xdr:col>27</xdr:col>
      <xdr:colOff>135015</xdr:colOff>
      <xdr:row>40</xdr:row>
      <xdr:rowOff>173735</xdr:rowOff>
    </xdr:to>
    <xdr:cxnSp macro="">
      <xdr:nvCxnSpPr>
        <xdr:cNvPr id="15" name="直線コネクタ 14">
          <a:extLst>
            <a:ext uri="{FF2B5EF4-FFF2-40B4-BE49-F238E27FC236}">
              <a16:creationId xmlns:a16="http://schemas.microsoft.com/office/drawing/2014/main" id="{594E83E2-0A1D-41A8-9958-026F17AEC278}"/>
            </a:ext>
          </a:extLst>
        </xdr:cNvPr>
        <xdr:cNvCxnSpPr/>
      </xdr:nvCxnSpPr>
      <xdr:spPr>
        <a:xfrm flipH="1">
          <a:off x="5985977" y="8713128"/>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124573</xdr:colOff>
      <xdr:row>40</xdr:row>
      <xdr:rowOff>169732</xdr:rowOff>
    </xdr:from>
    <xdr:to>
      <xdr:col>27</xdr:col>
      <xdr:colOff>156382</xdr:colOff>
      <xdr:row>40</xdr:row>
      <xdr:rowOff>189325</xdr:rowOff>
    </xdr:to>
    <xdr:cxnSp macro="">
      <xdr:nvCxnSpPr>
        <xdr:cNvPr id="16" name="直線コネクタ 15">
          <a:extLst>
            <a:ext uri="{FF2B5EF4-FFF2-40B4-BE49-F238E27FC236}">
              <a16:creationId xmlns:a16="http://schemas.microsoft.com/office/drawing/2014/main" id="{1A022F74-5583-42CE-808A-C4B76B69DB01}"/>
            </a:ext>
          </a:extLst>
        </xdr:cNvPr>
        <xdr:cNvCxnSpPr/>
      </xdr:nvCxnSpPr>
      <xdr:spPr>
        <a:xfrm flipH="1">
          <a:off x="6006261" y="8730326"/>
          <a:ext cx="31809" cy="195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71438</xdr:colOff>
      <xdr:row>40</xdr:row>
      <xdr:rowOff>105369</xdr:rowOff>
    </xdr:from>
    <xdr:to>
      <xdr:col>28</xdr:col>
      <xdr:colOff>161961</xdr:colOff>
      <xdr:row>40</xdr:row>
      <xdr:rowOff>183677</xdr:rowOff>
    </xdr:to>
    <xdr:cxnSp macro="">
      <xdr:nvCxnSpPr>
        <xdr:cNvPr id="17" name="直線コネクタ 16">
          <a:extLst>
            <a:ext uri="{FF2B5EF4-FFF2-40B4-BE49-F238E27FC236}">
              <a16:creationId xmlns:a16="http://schemas.microsoft.com/office/drawing/2014/main" id="{CB57CF30-063E-4DEA-8CF5-982EC3BC954B}"/>
            </a:ext>
          </a:extLst>
        </xdr:cNvPr>
        <xdr:cNvCxnSpPr/>
      </xdr:nvCxnSpPr>
      <xdr:spPr>
        <a:xfrm>
          <a:off x="6179344" y="8665963"/>
          <a:ext cx="90523" cy="7830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24120</xdr:colOff>
      <xdr:row>40</xdr:row>
      <xdr:rowOff>107213</xdr:rowOff>
    </xdr:from>
    <xdr:to>
      <xdr:col>28</xdr:col>
      <xdr:colOff>113562</xdr:colOff>
      <xdr:row>40</xdr:row>
      <xdr:rowOff>180326</xdr:rowOff>
    </xdr:to>
    <xdr:cxnSp macro="">
      <xdr:nvCxnSpPr>
        <xdr:cNvPr id="18" name="直線コネクタ 17">
          <a:extLst>
            <a:ext uri="{FF2B5EF4-FFF2-40B4-BE49-F238E27FC236}">
              <a16:creationId xmlns:a16="http://schemas.microsoft.com/office/drawing/2014/main" id="{C3809121-581D-4EB1-B15A-CF51B3820C0C}"/>
            </a:ext>
          </a:extLst>
        </xdr:cNvPr>
        <xdr:cNvCxnSpPr/>
      </xdr:nvCxnSpPr>
      <xdr:spPr>
        <a:xfrm>
          <a:off x="6132026" y="8667807"/>
          <a:ext cx="89442" cy="731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24156</xdr:colOff>
      <xdr:row>40</xdr:row>
      <xdr:rowOff>148040</xdr:rowOff>
    </xdr:from>
    <xdr:to>
      <xdr:col>28</xdr:col>
      <xdr:colOff>54882</xdr:colOff>
      <xdr:row>40</xdr:row>
      <xdr:rowOff>178766</xdr:rowOff>
    </xdr:to>
    <xdr:cxnSp macro="">
      <xdr:nvCxnSpPr>
        <xdr:cNvPr id="19" name="直線コネクタ 18">
          <a:extLst>
            <a:ext uri="{FF2B5EF4-FFF2-40B4-BE49-F238E27FC236}">
              <a16:creationId xmlns:a16="http://schemas.microsoft.com/office/drawing/2014/main" id="{F8F5A3F3-7EEB-4DA5-91A1-5872269E2592}"/>
            </a:ext>
          </a:extLst>
        </xdr:cNvPr>
        <xdr:cNvCxnSpPr/>
      </xdr:nvCxnSpPr>
      <xdr:spPr>
        <a:xfrm flipH="1">
          <a:off x="6132062" y="8708634"/>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44440</xdr:colOff>
      <xdr:row>40</xdr:row>
      <xdr:rowOff>165238</xdr:rowOff>
    </xdr:from>
    <xdr:to>
      <xdr:col>28</xdr:col>
      <xdr:colOff>75166</xdr:colOff>
      <xdr:row>40</xdr:row>
      <xdr:rowOff>184831</xdr:rowOff>
    </xdr:to>
    <xdr:cxnSp macro="">
      <xdr:nvCxnSpPr>
        <xdr:cNvPr id="20" name="直線コネクタ 19">
          <a:extLst>
            <a:ext uri="{FF2B5EF4-FFF2-40B4-BE49-F238E27FC236}">
              <a16:creationId xmlns:a16="http://schemas.microsoft.com/office/drawing/2014/main" id="{7A3B4FFC-7E9F-4A9A-B428-C13AD0760490}"/>
            </a:ext>
          </a:extLst>
        </xdr:cNvPr>
        <xdr:cNvCxnSpPr/>
      </xdr:nvCxnSpPr>
      <xdr:spPr>
        <a:xfrm flipH="1">
          <a:off x="6152346" y="8725832"/>
          <a:ext cx="30726" cy="195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176874</xdr:colOff>
      <xdr:row>40</xdr:row>
      <xdr:rowOff>113351</xdr:rowOff>
    </xdr:from>
    <xdr:to>
      <xdr:col>28</xdr:col>
      <xdr:colOff>209550</xdr:colOff>
      <xdr:row>50</xdr:row>
      <xdr:rowOff>28575</xdr:rowOff>
    </xdr:to>
    <xdr:cxnSp macro="">
      <xdr:nvCxnSpPr>
        <xdr:cNvPr id="21" name="直線コネクタ 20">
          <a:extLst>
            <a:ext uri="{FF2B5EF4-FFF2-40B4-BE49-F238E27FC236}">
              <a16:creationId xmlns:a16="http://schemas.microsoft.com/office/drawing/2014/main" id="{1FA41767-A17D-4F7D-9719-CA7F295F73ED}"/>
            </a:ext>
          </a:extLst>
        </xdr:cNvPr>
        <xdr:cNvCxnSpPr/>
      </xdr:nvCxnSpPr>
      <xdr:spPr>
        <a:xfrm>
          <a:off x="5663274" y="9781226"/>
          <a:ext cx="947076" cy="2325049"/>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184179</xdr:colOff>
      <xdr:row>45</xdr:row>
      <xdr:rowOff>209027</xdr:rowOff>
    </xdr:from>
    <xdr:to>
      <xdr:col>27</xdr:col>
      <xdr:colOff>58615</xdr:colOff>
      <xdr:row>45</xdr:row>
      <xdr:rowOff>209027</xdr:rowOff>
    </xdr:to>
    <xdr:cxnSp macro="">
      <xdr:nvCxnSpPr>
        <xdr:cNvPr id="22" name="直線コネクタ 21">
          <a:extLst>
            <a:ext uri="{FF2B5EF4-FFF2-40B4-BE49-F238E27FC236}">
              <a16:creationId xmlns:a16="http://schemas.microsoft.com/office/drawing/2014/main" id="{13D2A472-BA9D-421D-8480-5DED319365BA}"/>
            </a:ext>
          </a:extLst>
        </xdr:cNvPr>
        <xdr:cNvCxnSpPr/>
      </xdr:nvCxnSpPr>
      <xdr:spPr>
        <a:xfrm>
          <a:off x="5408275" y="11001585"/>
          <a:ext cx="782975"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18</xdr:col>
      <xdr:colOff>180975</xdr:colOff>
      <xdr:row>45</xdr:row>
      <xdr:rowOff>215950</xdr:rowOff>
    </xdr:from>
    <xdr:to>
      <xdr:col>23</xdr:col>
      <xdr:colOff>197112</xdr:colOff>
      <xdr:row>50</xdr:row>
      <xdr:rowOff>9525</xdr:rowOff>
    </xdr:to>
    <xdr:cxnSp macro="">
      <xdr:nvCxnSpPr>
        <xdr:cNvPr id="24" name="直線コネクタ 23">
          <a:extLst>
            <a:ext uri="{FF2B5EF4-FFF2-40B4-BE49-F238E27FC236}">
              <a16:creationId xmlns:a16="http://schemas.microsoft.com/office/drawing/2014/main" id="{A5C6A8A8-C8AE-4B88-B6C9-A599F63BCAEA}"/>
            </a:ext>
          </a:extLst>
        </xdr:cNvPr>
        <xdr:cNvCxnSpPr/>
      </xdr:nvCxnSpPr>
      <xdr:spPr>
        <a:xfrm flipH="1">
          <a:off x="4295775" y="10893475"/>
          <a:ext cx="1159137" cy="99372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18</xdr:col>
      <xdr:colOff>161925</xdr:colOff>
      <xdr:row>50</xdr:row>
      <xdr:rowOff>32931</xdr:rowOff>
    </xdr:from>
    <xdr:to>
      <xdr:col>28</xdr:col>
      <xdr:colOff>200025</xdr:colOff>
      <xdr:row>50</xdr:row>
      <xdr:rowOff>32931</xdr:rowOff>
    </xdr:to>
    <xdr:cxnSp macro="">
      <xdr:nvCxnSpPr>
        <xdr:cNvPr id="25" name="直線コネクタ 24">
          <a:extLst>
            <a:ext uri="{FF2B5EF4-FFF2-40B4-BE49-F238E27FC236}">
              <a16:creationId xmlns:a16="http://schemas.microsoft.com/office/drawing/2014/main" id="{1813AD2D-1932-4B9C-9897-7E4961A7BF0A}"/>
            </a:ext>
          </a:extLst>
        </xdr:cNvPr>
        <xdr:cNvCxnSpPr/>
      </xdr:nvCxnSpPr>
      <xdr:spPr>
        <a:xfrm>
          <a:off x="4276725" y="12110631"/>
          <a:ext cx="2324100"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193853</xdr:colOff>
      <xdr:row>40</xdr:row>
      <xdr:rowOff>115152</xdr:rowOff>
    </xdr:from>
    <xdr:to>
      <xdr:col>24</xdr:col>
      <xdr:colOff>186648</xdr:colOff>
      <xdr:row>40</xdr:row>
      <xdr:rowOff>115152</xdr:rowOff>
    </xdr:to>
    <xdr:cxnSp macro="">
      <xdr:nvCxnSpPr>
        <xdr:cNvPr id="26" name="直線コネクタ 25">
          <a:extLst>
            <a:ext uri="{FF2B5EF4-FFF2-40B4-BE49-F238E27FC236}">
              <a16:creationId xmlns:a16="http://schemas.microsoft.com/office/drawing/2014/main" id="{FE02BB14-49A1-406F-A14B-6CD8E8194FD5}"/>
            </a:ext>
          </a:extLst>
        </xdr:cNvPr>
        <xdr:cNvCxnSpPr/>
      </xdr:nvCxnSpPr>
      <xdr:spPr>
        <a:xfrm>
          <a:off x="5170666" y="8675746"/>
          <a:ext cx="219013"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195403</xdr:colOff>
      <xdr:row>40</xdr:row>
      <xdr:rowOff>113351</xdr:rowOff>
    </xdr:from>
    <xdr:to>
      <xdr:col>23</xdr:col>
      <xdr:colOff>195403</xdr:colOff>
      <xdr:row>50</xdr:row>
      <xdr:rowOff>14654</xdr:rowOff>
    </xdr:to>
    <xdr:cxnSp macro="">
      <xdr:nvCxnSpPr>
        <xdr:cNvPr id="27" name="直線コネクタ 26">
          <a:extLst>
            <a:ext uri="{FF2B5EF4-FFF2-40B4-BE49-F238E27FC236}">
              <a16:creationId xmlns:a16="http://schemas.microsoft.com/office/drawing/2014/main" id="{766D5BD4-0E60-4642-ABB4-2D9138904A28}"/>
            </a:ext>
          </a:extLst>
        </xdr:cNvPr>
        <xdr:cNvCxnSpPr/>
      </xdr:nvCxnSpPr>
      <xdr:spPr>
        <a:xfrm>
          <a:off x="5419499" y="9682313"/>
          <a:ext cx="0" cy="2341168"/>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23</xdr:col>
      <xdr:colOff>206271</xdr:colOff>
      <xdr:row>43</xdr:row>
      <xdr:rowOff>180551</xdr:rowOff>
    </xdr:from>
    <xdr:to>
      <xdr:col>34</xdr:col>
      <xdr:colOff>164807</xdr:colOff>
      <xdr:row>43</xdr:row>
      <xdr:rowOff>180551</xdr:rowOff>
    </xdr:to>
    <xdr:cxnSp macro="">
      <xdr:nvCxnSpPr>
        <xdr:cNvPr id="33" name="直線コネクタ 32">
          <a:extLst>
            <a:ext uri="{FF2B5EF4-FFF2-40B4-BE49-F238E27FC236}">
              <a16:creationId xmlns:a16="http://schemas.microsoft.com/office/drawing/2014/main" id="{CDD0FE9E-9585-4355-91F7-7673589013DB}"/>
            </a:ext>
          </a:extLst>
        </xdr:cNvPr>
        <xdr:cNvCxnSpPr/>
      </xdr:nvCxnSpPr>
      <xdr:spPr>
        <a:xfrm>
          <a:off x="5183084" y="9455520"/>
          <a:ext cx="2446942"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204206</xdr:colOff>
      <xdr:row>41</xdr:row>
      <xdr:rowOff>115141</xdr:rowOff>
    </xdr:from>
    <xdr:to>
      <xdr:col>34</xdr:col>
      <xdr:colOff>164807</xdr:colOff>
      <xdr:row>41</xdr:row>
      <xdr:rowOff>115141</xdr:rowOff>
    </xdr:to>
    <xdr:cxnSp macro="">
      <xdr:nvCxnSpPr>
        <xdr:cNvPr id="34" name="直線コネクタ 33">
          <a:extLst>
            <a:ext uri="{FF2B5EF4-FFF2-40B4-BE49-F238E27FC236}">
              <a16:creationId xmlns:a16="http://schemas.microsoft.com/office/drawing/2014/main" id="{7042741A-1832-493E-99D3-A9E552EE3478}"/>
            </a:ext>
          </a:extLst>
        </xdr:cNvPr>
        <xdr:cNvCxnSpPr/>
      </xdr:nvCxnSpPr>
      <xdr:spPr>
        <a:xfrm>
          <a:off x="5181019" y="8913860"/>
          <a:ext cx="244900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210061</xdr:colOff>
      <xdr:row>41</xdr:row>
      <xdr:rowOff>110687</xdr:rowOff>
    </xdr:from>
    <xdr:to>
      <xdr:col>25</xdr:col>
      <xdr:colOff>44559</xdr:colOff>
      <xdr:row>43</xdr:row>
      <xdr:rowOff>185279</xdr:rowOff>
    </xdr:to>
    <xdr:cxnSp macro="">
      <xdr:nvCxnSpPr>
        <xdr:cNvPr id="37" name="直線コネクタ 36">
          <a:extLst>
            <a:ext uri="{FF2B5EF4-FFF2-40B4-BE49-F238E27FC236}">
              <a16:creationId xmlns:a16="http://schemas.microsoft.com/office/drawing/2014/main" id="{F146E769-F5F5-E462-FEB8-DDB528082F7C}"/>
            </a:ext>
          </a:extLst>
        </xdr:cNvPr>
        <xdr:cNvCxnSpPr/>
      </xdr:nvCxnSpPr>
      <xdr:spPr>
        <a:xfrm flipV="1">
          <a:off x="5186874" y="8909406"/>
          <a:ext cx="286935" cy="550842"/>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205154</xdr:colOff>
      <xdr:row>43</xdr:row>
      <xdr:rowOff>196912</xdr:rowOff>
    </xdr:from>
    <xdr:to>
      <xdr:col>26</xdr:col>
      <xdr:colOff>37991</xdr:colOff>
      <xdr:row>45</xdr:row>
      <xdr:rowOff>205154</xdr:rowOff>
    </xdr:to>
    <xdr:cxnSp macro="">
      <xdr:nvCxnSpPr>
        <xdr:cNvPr id="41" name="直線コネクタ 40">
          <a:extLst>
            <a:ext uri="{FF2B5EF4-FFF2-40B4-BE49-F238E27FC236}">
              <a16:creationId xmlns:a16="http://schemas.microsoft.com/office/drawing/2014/main" id="{D430A86E-6C8A-33C1-34B6-E3B33A5BB4B2}"/>
            </a:ext>
          </a:extLst>
        </xdr:cNvPr>
        <xdr:cNvCxnSpPr/>
      </xdr:nvCxnSpPr>
      <xdr:spPr>
        <a:xfrm flipV="1">
          <a:off x="5429250" y="10491239"/>
          <a:ext cx="514241" cy="506473"/>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224796</xdr:colOff>
      <xdr:row>45</xdr:row>
      <xdr:rowOff>219807</xdr:rowOff>
    </xdr:from>
    <xdr:to>
      <xdr:col>27</xdr:col>
      <xdr:colOff>58615</xdr:colOff>
      <xdr:row>50</xdr:row>
      <xdr:rowOff>9211</xdr:rowOff>
    </xdr:to>
    <xdr:cxnSp macro="">
      <xdr:nvCxnSpPr>
        <xdr:cNvPr id="44" name="直線コネクタ 43">
          <a:extLst>
            <a:ext uri="{FF2B5EF4-FFF2-40B4-BE49-F238E27FC236}">
              <a16:creationId xmlns:a16="http://schemas.microsoft.com/office/drawing/2014/main" id="{29208D0C-69EC-EF53-D176-AFBF32D5B0A4}"/>
            </a:ext>
          </a:extLst>
        </xdr:cNvPr>
        <xdr:cNvCxnSpPr/>
      </xdr:nvCxnSpPr>
      <xdr:spPr>
        <a:xfrm flipV="1">
          <a:off x="5448892" y="11012365"/>
          <a:ext cx="742358" cy="1005673"/>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29</xdr:col>
      <xdr:colOff>77504</xdr:colOff>
      <xdr:row>43</xdr:row>
      <xdr:rowOff>183774</xdr:rowOff>
    </xdr:from>
    <xdr:to>
      <xdr:col>29</xdr:col>
      <xdr:colOff>77504</xdr:colOff>
      <xdr:row>50</xdr:row>
      <xdr:rowOff>65942</xdr:rowOff>
    </xdr:to>
    <xdr:cxnSp macro="">
      <xdr:nvCxnSpPr>
        <xdr:cNvPr id="46" name="直線コネクタ 45">
          <a:extLst>
            <a:ext uri="{FF2B5EF4-FFF2-40B4-BE49-F238E27FC236}">
              <a16:creationId xmlns:a16="http://schemas.microsoft.com/office/drawing/2014/main" id="{105840C2-D32A-4F19-5F2D-49CCA6BCFE73}"/>
            </a:ext>
          </a:extLst>
        </xdr:cNvPr>
        <xdr:cNvCxnSpPr/>
      </xdr:nvCxnSpPr>
      <xdr:spPr>
        <a:xfrm>
          <a:off x="6706904" y="10566024"/>
          <a:ext cx="0" cy="1577618"/>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86080</xdr:colOff>
      <xdr:row>45</xdr:row>
      <xdr:rowOff>205154</xdr:rowOff>
    </xdr:from>
    <xdr:to>
      <xdr:col>31</xdr:col>
      <xdr:colOff>160460</xdr:colOff>
      <xdr:row>50</xdr:row>
      <xdr:rowOff>45189</xdr:rowOff>
    </xdr:to>
    <xdr:cxnSp macro="">
      <xdr:nvCxnSpPr>
        <xdr:cNvPr id="48" name="直線コネクタ 47">
          <a:extLst>
            <a:ext uri="{FF2B5EF4-FFF2-40B4-BE49-F238E27FC236}">
              <a16:creationId xmlns:a16="http://schemas.microsoft.com/office/drawing/2014/main" id="{23CE19F5-BF26-41F4-AAD4-384E7FC7D59B}"/>
            </a:ext>
          </a:extLst>
        </xdr:cNvPr>
        <xdr:cNvCxnSpPr/>
      </xdr:nvCxnSpPr>
      <xdr:spPr>
        <a:xfrm flipH="1">
          <a:off x="6715480" y="11082704"/>
          <a:ext cx="531580" cy="104018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69525</xdr:colOff>
      <xdr:row>43</xdr:row>
      <xdr:rowOff>179388</xdr:rowOff>
    </xdr:from>
    <xdr:to>
      <xdr:col>31</xdr:col>
      <xdr:colOff>153133</xdr:colOff>
      <xdr:row>45</xdr:row>
      <xdr:rowOff>216252</xdr:rowOff>
    </xdr:to>
    <xdr:cxnSp macro="">
      <xdr:nvCxnSpPr>
        <xdr:cNvPr id="51" name="直線コネクタ 50">
          <a:extLst>
            <a:ext uri="{FF2B5EF4-FFF2-40B4-BE49-F238E27FC236}">
              <a16:creationId xmlns:a16="http://schemas.microsoft.com/office/drawing/2014/main" id="{67746E6C-9FB4-4F55-B0DA-26ED40CDEC4C}"/>
            </a:ext>
          </a:extLst>
        </xdr:cNvPr>
        <xdr:cNvCxnSpPr/>
      </xdr:nvCxnSpPr>
      <xdr:spPr>
        <a:xfrm flipH="1" flipV="1">
          <a:off x="6698925" y="10561638"/>
          <a:ext cx="540808" cy="532164"/>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86263</xdr:colOff>
      <xdr:row>45</xdr:row>
      <xdr:rowOff>219518</xdr:rowOff>
    </xdr:from>
    <xdr:to>
      <xdr:col>31</xdr:col>
      <xdr:colOff>160460</xdr:colOff>
      <xdr:row>45</xdr:row>
      <xdr:rowOff>219518</xdr:rowOff>
    </xdr:to>
    <xdr:cxnSp macro="">
      <xdr:nvCxnSpPr>
        <xdr:cNvPr id="54" name="直線コネクタ 53">
          <a:extLst>
            <a:ext uri="{FF2B5EF4-FFF2-40B4-BE49-F238E27FC236}">
              <a16:creationId xmlns:a16="http://schemas.microsoft.com/office/drawing/2014/main" id="{25047189-7A2E-987B-62AE-5EB9B4B2A051}"/>
            </a:ext>
          </a:extLst>
        </xdr:cNvPr>
        <xdr:cNvCxnSpPr/>
      </xdr:nvCxnSpPr>
      <xdr:spPr>
        <a:xfrm>
          <a:off x="6715663" y="11097068"/>
          <a:ext cx="531397"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138109</xdr:colOff>
      <xdr:row>41</xdr:row>
      <xdr:rowOff>97595</xdr:rowOff>
    </xdr:from>
    <xdr:to>
      <xdr:col>24</xdr:col>
      <xdr:colOff>198322</xdr:colOff>
      <xdr:row>42</xdr:row>
      <xdr:rowOff>121680</xdr:rowOff>
    </xdr:to>
    <xdr:sp macro="" textlink="">
      <xdr:nvSpPr>
        <xdr:cNvPr id="58" name="テキスト ボックス 57">
          <a:extLst>
            <a:ext uri="{FF2B5EF4-FFF2-40B4-BE49-F238E27FC236}">
              <a16:creationId xmlns:a16="http://schemas.microsoft.com/office/drawing/2014/main" id="{14A70202-A404-896A-1056-A437E373703A}"/>
            </a:ext>
          </a:extLst>
        </xdr:cNvPr>
        <xdr:cNvSpPr txBox="1"/>
      </xdr:nvSpPr>
      <xdr:spPr>
        <a:xfrm>
          <a:off x="5114922" y="8896314"/>
          <a:ext cx="286431" cy="262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24</xdr:col>
      <xdr:colOff>93357</xdr:colOff>
      <xdr:row>42</xdr:row>
      <xdr:rowOff>98572</xdr:rowOff>
    </xdr:from>
    <xdr:to>
      <xdr:col>25</xdr:col>
      <xdr:colOff>159752</xdr:colOff>
      <xdr:row>43</xdr:row>
      <xdr:rowOff>113425</xdr:rowOff>
    </xdr:to>
    <xdr:sp macro="" textlink="">
      <xdr:nvSpPr>
        <xdr:cNvPr id="59" name="テキスト ボックス 58">
          <a:extLst>
            <a:ext uri="{FF2B5EF4-FFF2-40B4-BE49-F238E27FC236}">
              <a16:creationId xmlns:a16="http://schemas.microsoft.com/office/drawing/2014/main" id="{2D8AC1E7-107F-0854-63E5-66EDAEFB1766}"/>
            </a:ext>
          </a:extLst>
        </xdr:cNvPr>
        <xdr:cNvSpPr txBox="1"/>
      </xdr:nvSpPr>
      <xdr:spPr>
        <a:xfrm>
          <a:off x="5296388" y="9135416"/>
          <a:ext cx="292614" cy="252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23</xdr:col>
      <xdr:colOff>185005</xdr:colOff>
      <xdr:row>43</xdr:row>
      <xdr:rowOff>227158</xdr:rowOff>
    </xdr:from>
    <xdr:to>
      <xdr:col>25</xdr:col>
      <xdr:colOff>23358</xdr:colOff>
      <xdr:row>44</xdr:row>
      <xdr:rowOff>230559</xdr:rowOff>
    </xdr:to>
    <xdr:sp macro="" textlink="">
      <xdr:nvSpPr>
        <xdr:cNvPr id="60" name="テキスト ボックス 59">
          <a:extLst>
            <a:ext uri="{FF2B5EF4-FFF2-40B4-BE49-F238E27FC236}">
              <a16:creationId xmlns:a16="http://schemas.microsoft.com/office/drawing/2014/main" id="{B74CB08B-3A87-A3EF-BAFF-B944EE33A7F8}"/>
            </a:ext>
          </a:extLst>
        </xdr:cNvPr>
        <xdr:cNvSpPr txBox="1"/>
      </xdr:nvSpPr>
      <xdr:spPr>
        <a:xfrm>
          <a:off x="5409101" y="10521485"/>
          <a:ext cx="292622" cy="259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25</xdr:col>
      <xdr:colOff>47086</xdr:colOff>
      <xdr:row>44</xdr:row>
      <xdr:rowOff>124860</xdr:rowOff>
    </xdr:from>
    <xdr:to>
      <xdr:col>26</xdr:col>
      <xdr:colOff>108611</xdr:colOff>
      <xdr:row>45</xdr:row>
      <xdr:rowOff>144517</xdr:rowOff>
    </xdr:to>
    <xdr:sp macro="" textlink="">
      <xdr:nvSpPr>
        <xdr:cNvPr id="61" name="テキスト ボックス 60">
          <a:extLst>
            <a:ext uri="{FF2B5EF4-FFF2-40B4-BE49-F238E27FC236}">
              <a16:creationId xmlns:a16="http://schemas.microsoft.com/office/drawing/2014/main" id="{7F5D9E77-6101-D657-0DF7-5E2B2266C3E7}"/>
            </a:ext>
          </a:extLst>
        </xdr:cNvPr>
        <xdr:cNvSpPr txBox="1"/>
      </xdr:nvSpPr>
      <xdr:spPr>
        <a:xfrm>
          <a:off x="5725451" y="10675629"/>
          <a:ext cx="288660" cy="261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24</xdr:col>
      <xdr:colOff>17649</xdr:colOff>
      <xdr:row>46</xdr:row>
      <xdr:rowOff>124122</xdr:rowOff>
    </xdr:from>
    <xdr:to>
      <xdr:col>25</xdr:col>
      <xdr:colOff>82962</xdr:colOff>
      <xdr:row>47</xdr:row>
      <xdr:rowOff>129950</xdr:rowOff>
    </xdr:to>
    <xdr:sp macro="" textlink="">
      <xdr:nvSpPr>
        <xdr:cNvPr id="62" name="テキスト ボックス 61">
          <a:extLst>
            <a:ext uri="{FF2B5EF4-FFF2-40B4-BE49-F238E27FC236}">
              <a16:creationId xmlns:a16="http://schemas.microsoft.com/office/drawing/2014/main" id="{6D149CC0-2716-F33C-8ECE-229D2243B8E0}"/>
            </a:ext>
          </a:extLst>
        </xdr:cNvPr>
        <xdr:cNvSpPr txBox="1"/>
      </xdr:nvSpPr>
      <xdr:spPr>
        <a:xfrm>
          <a:off x="5468880" y="11158468"/>
          <a:ext cx="292447" cy="247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26</xdr:col>
      <xdr:colOff>231</xdr:colOff>
      <xdr:row>48</xdr:row>
      <xdr:rowOff>18560</xdr:rowOff>
    </xdr:from>
    <xdr:to>
      <xdr:col>27</xdr:col>
      <xdr:colOff>64925</xdr:colOff>
      <xdr:row>49</xdr:row>
      <xdr:rowOff>29396</xdr:rowOff>
    </xdr:to>
    <xdr:sp macro="" textlink="">
      <xdr:nvSpPr>
        <xdr:cNvPr id="63" name="テキスト ボックス 62">
          <a:extLst>
            <a:ext uri="{FF2B5EF4-FFF2-40B4-BE49-F238E27FC236}">
              <a16:creationId xmlns:a16="http://schemas.microsoft.com/office/drawing/2014/main" id="{F024B5F5-C5F3-52C0-5753-E48B533E73A9}"/>
            </a:ext>
          </a:extLst>
        </xdr:cNvPr>
        <xdr:cNvSpPr txBox="1"/>
      </xdr:nvSpPr>
      <xdr:spPr>
        <a:xfrm>
          <a:off x="5943831" y="11610485"/>
          <a:ext cx="293294" cy="248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p>
      </xdr:txBody>
    </xdr:sp>
    <xdr:clientData/>
  </xdr:twoCellAnchor>
  <xdr:twoCellAnchor>
    <xdr:from>
      <xdr:col>29</xdr:col>
      <xdr:colOff>94436</xdr:colOff>
      <xdr:row>44</xdr:row>
      <xdr:rowOff>150191</xdr:rowOff>
    </xdr:from>
    <xdr:to>
      <xdr:col>30</xdr:col>
      <xdr:colOff>156343</xdr:colOff>
      <xdr:row>45</xdr:row>
      <xdr:rowOff>181958</xdr:rowOff>
    </xdr:to>
    <xdr:sp macro="" textlink="">
      <xdr:nvSpPr>
        <xdr:cNvPr id="64" name="テキスト ボックス 63">
          <a:extLst>
            <a:ext uri="{FF2B5EF4-FFF2-40B4-BE49-F238E27FC236}">
              <a16:creationId xmlns:a16="http://schemas.microsoft.com/office/drawing/2014/main" id="{E2843795-6899-400D-D494-9C6766D2078B}"/>
            </a:ext>
          </a:extLst>
        </xdr:cNvPr>
        <xdr:cNvSpPr txBox="1"/>
      </xdr:nvSpPr>
      <xdr:spPr>
        <a:xfrm>
          <a:off x="6723836" y="10789616"/>
          <a:ext cx="290507" cy="269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⑦</a:t>
          </a:r>
        </a:p>
      </xdr:txBody>
    </xdr:sp>
    <xdr:clientData/>
  </xdr:twoCellAnchor>
  <xdr:twoCellAnchor>
    <xdr:from>
      <xdr:col>29</xdr:col>
      <xdr:colOff>119752</xdr:colOff>
      <xdr:row>46</xdr:row>
      <xdr:rowOff>104241</xdr:rowOff>
    </xdr:from>
    <xdr:to>
      <xdr:col>30</xdr:col>
      <xdr:colOff>182742</xdr:colOff>
      <xdr:row>47</xdr:row>
      <xdr:rowOff>122644</xdr:rowOff>
    </xdr:to>
    <xdr:sp macro="" textlink="">
      <xdr:nvSpPr>
        <xdr:cNvPr id="65" name="テキスト ボックス 64">
          <a:extLst>
            <a:ext uri="{FF2B5EF4-FFF2-40B4-BE49-F238E27FC236}">
              <a16:creationId xmlns:a16="http://schemas.microsoft.com/office/drawing/2014/main" id="{89738C47-12BE-371E-AD54-7BF0C5B32B75}"/>
            </a:ext>
          </a:extLst>
        </xdr:cNvPr>
        <xdr:cNvSpPr txBox="1"/>
      </xdr:nvSpPr>
      <xdr:spPr>
        <a:xfrm>
          <a:off x="6749152" y="11219916"/>
          <a:ext cx="291590" cy="2565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⑧</a:t>
          </a:r>
        </a:p>
      </xdr:txBody>
    </xdr:sp>
    <xdr:clientData/>
  </xdr:twoCellAnchor>
  <xdr:twoCellAnchor>
    <xdr:from>
      <xdr:col>22</xdr:col>
      <xdr:colOff>30000</xdr:colOff>
      <xdr:row>47</xdr:row>
      <xdr:rowOff>237533</xdr:rowOff>
    </xdr:from>
    <xdr:to>
      <xdr:col>23</xdr:col>
      <xdr:colOff>95312</xdr:colOff>
      <xdr:row>48</xdr:row>
      <xdr:rowOff>240212</xdr:rowOff>
    </xdr:to>
    <xdr:sp macro="" textlink="">
      <xdr:nvSpPr>
        <xdr:cNvPr id="66" name="テキスト ボックス 65">
          <a:extLst>
            <a:ext uri="{FF2B5EF4-FFF2-40B4-BE49-F238E27FC236}">
              <a16:creationId xmlns:a16="http://schemas.microsoft.com/office/drawing/2014/main" id="{E9AD7595-3F4F-41DA-4BC0-D0D00379BEFC}"/>
            </a:ext>
          </a:extLst>
        </xdr:cNvPr>
        <xdr:cNvSpPr txBox="1"/>
      </xdr:nvSpPr>
      <xdr:spPr>
        <a:xfrm>
          <a:off x="5026962" y="11513668"/>
          <a:ext cx="292446" cy="244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⑨</a:t>
          </a:r>
        </a:p>
      </xdr:txBody>
    </xdr:sp>
    <xdr:clientData/>
  </xdr:twoCellAnchor>
  <xdr:twoCellAnchor>
    <xdr:from>
      <xdr:col>32</xdr:col>
      <xdr:colOff>109282</xdr:colOff>
      <xdr:row>40</xdr:row>
      <xdr:rowOff>101426</xdr:rowOff>
    </xdr:from>
    <xdr:to>
      <xdr:col>34</xdr:col>
      <xdr:colOff>201385</xdr:colOff>
      <xdr:row>41</xdr:row>
      <xdr:rowOff>112660</xdr:rowOff>
    </xdr:to>
    <xdr:sp macro="" textlink="">
      <xdr:nvSpPr>
        <xdr:cNvPr id="32" name="テキスト ボックス 31">
          <a:extLst>
            <a:ext uri="{FF2B5EF4-FFF2-40B4-BE49-F238E27FC236}">
              <a16:creationId xmlns:a16="http://schemas.microsoft.com/office/drawing/2014/main" id="{54689311-75C2-CA56-4EF0-7656D763F4BE}"/>
            </a:ext>
          </a:extLst>
        </xdr:cNvPr>
        <xdr:cNvSpPr txBox="1"/>
      </xdr:nvSpPr>
      <xdr:spPr>
        <a:xfrm>
          <a:off x="7122063" y="8662020"/>
          <a:ext cx="544541" cy="249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a:t>
          </a:r>
        </a:p>
      </xdr:txBody>
    </xdr:sp>
    <xdr:clientData/>
  </xdr:twoCellAnchor>
  <xdr:twoCellAnchor>
    <xdr:from>
      <xdr:col>32</xdr:col>
      <xdr:colOff>118996</xdr:colOff>
      <xdr:row>41</xdr:row>
      <xdr:rowOff>231257</xdr:rowOff>
    </xdr:from>
    <xdr:to>
      <xdr:col>34</xdr:col>
      <xdr:colOff>215485</xdr:colOff>
      <xdr:row>43</xdr:row>
      <xdr:rowOff>8057</xdr:rowOff>
    </xdr:to>
    <xdr:sp macro="" textlink="">
      <xdr:nvSpPr>
        <xdr:cNvPr id="35" name="テキスト ボックス 34">
          <a:extLst>
            <a:ext uri="{FF2B5EF4-FFF2-40B4-BE49-F238E27FC236}">
              <a16:creationId xmlns:a16="http://schemas.microsoft.com/office/drawing/2014/main" id="{9A51EA95-73D8-630B-1352-F3D5BB04C1F6}"/>
            </a:ext>
          </a:extLst>
        </xdr:cNvPr>
        <xdr:cNvSpPr txBox="1"/>
      </xdr:nvSpPr>
      <xdr:spPr>
        <a:xfrm>
          <a:off x="7131777" y="9029976"/>
          <a:ext cx="548927" cy="25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a:t>
          </a:r>
        </a:p>
      </xdr:txBody>
    </xdr:sp>
    <xdr:clientData/>
  </xdr:twoCellAnchor>
  <xdr:twoCellAnchor>
    <xdr:from>
      <xdr:col>32</xdr:col>
      <xdr:colOff>212480</xdr:colOff>
      <xdr:row>48</xdr:row>
      <xdr:rowOff>10251</xdr:rowOff>
    </xdr:from>
    <xdr:to>
      <xdr:col>34</xdr:col>
      <xdr:colOff>161024</xdr:colOff>
      <xdr:row>48</xdr:row>
      <xdr:rowOff>10251</xdr:rowOff>
    </xdr:to>
    <xdr:cxnSp macro="">
      <xdr:nvCxnSpPr>
        <xdr:cNvPr id="43" name="直線コネクタ 42">
          <a:extLst>
            <a:ext uri="{FF2B5EF4-FFF2-40B4-BE49-F238E27FC236}">
              <a16:creationId xmlns:a16="http://schemas.microsoft.com/office/drawing/2014/main" id="{9C68E1A2-B6B6-D99B-EA0C-DE3261C52FDC}"/>
            </a:ext>
          </a:extLst>
        </xdr:cNvPr>
        <xdr:cNvCxnSpPr/>
      </xdr:nvCxnSpPr>
      <xdr:spPr>
        <a:xfrm>
          <a:off x="7480788" y="11528174"/>
          <a:ext cx="402813"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32</xdr:col>
      <xdr:colOff>118996</xdr:colOff>
      <xdr:row>45</xdr:row>
      <xdr:rowOff>90071</xdr:rowOff>
    </xdr:from>
    <xdr:to>
      <xdr:col>34</xdr:col>
      <xdr:colOff>215485</xdr:colOff>
      <xdr:row>46</xdr:row>
      <xdr:rowOff>98743</xdr:rowOff>
    </xdr:to>
    <xdr:sp macro="" textlink="">
      <xdr:nvSpPr>
        <xdr:cNvPr id="45" name="テキスト ボックス 44">
          <a:extLst>
            <a:ext uri="{FF2B5EF4-FFF2-40B4-BE49-F238E27FC236}">
              <a16:creationId xmlns:a16="http://schemas.microsoft.com/office/drawing/2014/main" id="{89F4094F-4A46-A0D6-661E-8176098F52AF}"/>
            </a:ext>
          </a:extLst>
        </xdr:cNvPr>
        <xdr:cNvSpPr txBox="1"/>
      </xdr:nvSpPr>
      <xdr:spPr>
        <a:xfrm>
          <a:off x="7131777" y="9865102"/>
          <a:ext cx="548927" cy="246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a:t>
          </a:r>
        </a:p>
      </xdr:txBody>
    </xdr:sp>
    <xdr:clientData/>
  </xdr:twoCellAnchor>
  <xdr:twoCellAnchor>
    <xdr:from>
      <xdr:col>32</xdr:col>
      <xdr:colOff>118996</xdr:colOff>
      <xdr:row>49</xdr:row>
      <xdr:rowOff>204325</xdr:rowOff>
    </xdr:from>
    <xdr:to>
      <xdr:col>34</xdr:col>
      <xdr:colOff>215485</xdr:colOff>
      <xdr:row>50</xdr:row>
      <xdr:rowOff>202283</xdr:rowOff>
    </xdr:to>
    <xdr:sp macro="" textlink="">
      <xdr:nvSpPr>
        <xdr:cNvPr id="47" name="テキスト ボックス 46">
          <a:extLst>
            <a:ext uri="{FF2B5EF4-FFF2-40B4-BE49-F238E27FC236}">
              <a16:creationId xmlns:a16="http://schemas.microsoft.com/office/drawing/2014/main" id="{F4B8A1B4-D909-48FD-CADF-3E78854FA9AA}"/>
            </a:ext>
          </a:extLst>
        </xdr:cNvPr>
        <xdr:cNvSpPr txBox="1"/>
      </xdr:nvSpPr>
      <xdr:spPr>
        <a:xfrm>
          <a:off x="7131777" y="10931856"/>
          <a:ext cx="548927" cy="247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a:t>
          </a:r>
        </a:p>
      </xdr:txBody>
    </xdr:sp>
    <xdr:clientData/>
  </xdr:twoCellAnchor>
  <xdr:twoCellAnchor>
    <xdr:from>
      <xdr:col>19</xdr:col>
      <xdr:colOff>51932</xdr:colOff>
      <xdr:row>41</xdr:row>
      <xdr:rowOff>32593</xdr:rowOff>
    </xdr:from>
    <xdr:to>
      <xdr:col>23</xdr:col>
      <xdr:colOff>295</xdr:colOff>
      <xdr:row>41</xdr:row>
      <xdr:rowOff>32593</xdr:rowOff>
    </xdr:to>
    <xdr:cxnSp macro="">
      <xdr:nvCxnSpPr>
        <xdr:cNvPr id="2" name="直線コネクタ 1">
          <a:extLst>
            <a:ext uri="{FF2B5EF4-FFF2-40B4-BE49-F238E27FC236}">
              <a16:creationId xmlns:a16="http://schemas.microsoft.com/office/drawing/2014/main" id="{B3951F29-0F15-B37D-0228-4CEEA16EF567}"/>
            </a:ext>
          </a:extLst>
        </xdr:cNvPr>
        <xdr:cNvCxnSpPr/>
      </xdr:nvCxnSpPr>
      <xdr:spPr>
        <a:xfrm>
          <a:off x="4123870" y="8831312"/>
          <a:ext cx="85323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41906</xdr:colOff>
      <xdr:row>41</xdr:row>
      <xdr:rowOff>186914</xdr:rowOff>
    </xdr:from>
    <xdr:to>
      <xdr:col>22</xdr:col>
      <xdr:colOff>216488</xdr:colOff>
      <xdr:row>41</xdr:row>
      <xdr:rowOff>186914</xdr:rowOff>
    </xdr:to>
    <xdr:cxnSp macro="">
      <xdr:nvCxnSpPr>
        <xdr:cNvPr id="28" name="直線コネクタ 27">
          <a:extLst>
            <a:ext uri="{FF2B5EF4-FFF2-40B4-BE49-F238E27FC236}">
              <a16:creationId xmlns:a16="http://schemas.microsoft.com/office/drawing/2014/main" id="{FB3070F3-D89B-F0E2-B32A-13868FDC618D}"/>
            </a:ext>
          </a:extLst>
        </xdr:cNvPr>
        <xdr:cNvCxnSpPr/>
      </xdr:nvCxnSpPr>
      <xdr:spPr>
        <a:xfrm>
          <a:off x="4113844" y="8985633"/>
          <a:ext cx="85323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224509</xdr:colOff>
      <xdr:row>41</xdr:row>
      <xdr:rowOff>37489</xdr:rowOff>
    </xdr:from>
    <xdr:to>
      <xdr:col>22</xdr:col>
      <xdr:colOff>224509</xdr:colOff>
      <xdr:row>41</xdr:row>
      <xdr:rowOff>187299</xdr:rowOff>
    </xdr:to>
    <xdr:cxnSp macro="">
      <xdr:nvCxnSpPr>
        <xdr:cNvPr id="29" name="直線コネクタ 28">
          <a:extLst>
            <a:ext uri="{FF2B5EF4-FFF2-40B4-BE49-F238E27FC236}">
              <a16:creationId xmlns:a16="http://schemas.microsoft.com/office/drawing/2014/main" id="{8364523D-E7A5-15D9-C532-94DD95107DA9}"/>
            </a:ext>
          </a:extLst>
        </xdr:cNvPr>
        <xdr:cNvCxnSpPr/>
      </xdr:nvCxnSpPr>
      <xdr:spPr>
        <a:xfrm>
          <a:off x="4975103" y="8836208"/>
          <a:ext cx="0" cy="1498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25504</xdr:colOff>
      <xdr:row>41</xdr:row>
      <xdr:rowOff>27284</xdr:rowOff>
    </xdr:from>
    <xdr:to>
      <xdr:col>23</xdr:col>
      <xdr:colOff>25504</xdr:colOff>
      <xdr:row>41</xdr:row>
      <xdr:rowOff>201085</xdr:rowOff>
    </xdr:to>
    <xdr:cxnSp macro="">
      <xdr:nvCxnSpPr>
        <xdr:cNvPr id="36" name="直線コネクタ 35">
          <a:extLst>
            <a:ext uri="{FF2B5EF4-FFF2-40B4-BE49-F238E27FC236}">
              <a16:creationId xmlns:a16="http://schemas.microsoft.com/office/drawing/2014/main" id="{BBC87188-FF7D-C43C-6A1D-CEABFC0AE078}"/>
            </a:ext>
          </a:extLst>
        </xdr:cNvPr>
        <xdr:cNvCxnSpPr/>
      </xdr:nvCxnSpPr>
      <xdr:spPr>
        <a:xfrm>
          <a:off x="5002317" y="8826003"/>
          <a:ext cx="0" cy="1738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169462</xdr:colOff>
      <xdr:row>41</xdr:row>
      <xdr:rowOff>27284</xdr:rowOff>
    </xdr:from>
    <xdr:to>
      <xdr:col>23</xdr:col>
      <xdr:colOff>169462</xdr:colOff>
      <xdr:row>41</xdr:row>
      <xdr:rowOff>201085</xdr:rowOff>
    </xdr:to>
    <xdr:cxnSp macro="">
      <xdr:nvCxnSpPr>
        <xdr:cNvPr id="40" name="直線コネクタ 39">
          <a:extLst>
            <a:ext uri="{FF2B5EF4-FFF2-40B4-BE49-F238E27FC236}">
              <a16:creationId xmlns:a16="http://schemas.microsoft.com/office/drawing/2014/main" id="{D4871F4E-7EF2-B2A4-D4FA-BB02F7B18B39}"/>
            </a:ext>
          </a:extLst>
        </xdr:cNvPr>
        <xdr:cNvCxnSpPr/>
      </xdr:nvCxnSpPr>
      <xdr:spPr>
        <a:xfrm>
          <a:off x="5146275" y="8826003"/>
          <a:ext cx="0" cy="1738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24434</xdr:colOff>
      <xdr:row>41</xdr:row>
      <xdr:rowOff>116967</xdr:rowOff>
    </xdr:from>
    <xdr:to>
      <xdr:col>23</xdr:col>
      <xdr:colOff>164991</xdr:colOff>
      <xdr:row>41</xdr:row>
      <xdr:rowOff>116967</xdr:rowOff>
    </xdr:to>
    <xdr:cxnSp macro="">
      <xdr:nvCxnSpPr>
        <xdr:cNvPr id="42" name="直線コネクタ 41">
          <a:extLst>
            <a:ext uri="{FF2B5EF4-FFF2-40B4-BE49-F238E27FC236}">
              <a16:creationId xmlns:a16="http://schemas.microsoft.com/office/drawing/2014/main" id="{C75DFEB6-6D56-47CE-C724-E76FE2CE9A1A}"/>
            </a:ext>
          </a:extLst>
        </xdr:cNvPr>
        <xdr:cNvCxnSpPr/>
      </xdr:nvCxnSpPr>
      <xdr:spPr>
        <a:xfrm>
          <a:off x="5001247" y="8915686"/>
          <a:ext cx="14055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187963</xdr:colOff>
      <xdr:row>190</xdr:row>
      <xdr:rowOff>115089</xdr:rowOff>
    </xdr:from>
    <xdr:to>
      <xdr:col>34</xdr:col>
      <xdr:colOff>93540</xdr:colOff>
      <xdr:row>190</xdr:row>
      <xdr:rowOff>115089</xdr:rowOff>
    </xdr:to>
    <xdr:cxnSp macro="">
      <xdr:nvCxnSpPr>
        <xdr:cNvPr id="30" name="直線コネクタ 29">
          <a:extLst>
            <a:ext uri="{FF2B5EF4-FFF2-40B4-BE49-F238E27FC236}">
              <a16:creationId xmlns:a16="http://schemas.microsoft.com/office/drawing/2014/main" id="{546A01A5-61B4-44AA-B03C-11DF3A5BFB14}"/>
            </a:ext>
          </a:extLst>
        </xdr:cNvPr>
        <xdr:cNvCxnSpPr/>
      </xdr:nvCxnSpPr>
      <xdr:spPr>
        <a:xfrm>
          <a:off x="5445763" y="9582939"/>
          <a:ext cx="242017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217992</xdr:colOff>
      <xdr:row>198</xdr:row>
      <xdr:rowOff>25491</xdr:rowOff>
    </xdr:from>
    <xdr:to>
      <xdr:col>23</xdr:col>
      <xdr:colOff>169820</xdr:colOff>
      <xdr:row>198</xdr:row>
      <xdr:rowOff>25491</xdr:rowOff>
    </xdr:to>
    <xdr:cxnSp macro="">
      <xdr:nvCxnSpPr>
        <xdr:cNvPr id="31" name="直線コネクタ 30">
          <a:extLst>
            <a:ext uri="{FF2B5EF4-FFF2-40B4-BE49-F238E27FC236}">
              <a16:creationId xmlns:a16="http://schemas.microsoft.com/office/drawing/2014/main" id="{DA7393D4-B6EB-4A6E-A35D-2FB90F57CC2B}"/>
            </a:ext>
          </a:extLst>
        </xdr:cNvPr>
        <xdr:cNvCxnSpPr/>
      </xdr:nvCxnSpPr>
      <xdr:spPr>
        <a:xfrm>
          <a:off x="4561392" y="11417391"/>
          <a:ext cx="86622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39312</xdr:colOff>
      <xdr:row>198</xdr:row>
      <xdr:rowOff>33127</xdr:rowOff>
    </xdr:from>
    <xdr:to>
      <xdr:col>22</xdr:col>
      <xdr:colOff>132024</xdr:colOff>
      <xdr:row>198</xdr:row>
      <xdr:rowOff>132903</xdr:rowOff>
    </xdr:to>
    <xdr:cxnSp macro="">
      <xdr:nvCxnSpPr>
        <xdr:cNvPr id="38" name="直線コネクタ 37">
          <a:extLst>
            <a:ext uri="{FF2B5EF4-FFF2-40B4-BE49-F238E27FC236}">
              <a16:creationId xmlns:a16="http://schemas.microsoft.com/office/drawing/2014/main" id="{7F1A072F-D550-49A5-ABEC-A02F263BC4C3}"/>
            </a:ext>
          </a:extLst>
        </xdr:cNvPr>
        <xdr:cNvCxnSpPr/>
      </xdr:nvCxnSpPr>
      <xdr:spPr>
        <a:xfrm>
          <a:off x="5068512" y="11425027"/>
          <a:ext cx="92712" cy="9977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216805</xdr:colOff>
      <xdr:row>198</xdr:row>
      <xdr:rowOff>31568</xdr:rowOff>
    </xdr:from>
    <xdr:to>
      <xdr:col>22</xdr:col>
      <xdr:colOff>84706</xdr:colOff>
      <xdr:row>198</xdr:row>
      <xdr:rowOff>134747</xdr:rowOff>
    </xdr:to>
    <xdr:cxnSp macro="">
      <xdr:nvCxnSpPr>
        <xdr:cNvPr id="39" name="直線コネクタ 38">
          <a:extLst>
            <a:ext uri="{FF2B5EF4-FFF2-40B4-BE49-F238E27FC236}">
              <a16:creationId xmlns:a16="http://schemas.microsoft.com/office/drawing/2014/main" id="{3D588091-5DE7-4DC3-9FE3-9BEB4BFA47FA}"/>
            </a:ext>
          </a:extLst>
        </xdr:cNvPr>
        <xdr:cNvCxnSpPr/>
      </xdr:nvCxnSpPr>
      <xdr:spPr>
        <a:xfrm>
          <a:off x="5017405" y="11423468"/>
          <a:ext cx="96501" cy="10317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217720</xdr:colOff>
      <xdr:row>198</xdr:row>
      <xdr:rowOff>86132</xdr:rowOff>
    </xdr:from>
    <xdr:to>
      <xdr:col>22</xdr:col>
      <xdr:colOff>24565</xdr:colOff>
      <xdr:row>198</xdr:row>
      <xdr:rowOff>116858</xdr:rowOff>
    </xdr:to>
    <xdr:cxnSp macro="">
      <xdr:nvCxnSpPr>
        <xdr:cNvPr id="49" name="直線コネクタ 48">
          <a:extLst>
            <a:ext uri="{FF2B5EF4-FFF2-40B4-BE49-F238E27FC236}">
              <a16:creationId xmlns:a16="http://schemas.microsoft.com/office/drawing/2014/main" id="{9AF1A30A-A6C1-499C-BFB9-9CEA36600A70}"/>
            </a:ext>
          </a:extLst>
        </xdr:cNvPr>
        <xdr:cNvCxnSpPr/>
      </xdr:nvCxnSpPr>
      <xdr:spPr>
        <a:xfrm flipH="1">
          <a:off x="5018320" y="11478032"/>
          <a:ext cx="35445"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13193</xdr:colOff>
      <xdr:row>198</xdr:row>
      <xdr:rowOff>103330</xdr:rowOff>
    </xdr:from>
    <xdr:to>
      <xdr:col>22</xdr:col>
      <xdr:colOff>44849</xdr:colOff>
      <xdr:row>198</xdr:row>
      <xdr:rowOff>134057</xdr:rowOff>
    </xdr:to>
    <xdr:cxnSp macro="">
      <xdr:nvCxnSpPr>
        <xdr:cNvPr id="50" name="直線コネクタ 49">
          <a:extLst>
            <a:ext uri="{FF2B5EF4-FFF2-40B4-BE49-F238E27FC236}">
              <a16:creationId xmlns:a16="http://schemas.microsoft.com/office/drawing/2014/main" id="{6F1FC6B7-EEC0-4D22-A45D-746B2F8058A5}"/>
            </a:ext>
          </a:extLst>
        </xdr:cNvPr>
        <xdr:cNvCxnSpPr/>
      </xdr:nvCxnSpPr>
      <xdr:spPr>
        <a:xfrm flipH="1">
          <a:off x="5042393" y="11495230"/>
          <a:ext cx="31656" cy="3072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118327</xdr:colOff>
      <xdr:row>198</xdr:row>
      <xdr:rowOff>37594</xdr:rowOff>
    </xdr:from>
    <xdr:to>
      <xdr:col>21</xdr:col>
      <xdr:colOff>208692</xdr:colOff>
      <xdr:row>198</xdr:row>
      <xdr:rowOff>138298</xdr:rowOff>
    </xdr:to>
    <xdr:cxnSp macro="">
      <xdr:nvCxnSpPr>
        <xdr:cNvPr id="52" name="直線コネクタ 51">
          <a:extLst>
            <a:ext uri="{FF2B5EF4-FFF2-40B4-BE49-F238E27FC236}">
              <a16:creationId xmlns:a16="http://schemas.microsoft.com/office/drawing/2014/main" id="{E7E7682A-9875-420A-AC18-34BC16D5B2D3}"/>
            </a:ext>
          </a:extLst>
        </xdr:cNvPr>
        <xdr:cNvCxnSpPr/>
      </xdr:nvCxnSpPr>
      <xdr:spPr>
        <a:xfrm>
          <a:off x="4918927" y="11429494"/>
          <a:ext cx="90365" cy="10070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71009</xdr:colOff>
      <xdr:row>198</xdr:row>
      <xdr:rowOff>39438</xdr:rowOff>
    </xdr:from>
    <xdr:to>
      <xdr:col>21</xdr:col>
      <xdr:colOff>167558</xdr:colOff>
      <xdr:row>198</xdr:row>
      <xdr:rowOff>140142</xdr:rowOff>
    </xdr:to>
    <xdr:cxnSp macro="">
      <xdr:nvCxnSpPr>
        <xdr:cNvPr id="53" name="直線コネクタ 52">
          <a:extLst>
            <a:ext uri="{FF2B5EF4-FFF2-40B4-BE49-F238E27FC236}">
              <a16:creationId xmlns:a16="http://schemas.microsoft.com/office/drawing/2014/main" id="{4B0C2171-E97E-462A-9BB0-9C38C2B5BE6A}"/>
            </a:ext>
          </a:extLst>
        </xdr:cNvPr>
        <xdr:cNvCxnSpPr/>
      </xdr:nvCxnSpPr>
      <xdr:spPr>
        <a:xfrm>
          <a:off x="4871609" y="11431338"/>
          <a:ext cx="96549" cy="10070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71045</xdr:colOff>
      <xdr:row>198</xdr:row>
      <xdr:rowOff>94002</xdr:rowOff>
    </xdr:from>
    <xdr:to>
      <xdr:col>21</xdr:col>
      <xdr:colOff>101771</xdr:colOff>
      <xdr:row>198</xdr:row>
      <xdr:rowOff>124729</xdr:rowOff>
    </xdr:to>
    <xdr:cxnSp macro="">
      <xdr:nvCxnSpPr>
        <xdr:cNvPr id="55" name="直線コネクタ 54">
          <a:extLst>
            <a:ext uri="{FF2B5EF4-FFF2-40B4-BE49-F238E27FC236}">
              <a16:creationId xmlns:a16="http://schemas.microsoft.com/office/drawing/2014/main" id="{A7932112-28EB-481B-A6C1-5F3D35F8C21F}"/>
            </a:ext>
          </a:extLst>
        </xdr:cNvPr>
        <xdr:cNvCxnSpPr/>
      </xdr:nvCxnSpPr>
      <xdr:spPr>
        <a:xfrm flipH="1">
          <a:off x="4871645" y="11485902"/>
          <a:ext cx="30726" cy="3072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91329</xdr:colOff>
      <xdr:row>198</xdr:row>
      <xdr:rowOff>111200</xdr:rowOff>
    </xdr:from>
    <xdr:to>
      <xdr:col>21</xdr:col>
      <xdr:colOff>122055</xdr:colOff>
      <xdr:row>198</xdr:row>
      <xdr:rowOff>139452</xdr:rowOff>
    </xdr:to>
    <xdr:cxnSp macro="">
      <xdr:nvCxnSpPr>
        <xdr:cNvPr id="56" name="直線コネクタ 55">
          <a:extLst>
            <a:ext uri="{FF2B5EF4-FFF2-40B4-BE49-F238E27FC236}">
              <a16:creationId xmlns:a16="http://schemas.microsoft.com/office/drawing/2014/main" id="{BD58B291-3427-457B-8573-A832DE2C713A}"/>
            </a:ext>
          </a:extLst>
        </xdr:cNvPr>
        <xdr:cNvCxnSpPr/>
      </xdr:nvCxnSpPr>
      <xdr:spPr>
        <a:xfrm flipH="1">
          <a:off x="4891929" y="11503100"/>
          <a:ext cx="30726" cy="282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151571</xdr:colOff>
      <xdr:row>190</xdr:row>
      <xdr:rowOff>109858</xdr:rowOff>
    </xdr:from>
    <xdr:to>
      <xdr:col>28</xdr:col>
      <xdr:colOff>16171</xdr:colOff>
      <xdr:row>190</xdr:row>
      <xdr:rowOff>188166</xdr:rowOff>
    </xdr:to>
    <xdr:cxnSp macro="">
      <xdr:nvCxnSpPr>
        <xdr:cNvPr id="57" name="直線コネクタ 56">
          <a:extLst>
            <a:ext uri="{FF2B5EF4-FFF2-40B4-BE49-F238E27FC236}">
              <a16:creationId xmlns:a16="http://schemas.microsoft.com/office/drawing/2014/main" id="{71686359-CA7C-4801-8731-3B848C6F1C4F}"/>
            </a:ext>
          </a:extLst>
        </xdr:cNvPr>
        <xdr:cNvCxnSpPr/>
      </xdr:nvCxnSpPr>
      <xdr:spPr>
        <a:xfrm>
          <a:off x="6323771" y="9577708"/>
          <a:ext cx="93200" cy="7830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104253</xdr:colOff>
      <xdr:row>190</xdr:row>
      <xdr:rowOff>111702</xdr:rowOff>
    </xdr:from>
    <xdr:to>
      <xdr:col>27</xdr:col>
      <xdr:colOff>192350</xdr:colOff>
      <xdr:row>190</xdr:row>
      <xdr:rowOff>190010</xdr:rowOff>
    </xdr:to>
    <xdr:cxnSp macro="">
      <xdr:nvCxnSpPr>
        <xdr:cNvPr id="67" name="直線コネクタ 66">
          <a:extLst>
            <a:ext uri="{FF2B5EF4-FFF2-40B4-BE49-F238E27FC236}">
              <a16:creationId xmlns:a16="http://schemas.microsoft.com/office/drawing/2014/main" id="{BFC406E8-349A-4997-BE9E-EFE3D0A4F9D4}"/>
            </a:ext>
          </a:extLst>
        </xdr:cNvPr>
        <xdr:cNvCxnSpPr/>
      </xdr:nvCxnSpPr>
      <xdr:spPr>
        <a:xfrm>
          <a:off x="6276453" y="9579552"/>
          <a:ext cx="88097" cy="7830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104289</xdr:colOff>
      <xdr:row>190</xdr:row>
      <xdr:rowOff>152534</xdr:rowOff>
    </xdr:from>
    <xdr:to>
      <xdr:col>27</xdr:col>
      <xdr:colOff>135015</xdr:colOff>
      <xdr:row>190</xdr:row>
      <xdr:rowOff>173735</xdr:rowOff>
    </xdr:to>
    <xdr:cxnSp macro="">
      <xdr:nvCxnSpPr>
        <xdr:cNvPr id="68" name="直線コネクタ 67">
          <a:extLst>
            <a:ext uri="{FF2B5EF4-FFF2-40B4-BE49-F238E27FC236}">
              <a16:creationId xmlns:a16="http://schemas.microsoft.com/office/drawing/2014/main" id="{341E63F6-838F-479A-9D68-9621656768F9}"/>
            </a:ext>
          </a:extLst>
        </xdr:cNvPr>
        <xdr:cNvCxnSpPr/>
      </xdr:nvCxnSpPr>
      <xdr:spPr>
        <a:xfrm flipH="1">
          <a:off x="6276489" y="9620384"/>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124573</xdr:colOff>
      <xdr:row>190</xdr:row>
      <xdr:rowOff>169732</xdr:rowOff>
    </xdr:from>
    <xdr:to>
      <xdr:col>27</xdr:col>
      <xdr:colOff>156382</xdr:colOff>
      <xdr:row>190</xdr:row>
      <xdr:rowOff>189325</xdr:rowOff>
    </xdr:to>
    <xdr:cxnSp macro="">
      <xdr:nvCxnSpPr>
        <xdr:cNvPr id="69" name="直線コネクタ 68">
          <a:extLst>
            <a:ext uri="{FF2B5EF4-FFF2-40B4-BE49-F238E27FC236}">
              <a16:creationId xmlns:a16="http://schemas.microsoft.com/office/drawing/2014/main" id="{86B26A32-3D42-47D8-A9AE-452A6346A0A2}"/>
            </a:ext>
          </a:extLst>
        </xdr:cNvPr>
        <xdr:cNvCxnSpPr/>
      </xdr:nvCxnSpPr>
      <xdr:spPr>
        <a:xfrm flipH="1">
          <a:off x="6296773" y="9637582"/>
          <a:ext cx="31809" cy="195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71438</xdr:colOff>
      <xdr:row>190</xdr:row>
      <xdr:rowOff>105369</xdr:rowOff>
    </xdr:from>
    <xdr:to>
      <xdr:col>28</xdr:col>
      <xdr:colOff>161961</xdr:colOff>
      <xdr:row>190</xdr:row>
      <xdr:rowOff>183677</xdr:rowOff>
    </xdr:to>
    <xdr:cxnSp macro="">
      <xdr:nvCxnSpPr>
        <xdr:cNvPr id="70" name="直線コネクタ 69">
          <a:extLst>
            <a:ext uri="{FF2B5EF4-FFF2-40B4-BE49-F238E27FC236}">
              <a16:creationId xmlns:a16="http://schemas.microsoft.com/office/drawing/2014/main" id="{8598AD05-C153-4DAD-B958-5D563ABB1EEF}"/>
            </a:ext>
          </a:extLst>
        </xdr:cNvPr>
        <xdr:cNvCxnSpPr/>
      </xdr:nvCxnSpPr>
      <xdr:spPr>
        <a:xfrm>
          <a:off x="6472238" y="9573219"/>
          <a:ext cx="90523" cy="7830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24120</xdr:colOff>
      <xdr:row>190</xdr:row>
      <xdr:rowOff>107213</xdr:rowOff>
    </xdr:from>
    <xdr:to>
      <xdr:col>28</xdr:col>
      <xdr:colOff>113562</xdr:colOff>
      <xdr:row>190</xdr:row>
      <xdr:rowOff>180326</xdr:rowOff>
    </xdr:to>
    <xdr:cxnSp macro="">
      <xdr:nvCxnSpPr>
        <xdr:cNvPr id="71" name="直線コネクタ 70">
          <a:extLst>
            <a:ext uri="{FF2B5EF4-FFF2-40B4-BE49-F238E27FC236}">
              <a16:creationId xmlns:a16="http://schemas.microsoft.com/office/drawing/2014/main" id="{4E1F8E6F-EAEA-4A0C-851F-58600AE4BC10}"/>
            </a:ext>
          </a:extLst>
        </xdr:cNvPr>
        <xdr:cNvCxnSpPr/>
      </xdr:nvCxnSpPr>
      <xdr:spPr>
        <a:xfrm>
          <a:off x="6424920" y="9575063"/>
          <a:ext cx="89442" cy="731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24156</xdr:colOff>
      <xdr:row>190</xdr:row>
      <xdr:rowOff>148040</xdr:rowOff>
    </xdr:from>
    <xdr:to>
      <xdr:col>28</xdr:col>
      <xdr:colOff>54882</xdr:colOff>
      <xdr:row>190</xdr:row>
      <xdr:rowOff>178766</xdr:rowOff>
    </xdr:to>
    <xdr:cxnSp macro="">
      <xdr:nvCxnSpPr>
        <xdr:cNvPr id="72" name="直線コネクタ 71">
          <a:extLst>
            <a:ext uri="{FF2B5EF4-FFF2-40B4-BE49-F238E27FC236}">
              <a16:creationId xmlns:a16="http://schemas.microsoft.com/office/drawing/2014/main" id="{BCC03174-16F7-4D8E-9479-D87F86303CD1}"/>
            </a:ext>
          </a:extLst>
        </xdr:cNvPr>
        <xdr:cNvCxnSpPr/>
      </xdr:nvCxnSpPr>
      <xdr:spPr>
        <a:xfrm flipH="1">
          <a:off x="6424956" y="9615890"/>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44440</xdr:colOff>
      <xdr:row>190</xdr:row>
      <xdr:rowOff>165238</xdr:rowOff>
    </xdr:from>
    <xdr:to>
      <xdr:col>28</xdr:col>
      <xdr:colOff>75166</xdr:colOff>
      <xdr:row>190</xdr:row>
      <xdr:rowOff>184831</xdr:rowOff>
    </xdr:to>
    <xdr:cxnSp macro="">
      <xdr:nvCxnSpPr>
        <xdr:cNvPr id="73" name="直線コネクタ 72">
          <a:extLst>
            <a:ext uri="{FF2B5EF4-FFF2-40B4-BE49-F238E27FC236}">
              <a16:creationId xmlns:a16="http://schemas.microsoft.com/office/drawing/2014/main" id="{A9F51357-A0EE-4832-8628-94AF65FCD8A5}"/>
            </a:ext>
          </a:extLst>
        </xdr:cNvPr>
        <xdr:cNvCxnSpPr/>
      </xdr:nvCxnSpPr>
      <xdr:spPr>
        <a:xfrm flipH="1">
          <a:off x="6445240" y="9633088"/>
          <a:ext cx="30726" cy="195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203488</xdr:colOff>
      <xdr:row>195</xdr:row>
      <xdr:rowOff>55782</xdr:rowOff>
    </xdr:from>
    <xdr:to>
      <xdr:col>28</xdr:col>
      <xdr:colOff>37992</xdr:colOff>
      <xdr:row>198</xdr:row>
      <xdr:rowOff>36625</xdr:rowOff>
    </xdr:to>
    <xdr:cxnSp macro="">
      <xdr:nvCxnSpPr>
        <xdr:cNvPr id="74" name="直線コネクタ 73">
          <a:extLst>
            <a:ext uri="{FF2B5EF4-FFF2-40B4-BE49-F238E27FC236}">
              <a16:creationId xmlns:a16="http://schemas.microsoft.com/office/drawing/2014/main" id="{F063EF2A-B03B-4B35-BE11-ABE1E4CBF82B}"/>
            </a:ext>
          </a:extLst>
        </xdr:cNvPr>
        <xdr:cNvCxnSpPr/>
      </xdr:nvCxnSpPr>
      <xdr:spPr>
        <a:xfrm>
          <a:off x="6169602" y="47096293"/>
          <a:ext cx="293435" cy="695218"/>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184179</xdr:colOff>
      <xdr:row>198</xdr:row>
      <xdr:rowOff>33181</xdr:rowOff>
    </xdr:from>
    <xdr:to>
      <xdr:col>28</xdr:col>
      <xdr:colOff>18285</xdr:colOff>
      <xdr:row>198</xdr:row>
      <xdr:rowOff>33181</xdr:rowOff>
    </xdr:to>
    <xdr:cxnSp macro="">
      <xdr:nvCxnSpPr>
        <xdr:cNvPr id="75" name="直線コネクタ 74">
          <a:extLst>
            <a:ext uri="{FF2B5EF4-FFF2-40B4-BE49-F238E27FC236}">
              <a16:creationId xmlns:a16="http://schemas.microsoft.com/office/drawing/2014/main" id="{37A9083D-501C-401D-B289-8FECA81CBC1D}"/>
            </a:ext>
          </a:extLst>
        </xdr:cNvPr>
        <xdr:cNvCxnSpPr/>
      </xdr:nvCxnSpPr>
      <xdr:spPr>
        <a:xfrm>
          <a:off x="5441979" y="11425081"/>
          <a:ext cx="977106"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28</xdr:col>
      <xdr:colOff>24854</xdr:colOff>
      <xdr:row>198</xdr:row>
      <xdr:rowOff>43194</xdr:rowOff>
    </xdr:from>
    <xdr:to>
      <xdr:col>28</xdr:col>
      <xdr:colOff>114300</xdr:colOff>
      <xdr:row>201</xdr:row>
      <xdr:rowOff>85725</xdr:rowOff>
    </xdr:to>
    <xdr:cxnSp macro="">
      <xdr:nvCxnSpPr>
        <xdr:cNvPr id="76" name="直線コネクタ 75">
          <a:extLst>
            <a:ext uri="{FF2B5EF4-FFF2-40B4-BE49-F238E27FC236}">
              <a16:creationId xmlns:a16="http://schemas.microsoft.com/office/drawing/2014/main" id="{07ADA226-E5A4-4203-98C5-BE37257443D8}"/>
            </a:ext>
          </a:extLst>
        </xdr:cNvPr>
        <xdr:cNvCxnSpPr/>
      </xdr:nvCxnSpPr>
      <xdr:spPr>
        <a:xfrm>
          <a:off x="6425654" y="47563419"/>
          <a:ext cx="89446" cy="756906"/>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20</xdr:col>
      <xdr:colOff>85725</xdr:colOff>
      <xdr:row>198</xdr:row>
      <xdr:rowOff>10796</xdr:rowOff>
    </xdr:from>
    <xdr:to>
      <xdr:col>23</xdr:col>
      <xdr:colOff>197112</xdr:colOff>
      <xdr:row>201</xdr:row>
      <xdr:rowOff>66675</xdr:rowOff>
    </xdr:to>
    <xdr:cxnSp macro="">
      <xdr:nvCxnSpPr>
        <xdr:cNvPr id="77" name="直線コネクタ 76">
          <a:extLst>
            <a:ext uri="{FF2B5EF4-FFF2-40B4-BE49-F238E27FC236}">
              <a16:creationId xmlns:a16="http://schemas.microsoft.com/office/drawing/2014/main" id="{F166EEFF-8007-4379-9BAA-37070307C82A}"/>
            </a:ext>
          </a:extLst>
        </xdr:cNvPr>
        <xdr:cNvCxnSpPr/>
      </xdr:nvCxnSpPr>
      <xdr:spPr>
        <a:xfrm flipH="1">
          <a:off x="4657725" y="47330996"/>
          <a:ext cx="797187" cy="770254"/>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18</xdr:col>
      <xdr:colOff>104775</xdr:colOff>
      <xdr:row>203</xdr:row>
      <xdr:rowOff>180975</xdr:rowOff>
    </xdr:from>
    <xdr:to>
      <xdr:col>28</xdr:col>
      <xdr:colOff>133350</xdr:colOff>
      <xdr:row>203</xdr:row>
      <xdr:rowOff>180975</xdr:rowOff>
    </xdr:to>
    <xdr:cxnSp macro="">
      <xdr:nvCxnSpPr>
        <xdr:cNvPr id="78" name="直線コネクタ 77">
          <a:extLst>
            <a:ext uri="{FF2B5EF4-FFF2-40B4-BE49-F238E27FC236}">
              <a16:creationId xmlns:a16="http://schemas.microsoft.com/office/drawing/2014/main" id="{83B99637-F26D-41F3-A483-EC5FBF12EAE5}"/>
            </a:ext>
          </a:extLst>
        </xdr:cNvPr>
        <xdr:cNvCxnSpPr/>
      </xdr:nvCxnSpPr>
      <xdr:spPr>
        <a:xfrm>
          <a:off x="4219575" y="48910875"/>
          <a:ext cx="2314575"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193853</xdr:colOff>
      <xdr:row>190</xdr:row>
      <xdr:rowOff>115152</xdr:rowOff>
    </xdr:from>
    <xdr:to>
      <xdr:col>24</xdr:col>
      <xdr:colOff>186648</xdr:colOff>
      <xdr:row>190</xdr:row>
      <xdr:rowOff>115152</xdr:rowOff>
    </xdr:to>
    <xdr:cxnSp macro="">
      <xdr:nvCxnSpPr>
        <xdr:cNvPr id="79" name="直線コネクタ 78">
          <a:extLst>
            <a:ext uri="{FF2B5EF4-FFF2-40B4-BE49-F238E27FC236}">
              <a16:creationId xmlns:a16="http://schemas.microsoft.com/office/drawing/2014/main" id="{72CA2EE3-9B52-4787-BB88-CC2ACB127BD5}"/>
            </a:ext>
          </a:extLst>
        </xdr:cNvPr>
        <xdr:cNvCxnSpPr/>
      </xdr:nvCxnSpPr>
      <xdr:spPr>
        <a:xfrm>
          <a:off x="5451653" y="9583002"/>
          <a:ext cx="221395" cy="0"/>
        </a:xfrm>
        <a:prstGeom prst="line">
          <a:avLst/>
        </a:prstGeom>
        <a:ln>
          <a:solidFill>
            <a:schemeClr val="bg1">
              <a:lumMod val="75000"/>
            </a:schemeClr>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195403</xdr:colOff>
      <xdr:row>190</xdr:row>
      <xdr:rowOff>113351</xdr:rowOff>
    </xdr:from>
    <xdr:to>
      <xdr:col>23</xdr:col>
      <xdr:colOff>195403</xdr:colOff>
      <xdr:row>203</xdr:row>
      <xdr:rowOff>202256</xdr:rowOff>
    </xdr:to>
    <xdr:cxnSp macro="">
      <xdr:nvCxnSpPr>
        <xdr:cNvPr id="80" name="直線コネクタ 79">
          <a:extLst>
            <a:ext uri="{FF2B5EF4-FFF2-40B4-BE49-F238E27FC236}">
              <a16:creationId xmlns:a16="http://schemas.microsoft.com/office/drawing/2014/main" id="{80F58CD1-F3E9-4AD6-9B91-40A473C8E9C7}"/>
            </a:ext>
          </a:extLst>
        </xdr:cNvPr>
        <xdr:cNvCxnSpPr/>
      </xdr:nvCxnSpPr>
      <xdr:spPr>
        <a:xfrm>
          <a:off x="5453203" y="9581201"/>
          <a:ext cx="0" cy="3241680"/>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23</xdr:col>
      <xdr:colOff>206271</xdr:colOff>
      <xdr:row>193</xdr:row>
      <xdr:rowOff>180551</xdr:rowOff>
    </xdr:from>
    <xdr:to>
      <xdr:col>34</xdr:col>
      <xdr:colOff>164807</xdr:colOff>
      <xdr:row>193</xdr:row>
      <xdr:rowOff>180551</xdr:rowOff>
    </xdr:to>
    <xdr:cxnSp macro="">
      <xdr:nvCxnSpPr>
        <xdr:cNvPr id="81" name="直線コネクタ 80">
          <a:extLst>
            <a:ext uri="{FF2B5EF4-FFF2-40B4-BE49-F238E27FC236}">
              <a16:creationId xmlns:a16="http://schemas.microsoft.com/office/drawing/2014/main" id="{6FABBAEB-28B7-4D61-9E5D-33DE7ACED452}"/>
            </a:ext>
          </a:extLst>
        </xdr:cNvPr>
        <xdr:cNvCxnSpPr/>
      </xdr:nvCxnSpPr>
      <xdr:spPr>
        <a:xfrm>
          <a:off x="5464071" y="10362776"/>
          <a:ext cx="2473136"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204206</xdr:colOff>
      <xdr:row>191</xdr:row>
      <xdr:rowOff>115141</xdr:rowOff>
    </xdr:from>
    <xdr:to>
      <xdr:col>34</xdr:col>
      <xdr:colOff>164807</xdr:colOff>
      <xdr:row>191</xdr:row>
      <xdr:rowOff>115141</xdr:rowOff>
    </xdr:to>
    <xdr:cxnSp macro="">
      <xdr:nvCxnSpPr>
        <xdr:cNvPr id="82" name="直線コネクタ 81">
          <a:extLst>
            <a:ext uri="{FF2B5EF4-FFF2-40B4-BE49-F238E27FC236}">
              <a16:creationId xmlns:a16="http://schemas.microsoft.com/office/drawing/2014/main" id="{E7FABBC6-B01E-47D6-8B88-C12D752F1F10}"/>
            </a:ext>
          </a:extLst>
        </xdr:cNvPr>
        <xdr:cNvCxnSpPr/>
      </xdr:nvCxnSpPr>
      <xdr:spPr>
        <a:xfrm>
          <a:off x="5462006" y="9821116"/>
          <a:ext cx="2475201"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210061</xdr:colOff>
      <xdr:row>195</xdr:row>
      <xdr:rowOff>66675</xdr:rowOff>
    </xdr:from>
    <xdr:to>
      <xdr:col>26</xdr:col>
      <xdr:colOff>190500</xdr:colOff>
      <xdr:row>197</xdr:row>
      <xdr:rowOff>236802</xdr:rowOff>
    </xdr:to>
    <xdr:cxnSp macro="">
      <xdr:nvCxnSpPr>
        <xdr:cNvPr id="84" name="直線コネクタ 83">
          <a:extLst>
            <a:ext uri="{FF2B5EF4-FFF2-40B4-BE49-F238E27FC236}">
              <a16:creationId xmlns:a16="http://schemas.microsoft.com/office/drawing/2014/main" id="{FC7D769F-5355-459A-B4E2-0EB2CAC50C43}"/>
            </a:ext>
          </a:extLst>
        </xdr:cNvPr>
        <xdr:cNvCxnSpPr/>
      </xdr:nvCxnSpPr>
      <xdr:spPr>
        <a:xfrm flipV="1">
          <a:off x="5467861" y="47148750"/>
          <a:ext cx="666239" cy="64637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206829</xdr:colOff>
      <xdr:row>198</xdr:row>
      <xdr:rowOff>71347</xdr:rowOff>
    </xdr:from>
    <xdr:to>
      <xdr:col>28</xdr:col>
      <xdr:colOff>5147</xdr:colOff>
      <xdr:row>201</xdr:row>
      <xdr:rowOff>76200</xdr:rowOff>
    </xdr:to>
    <xdr:cxnSp macro="">
      <xdr:nvCxnSpPr>
        <xdr:cNvPr id="85" name="直線コネクタ 84">
          <a:extLst>
            <a:ext uri="{FF2B5EF4-FFF2-40B4-BE49-F238E27FC236}">
              <a16:creationId xmlns:a16="http://schemas.microsoft.com/office/drawing/2014/main" id="{54998392-53CE-4BD9-A531-6D7EA2EB3E44}"/>
            </a:ext>
          </a:extLst>
        </xdr:cNvPr>
        <xdr:cNvCxnSpPr/>
      </xdr:nvCxnSpPr>
      <xdr:spPr>
        <a:xfrm flipV="1">
          <a:off x="5464629" y="48061018"/>
          <a:ext cx="941318" cy="745082"/>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29</xdr:col>
      <xdr:colOff>87029</xdr:colOff>
      <xdr:row>195</xdr:row>
      <xdr:rowOff>51955</xdr:rowOff>
    </xdr:from>
    <xdr:to>
      <xdr:col>29</xdr:col>
      <xdr:colOff>87029</xdr:colOff>
      <xdr:row>203</xdr:row>
      <xdr:rowOff>175980</xdr:rowOff>
    </xdr:to>
    <xdr:cxnSp macro="">
      <xdr:nvCxnSpPr>
        <xdr:cNvPr id="86" name="直線コネクタ 85">
          <a:extLst>
            <a:ext uri="{FF2B5EF4-FFF2-40B4-BE49-F238E27FC236}">
              <a16:creationId xmlns:a16="http://schemas.microsoft.com/office/drawing/2014/main" id="{281C8E23-FA88-4CE8-A7A1-1932C2B8083F}"/>
            </a:ext>
          </a:extLst>
        </xdr:cNvPr>
        <xdr:cNvCxnSpPr/>
      </xdr:nvCxnSpPr>
      <xdr:spPr>
        <a:xfrm>
          <a:off x="6716429" y="46857805"/>
          <a:ext cx="0" cy="204807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95605</xdr:colOff>
      <xdr:row>198</xdr:row>
      <xdr:rowOff>33459</xdr:rowOff>
    </xdr:from>
    <xdr:to>
      <xdr:col>34</xdr:col>
      <xdr:colOff>41276</xdr:colOff>
      <xdr:row>203</xdr:row>
      <xdr:rowOff>162420</xdr:rowOff>
    </xdr:to>
    <xdr:cxnSp macro="">
      <xdr:nvCxnSpPr>
        <xdr:cNvPr id="87" name="直線コネクタ 86">
          <a:extLst>
            <a:ext uri="{FF2B5EF4-FFF2-40B4-BE49-F238E27FC236}">
              <a16:creationId xmlns:a16="http://schemas.microsoft.com/office/drawing/2014/main" id="{631346DB-DB4C-4290-981C-0433C03E1EAA}"/>
            </a:ext>
          </a:extLst>
        </xdr:cNvPr>
        <xdr:cNvCxnSpPr/>
      </xdr:nvCxnSpPr>
      <xdr:spPr>
        <a:xfrm flipH="1">
          <a:off x="6725005" y="47553684"/>
          <a:ext cx="1088671" cy="1338636"/>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30</xdr:col>
      <xdr:colOff>211835</xdr:colOff>
      <xdr:row>195</xdr:row>
      <xdr:rowOff>38966</xdr:rowOff>
    </xdr:from>
    <xdr:to>
      <xdr:col>34</xdr:col>
      <xdr:colOff>22695</xdr:colOff>
      <xdr:row>198</xdr:row>
      <xdr:rowOff>32461</xdr:rowOff>
    </xdr:to>
    <xdr:cxnSp macro="">
      <xdr:nvCxnSpPr>
        <xdr:cNvPr id="88" name="直線コネクタ 87">
          <a:extLst>
            <a:ext uri="{FF2B5EF4-FFF2-40B4-BE49-F238E27FC236}">
              <a16:creationId xmlns:a16="http://schemas.microsoft.com/office/drawing/2014/main" id="{F46AF7D3-A64B-4518-8FDC-369C257E14FD}"/>
            </a:ext>
          </a:extLst>
        </xdr:cNvPr>
        <xdr:cNvCxnSpPr/>
      </xdr:nvCxnSpPr>
      <xdr:spPr>
        <a:xfrm flipH="1" flipV="1">
          <a:off x="7069835" y="46844816"/>
          <a:ext cx="725260" cy="70787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95788</xdr:colOff>
      <xdr:row>198</xdr:row>
      <xdr:rowOff>36346</xdr:rowOff>
    </xdr:from>
    <xdr:to>
      <xdr:col>34</xdr:col>
      <xdr:colOff>54414</xdr:colOff>
      <xdr:row>198</xdr:row>
      <xdr:rowOff>36346</xdr:rowOff>
    </xdr:to>
    <xdr:cxnSp macro="">
      <xdr:nvCxnSpPr>
        <xdr:cNvPr id="89" name="直線コネクタ 88">
          <a:extLst>
            <a:ext uri="{FF2B5EF4-FFF2-40B4-BE49-F238E27FC236}">
              <a16:creationId xmlns:a16="http://schemas.microsoft.com/office/drawing/2014/main" id="{4F26B5D3-834C-4557-AFB4-26F9C4DEAE9E}"/>
            </a:ext>
          </a:extLst>
        </xdr:cNvPr>
        <xdr:cNvCxnSpPr/>
      </xdr:nvCxnSpPr>
      <xdr:spPr>
        <a:xfrm>
          <a:off x="6725188" y="47556571"/>
          <a:ext cx="1101626"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24</xdr:col>
      <xdr:colOff>29871</xdr:colOff>
      <xdr:row>195</xdr:row>
      <xdr:rowOff>67289</xdr:rowOff>
    </xdr:from>
    <xdr:to>
      <xdr:col>25</xdr:col>
      <xdr:colOff>90084</xdr:colOff>
      <xdr:row>196</xdr:row>
      <xdr:rowOff>91374</xdr:rowOff>
    </xdr:to>
    <xdr:sp macro="" textlink="">
      <xdr:nvSpPr>
        <xdr:cNvPr id="90" name="テキスト ボックス 89">
          <a:extLst>
            <a:ext uri="{FF2B5EF4-FFF2-40B4-BE49-F238E27FC236}">
              <a16:creationId xmlns:a16="http://schemas.microsoft.com/office/drawing/2014/main" id="{DD395E34-5899-48DF-90E7-99E495C16046}"/>
            </a:ext>
          </a:extLst>
        </xdr:cNvPr>
        <xdr:cNvSpPr txBox="1"/>
      </xdr:nvSpPr>
      <xdr:spPr>
        <a:xfrm>
          <a:off x="5537053" y="47107800"/>
          <a:ext cx="289679" cy="262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25</xdr:col>
      <xdr:colOff>97687</xdr:colOff>
      <xdr:row>196</xdr:row>
      <xdr:rowOff>150527</xdr:rowOff>
    </xdr:from>
    <xdr:to>
      <xdr:col>26</xdr:col>
      <xdr:colOff>164082</xdr:colOff>
      <xdr:row>197</xdr:row>
      <xdr:rowOff>165380</xdr:rowOff>
    </xdr:to>
    <xdr:sp macro="" textlink="">
      <xdr:nvSpPr>
        <xdr:cNvPr id="91" name="テキスト ボックス 90">
          <a:extLst>
            <a:ext uri="{FF2B5EF4-FFF2-40B4-BE49-F238E27FC236}">
              <a16:creationId xmlns:a16="http://schemas.microsoft.com/office/drawing/2014/main" id="{C5143373-C0BC-40E3-A02D-154565F32BD2}"/>
            </a:ext>
          </a:extLst>
        </xdr:cNvPr>
        <xdr:cNvSpPr txBox="1"/>
      </xdr:nvSpPr>
      <xdr:spPr>
        <a:xfrm>
          <a:off x="5834335" y="47429163"/>
          <a:ext cx="295861" cy="252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24</xdr:col>
      <xdr:colOff>108529</xdr:colOff>
      <xdr:row>198</xdr:row>
      <xdr:rowOff>152061</xdr:rowOff>
    </xdr:from>
    <xdr:to>
      <xdr:col>25</xdr:col>
      <xdr:colOff>176348</xdr:colOff>
      <xdr:row>199</xdr:row>
      <xdr:rowOff>172342</xdr:rowOff>
    </xdr:to>
    <xdr:sp macro="" textlink="">
      <xdr:nvSpPr>
        <xdr:cNvPr id="92" name="テキスト ボックス 91">
          <a:extLst>
            <a:ext uri="{FF2B5EF4-FFF2-40B4-BE49-F238E27FC236}">
              <a16:creationId xmlns:a16="http://schemas.microsoft.com/office/drawing/2014/main" id="{FD6D234A-52DA-4BC1-A340-4973E9671416}"/>
            </a:ext>
          </a:extLst>
        </xdr:cNvPr>
        <xdr:cNvSpPr txBox="1"/>
      </xdr:nvSpPr>
      <xdr:spPr>
        <a:xfrm>
          <a:off x="5594929" y="48141732"/>
          <a:ext cx="296419" cy="259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26</xdr:col>
      <xdr:colOff>8024</xdr:colOff>
      <xdr:row>199</xdr:row>
      <xdr:rowOff>189250</xdr:rowOff>
    </xdr:from>
    <xdr:to>
      <xdr:col>27</xdr:col>
      <xdr:colOff>68683</xdr:colOff>
      <xdr:row>200</xdr:row>
      <xdr:rowOff>197031</xdr:rowOff>
    </xdr:to>
    <xdr:sp macro="" textlink="">
      <xdr:nvSpPr>
        <xdr:cNvPr id="93" name="テキスト ボックス 92">
          <a:extLst>
            <a:ext uri="{FF2B5EF4-FFF2-40B4-BE49-F238E27FC236}">
              <a16:creationId xmlns:a16="http://schemas.microsoft.com/office/drawing/2014/main" id="{D3A6807D-391C-4E48-BB44-814D13D527F1}"/>
            </a:ext>
          </a:extLst>
        </xdr:cNvPr>
        <xdr:cNvSpPr txBox="1"/>
      </xdr:nvSpPr>
      <xdr:spPr>
        <a:xfrm>
          <a:off x="5951624" y="48418407"/>
          <a:ext cx="289259" cy="258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④</a:t>
          </a:r>
        </a:p>
      </xdr:txBody>
    </xdr:sp>
    <xdr:clientData/>
  </xdr:twoCellAnchor>
  <xdr:twoCellAnchor>
    <xdr:from>
      <xdr:col>24</xdr:col>
      <xdr:colOff>39792</xdr:colOff>
      <xdr:row>201</xdr:row>
      <xdr:rowOff>148955</xdr:rowOff>
    </xdr:from>
    <xdr:to>
      <xdr:col>25</xdr:col>
      <xdr:colOff>105105</xdr:colOff>
      <xdr:row>202</xdr:row>
      <xdr:rowOff>139788</xdr:rowOff>
    </xdr:to>
    <xdr:sp macro="" textlink="">
      <xdr:nvSpPr>
        <xdr:cNvPr id="94" name="テキスト ボックス 93">
          <a:extLst>
            <a:ext uri="{FF2B5EF4-FFF2-40B4-BE49-F238E27FC236}">
              <a16:creationId xmlns:a16="http://schemas.microsoft.com/office/drawing/2014/main" id="{C9CF9D60-E48E-4194-829E-B6BF940FAB8C}"/>
            </a:ext>
          </a:extLst>
        </xdr:cNvPr>
        <xdr:cNvSpPr txBox="1"/>
      </xdr:nvSpPr>
      <xdr:spPr>
        <a:xfrm>
          <a:off x="5526192" y="48878855"/>
          <a:ext cx="293913" cy="2466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⑤</a:t>
          </a:r>
        </a:p>
      </xdr:txBody>
    </xdr:sp>
    <xdr:clientData/>
  </xdr:twoCellAnchor>
  <xdr:twoCellAnchor>
    <xdr:from>
      <xdr:col>30</xdr:col>
      <xdr:colOff>80513</xdr:colOff>
      <xdr:row>196</xdr:row>
      <xdr:rowOff>89107</xdr:rowOff>
    </xdr:from>
    <xdr:to>
      <xdr:col>31</xdr:col>
      <xdr:colOff>144341</xdr:colOff>
      <xdr:row>197</xdr:row>
      <xdr:rowOff>90285</xdr:rowOff>
    </xdr:to>
    <xdr:sp macro="" textlink="">
      <xdr:nvSpPr>
        <xdr:cNvPr id="95" name="テキスト ボックス 94">
          <a:extLst>
            <a:ext uri="{FF2B5EF4-FFF2-40B4-BE49-F238E27FC236}">
              <a16:creationId xmlns:a16="http://schemas.microsoft.com/office/drawing/2014/main" id="{18C8A7D5-6F3E-4589-B1E7-B0B0EE4CD53A}"/>
            </a:ext>
          </a:extLst>
        </xdr:cNvPr>
        <xdr:cNvSpPr txBox="1"/>
      </xdr:nvSpPr>
      <xdr:spPr>
        <a:xfrm>
          <a:off x="6938513" y="47133082"/>
          <a:ext cx="292428" cy="239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⑧</a:t>
          </a:r>
        </a:p>
      </xdr:txBody>
    </xdr:sp>
    <xdr:clientData/>
  </xdr:twoCellAnchor>
  <xdr:twoCellAnchor>
    <xdr:from>
      <xdr:col>29</xdr:col>
      <xdr:colOff>45154</xdr:colOff>
      <xdr:row>195</xdr:row>
      <xdr:rowOff>58376</xdr:rowOff>
    </xdr:from>
    <xdr:to>
      <xdr:col>30</xdr:col>
      <xdr:colOff>105596</xdr:colOff>
      <xdr:row>196</xdr:row>
      <xdr:rowOff>92367</xdr:rowOff>
    </xdr:to>
    <xdr:sp macro="" textlink="">
      <xdr:nvSpPr>
        <xdr:cNvPr id="96" name="テキスト ボックス 95">
          <a:extLst>
            <a:ext uri="{FF2B5EF4-FFF2-40B4-BE49-F238E27FC236}">
              <a16:creationId xmlns:a16="http://schemas.microsoft.com/office/drawing/2014/main" id="{C0C3A8BA-F6C2-4DCB-9B5E-8CE3761A7F66}"/>
            </a:ext>
          </a:extLst>
        </xdr:cNvPr>
        <xdr:cNvSpPr txBox="1"/>
      </xdr:nvSpPr>
      <xdr:spPr>
        <a:xfrm>
          <a:off x="6674554" y="46864226"/>
          <a:ext cx="289042" cy="272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⑦</a:t>
          </a:r>
        </a:p>
      </xdr:txBody>
    </xdr:sp>
    <xdr:clientData/>
  </xdr:twoCellAnchor>
  <xdr:twoCellAnchor>
    <xdr:from>
      <xdr:col>32</xdr:col>
      <xdr:colOff>109282</xdr:colOff>
      <xdr:row>190</xdr:row>
      <xdr:rowOff>101426</xdr:rowOff>
    </xdr:from>
    <xdr:to>
      <xdr:col>34</xdr:col>
      <xdr:colOff>201385</xdr:colOff>
      <xdr:row>191</xdr:row>
      <xdr:rowOff>112660</xdr:rowOff>
    </xdr:to>
    <xdr:sp macro="" textlink="">
      <xdr:nvSpPr>
        <xdr:cNvPr id="99" name="テキスト ボックス 98">
          <a:extLst>
            <a:ext uri="{FF2B5EF4-FFF2-40B4-BE49-F238E27FC236}">
              <a16:creationId xmlns:a16="http://schemas.microsoft.com/office/drawing/2014/main" id="{E755A5B7-1309-4359-9298-A6F62A0A2C88}"/>
            </a:ext>
          </a:extLst>
        </xdr:cNvPr>
        <xdr:cNvSpPr txBox="1"/>
      </xdr:nvSpPr>
      <xdr:spPr>
        <a:xfrm>
          <a:off x="7424482" y="9569276"/>
          <a:ext cx="549303" cy="2493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a:t>
          </a:r>
        </a:p>
      </xdr:txBody>
    </xdr:sp>
    <xdr:clientData/>
  </xdr:twoCellAnchor>
  <xdr:twoCellAnchor>
    <xdr:from>
      <xdr:col>32</xdr:col>
      <xdr:colOff>118996</xdr:colOff>
      <xdr:row>191</xdr:row>
      <xdr:rowOff>231257</xdr:rowOff>
    </xdr:from>
    <xdr:to>
      <xdr:col>34</xdr:col>
      <xdr:colOff>215485</xdr:colOff>
      <xdr:row>193</xdr:row>
      <xdr:rowOff>8057</xdr:rowOff>
    </xdr:to>
    <xdr:sp macro="" textlink="">
      <xdr:nvSpPr>
        <xdr:cNvPr id="100" name="テキスト ボックス 99">
          <a:extLst>
            <a:ext uri="{FF2B5EF4-FFF2-40B4-BE49-F238E27FC236}">
              <a16:creationId xmlns:a16="http://schemas.microsoft.com/office/drawing/2014/main" id="{2BB2FA9A-40BD-41D9-81D3-BDB2E44DC9FF}"/>
            </a:ext>
          </a:extLst>
        </xdr:cNvPr>
        <xdr:cNvSpPr txBox="1"/>
      </xdr:nvSpPr>
      <xdr:spPr>
        <a:xfrm>
          <a:off x="7434196" y="9937232"/>
          <a:ext cx="553689" cy="25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a:t>
          </a:r>
        </a:p>
      </xdr:txBody>
    </xdr:sp>
    <xdr:clientData/>
  </xdr:twoCellAnchor>
  <xdr:twoCellAnchor>
    <xdr:from>
      <xdr:col>23</xdr:col>
      <xdr:colOff>196244</xdr:colOff>
      <xdr:row>198</xdr:row>
      <xdr:rowOff>32232</xdr:rowOff>
    </xdr:from>
    <xdr:to>
      <xdr:col>34</xdr:col>
      <xdr:colOff>153697</xdr:colOff>
      <xdr:row>198</xdr:row>
      <xdr:rowOff>32232</xdr:rowOff>
    </xdr:to>
    <xdr:cxnSp macro="">
      <xdr:nvCxnSpPr>
        <xdr:cNvPr id="101" name="直線コネクタ 100">
          <a:extLst>
            <a:ext uri="{FF2B5EF4-FFF2-40B4-BE49-F238E27FC236}">
              <a16:creationId xmlns:a16="http://schemas.microsoft.com/office/drawing/2014/main" id="{7877DA15-159D-400A-A14C-FD87625C7AE8}"/>
            </a:ext>
          </a:extLst>
        </xdr:cNvPr>
        <xdr:cNvCxnSpPr/>
      </xdr:nvCxnSpPr>
      <xdr:spPr>
        <a:xfrm>
          <a:off x="5454044" y="11424132"/>
          <a:ext cx="2472053"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32</xdr:col>
      <xdr:colOff>118996</xdr:colOff>
      <xdr:row>195</xdr:row>
      <xdr:rowOff>90071</xdr:rowOff>
    </xdr:from>
    <xdr:to>
      <xdr:col>34</xdr:col>
      <xdr:colOff>215485</xdr:colOff>
      <xdr:row>196</xdr:row>
      <xdr:rowOff>98743</xdr:rowOff>
    </xdr:to>
    <xdr:sp macro="" textlink="">
      <xdr:nvSpPr>
        <xdr:cNvPr id="102" name="テキスト ボックス 101">
          <a:extLst>
            <a:ext uri="{FF2B5EF4-FFF2-40B4-BE49-F238E27FC236}">
              <a16:creationId xmlns:a16="http://schemas.microsoft.com/office/drawing/2014/main" id="{348A95E9-936C-4891-9F95-63498BD51DA7}"/>
            </a:ext>
          </a:extLst>
        </xdr:cNvPr>
        <xdr:cNvSpPr txBox="1"/>
      </xdr:nvSpPr>
      <xdr:spPr>
        <a:xfrm>
          <a:off x="7434196" y="10767596"/>
          <a:ext cx="553689" cy="246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a:t>
          </a:r>
        </a:p>
      </xdr:txBody>
    </xdr:sp>
    <xdr:clientData/>
  </xdr:twoCellAnchor>
  <xdr:twoCellAnchor>
    <xdr:from>
      <xdr:col>32</xdr:col>
      <xdr:colOff>118996</xdr:colOff>
      <xdr:row>199</xdr:row>
      <xdr:rowOff>204325</xdr:rowOff>
    </xdr:from>
    <xdr:to>
      <xdr:col>34</xdr:col>
      <xdr:colOff>215485</xdr:colOff>
      <xdr:row>200</xdr:row>
      <xdr:rowOff>202283</xdr:rowOff>
    </xdr:to>
    <xdr:sp macro="" textlink="">
      <xdr:nvSpPr>
        <xdr:cNvPr id="103" name="テキスト ボックス 102">
          <a:extLst>
            <a:ext uri="{FF2B5EF4-FFF2-40B4-BE49-F238E27FC236}">
              <a16:creationId xmlns:a16="http://schemas.microsoft.com/office/drawing/2014/main" id="{65444BC0-4108-4C4D-BD6C-452FEB968D79}"/>
            </a:ext>
          </a:extLst>
        </xdr:cNvPr>
        <xdr:cNvSpPr txBox="1"/>
      </xdr:nvSpPr>
      <xdr:spPr>
        <a:xfrm>
          <a:off x="7434196" y="11834350"/>
          <a:ext cx="553689" cy="245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a:t>
          </a:r>
        </a:p>
      </xdr:txBody>
    </xdr:sp>
    <xdr:clientData/>
  </xdr:twoCellAnchor>
  <xdr:twoCellAnchor>
    <xdr:from>
      <xdr:col>19</xdr:col>
      <xdr:colOff>51932</xdr:colOff>
      <xdr:row>191</xdr:row>
      <xdr:rowOff>32593</xdr:rowOff>
    </xdr:from>
    <xdr:to>
      <xdr:col>23</xdr:col>
      <xdr:colOff>295</xdr:colOff>
      <xdr:row>191</xdr:row>
      <xdr:rowOff>32593</xdr:rowOff>
    </xdr:to>
    <xdr:cxnSp macro="">
      <xdr:nvCxnSpPr>
        <xdr:cNvPr id="104" name="直線コネクタ 103">
          <a:extLst>
            <a:ext uri="{FF2B5EF4-FFF2-40B4-BE49-F238E27FC236}">
              <a16:creationId xmlns:a16="http://schemas.microsoft.com/office/drawing/2014/main" id="{2B903434-F9EF-46D2-9DFC-B04030C436EE}"/>
            </a:ext>
          </a:extLst>
        </xdr:cNvPr>
        <xdr:cNvCxnSpPr/>
      </xdr:nvCxnSpPr>
      <xdr:spPr>
        <a:xfrm>
          <a:off x="4395332" y="9738568"/>
          <a:ext cx="86276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41906</xdr:colOff>
      <xdr:row>191</xdr:row>
      <xdr:rowOff>186914</xdr:rowOff>
    </xdr:from>
    <xdr:to>
      <xdr:col>22</xdr:col>
      <xdr:colOff>216488</xdr:colOff>
      <xdr:row>191</xdr:row>
      <xdr:rowOff>186914</xdr:rowOff>
    </xdr:to>
    <xdr:cxnSp macro="">
      <xdr:nvCxnSpPr>
        <xdr:cNvPr id="105" name="直線コネクタ 104">
          <a:extLst>
            <a:ext uri="{FF2B5EF4-FFF2-40B4-BE49-F238E27FC236}">
              <a16:creationId xmlns:a16="http://schemas.microsoft.com/office/drawing/2014/main" id="{B9AFCEF7-3E38-4E16-9E01-418098940DD9}"/>
            </a:ext>
          </a:extLst>
        </xdr:cNvPr>
        <xdr:cNvCxnSpPr/>
      </xdr:nvCxnSpPr>
      <xdr:spPr>
        <a:xfrm>
          <a:off x="4385306" y="9892889"/>
          <a:ext cx="86038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224509</xdr:colOff>
      <xdr:row>191</xdr:row>
      <xdr:rowOff>37489</xdr:rowOff>
    </xdr:from>
    <xdr:to>
      <xdr:col>22</xdr:col>
      <xdr:colOff>224509</xdr:colOff>
      <xdr:row>191</xdr:row>
      <xdr:rowOff>187299</xdr:rowOff>
    </xdr:to>
    <xdr:cxnSp macro="">
      <xdr:nvCxnSpPr>
        <xdr:cNvPr id="106" name="直線コネクタ 105">
          <a:extLst>
            <a:ext uri="{FF2B5EF4-FFF2-40B4-BE49-F238E27FC236}">
              <a16:creationId xmlns:a16="http://schemas.microsoft.com/office/drawing/2014/main" id="{800E3D07-717F-422F-BB6C-6DBC9417E14E}"/>
            </a:ext>
          </a:extLst>
        </xdr:cNvPr>
        <xdr:cNvCxnSpPr/>
      </xdr:nvCxnSpPr>
      <xdr:spPr>
        <a:xfrm>
          <a:off x="5253709" y="9743464"/>
          <a:ext cx="0" cy="1498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25504</xdr:colOff>
      <xdr:row>191</xdr:row>
      <xdr:rowOff>27284</xdr:rowOff>
    </xdr:from>
    <xdr:to>
      <xdr:col>23</xdr:col>
      <xdr:colOff>25504</xdr:colOff>
      <xdr:row>191</xdr:row>
      <xdr:rowOff>201085</xdr:rowOff>
    </xdr:to>
    <xdr:cxnSp macro="">
      <xdr:nvCxnSpPr>
        <xdr:cNvPr id="107" name="直線コネクタ 106">
          <a:extLst>
            <a:ext uri="{FF2B5EF4-FFF2-40B4-BE49-F238E27FC236}">
              <a16:creationId xmlns:a16="http://schemas.microsoft.com/office/drawing/2014/main" id="{38EB3ECD-34FA-4F09-BFD5-E299F0BBBCB0}"/>
            </a:ext>
          </a:extLst>
        </xdr:cNvPr>
        <xdr:cNvCxnSpPr/>
      </xdr:nvCxnSpPr>
      <xdr:spPr>
        <a:xfrm>
          <a:off x="5283304" y="9733259"/>
          <a:ext cx="0" cy="1738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169462</xdr:colOff>
      <xdr:row>191</xdr:row>
      <xdr:rowOff>27284</xdr:rowOff>
    </xdr:from>
    <xdr:to>
      <xdr:col>23</xdr:col>
      <xdr:colOff>169462</xdr:colOff>
      <xdr:row>191</xdr:row>
      <xdr:rowOff>201085</xdr:rowOff>
    </xdr:to>
    <xdr:cxnSp macro="">
      <xdr:nvCxnSpPr>
        <xdr:cNvPr id="108" name="直線コネクタ 107">
          <a:extLst>
            <a:ext uri="{FF2B5EF4-FFF2-40B4-BE49-F238E27FC236}">
              <a16:creationId xmlns:a16="http://schemas.microsoft.com/office/drawing/2014/main" id="{D5961243-27CD-4AB2-AD74-EB14EBB7139D}"/>
            </a:ext>
          </a:extLst>
        </xdr:cNvPr>
        <xdr:cNvCxnSpPr/>
      </xdr:nvCxnSpPr>
      <xdr:spPr>
        <a:xfrm>
          <a:off x="5427262" y="9733259"/>
          <a:ext cx="0" cy="1738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24434</xdr:colOff>
      <xdr:row>191</xdr:row>
      <xdr:rowOff>116967</xdr:rowOff>
    </xdr:from>
    <xdr:to>
      <xdr:col>23</xdr:col>
      <xdr:colOff>164991</xdr:colOff>
      <xdr:row>191</xdr:row>
      <xdr:rowOff>116967</xdr:rowOff>
    </xdr:to>
    <xdr:cxnSp macro="">
      <xdr:nvCxnSpPr>
        <xdr:cNvPr id="109" name="直線コネクタ 108">
          <a:extLst>
            <a:ext uri="{FF2B5EF4-FFF2-40B4-BE49-F238E27FC236}">
              <a16:creationId xmlns:a16="http://schemas.microsoft.com/office/drawing/2014/main" id="{91A3D732-6B66-42F1-B207-540A5E72F84D}"/>
            </a:ext>
          </a:extLst>
        </xdr:cNvPr>
        <xdr:cNvCxnSpPr/>
      </xdr:nvCxnSpPr>
      <xdr:spPr>
        <a:xfrm>
          <a:off x="5282234" y="9822942"/>
          <a:ext cx="14055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118996</xdr:colOff>
      <xdr:row>202</xdr:row>
      <xdr:rowOff>23350</xdr:rowOff>
    </xdr:from>
    <xdr:to>
      <xdr:col>34</xdr:col>
      <xdr:colOff>215485</xdr:colOff>
      <xdr:row>203</xdr:row>
      <xdr:rowOff>30833</xdr:rowOff>
    </xdr:to>
    <xdr:sp macro="" textlink="">
      <xdr:nvSpPr>
        <xdr:cNvPr id="110" name="テキスト ボックス 109">
          <a:extLst>
            <a:ext uri="{FF2B5EF4-FFF2-40B4-BE49-F238E27FC236}">
              <a16:creationId xmlns:a16="http://schemas.microsoft.com/office/drawing/2014/main" id="{0AC5E543-2BE2-37FA-8779-345528EBB13B}"/>
            </a:ext>
          </a:extLst>
        </xdr:cNvPr>
        <xdr:cNvSpPr txBox="1"/>
      </xdr:nvSpPr>
      <xdr:spPr>
        <a:xfrm>
          <a:off x="7434196" y="48572275"/>
          <a:ext cx="553689" cy="245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５層</a:t>
          </a:r>
        </a:p>
      </xdr:txBody>
    </xdr:sp>
    <xdr:clientData/>
  </xdr:twoCellAnchor>
  <xdr:twoCellAnchor>
    <xdr:from>
      <xdr:col>19</xdr:col>
      <xdr:colOff>190500</xdr:colOff>
      <xdr:row>201</xdr:row>
      <xdr:rowOff>79857</xdr:rowOff>
    </xdr:from>
    <xdr:to>
      <xdr:col>34</xdr:col>
      <xdr:colOff>153697</xdr:colOff>
      <xdr:row>201</xdr:row>
      <xdr:rowOff>79857</xdr:rowOff>
    </xdr:to>
    <xdr:cxnSp macro="">
      <xdr:nvCxnSpPr>
        <xdr:cNvPr id="113" name="直線コネクタ 112">
          <a:extLst>
            <a:ext uri="{FF2B5EF4-FFF2-40B4-BE49-F238E27FC236}">
              <a16:creationId xmlns:a16="http://schemas.microsoft.com/office/drawing/2014/main" id="{2351EB9D-6369-DD0D-4F07-5ED4A5A53146}"/>
            </a:ext>
          </a:extLst>
        </xdr:cNvPr>
        <xdr:cNvCxnSpPr/>
      </xdr:nvCxnSpPr>
      <xdr:spPr>
        <a:xfrm>
          <a:off x="4533900" y="48114432"/>
          <a:ext cx="339219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19</xdr:col>
      <xdr:colOff>51932</xdr:colOff>
      <xdr:row>194</xdr:row>
      <xdr:rowOff>197771</xdr:rowOff>
    </xdr:from>
    <xdr:to>
      <xdr:col>23</xdr:col>
      <xdr:colOff>295</xdr:colOff>
      <xdr:row>194</xdr:row>
      <xdr:rowOff>197771</xdr:rowOff>
    </xdr:to>
    <xdr:cxnSp macro="">
      <xdr:nvCxnSpPr>
        <xdr:cNvPr id="115" name="直線コネクタ 114">
          <a:extLst>
            <a:ext uri="{FF2B5EF4-FFF2-40B4-BE49-F238E27FC236}">
              <a16:creationId xmlns:a16="http://schemas.microsoft.com/office/drawing/2014/main" id="{CD2DD0AE-6BDC-C345-0E2A-39757CD3A3CB}"/>
            </a:ext>
          </a:extLst>
        </xdr:cNvPr>
        <xdr:cNvCxnSpPr/>
      </xdr:nvCxnSpPr>
      <xdr:spPr>
        <a:xfrm>
          <a:off x="4395332" y="47041721"/>
          <a:ext cx="86276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41906</xdr:colOff>
      <xdr:row>195</xdr:row>
      <xdr:rowOff>115128</xdr:rowOff>
    </xdr:from>
    <xdr:to>
      <xdr:col>22</xdr:col>
      <xdr:colOff>216488</xdr:colOff>
      <xdr:row>195</xdr:row>
      <xdr:rowOff>115128</xdr:rowOff>
    </xdr:to>
    <xdr:cxnSp macro="">
      <xdr:nvCxnSpPr>
        <xdr:cNvPr id="116" name="直線コネクタ 115">
          <a:extLst>
            <a:ext uri="{FF2B5EF4-FFF2-40B4-BE49-F238E27FC236}">
              <a16:creationId xmlns:a16="http://schemas.microsoft.com/office/drawing/2014/main" id="{5B46A5DE-982F-A5BD-CC71-A4B7EB6B9B90}"/>
            </a:ext>
          </a:extLst>
        </xdr:cNvPr>
        <xdr:cNvCxnSpPr/>
      </xdr:nvCxnSpPr>
      <xdr:spPr>
        <a:xfrm>
          <a:off x="4385306" y="47197203"/>
          <a:ext cx="86038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224509</xdr:colOff>
      <xdr:row>194</xdr:row>
      <xdr:rowOff>202667</xdr:rowOff>
    </xdr:from>
    <xdr:to>
      <xdr:col>22</xdr:col>
      <xdr:colOff>224509</xdr:colOff>
      <xdr:row>195</xdr:row>
      <xdr:rowOff>115513</xdr:rowOff>
    </xdr:to>
    <xdr:cxnSp macro="">
      <xdr:nvCxnSpPr>
        <xdr:cNvPr id="117" name="直線コネクタ 116">
          <a:extLst>
            <a:ext uri="{FF2B5EF4-FFF2-40B4-BE49-F238E27FC236}">
              <a16:creationId xmlns:a16="http://schemas.microsoft.com/office/drawing/2014/main" id="{53B64775-7669-A247-8552-C8EB13080FA0}"/>
            </a:ext>
          </a:extLst>
        </xdr:cNvPr>
        <xdr:cNvCxnSpPr/>
      </xdr:nvCxnSpPr>
      <xdr:spPr>
        <a:xfrm>
          <a:off x="5253709" y="47046617"/>
          <a:ext cx="0" cy="15097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25504</xdr:colOff>
      <xdr:row>194</xdr:row>
      <xdr:rowOff>192462</xdr:rowOff>
    </xdr:from>
    <xdr:to>
      <xdr:col>23</xdr:col>
      <xdr:colOff>25504</xdr:colOff>
      <xdr:row>195</xdr:row>
      <xdr:rowOff>129299</xdr:rowOff>
    </xdr:to>
    <xdr:cxnSp macro="">
      <xdr:nvCxnSpPr>
        <xdr:cNvPr id="118" name="直線コネクタ 117">
          <a:extLst>
            <a:ext uri="{FF2B5EF4-FFF2-40B4-BE49-F238E27FC236}">
              <a16:creationId xmlns:a16="http://schemas.microsoft.com/office/drawing/2014/main" id="{952831F5-5F53-CE4C-5648-BE39A3C43581}"/>
            </a:ext>
          </a:extLst>
        </xdr:cNvPr>
        <xdr:cNvCxnSpPr/>
      </xdr:nvCxnSpPr>
      <xdr:spPr>
        <a:xfrm>
          <a:off x="5283304" y="47036412"/>
          <a:ext cx="0" cy="1749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169462</xdr:colOff>
      <xdr:row>194</xdr:row>
      <xdr:rowOff>192462</xdr:rowOff>
    </xdr:from>
    <xdr:to>
      <xdr:col>23</xdr:col>
      <xdr:colOff>169462</xdr:colOff>
      <xdr:row>195</xdr:row>
      <xdr:rowOff>129299</xdr:rowOff>
    </xdr:to>
    <xdr:cxnSp macro="">
      <xdr:nvCxnSpPr>
        <xdr:cNvPr id="119" name="直線コネクタ 118">
          <a:extLst>
            <a:ext uri="{FF2B5EF4-FFF2-40B4-BE49-F238E27FC236}">
              <a16:creationId xmlns:a16="http://schemas.microsoft.com/office/drawing/2014/main" id="{D93707E6-D742-777A-0DC9-97DBAAA44820}"/>
            </a:ext>
          </a:extLst>
        </xdr:cNvPr>
        <xdr:cNvCxnSpPr/>
      </xdr:nvCxnSpPr>
      <xdr:spPr>
        <a:xfrm>
          <a:off x="5427262" y="47036412"/>
          <a:ext cx="0" cy="1749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24434</xdr:colOff>
      <xdr:row>195</xdr:row>
      <xdr:rowOff>44020</xdr:rowOff>
    </xdr:from>
    <xdr:to>
      <xdr:col>23</xdr:col>
      <xdr:colOff>164991</xdr:colOff>
      <xdr:row>195</xdr:row>
      <xdr:rowOff>44020</xdr:rowOff>
    </xdr:to>
    <xdr:cxnSp macro="">
      <xdr:nvCxnSpPr>
        <xdr:cNvPr id="120" name="直線コネクタ 119">
          <a:extLst>
            <a:ext uri="{FF2B5EF4-FFF2-40B4-BE49-F238E27FC236}">
              <a16:creationId xmlns:a16="http://schemas.microsoft.com/office/drawing/2014/main" id="{E2AF4595-7CD6-D17E-2EC2-DDAA526DFE7C}"/>
            </a:ext>
          </a:extLst>
        </xdr:cNvPr>
        <xdr:cNvCxnSpPr/>
      </xdr:nvCxnSpPr>
      <xdr:spPr>
        <a:xfrm>
          <a:off x="5282234" y="47126095"/>
          <a:ext cx="14055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217992</xdr:colOff>
      <xdr:row>45</xdr:row>
      <xdr:rowOff>215990</xdr:rowOff>
    </xdr:from>
    <xdr:to>
      <xdr:col>23</xdr:col>
      <xdr:colOff>169820</xdr:colOff>
      <xdr:row>45</xdr:row>
      <xdr:rowOff>215990</xdr:rowOff>
    </xdr:to>
    <xdr:cxnSp macro="">
      <xdr:nvCxnSpPr>
        <xdr:cNvPr id="121" name="直線コネクタ 120">
          <a:extLst>
            <a:ext uri="{FF2B5EF4-FFF2-40B4-BE49-F238E27FC236}">
              <a16:creationId xmlns:a16="http://schemas.microsoft.com/office/drawing/2014/main" id="{B3B07E17-DE4E-1AE8-2B11-8C7CD1E30A04}"/>
            </a:ext>
          </a:extLst>
        </xdr:cNvPr>
        <xdr:cNvCxnSpPr/>
      </xdr:nvCxnSpPr>
      <xdr:spPr>
        <a:xfrm>
          <a:off x="4533550" y="11008548"/>
          <a:ext cx="86036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39312</xdr:colOff>
      <xdr:row>45</xdr:row>
      <xdr:rowOff>223626</xdr:rowOff>
    </xdr:from>
    <xdr:to>
      <xdr:col>22</xdr:col>
      <xdr:colOff>132024</xdr:colOff>
      <xdr:row>46</xdr:row>
      <xdr:rowOff>81614</xdr:rowOff>
    </xdr:to>
    <xdr:cxnSp macro="">
      <xdr:nvCxnSpPr>
        <xdr:cNvPr id="122" name="直線コネクタ 121">
          <a:extLst>
            <a:ext uri="{FF2B5EF4-FFF2-40B4-BE49-F238E27FC236}">
              <a16:creationId xmlns:a16="http://schemas.microsoft.com/office/drawing/2014/main" id="{D08C2183-354E-E5AC-0746-8F57611EAF2E}"/>
            </a:ext>
          </a:extLst>
        </xdr:cNvPr>
        <xdr:cNvCxnSpPr/>
      </xdr:nvCxnSpPr>
      <xdr:spPr>
        <a:xfrm>
          <a:off x="5036274" y="11016184"/>
          <a:ext cx="92712" cy="9977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216805</xdr:colOff>
      <xdr:row>45</xdr:row>
      <xdr:rowOff>222067</xdr:rowOff>
    </xdr:from>
    <xdr:to>
      <xdr:col>22</xdr:col>
      <xdr:colOff>84706</xdr:colOff>
      <xdr:row>46</xdr:row>
      <xdr:rowOff>83458</xdr:rowOff>
    </xdr:to>
    <xdr:cxnSp macro="">
      <xdr:nvCxnSpPr>
        <xdr:cNvPr id="123" name="直線コネクタ 122">
          <a:extLst>
            <a:ext uri="{FF2B5EF4-FFF2-40B4-BE49-F238E27FC236}">
              <a16:creationId xmlns:a16="http://schemas.microsoft.com/office/drawing/2014/main" id="{F61559C7-1E9D-AEF3-F0B4-AF165BD73861}"/>
            </a:ext>
          </a:extLst>
        </xdr:cNvPr>
        <xdr:cNvCxnSpPr/>
      </xdr:nvCxnSpPr>
      <xdr:spPr>
        <a:xfrm>
          <a:off x="4986632" y="11014625"/>
          <a:ext cx="95036" cy="10317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217720</xdr:colOff>
      <xdr:row>46</xdr:row>
      <xdr:rowOff>34843</xdr:rowOff>
    </xdr:from>
    <xdr:to>
      <xdr:col>22</xdr:col>
      <xdr:colOff>24565</xdr:colOff>
      <xdr:row>46</xdr:row>
      <xdr:rowOff>65569</xdr:rowOff>
    </xdr:to>
    <xdr:cxnSp macro="">
      <xdr:nvCxnSpPr>
        <xdr:cNvPr id="124" name="直線コネクタ 123">
          <a:extLst>
            <a:ext uri="{FF2B5EF4-FFF2-40B4-BE49-F238E27FC236}">
              <a16:creationId xmlns:a16="http://schemas.microsoft.com/office/drawing/2014/main" id="{322E28CB-908D-7ABC-3ED2-0E3882216F47}"/>
            </a:ext>
          </a:extLst>
        </xdr:cNvPr>
        <xdr:cNvCxnSpPr/>
      </xdr:nvCxnSpPr>
      <xdr:spPr>
        <a:xfrm flipH="1">
          <a:off x="4987547" y="11069189"/>
          <a:ext cx="33980"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13193</xdr:colOff>
      <xdr:row>46</xdr:row>
      <xdr:rowOff>52041</xdr:rowOff>
    </xdr:from>
    <xdr:to>
      <xdr:col>22</xdr:col>
      <xdr:colOff>44849</xdr:colOff>
      <xdr:row>46</xdr:row>
      <xdr:rowOff>82768</xdr:rowOff>
    </xdr:to>
    <xdr:cxnSp macro="">
      <xdr:nvCxnSpPr>
        <xdr:cNvPr id="125" name="直線コネクタ 124">
          <a:extLst>
            <a:ext uri="{FF2B5EF4-FFF2-40B4-BE49-F238E27FC236}">
              <a16:creationId xmlns:a16="http://schemas.microsoft.com/office/drawing/2014/main" id="{B1F48015-138F-A991-7D81-AAB9616A35C4}"/>
            </a:ext>
          </a:extLst>
        </xdr:cNvPr>
        <xdr:cNvCxnSpPr/>
      </xdr:nvCxnSpPr>
      <xdr:spPr>
        <a:xfrm flipH="1">
          <a:off x="5010155" y="11086387"/>
          <a:ext cx="31656" cy="3072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118327</xdr:colOff>
      <xdr:row>45</xdr:row>
      <xdr:rowOff>228093</xdr:rowOff>
    </xdr:from>
    <xdr:to>
      <xdr:col>21</xdr:col>
      <xdr:colOff>208692</xdr:colOff>
      <xdr:row>46</xdr:row>
      <xdr:rowOff>87009</xdr:rowOff>
    </xdr:to>
    <xdr:cxnSp macro="">
      <xdr:nvCxnSpPr>
        <xdr:cNvPr id="126" name="直線コネクタ 125">
          <a:extLst>
            <a:ext uri="{FF2B5EF4-FFF2-40B4-BE49-F238E27FC236}">
              <a16:creationId xmlns:a16="http://schemas.microsoft.com/office/drawing/2014/main" id="{B9B4B320-AF08-916A-6FE3-4F0E020E1F2B}"/>
            </a:ext>
          </a:extLst>
        </xdr:cNvPr>
        <xdr:cNvCxnSpPr/>
      </xdr:nvCxnSpPr>
      <xdr:spPr>
        <a:xfrm>
          <a:off x="4888154" y="11020651"/>
          <a:ext cx="90365" cy="10070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71009</xdr:colOff>
      <xdr:row>45</xdr:row>
      <xdr:rowOff>229937</xdr:rowOff>
    </xdr:from>
    <xdr:to>
      <xdr:col>21</xdr:col>
      <xdr:colOff>167558</xdr:colOff>
      <xdr:row>46</xdr:row>
      <xdr:rowOff>88853</xdr:rowOff>
    </xdr:to>
    <xdr:cxnSp macro="">
      <xdr:nvCxnSpPr>
        <xdr:cNvPr id="127" name="直線コネクタ 126">
          <a:extLst>
            <a:ext uri="{FF2B5EF4-FFF2-40B4-BE49-F238E27FC236}">
              <a16:creationId xmlns:a16="http://schemas.microsoft.com/office/drawing/2014/main" id="{7C388D05-C18C-92FD-5281-945FE7461AFE}"/>
            </a:ext>
          </a:extLst>
        </xdr:cNvPr>
        <xdr:cNvCxnSpPr/>
      </xdr:nvCxnSpPr>
      <xdr:spPr>
        <a:xfrm>
          <a:off x="4840836" y="11022495"/>
          <a:ext cx="96549" cy="10070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71045</xdr:colOff>
      <xdr:row>46</xdr:row>
      <xdr:rowOff>42713</xdr:rowOff>
    </xdr:from>
    <xdr:to>
      <xdr:col>21</xdr:col>
      <xdr:colOff>101771</xdr:colOff>
      <xdr:row>46</xdr:row>
      <xdr:rowOff>73440</xdr:rowOff>
    </xdr:to>
    <xdr:cxnSp macro="">
      <xdr:nvCxnSpPr>
        <xdr:cNvPr id="128" name="直線コネクタ 127">
          <a:extLst>
            <a:ext uri="{FF2B5EF4-FFF2-40B4-BE49-F238E27FC236}">
              <a16:creationId xmlns:a16="http://schemas.microsoft.com/office/drawing/2014/main" id="{6777C242-E041-1172-8F27-D1AF93704E3A}"/>
            </a:ext>
          </a:extLst>
        </xdr:cNvPr>
        <xdr:cNvCxnSpPr/>
      </xdr:nvCxnSpPr>
      <xdr:spPr>
        <a:xfrm flipH="1">
          <a:off x="4840872" y="11077059"/>
          <a:ext cx="30726" cy="3072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91329</xdr:colOff>
      <xdr:row>46</xdr:row>
      <xdr:rowOff>59911</xdr:rowOff>
    </xdr:from>
    <xdr:to>
      <xdr:col>21</xdr:col>
      <xdr:colOff>122055</xdr:colOff>
      <xdr:row>46</xdr:row>
      <xdr:rowOff>88163</xdr:rowOff>
    </xdr:to>
    <xdr:cxnSp macro="">
      <xdr:nvCxnSpPr>
        <xdr:cNvPr id="129" name="直線コネクタ 128">
          <a:extLst>
            <a:ext uri="{FF2B5EF4-FFF2-40B4-BE49-F238E27FC236}">
              <a16:creationId xmlns:a16="http://schemas.microsoft.com/office/drawing/2014/main" id="{A2A1A13E-7A02-2C82-FBDB-1E39A3A4F3E7}"/>
            </a:ext>
          </a:extLst>
        </xdr:cNvPr>
        <xdr:cNvCxnSpPr/>
      </xdr:nvCxnSpPr>
      <xdr:spPr>
        <a:xfrm flipH="1">
          <a:off x="4861156" y="11094257"/>
          <a:ext cx="30726" cy="282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196244</xdr:colOff>
      <xdr:row>45</xdr:row>
      <xdr:rowOff>215404</xdr:rowOff>
    </xdr:from>
    <xdr:to>
      <xdr:col>31</xdr:col>
      <xdr:colOff>7327</xdr:colOff>
      <xdr:row>45</xdr:row>
      <xdr:rowOff>215404</xdr:rowOff>
    </xdr:to>
    <xdr:cxnSp macro="">
      <xdr:nvCxnSpPr>
        <xdr:cNvPr id="135" name="直線コネクタ 134">
          <a:extLst>
            <a:ext uri="{FF2B5EF4-FFF2-40B4-BE49-F238E27FC236}">
              <a16:creationId xmlns:a16="http://schemas.microsoft.com/office/drawing/2014/main" id="{DC76934A-5047-2044-211D-69B7AC455705}"/>
            </a:ext>
          </a:extLst>
        </xdr:cNvPr>
        <xdr:cNvCxnSpPr/>
      </xdr:nvCxnSpPr>
      <xdr:spPr>
        <a:xfrm>
          <a:off x="5420340" y="11007962"/>
          <a:ext cx="162816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126324</xdr:colOff>
      <xdr:row>44</xdr:row>
      <xdr:rowOff>75417</xdr:rowOff>
    </xdr:from>
    <xdr:to>
      <xdr:col>32</xdr:col>
      <xdr:colOff>222812</xdr:colOff>
      <xdr:row>45</xdr:row>
      <xdr:rowOff>84088</xdr:rowOff>
    </xdr:to>
    <xdr:sp macro="" textlink="">
      <xdr:nvSpPr>
        <xdr:cNvPr id="151" name="テキスト ボックス 150">
          <a:extLst>
            <a:ext uri="{FF2B5EF4-FFF2-40B4-BE49-F238E27FC236}">
              <a16:creationId xmlns:a16="http://schemas.microsoft.com/office/drawing/2014/main" id="{5C4DA0BB-1BD2-2941-E688-3D9F70156999}"/>
            </a:ext>
          </a:extLst>
        </xdr:cNvPr>
        <xdr:cNvSpPr txBox="1"/>
      </xdr:nvSpPr>
      <xdr:spPr>
        <a:xfrm>
          <a:off x="6940362" y="10626186"/>
          <a:ext cx="550758" cy="250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a:t>
          </a:r>
          <a:r>
            <a:rPr kumimoji="1" lang="ja-JP" altLang="en-US" sz="1100"/>
            <a:t>層</a:t>
          </a:r>
        </a:p>
      </xdr:txBody>
    </xdr:sp>
    <xdr:clientData/>
  </xdr:twoCellAnchor>
  <xdr:twoCellAnchor>
    <xdr:from>
      <xdr:col>30</xdr:col>
      <xdr:colOff>140977</xdr:colOff>
      <xdr:row>46</xdr:row>
      <xdr:rowOff>192648</xdr:rowOff>
    </xdr:from>
    <xdr:to>
      <xdr:col>33</xdr:col>
      <xdr:colOff>10331</xdr:colOff>
      <xdr:row>47</xdr:row>
      <xdr:rowOff>201319</xdr:rowOff>
    </xdr:to>
    <xdr:sp macro="" textlink="">
      <xdr:nvSpPr>
        <xdr:cNvPr id="154" name="テキスト ボックス 153">
          <a:extLst>
            <a:ext uri="{FF2B5EF4-FFF2-40B4-BE49-F238E27FC236}">
              <a16:creationId xmlns:a16="http://schemas.microsoft.com/office/drawing/2014/main" id="{9217A39F-2C6E-91A4-63AB-B010FE661656}"/>
            </a:ext>
          </a:extLst>
        </xdr:cNvPr>
        <xdr:cNvSpPr txBox="1"/>
      </xdr:nvSpPr>
      <xdr:spPr>
        <a:xfrm>
          <a:off x="6955015" y="11226994"/>
          <a:ext cx="550758" cy="250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4'</a:t>
          </a:r>
          <a:r>
            <a:rPr kumimoji="1" lang="ja-JP" altLang="en-US" sz="1100"/>
            <a:t>層</a:t>
          </a:r>
        </a:p>
      </xdr:txBody>
    </xdr:sp>
    <xdr:clientData/>
  </xdr:twoCellAnchor>
  <xdr:twoCellAnchor>
    <xdr:from>
      <xdr:col>23</xdr:col>
      <xdr:colOff>197611</xdr:colOff>
      <xdr:row>195</xdr:row>
      <xdr:rowOff>47201</xdr:rowOff>
    </xdr:from>
    <xdr:to>
      <xdr:col>26</xdr:col>
      <xdr:colOff>200890</xdr:colOff>
      <xdr:row>195</xdr:row>
      <xdr:rowOff>47201</xdr:rowOff>
    </xdr:to>
    <xdr:cxnSp macro="">
      <xdr:nvCxnSpPr>
        <xdr:cNvPr id="156" name="直線コネクタ 155">
          <a:extLst>
            <a:ext uri="{FF2B5EF4-FFF2-40B4-BE49-F238E27FC236}">
              <a16:creationId xmlns:a16="http://schemas.microsoft.com/office/drawing/2014/main" id="{0D43A867-7A58-D5A3-1BF6-FDC855818930}"/>
            </a:ext>
          </a:extLst>
        </xdr:cNvPr>
        <xdr:cNvCxnSpPr/>
      </xdr:nvCxnSpPr>
      <xdr:spPr>
        <a:xfrm>
          <a:off x="5475327" y="47087712"/>
          <a:ext cx="691677" cy="0"/>
        </a:xfrm>
        <a:prstGeom prst="line">
          <a:avLst/>
        </a:prstGeom>
        <a:ln w="9525" cap="flat" cmpd="sng" algn="ctr">
          <a:solidFill>
            <a:srgbClr val="00B0F0"/>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29</xdr:col>
      <xdr:colOff>85911</xdr:colOff>
      <xdr:row>195</xdr:row>
      <xdr:rowOff>47201</xdr:rowOff>
    </xdr:from>
    <xdr:to>
      <xdr:col>30</xdr:col>
      <xdr:colOff>213015</xdr:colOff>
      <xdr:row>195</xdr:row>
      <xdr:rowOff>47201</xdr:rowOff>
    </xdr:to>
    <xdr:cxnSp macro="">
      <xdr:nvCxnSpPr>
        <xdr:cNvPr id="160" name="直線コネクタ 159">
          <a:extLst>
            <a:ext uri="{FF2B5EF4-FFF2-40B4-BE49-F238E27FC236}">
              <a16:creationId xmlns:a16="http://schemas.microsoft.com/office/drawing/2014/main" id="{A930197E-CD3C-8C48-6892-F42AA35196B0}"/>
            </a:ext>
          </a:extLst>
        </xdr:cNvPr>
        <xdr:cNvCxnSpPr/>
      </xdr:nvCxnSpPr>
      <xdr:spPr>
        <a:xfrm>
          <a:off x="6715311" y="46853051"/>
          <a:ext cx="355704" cy="0"/>
        </a:xfrm>
        <a:prstGeom prst="line">
          <a:avLst/>
        </a:prstGeom>
        <a:ln w="9525" cap="flat" cmpd="sng" algn="ctr">
          <a:solidFill>
            <a:srgbClr val="00B0F0"/>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24</xdr:col>
      <xdr:colOff>177511</xdr:colOff>
      <xdr:row>190</xdr:row>
      <xdr:rowOff>109400</xdr:rowOff>
    </xdr:from>
    <xdr:to>
      <xdr:col>26</xdr:col>
      <xdr:colOff>206843</xdr:colOff>
      <xdr:row>195</xdr:row>
      <xdr:rowOff>58272</xdr:rowOff>
    </xdr:to>
    <xdr:cxnSp macro="">
      <xdr:nvCxnSpPr>
        <xdr:cNvPr id="163" name="直線コネクタ 162">
          <a:extLst>
            <a:ext uri="{FF2B5EF4-FFF2-40B4-BE49-F238E27FC236}">
              <a16:creationId xmlns:a16="http://schemas.microsoft.com/office/drawing/2014/main" id="{CBF3375F-2211-17E6-A4A2-1000D1D93218}"/>
            </a:ext>
          </a:extLst>
        </xdr:cNvPr>
        <xdr:cNvCxnSpPr/>
      </xdr:nvCxnSpPr>
      <xdr:spPr>
        <a:xfrm>
          <a:off x="5684693" y="45941968"/>
          <a:ext cx="488264" cy="1156815"/>
        </a:xfrm>
        <a:prstGeom prst="line">
          <a:avLst/>
        </a:prstGeom>
        <a:ln>
          <a:solidFill>
            <a:schemeClr val="bg1">
              <a:lumMod val="75000"/>
            </a:schemeClr>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82815</xdr:colOff>
      <xdr:row>193</xdr:row>
      <xdr:rowOff>177511</xdr:rowOff>
    </xdr:from>
    <xdr:to>
      <xdr:col>31</xdr:col>
      <xdr:colOff>0</xdr:colOff>
      <xdr:row>195</xdr:row>
      <xdr:rowOff>49731</xdr:rowOff>
    </xdr:to>
    <xdr:cxnSp macro="">
      <xdr:nvCxnSpPr>
        <xdr:cNvPr id="167" name="直線コネクタ 166">
          <a:extLst>
            <a:ext uri="{FF2B5EF4-FFF2-40B4-BE49-F238E27FC236}">
              <a16:creationId xmlns:a16="http://schemas.microsoft.com/office/drawing/2014/main" id="{9E26E74D-8D7E-98DB-5824-903AE5769254}"/>
            </a:ext>
          </a:extLst>
        </xdr:cNvPr>
        <xdr:cNvCxnSpPr/>
      </xdr:nvCxnSpPr>
      <xdr:spPr>
        <a:xfrm flipH="1" flipV="1">
          <a:off x="6712215" y="46488061"/>
          <a:ext cx="374385" cy="367520"/>
        </a:xfrm>
        <a:prstGeom prst="line">
          <a:avLst/>
        </a:prstGeom>
        <a:ln>
          <a:solidFill>
            <a:schemeClr val="bg1">
              <a:lumMod val="75000"/>
            </a:schemeClr>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87029</xdr:colOff>
      <xdr:row>193</xdr:row>
      <xdr:rowOff>164523</xdr:rowOff>
    </xdr:from>
    <xdr:to>
      <xdr:col>29</xdr:col>
      <xdr:colOff>87029</xdr:colOff>
      <xdr:row>195</xdr:row>
      <xdr:rowOff>47625</xdr:rowOff>
    </xdr:to>
    <xdr:cxnSp macro="">
      <xdr:nvCxnSpPr>
        <xdr:cNvPr id="170" name="直線コネクタ 169">
          <a:extLst>
            <a:ext uri="{FF2B5EF4-FFF2-40B4-BE49-F238E27FC236}">
              <a16:creationId xmlns:a16="http://schemas.microsoft.com/office/drawing/2014/main" id="{B289C656-0982-5645-ACBF-570454EA6068}"/>
            </a:ext>
          </a:extLst>
        </xdr:cNvPr>
        <xdr:cNvCxnSpPr/>
      </xdr:nvCxnSpPr>
      <xdr:spPr>
        <a:xfrm>
          <a:off x="6716429" y="46475073"/>
          <a:ext cx="0" cy="378402"/>
        </a:xfrm>
        <a:prstGeom prst="line">
          <a:avLst/>
        </a:prstGeom>
        <a:ln>
          <a:solidFill>
            <a:schemeClr val="bg1">
              <a:lumMod val="75000"/>
            </a:schemeClr>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195943</xdr:colOff>
      <xdr:row>201</xdr:row>
      <xdr:rowOff>90237</xdr:rowOff>
    </xdr:from>
    <xdr:to>
      <xdr:col>27</xdr:col>
      <xdr:colOff>15040</xdr:colOff>
      <xdr:row>203</xdr:row>
      <xdr:rowOff>185057</xdr:rowOff>
    </xdr:to>
    <xdr:cxnSp macro="">
      <xdr:nvCxnSpPr>
        <xdr:cNvPr id="174" name="直線コネクタ 173">
          <a:extLst>
            <a:ext uri="{FF2B5EF4-FFF2-40B4-BE49-F238E27FC236}">
              <a16:creationId xmlns:a16="http://schemas.microsoft.com/office/drawing/2014/main" id="{8743A65A-B5FE-6698-BC9A-BC3F6CF84B87}"/>
            </a:ext>
          </a:extLst>
        </xdr:cNvPr>
        <xdr:cNvCxnSpPr/>
      </xdr:nvCxnSpPr>
      <xdr:spPr>
        <a:xfrm flipV="1">
          <a:off x="5499864" y="48452171"/>
          <a:ext cx="741518" cy="58611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25</xdr:col>
      <xdr:colOff>148548</xdr:colOff>
      <xdr:row>202</xdr:row>
      <xdr:rowOff>83664</xdr:rowOff>
    </xdr:from>
    <xdr:to>
      <xdr:col>26</xdr:col>
      <xdr:colOff>212376</xdr:colOff>
      <xdr:row>203</xdr:row>
      <xdr:rowOff>95728</xdr:rowOff>
    </xdr:to>
    <xdr:sp macro="" textlink="">
      <xdr:nvSpPr>
        <xdr:cNvPr id="176" name="テキスト ボックス 175">
          <a:extLst>
            <a:ext uri="{FF2B5EF4-FFF2-40B4-BE49-F238E27FC236}">
              <a16:creationId xmlns:a16="http://schemas.microsoft.com/office/drawing/2014/main" id="{E19983A5-C791-0F70-940A-80B0CF375423}"/>
            </a:ext>
          </a:extLst>
        </xdr:cNvPr>
        <xdr:cNvSpPr txBox="1"/>
      </xdr:nvSpPr>
      <xdr:spPr>
        <a:xfrm>
          <a:off x="5863548" y="49069378"/>
          <a:ext cx="292428" cy="251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⑥</a:t>
          </a:r>
        </a:p>
      </xdr:txBody>
    </xdr:sp>
    <xdr:clientData/>
  </xdr:twoCellAnchor>
  <xdr:twoCellAnchor>
    <xdr:from>
      <xdr:col>29</xdr:col>
      <xdr:colOff>216584</xdr:colOff>
      <xdr:row>199</xdr:row>
      <xdr:rowOff>170749</xdr:rowOff>
    </xdr:from>
    <xdr:to>
      <xdr:col>31</xdr:col>
      <xdr:colOff>51812</xdr:colOff>
      <xdr:row>200</xdr:row>
      <xdr:rowOff>177372</xdr:rowOff>
    </xdr:to>
    <xdr:sp macro="" textlink="">
      <xdr:nvSpPr>
        <xdr:cNvPr id="177" name="テキスト ボックス 176">
          <a:extLst>
            <a:ext uri="{FF2B5EF4-FFF2-40B4-BE49-F238E27FC236}">
              <a16:creationId xmlns:a16="http://schemas.microsoft.com/office/drawing/2014/main" id="{20EFC2BB-EAE3-D4A4-846B-AC7F7AFE35E4}"/>
            </a:ext>
          </a:extLst>
        </xdr:cNvPr>
        <xdr:cNvSpPr txBox="1"/>
      </xdr:nvSpPr>
      <xdr:spPr>
        <a:xfrm>
          <a:off x="6845984" y="47929099"/>
          <a:ext cx="292428" cy="24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⑨</a:t>
          </a:r>
        </a:p>
      </xdr:txBody>
    </xdr:sp>
    <xdr:clientData/>
  </xdr:twoCellAnchor>
  <xdr:twoCellAnchor>
    <xdr:from>
      <xdr:col>22</xdr:col>
      <xdr:colOff>40771</xdr:colOff>
      <xdr:row>199</xdr:row>
      <xdr:rowOff>172815</xdr:rowOff>
    </xdr:from>
    <xdr:to>
      <xdr:col>23</xdr:col>
      <xdr:colOff>104599</xdr:colOff>
      <xdr:row>200</xdr:row>
      <xdr:rowOff>173993</xdr:rowOff>
    </xdr:to>
    <xdr:sp macro="" textlink="">
      <xdr:nvSpPr>
        <xdr:cNvPr id="178" name="テキスト ボックス 177">
          <a:extLst>
            <a:ext uri="{FF2B5EF4-FFF2-40B4-BE49-F238E27FC236}">
              <a16:creationId xmlns:a16="http://schemas.microsoft.com/office/drawing/2014/main" id="{98883A0E-C49D-8B58-8FE0-06EE9F81F530}"/>
            </a:ext>
          </a:extLst>
        </xdr:cNvPr>
        <xdr:cNvSpPr txBox="1"/>
      </xdr:nvSpPr>
      <xdr:spPr>
        <a:xfrm>
          <a:off x="5069971" y="47731140"/>
          <a:ext cx="292428" cy="239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⑩</a:t>
          </a:r>
        </a:p>
      </xdr:txBody>
    </xdr:sp>
    <xdr:clientData/>
  </xdr:twoCellAnchor>
  <xdr:twoCellAnchor>
    <xdr:from>
      <xdr:col>20</xdr:col>
      <xdr:colOff>173041</xdr:colOff>
      <xdr:row>201</xdr:row>
      <xdr:rowOff>61892</xdr:rowOff>
    </xdr:from>
    <xdr:to>
      <xdr:col>22</xdr:col>
      <xdr:colOff>8269</xdr:colOff>
      <xdr:row>202</xdr:row>
      <xdr:rowOff>73955</xdr:rowOff>
    </xdr:to>
    <xdr:sp macro="" textlink="">
      <xdr:nvSpPr>
        <xdr:cNvPr id="179" name="テキスト ボックス 178">
          <a:extLst>
            <a:ext uri="{FF2B5EF4-FFF2-40B4-BE49-F238E27FC236}">
              <a16:creationId xmlns:a16="http://schemas.microsoft.com/office/drawing/2014/main" id="{62EA55A1-E26E-D1D1-405B-40326243FC8D}"/>
            </a:ext>
          </a:extLst>
        </xdr:cNvPr>
        <xdr:cNvSpPr txBox="1"/>
      </xdr:nvSpPr>
      <xdr:spPr>
        <a:xfrm>
          <a:off x="4745041" y="48096467"/>
          <a:ext cx="292428" cy="2597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⑪</a:t>
          </a:r>
        </a:p>
      </xdr:txBody>
    </xdr:sp>
    <xdr:clientData/>
  </xdr:twoCellAnchor>
  <xdr:twoCellAnchor>
    <xdr:from>
      <xdr:col>27</xdr:col>
      <xdr:colOff>24854</xdr:colOff>
      <xdr:row>201</xdr:row>
      <xdr:rowOff>71769</xdr:rowOff>
    </xdr:from>
    <xdr:to>
      <xdr:col>28</xdr:col>
      <xdr:colOff>104775</xdr:colOff>
      <xdr:row>203</xdr:row>
      <xdr:rowOff>171450</xdr:rowOff>
    </xdr:to>
    <xdr:cxnSp macro="">
      <xdr:nvCxnSpPr>
        <xdr:cNvPr id="181" name="直線コネクタ 180">
          <a:extLst>
            <a:ext uri="{FF2B5EF4-FFF2-40B4-BE49-F238E27FC236}">
              <a16:creationId xmlns:a16="http://schemas.microsoft.com/office/drawing/2014/main" id="{AD69627C-C124-408F-1118-B37C9AC1C463}"/>
            </a:ext>
          </a:extLst>
        </xdr:cNvPr>
        <xdr:cNvCxnSpPr/>
      </xdr:nvCxnSpPr>
      <xdr:spPr>
        <a:xfrm>
          <a:off x="6197054" y="48306369"/>
          <a:ext cx="308521" cy="594981"/>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18</xdr:col>
      <xdr:colOff>107403</xdr:colOff>
      <xdr:row>201</xdr:row>
      <xdr:rowOff>94922</xdr:rowOff>
    </xdr:from>
    <xdr:to>
      <xdr:col>19</xdr:col>
      <xdr:colOff>205937</xdr:colOff>
      <xdr:row>203</xdr:row>
      <xdr:rowOff>193455</xdr:rowOff>
    </xdr:to>
    <xdr:cxnSp macro="">
      <xdr:nvCxnSpPr>
        <xdr:cNvPr id="186" name="直線コネクタ 185">
          <a:extLst>
            <a:ext uri="{FF2B5EF4-FFF2-40B4-BE49-F238E27FC236}">
              <a16:creationId xmlns:a16="http://schemas.microsoft.com/office/drawing/2014/main" id="{3A1DD85C-107A-49E2-CA7E-0A55EB808C7A}"/>
            </a:ext>
          </a:extLst>
        </xdr:cNvPr>
        <xdr:cNvCxnSpPr/>
      </xdr:nvCxnSpPr>
      <xdr:spPr>
        <a:xfrm flipH="1">
          <a:off x="4222203" y="48129497"/>
          <a:ext cx="327134" cy="593833"/>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76200</xdr:colOff>
      <xdr:row>195</xdr:row>
      <xdr:rowOff>61822</xdr:rowOff>
    </xdr:from>
    <xdr:to>
      <xdr:col>30</xdr:col>
      <xdr:colOff>214697</xdr:colOff>
      <xdr:row>198</xdr:row>
      <xdr:rowOff>38100</xdr:rowOff>
    </xdr:to>
    <xdr:cxnSp macro="">
      <xdr:nvCxnSpPr>
        <xdr:cNvPr id="188" name="直線コネクタ 187">
          <a:extLst>
            <a:ext uri="{FF2B5EF4-FFF2-40B4-BE49-F238E27FC236}">
              <a16:creationId xmlns:a16="http://schemas.microsoft.com/office/drawing/2014/main" id="{A2D16A58-B947-FBDA-3AB9-ED07D5B334D0}"/>
            </a:ext>
          </a:extLst>
        </xdr:cNvPr>
        <xdr:cNvCxnSpPr/>
      </xdr:nvCxnSpPr>
      <xdr:spPr>
        <a:xfrm flipV="1">
          <a:off x="6705600" y="46867672"/>
          <a:ext cx="367097" cy="690653"/>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18</xdr:col>
      <xdr:colOff>104775</xdr:colOff>
      <xdr:row>201</xdr:row>
      <xdr:rowOff>97972</xdr:rowOff>
    </xdr:from>
    <xdr:to>
      <xdr:col>23</xdr:col>
      <xdr:colOff>179614</xdr:colOff>
      <xdr:row>203</xdr:row>
      <xdr:rowOff>200025</xdr:rowOff>
    </xdr:to>
    <xdr:cxnSp macro="">
      <xdr:nvCxnSpPr>
        <xdr:cNvPr id="192" name="直線コネクタ 191">
          <a:extLst>
            <a:ext uri="{FF2B5EF4-FFF2-40B4-BE49-F238E27FC236}">
              <a16:creationId xmlns:a16="http://schemas.microsoft.com/office/drawing/2014/main" id="{1D7E147D-DABA-8A76-04A5-264D7FA73FFB}"/>
            </a:ext>
          </a:extLst>
        </xdr:cNvPr>
        <xdr:cNvCxnSpPr/>
      </xdr:nvCxnSpPr>
      <xdr:spPr>
        <a:xfrm flipV="1">
          <a:off x="4219575" y="48132547"/>
          <a:ext cx="1217839" cy="597353"/>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22</xdr:col>
      <xdr:colOff>88676</xdr:colOff>
      <xdr:row>202</xdr:row>
      <xdr:rowOff>72777</xdr:rowOff>
    </xdr:from>
    <xdr:to>
      <xdr:col>23</xdr:col>
      <xdr:colOff>152504</xdr:colOff>
      <xdr:row>203</xdr:row>
      <xdr:rowOff>84841</xdr:rowOff>
    </xdr:to>
    <xdr:sp macro="" textlink="">
      <xdr:nvSpPr>
        <xdr:cNvPr id="195" name="テキスト ボックス 194">
          <a:extLst>
            <a:ext uri="{FF2B5EF4-FFF2-40B4-BE49-F238E27FC236}">
              <a16:creationId xmlns:a16="http://schemas.microsoft.com/office/drawing/2014/main" id="{8B952C0A-8CF5-F31F-D2E3-021C406592C9}"/>
            </a:ext>
          </a:extLst>
        </xdr:cNvPr>
        <xdr:cNvSpPr txBox="1"/>
      </xdr:nvSpPr>
      <xdr:spPr>
        <a:xfrm>
          <a:off x="5117876" y="48552306"/>
          <a:ext cx="292428" cy="262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⑫</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57150</xdr:colOff>
      <xdr:row>99</xdr:row>
      <xdr:rowOff>93854</xdr:rowOff>
    </xdr:from>
    <xdr:to>
      <xdr:col>27</xdr:col>
      <xdr:colOff>114300</xdr:colOff>
      <xdr:row>99</xdr:row>
      <xdr:rowOff>93854</xdr:rowOff>
    </xdr:to>
    <xdr:cxnSp macro="">
      <xdr:nvCxnSpPr>
        <xdr:cNvPr id="45" name="直線コネクタ 44">
          <a:extLst>
            <a:ext uri="{FF2B5EF4-FFF2-40B4-BE49-F238E27FC236}">
              <a16:creationId xmlns:a16="http://schemas.microsoft.com/office/drawing/2014/main" id="{F3C748DE-2949-0D8F-03F9-64C2D6F6C67F}"/>
            </a:ext>
          </a:extLst>
        </xdr:cNvPr>
        <xdr:cNvCxnSpPr/>
      </xdr:nvCxnSpPr>
      <xdr:spPr>
        <a:xfrm>
          <a:off x="5772150" y="24887429"/>
          <a:ext cx="514350"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24</xdr:col>
      <xdr:colOff>131529</xdr:colOff>
      <xdr:row>12</xdr:row>
      <xdr:rowOff>80758</xdr:rowOff>
    </xdr:from>
    <xdr:to>
      <xdr:col>35</xdr:col>
      <xdr:colOff>42671</xdr:colOff>
      <xdr:row>12</xdr:row>
      <xdr:rowOff>80758</xdr:rowOff>
    </xdr:to>
    <xdr:cxnSp macro="">
      <xdr:nvCxnSpPr>
        <xdr:cNvPr id="2" name="直線コネクタ 1">
          <a:extLst>
            <a:ext uri="{FF2B5EF4-FFF2-40B4-BE49-F238E27FC236}">
              <a16:creationId xmlns:a16="http://schemas.microsoft.com/office/drawing/2014/main" id="{BF49E981-6F6A-4FA2-AF07-34FE542216DC}"/>
            </a:ext>
          </a:extLst>
        </xdr:cNvPr>
        <xdr:cNvCxnSpPr/>
      </xdr:nvCxnSpPr>
      <xdr:spPr>
        <a:xfrm>
          <a:off x="5286235" y="2669317"/>
          <a:ext cx="237643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145676</xdr:colOff>
      <xdr:row>17</xdr:row>
      <xdr:rowOff>182278</xdr:rowOff>
    </xdr:from>
    <xdr:to>
      <xdr:col>27</xdr:col>
      <xdr:colOff>37186</xdr:colOff>
      <xdr:row>17</xdr:row>
      <xdr:rowOff>182278</xdr:rowOff>
    </xdr:to>
    <xdr:cxnSp macro="">
      <xdr:nvCxnSpPr>
        <xdr:cNvPr id="3" name="直線コネクタ 2">
          <a:extLst>
            <a:ext uri="{FF2B5EF4-FFF2-40B4-BE49-F238E27FC236}">
              <a16:creationId xmlns:a16="http://schemas.microsoft.com/office/drawing/2014/main" id="{BE9FC3E9-B0C3-441F-B0E8-9E3501C58179}"/>
            </a:ext>
          </a:extLst>
        </xdr:cNvPr>
        <xdr:cNvCxnSpPr/>
      </xdr:nvCxnSpPr>
      <xdr:spPr>
        <a:xfrm>
          <a:off x="4852147" y="4250013"/>
          <a:ext cx="123621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136360</xdr:colOff>
      <xdr:row>17</xdr:row>
      <xdr:rowOff>189914</xdr:rowOff>
    </xdr:from>
    <xdr:to>
      <xdr:col>26</xdr:col>
      <xdr:colOff>4955</xdr:colOff>
      <xdr:row>18</xdr:row>
      <xdr:rowOff>35917</xdr:rowOff>
    </xdr:to>
    <xdr:cxnSp macro="">
      <xdr:nvCxnSpPr>
        <xdr:cNvPr id="4" name="直線コネクタ 3">
          <a:extLst>
            <a:ext uri="{FF2B5EF4-FFF2-40B4-BE49-F238E27FC236}">
              <a16:creationId xmlns:a16="http://schemas.microsoft.com/office/drawing/2014/main" id="{7432B4BD-C202-4C0B-B8A8-E61C6DA628C7}"/>
            </a:ext>
          </a:extLst>
        </xdr:cNvPr>
        <xdr:cNvCxnSpPr/>
      </xdr:nvCxnSpPr>
      <xdr:spPr>
        <a:xfrm>
          <a:off x="5851360" y="4295189"/>
          <a:ext cx="97195" cy="1031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87634</xdr:colOff>
      <xdr:row>17</xdr:row>
      <xdr:rowOff>191758</xdr:rowOff>
    </xdr:from>
    <xdr:to>
      <xdr:col>25</xdr:col>
      <xdr:colOff>186237</xdr:colOff>
      <xdr:row>18</xdr:row>
      <xdr:rowOff>37761</xdr:rowOff>
    </xdr:to>
    <xdr:cxnSp macro="">
      <xdr:nvCxnSpPr>
        <xdr:cNvPr id="5" name="直線コネクタ 4">
          <a:extLst>
            <a:ext uri="{FF2B5EF4-FFF2-40B4-BE49-F238E27FC236}">
              <a16:creationId xmlns:a16="http://schemas.microsoft.com/office/drawing/2014/main" id="{506D2398-06EA-4A4A-8CF0-074B69F10F70}"/>
            </a:ext>
          </a:extLst>
        </xdr:cNvPr>
        <xdr:cNvCxnSpPr/>
      </xdr:nvCxnSpPr>
      <xdr:spPr>
        <a:xfrm>
          <a:off x="5802634" y="4297033"/>
          <a:ext cx="98603" cy="1031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88549</xdr:colOff>
      <xdr:row>17</xdr:row>
      <xdr:rowOff>249124</xdr:rowOff>
    </xdr:from>
    <xdr:to>
      <xdr:col>25</xdr:col>
      <xdr:colOff>121613</xdr:colOff>
      <xdr:row>18</xdr:row>
      <xdr:rowOff>19873</xdr:rowOff>
    </xdr:to>
    <xdr:cxnSp macro="">
      <xdr:nvCxnSpPr>
        <xdr:cNvPr id="6" name="直線コネクタ 5">
          <a:extLst>
            <a:ext uri="{FF2B5EF4-FFF2-40B4-BE49-F238E27FC236}">
              <a16:creationId xmlns:a16="http://schemas.microsoft.com/office/drawing/2014/main" id="{45356F08-DAA4-44DC-AD4B-8E3518C93C6C}"/>
            </a:ext>
          </a:extLst>
        </xdr:cNvPr>
        <xdr:cNvCxnSpPr/>
      </xdr:nvCxnSpPr>
      <xdr:spPr>
        <a:xfrm flipH="1">
          <a:off x="5803549" y="4354399"/>
          <a:ext cx="33064" cy="279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110241</xdr:colOff>
      <xdr:row>18</xdr:row>
      <xdr:rowOff>6345</xdr:rowOff>
    </xdr:from>
    <xdr:to>
      <xdr:col>25</xdr:col>
      <xdr:colOff>141897</xdr:colOff>
      <xdr:row>18</xdr:row>
      <xdr:rowOff>37071</xdr:rowOff>
    </xdr:to>
    <xdr:cxnSp macro="">
      <xdr:nvCxnSpPr>
        <xdr:cNvPr id="7" name="直線コネクタ 6">
          <a:extLst>
            <a:ext uri="{FF2B5EF4-FFF2-40B4-BE49-F238E27FC236}">
              <a16:creationId xmlns:a16="http://schemas.microsoft.com/office/drawing/2014/main" id="{703725D7-D8FB-494E-A36A-9FB76217BE03}"/>
            </a:ext>
          </a:extLst>
        </xdr:cNvPr>
        <xdr:cNvCxnSpPr/>
      </xdr:nvCxnSpPr>
      <xdr:spPr>
        <a:xfrm flipH="1">
          <a:off x="5825241" y="4368795"/>
          <a:ext cx="3165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219858</xdr:colOff>
      <xdr:row>17</xdr:row>
      <xdr:rowOff>197784</xdr:rowOff>
    </xdr:from>
    <xdr:to>
      <xdr:col>25</xdr:col>
      <xdr:colOff>79521</xdr:colOff>
      <xdr:row>18</xdr:row>
      <xdr:rowOff>43787</xdr:rowOff>
    </xdr:to>
    <xdr:cxnSp macro="">
      <xdr:nvCxnSpPr>
        <xdr:cNvPr id="8" name="直線コネクタ 7">
          <a:extLst>
            <a:ext uri="{FF2B5EF4-FFF2-40B4-BE49-F238E27FC236}">
              <a16:creationId xmlns:a16="http://schemas.microsoft.com/office/drawing/2014/main" id="{5EAFED2A-6A24-4F10-AB23-51EC5DAE1D8E}"/>
            </a:ext>
          </a:extLst>
        </xdr:cNvPr>
        <xdr:cNvCxnSpPr/>
      </xdr:nvCxnSpPr>
      <xdr:spPr>
        <a:xfrm>
          <a:off x="5706258" y="4303059"/>
          <a:ext cx="88263" cy="1031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172540</xdr:colOff>
      <xdr:row>17</xdr:row>
      <xdr:rowOff>199628</xdr:rowOff>
    </xdr:from>
    <xdr:to>
      <xdr:col>25</xdr:col>
      <xdr:colOff>34924</xdr:colOff>
      <xdr:row>18</xdr:row>
      <xdr:rowOff>45631</xdr:rowOff>
    </xdr:to>
    <xdr:cxnSp macro="">
      <xdr:nvCxnSpPr>
        <xdr:cNvPr id="9" name="直線コネクタ 8">
          <a:extLst>
            <a:ext uri="{FF2B5EF4-FFF2-40B4-BE49-F238E27FC236}">
              <a16:creationId xmlns:a16="http://schemas.microsoft.com/office/drawing/2014/main" id="{B534E622-8DDB-4ED8-B187-D6622877F0DA}"/>
            </a:ext>
          </a:extLst>
        </xdr:cNvPr>
        <xdr:cNvCxnSpPr/>
      </xdr:nvCxnSpPr>
      <xdr:spPr>
        <a:xfrm>
          <a:off x="5658940" y="4304903"/>
          <a:ext cx="90984" cy="1031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172576</xdr:colOff>
      <xdr:row>17</xdr:row>
      <xdr:rowOff>254192</xdr:rowOff>
    </xdr:from>
    <xdr:to>
      <xdr:col>24</xdr:col>
      <xdr:colOff>203302</xdr:colOff>
      <xdr:row>18</xdr:row>
      <xdr:rowOff>27743</xdr:rowOff>
    </xdr:to>
    <xdr:cxnSp macro="">
      <xdr:nvCxnSpPr>
        <xdr:cNvPr id="10" name="直線コネクタ 9">
          <a:extLst>
            <a:ext uri="{FF2B5EF4-FFF2-40B4-BE49-F238E27FC236}">
              <a16:creationId xmlns:a16="http://schemas.microsoft.com/office/drawing/2014/main" id="{C2DAC063-C674-49D5-AB86-99198322F693}"/>
            </a:ext>
          </a:extLst>
        </xdr:cNvPr>
        <xdr:cNvCxnSpPr/>
      </xdr:nvCxnSpPr>
      <xdr:spPr>
        <a:xfrm flipH="1">
          <a:off x="5658976" y="4359467"/>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192860</xdr:colOff>
      <xdr:row>18</xdr:row>
      <xdr:rowOff>14215</xdr:rowOff>
    </xdr:from>
    <xdr:to>
      <xdr:col>24</xdr:col>
      <xdr:colOff>223586</xdr:colOff>
      <xdr:row>18</xdr:row>
      <xdr:rowOff>44941</xdr:rowOff>
    </xdr:to>
    <xdr:cxnSp macro="">
      <xdr:nvCxnSpPr>
        <xdr:cNvPr id="11" name="直線コネクタ 10">
          <a:extLst>
            <a:ext uri="{FF2B5EF4-FFF2-40B4-BE49-F238E27FC236}">
              <a16:creationId xmlns:a16="http://schemas.microsoft.com/office/drawing/2014/main" id="{3250E102-DFE2-4A42-94B5-3331529323D6}"/>
            </a:ext>
          </a:extLst>
        </xdr:cNvPr>
        <xdr:cNvCxnSpPr/>
      </xdr:nvCxnSpPr>
      <xdr:spPr>
        <a:xfrm flipH="1">
          <a:off x="5679260" y="4376665"/>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91178</xdr:colOff>
      <xdr:row>12</xdr:row>
      <xdr:rowOff>75527</xdr:rowOff>
    </xdr:from>
    <xdr:to>
      <xdr:col>29</xdr:col>
      <xdr:colOff>179893</xdr:colOff>
      <xdr:row>12</xdr:row>
      <xdr:rowOff>158165</xdr:rowOff>
    </xdr:to>
    <xdr:cxnSp macro="">
      <xdr:nvCxnSpPr>
        <xdr:cNvPr id="12" name="直線コネクタ 11">
          <a:extLst>
            <a:ext uri="{FF2B5EF4-FFF2-40B4-BE49-F238E27FC236}">
              <a16:creationId xmlns:a16="http://schemas.microsoft.com/office/drawing/2014/main" id="{502F732B-8609-4600-9ECA-91C01AC8F70B}"/>
            </a:ext>
          </a:extLst>
        </xdr:cNvPr>
        <xdr:cNvCxnSpPr/>
      </xdr:nvCxnSpPr>
      <xdr:spPr>
        <a:xfrm>
          <a:off x="6720578" y="2933027"/>
          <a:ext cx="88715"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43860</xdr:colOff>
      <xdr:row>12</xdr:row>
      <xdr:rowOff>77371</xdr:rowOff>
    </xdr:from>
    <xdr:to>
      <xdr:col>29</xdr:col>
      <xdr:colOff>129854</xdr:colOff>
      <xdr:row>12</xdr:row>
      <xdr:rowOff>160009</xdr:rowOff>
    </xdr:to>
    <xdr:cxnSp macro="">
      <xdr:nvCxnSpPr>
        <xdr:cNvPr id="13" name="直線コネクタ 12">
          <a:extLst>
            <a:ext uri="{FF2B5EF4-FFF2-40B4-BE49-F238E27FC236}">
              <a16:creationId xmlns:a16="http://schemas.microsoft.com/office/drawing/2014/main" id="{03220834-E14E-4492-BE6B-82B4E48325EC}"/>
            </a:ext>
          </a:extLst>
        </xdr:cNvPr>
        <xdr:cNvCxnSpPr/>
      </xdr:nvCxnSpPr>
      <xdr:spPr>
        <a:xfrm>
          <a:off x="6673260" y="2934871"/>
          <a:ext cx="8599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43896</xdr:colOff>
      <xdr:row>12</xdr:row>
      <xdr:rowOff>118203</xdr:rowOff>
    </xdr:from>
    <xdr:to>
      <xdr:col>29</xdr:col>
      <xdr:colOff>74622</xdr:colOff>
      <xdr:row>12</xdr:row>
      <xdr:rowOff>139404</xdr:rowOff>
    </xdr:to>
    <xdr:cxnSp macro="">
      <xdr:nvCxnSpPr>
        <xdr:cNvPr id="14" name="直線コネクタ 13">
          <a:extLst>
            <a:ext uri="{FF2B5EF4-FFF2-40B4-BE49-F238E27FC236}">
              <a16:creationId xmlns:a16="http://schemas.microsoft.com/office/drawing/2014/main" id="{4E1AE089-584C-4508-9AC8-00E32DFC5460}"/>
            </a:ext>
          </a:extLst>
        </xdr:cNvPr>
        <xdr:cNvCxnSpPr/>
      </xdr:nvCxnSpPr>
      <xdr:spPr>
        <a:xfrm flipH="1">
          <a:off x="6673296" y="2975703"/>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64180</xdr:colOff>
      <xdr:row>12</xdr:row>
      <xdr:rowOff>135401</xdr:rowOff>
    </xdr:from>
    <xdr:to>
      <xdr:col>29</xdr:col>
      <xdr:colOff>94906</xdr:colOff>
      <xdr:row>12</xdr:row>
      <xdr:rowOff>159324</xdr:rowOff>
    </xdr:to>
    <xdr:cxnSp macro="">
      <xdr:nvCxnSpPr>
        <xdr:cNvPr id="15" name="直線コネクタ 14">
          <a:extLst>
            <a:ext uri="{FF2B5EF4-FFF2-40B4-BE49-F238E27FC236}">
              <a16:creationId xmlns:a16="http://schemas.microsoft.com/office/drawing/2014/main" id="{FFB18853-9227-42C1-970A-3EF46AA5EA57}"/>
            </a:ext>
          </a:extLst>
        </xdr:cNvPr>
        <xdr:cNvCxnSpPr/>
      </xdr:nvCxnSpPr>
      <xdr:spPr>
        <a:xfrm flipH="1">
          <a:off x="6693580" y="2992901"/>
          <a:ext cx="3072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11042</xdr:colOff>
      <xdr:row>12</xdr:row>
      <xdr:rowOff>71038</xdr:rowOff>
    </xdr:from>
    <xdr:to>
      <xdr:col>30</xdr:col>
      <xdr:colOff>96002</xdr:colOff>
      <xdr:row>12</xdr:row>
      <xdr:rowOff>153676</xdr:rowOff>
    </xdr:to>
    <xdr:cxnSp macro="">
      <xdr:nvCxnSpPr>
        <xdr:cNvPr id="16" name="直線コネクタ 15">
          <a:extLst>
            <a:ext uri="{FF2B5EF4-FFF2-40B4-BE49-F238E27FC236}">
              <a16:creationId xmlns:a16="http://schemas.microsoft.com/office/drawing/2014/main" id="{4D61054A-75C9-41A5-85D2-10E4F24310A3}"/>
            </a:ext>
          </a:extLst>
        </xdr:cNvPr>
        <xdr:cNvCxnSpPr/>
      </xdr:nvCxnSpPr>
      <xdr:spPr>
        <a:xfrm>
          <a:off x="6869042" y="2928538"/>
          <a:ext cx="84960"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187842</xdr:colOff>
      <xdr:row>12</xdr:row>
      <xdr:rowOff>72882</xdr:rowOff>
    </xdr:from>
    <xdr:to>
      <xdr:col>30</xdr:col>
      <xdr:colOff>53166</xdr:colOff>
      <xdr:row>12</xdr:row>
      <xdr:rowOff>155520</xdr:rowOff>
    </xdr:to>
    <xdr:cxnSp macro="">
      <xdr:nvCxnSpPr>
        <xdr:cNvPr id="17" name="直線コネクタ 16">
          <a:extLst>
            <a:ext uri="{FF2B5EF4-FFF2-40B4-BE49-F238E27FC236}">
              <a16:creationId xmlns:a16="http://schemas.microsoft.com/office/drawing/2014/main" id="{0113F9A8-A29C-486A-A6D6-E4CFF140C0AC}"/>
            </a:ext>
          </a:extLst>
        </xdr:cNvPr>
        <xdr:cNvCxnSpPr/>
      </xdr:nvCxnSpPr>
      <xdr:spPr>
        <a:xfrm>
          <a:off x="6817242" y="2930382"/>
          <a:ext cx="9392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187878</xdr:colOff>
      <xdr:row>12</xdr:row>
      <xdr:rowOff>113709</xdr:rowOff>
    </xdr:from>
    <xdr:to>
      <xdr:col>29</xdr:col>
      <xdr:colOff>223086</xdr:colOff>
      <xdr:row>12</xdr:row>
      <xdr:rowOff>144435</xdr:rowOff>
    </xdr:to>
    <xdr:cxnSp macro="">
      <xdr:nvCxnSpPr>
        <xdr:cNvPr id="18" name="直線コネクタ 17">
          <a:extLst>
            <a:ext uri="{FF2B5EF4-FFF2-40B4-BE49-F238E27FC236}">
              <a16:creationId xmlns:a16="http://schemas.microsoft.com/office/drawing/2014/main" id="{44133097-D84C-40DA-856D-3EECE99BF7DD}"/>
            </a:ext>
          </a:extLst>
        </xdr:cNvPr>
        <xdr:cNvCxnSpPr/>
      </xdr:nvCxnSpPr>
      <xdr:spPr>
        <a:xfrm flipH="1">
          <a:off x="6817278" y="2971209"/>
          <a:ext cx="35208"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208162</xdr:colOff>
      <xdr:row>12</xdr:row>
      <xdr:rowOff>130907</xdr:rowOff>
    </xdr:from>
    <xdr:to>
      <xdr:col>30</xdr:col>
      <xdr:colOff>14770</xdr:colOff>
      <xdr:row>12</xdr:row>
      <xdr:rowOff>154830</xdr:rowOff>
    </xdr:to>
    <xdr:cxnSp macro="">
      <xdr:nvCxnSpPr>
        <xdr:cNvPr id="19" name="直線コネクタ 18">
          <a:extLst>
            <a:ext uri="{FF2B5EF4-FFF2-40B4-BE49-F238E27FC236}">
              <a16:creationId xmlns:a16="http://schemas.microsoft.com/office/drawing/2014/main" id="{158F84E4-EBFF-4228-9A70-001EE0E3E575}"/>
            </a:ext>
          </a:extLst>
        </xdr:cNvPr>
        <xdr:cNvCxnSpPr/>
      </xdr:nvCxnSpPr>
      <xdr:spPr>
        <a:xfrm flipH="1">
          <a:off x="6837562" y="2988407"/>
          <a:ext cx="35208"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178716</xdr:colOff>
      <xdr:row>15</xdr:row>
      <xdr:rowOff>45454</xdr:rowOff>
    </xdr:from>
    <xdr:to>
      <xdr:col>29</xdr:col>
      <xdr:colOff>77442</xdr:colOff>
      <xdr:row>17</xdr:row>
      <xdr:rowOff>189258</xdr:rowOff>
    </xdr:to>
    <xdr:cxnSp macro="">
      <xdr:nvCxnSpPr>
        <xdr:cNvPr id="20" name="直線コネクタ 19">
          <a:extLst>
            <a:ext uri="{FF2B5EF4-FFF2-40B4-BE49-F238E27FC236}">
              <a16:creationId xmlns:a16="http://schemas.microsoft.com/office/drawing/2014/main" id="{CCD1082A-5C4D-4138-A58F-8B0DE5072A31}"/>
            </a:ext>
          </a:extLst>
        </xdr:cNvPr>
        <xdr:cNvCxnSpPr/>
      </xdr:nvCxnSpPr>
      <xdr:spPr>
        <a:xfrm>
          <a:off x="6672281" y="3648389"/>
          <a:ext cx="130639" cy="673891"/>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27</xdr:col>
      <xdr:colOff>51545</xdr:colOff>
      <xdr:row>17</xdr:row>
      <xdr:rowOff>189968</xdr:rowOff>
    </xdr:from>
    <xdr:to>
      <xdr:col>29</xdr:col>
      <xdr:colOff>85725</xdr:colOff>
      <xdr:row>17</xdr:row>
      <xdr:rowOff>189968</xdr:rowOff>
    </xdr:to>
    <xdr:cxnSp macro="">
      <xdr:nvCxnSpPr>
        <xdr:cNvPr id="21" name="直線コネクタ 20">
          <a:extLst>
            <a:ext uri="{FF2B5EF4-FFF2-40B4-BE49-F238E27FC236}">
              <a16:creationId xmlns:a16="http://schemas.microsoft.com/office/drawing/2014/main" id="{95E8A60A-6837-4286-95E1-573661DCDECC}"/>
            </a:ext>
          </a:extLst>
        </xdr:cNvPr>
        <xdr:cNvCxnSpPr/>
      </xdr:nvCxnSpPr>
      <xdr:spPr>
        <a:xfrm>
          <a:off x="6223745" y="4295243"/>
          <a:ext cx="491380"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83801</xdr:colOff>
      <xdr:row>17</xdr:row>
      <xdr:rowOff>184334</xdr:rowOff>
    </xdr:from>
    <xdr:to>
      <xdr:col>30</xdr:col>
      <xdr:colOff>0</xdr:colOff>
      <xdr:row>21</xdr:row>
      <xdr:rowOff>200025</xdr:rowOff>
    </xdr:to>
    <xdr:cxnSp macro="">
      <xdr:nvCxnSpPr>
        <xdr:cNvPr id="22" name="直線コネクタ 21">
          <a:extLst>
            <a:ext uri="{FF2B5EF4-FFF2-40B4-BE49-F238E27FC236}">
              <a16:creationId xmlns:a16="http://schemas.microsoft.com/office/drawing/2014/main" id="{3F951645-DC2F-4976-A4E1-69F1B393530D}"/>
            </a:ext>
          </a:extLst>
        </xdr:cNvPr>
        <xdr:cNvCxnSpPr/>
      </xdr:nvCxnSpPr>
      <xdr:spPr>
        <a:xfrm>
          <a:off x="6713201" y="4289609"/>
          <a:ext cx="144799" cy="987241"/>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21</xdr:col>
      <xdr:colOff>76200</xdr:colOff>
      <xdr:row>17</xdr:row>
      <xdr:rowOff>167584</xdr:rowOff>
    </xdr:from>
    <xdr:to>
      <xdr:col>27</xdr:col>
      <xdr:colOff>67942</xdr:colOff>
      <xdr:row>21</xdr:row>
      <xdr:rowOff>190500</xdr:rowOff>
    </xdr:to>
    <xdr:cxnSp macro="">
      <xdr:nvCxnSpPr>
        <xdr:cNvPr id="23" name="直線コネクタ 22">
          <a:extLst>
            <a:ext uri="{FF2B5EF4-FFF2-40B4-BE49-F238E27FC236}">
              <a16:creationId xmlns:a16="http://schemas.microsoft.com/office/drawing/2014/main" id="{C80A03D7-7646-4EA1-A825-ED60DE572EB6}"/>
            </a:ext>
          </a:extLst>
        </xdr:cNvPr>
        <xdr:cNvCxnSpPr/>
      </xdr:nvCxnSpPr>
      <xdr:spPr>
        <a:xfrm flipH="1">
          <a:off x="4876800" y="4272859"/>
          <a:ext cx="1363342" cy="994466"/>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21</xdr:col>
      <xdr:colOff>66675</xdr:colOff>
      <xdr:row>21</xdr:row>
      <xdr:rowOff>203588</xdr:rowOff>
    </xdr:from>
    <xdr:to>
      <xdr:col>30</xdr:col>
      <xdr:colOff>9525</xdr:colOff>
      <xdr:row>21</xdr:row>
      <xdr:rowOff>203588</xdr:rowOff>
    </xdr:to>
    <xdr:cxnSp macro="">
      <xdr:nvCxnSpPr>
        <xdr:cNvPr id="24" name="直線コネクタ 23">
          <a:extLst>
            <a:ext uri="{FF2B5EF4-FFF2-40B4-BE49-F238E27FC236}">
              <a16:creationId xmlns:a16="http://schemas.microsoft.com/office/drawing/2014/main" id="{332C0429-87F1-4AB4-822C-59EBB0E5379E}"/>
            </a:ext>
          </a:extLst>
        </xdr:cNvPr>
        <xdr:cNvCxnSpPr/>
      </xdr:nvCxnSpPr>
      <xdr:spPr>
        <a:xfrm>
          <a:off x="4867275" y="5280413"/>
          <a:ext cx="2000250"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27</xdr:col>
      <xdr:colOff>64683</xdr:colOff>
      <xdr:row>12</xdr:row>
      <xdr:rowOff>80821</xdr:rowOff>
    </xdr:from>
    <xdr:to>
      <xdr:col>27</xdr:col>
      <xdr:colOff>190500</xdr:colOff>
      <xdr:row>12</xdr:row>
      <xdr:rowOff>80821</xdr:rowOff>
    </xdr:to>
    <xdr:cxnSp macro="">
      <xdr:nvCxnSpPr>
        <xdr:cNvPr id="25" name="直線コネクタ 24">
          <a:extLst>
            <a:ext uri="{FF2B5EF4-FFF2-40B4-BE49-F238E27FC236}">
              <a16:creationId xmlns:a16="http://schemas.microsoft.com/office/drawing/2014/main" id="{F3C0E54C-771E-4741-A492-DDC42F72D2FF}"/>
            </a:ext>
          </a:extLst>
        </xdr:cNvPr>
        <xdr:cNvCxnSpPr/>
      </xdr:nvCxnSpPr>
      <xdr:spPr>
        <a:xfrm>
          <a:off x="6236883" y="2954650"/>
          <a:ext cx="125817"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27</xdr:col>
      <xdr:colOff>66233</xdr:colOff>
      <xdr:row>12</xdr:row>
      <xdr:rowOff>88545</xdr:rowOff>
    </xdr:from>
    <xdr:to>
      <xdr:col>27</xdr:col>
      <xdr:colOff>66233</xdr:colOff>
      <xdr:row>21</xdr:row>
      <xdr:rowOff>209550</xdr:rowOff>
    </xdr:to>
    <xdr:cxnSp macro="">
      <xdr:nvCxnSpPr>
        <xdr:cNvPr id="26" name="直線コネクタ 25">
          <a:extLst>
            <a:ext uri="{FF2B5EF4-FFF2-40B4-BE49-F238E27FC236}">
              <a16:creationId xmlns:a16="http://schemas.microsoft.com/office/drawing/2014/main" id="{18470316-41A4-441B-90CC-FDC644D9A80B}"/>
            </a:ext>
          </a:extLst>
        </xdr:cNvPr>
        <xdr:cNvCxnSpPr/>
      </xdr:nvCxnSpPr>
      <xdr:spPr>
        <a:xfrm>
          <a:off x="6238433" y="2946045"/>
          <a:ext cx="0" cy="2340330"/>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27</xdr:col>
      <xdr:colOff>76200</xdr:colOff>
      <xdr:row>15</xdr:row>
      <xdr:rowOff>23478</xdr:rowOff>
    </xdr:from>
    <xdr:to>
      <xdr:col>35</xdr:col>
      <xdr:colOff>1</xdr:colOff>
      <xdr:row>15</xdr:row>
      <xdr:rowOff>23478</xdr:rowOff>
    </xdr:to>
    <xdr:cxnSp macro="">
      <xdr:nvCxnSpPr>
        <xdr:cNvPr id="27" name="直線コネクタ 26">
          <a:extLst>
            <a:ext uri="{FF2B5EF4-FFF2-40B4-BE49-F238E27FC236}">
              <a16:creationId xmlns:a16="http://schemas.microsoft.com/office/drawing/2014/main" id="{A1C70F62-1A79-4C41-AFB5-0F6DA50C0A0A}"/>
            </a:ext>
          </a:extLst>
        </xdr:cNvPr>
        <xdr:cNvCxnSpPr/>
      </xdr:nvCxnSpPr>
      <xdr:spPr>
        <a:xfrm>
          <a:off x="6248400" y="3595353"/>
          <a:ext cx="1752601"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66675</xdr:colOff>
      <xdr:row>13</xdr:row>
      <xdr:rowOff>77099</xdr:rowOff>
    </xdr:from>
    <xdr:to>
      <xdr:col>35</xdr:col>
      <xdr:colOff>33619</xdr:colOff>
      <xdr:row>13</xdr:row>
      <xdr:rowOff>77099</xdr:rowOff>
    </xdr:to>
    <xdr:cxnSp macro="">
      <xdr:nvCxnSpPr>
        <xdr:cNvPr id="28" name="直線コネクタ 27">
          <a:extLst>
            <a:ext uri="{FF2B5EF4-FFF2-40B4-BE49-F238E27FC236}">
              <a16:creationId xmlns:a16="http://schemas.microsoft.com/office/drawing/2014/main" id="{26726161-501B-4A85-B9BC-FDE00D24BFEF}"/>
            </a:ext>
          </a:extLst>
        </xdr:cNvPr>
        <xdr:cNvCxnSpPr/>
      </xdr:nvCxnSpPr>
      <xdr:spPr>
        <a:xfrm>
          <a:off x="6238875" y="3172724"/>
          <a:ext cx="1795744"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30</xdr:col>
      <xdr:colOff>163945</xdr:colOff>
      <xdr:row>15</xdr:row>
      <xdr:rowOff>38100</xdr:rowOff>
    </xdr:from>
    <xdr:to>
      <xdr:col>30</xdr:col>
      <xdr:colOff>163945</xdr:colOff>
      <xdr:row>21</xdr:row>
      <xdr:rowOff>219075</xdr:rowOff>
    </xdr:to>
    <xdr:cxnSp macro="">
      <xdr:nvCxnSpPr>
        <xdr:cNvPr id="32" name="直線コネクタ 31">
          <a:extLst>
            <a:ext uri="{FF2B5EF4-FFF2-40B4-BE49-F238E27FC236}">
              <a16:creationId xmlns:a16="http://schemas.microsoft.com/office/drawing/2014/main" id="{A6BCA9B0-4B28-468F-B889-F31BAB0E5391}"/>
            </a:ext>
          </a:extLst>
        </xdr:cNvPr>
        <xdr:cNvCxnSpPr/>
      </xdr:nvCxnSpPr>
      <xdr:spPr>
        <a:xfrm>
          <a:off x="7021945" y="3609975"/>
          <a:ext cx="0" cy="168592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30</xdr:col>
      <xdr:colOff>161925</xdr:colOff>
      <xdr:row>17</xdr:row>
      <xdr:rowOff>209550</xdr:rowOff>
    </xdr:from>
    <xdr:to>
      <xdr:col>32</xdr:col>
      <xdr:colOff>95250</xdr:colOff>
      <xdr:row>21</xdr:row>
      <xdr:rowOff>219075</xdr:rowOff>
    </xdr:to>
    <xdr:cxnSp macro="">
      <xdr:nvCxnSpPr>
        <xdr:cNvPr id="33" name="直線コネクタ 32">
          <a:extLst>
            <a:ext uri="{FF2B5EF4-FFF2-40B4-BE49-F238E27FC236}">
              <a16:creationId xmlns:a16="http://schemas.microsoft.com/office/drawing/2014/main" id="{E5E30101-DA15-47F3-A189-B9E6B109CFEA}"/>
            </a:ext>
          </a:extLst>
        </xdr:cNvPr>
        <xdr:cNvCxnSpPr/>
      </xdr:nvCxnSpPr>
      <xdr:spPr>
        <a:xfrm flipH="1">
          <a:off x="7019925" y="4314825"/>
          <a:ext cx="390525" cy="98107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30</xdr:col>
      <xdr:colOff>161925</xdr:colOff>
      <xdr:row>15</xdr:row>
      <xdr:rowOff>47625</xdr:rowOff>
    </xdr:from>
    <xdr:to>
      <xdr:col>32</xdr:col>
      <xdr:colOff>104775</xdr:colOff>
      <xdr:row>17</xdr:row>
      <xdr:rowOff>206408</xdr:rowOff>
    </xdr:to>
    <xdr:cxnSp macro="">
      <xdr:nvCxnSpPr>
        <xdr:cNvPr id="34" name="直線コネクタ 33">
          <a:extLst>
            <a:ext uri="{FF2B5EF4-FFF2-40B4-BE49-F238E27FC236}">
              <a16:creationId xmlns:a16="http://schemas.microsoft.com/office/drawing/2014/main" id="{F8201A66-5694-4F60-9DB4-5EBDF4505A4E}"/>
            </a:ext>
          </a:extLst>
        </xdr:cNvPr>
        <xdr:cNvCxnSpPr/>
      </xdr:nvCxnSpPr>
      <xdr:spPr>
        <a:xfrm flipH="1" flipV="1">
          <a:off x="7019925" y="3619500"/>
          <a:ext cx="400050" cy="692183"/>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30</xdr:col>
      <xdr:colOff>161925</xdr:colOff>
      <xdr:row>17</xdr:row>
      <xdr:rowOff>196536</xdr:rowOff>
    </xdr:from>
    <xdr:to>
      <xdr:col>32</xdr:col>
      <xdr:colOff>104775</xdr:colOff>
      <xdr:row>17</xdr:row>
      <xdr:rowOff>196536</xdr:rowOff>
    </xdr:to>
    <xdr:cxnSp macro="">
      <xdr:nvCxnSpPr>
        <xdr:cNvPr id="35" name="直線コネクタ 34">
          <a:extLst>
            <a:ext uri="{FF2B5EF4-FFF2-40B4-BE49-F238E27FC236}">
              <a16:creationId xmlns:a16="http://schemas.microsoft.com/office/drawing/2014/main" id="{1C75098B-7EDA-4012-9917-11EE9434C85C}"/>
            </a:ext>
          </a:extLst>
        </xdr:cNvPr>
        <xdr:cNvCxnSpPr/>
      </xdr:nvCxnSpPr>
      <xdr:spPr>
        <a:xfrm>
          <a:off x="7019925" y="4301811"/>
          <a:ext cx="400050"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editAs="absolute">
    <xdr:from>
      <xdr:col>31</xdr:col>
      <xdr:colOff>73715</xdr:colOff>
      <xdr:row>12</xdr:row>
      <xdr:rowOff>54665</xdr:rowOff>
    </xdr:from>
    <xdr:to>
      <xdr:col>35</xdr:col>
      <xdr:colOff>47624</xdr:colOff>
      <xdr:row>13</xdr:row>
      <xdr:rowOff>70992</xdr:rowOff>
    </xdr:to>
    <xdr:sp macro="" textlink="">
      <xdr:nvSpPr>
        <xdr:cNvPr id="46" name="テキスト ボックス 45">
          <a:extLst>
            <a:ext uri="{FF2B5EF4-FFF2-40B4-BE49-F238E27FC236}">
              <a16:creationId xmlns:a16="http://schemas.microsoft.com/office/drawing/2014/main" id="{A3B45E27-0498-4C83-9C65-305563DCCA90}"/>
            </a:ext>
          </a:extLst>
        </xdr:cNvPr>
        <xdr:cNvSpPr txBox="1"/>
      </xdr:nvSpPr>
      <xdr:spPr>
        <a:xfrm>
          <a:off x="7160315" y="2912165"/>
          <a:ext cx="888309" cy="254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 </a:t>
          </a:r>
          <a:r>
            <a:rPr kumimoji="1" lang="en-US" altLang="ja-JP" sz="1100"/>
            <a:t>1.00m</a:t>
          </a:r>
          <a:endParaRPr kumimoji="1" lang="ja-JP" altLang="en-US" sz="1100"/>
        </a:p>
      </xdr:txBody>
    </xdr:sp>
    <xdr:clientData/>
  </xdr:twoCellAnchor>
  <xdr:twoCellAnchor>
    <xdr:from>
      <xdr:col>24</xdr:col>
      <xdr:colOff>561</xdr:colOff>
      <xdr:row>12</xdr:row>
      <xdr:rowOff>233913</xdr:rowOff>
    </xdr:from>
    <xdr:to>
      <xdr:col>26</xdr:col>
      <xdr:colOff>97344</xdr:colOff>
      <xdr:row>12</xdr:row>
      <xdr:rowOff>233913</xdr:rowOff>
    </xdr:to>
    <xdr:cxnSp macro="">
      <xdr:nvCxnSpPr>
        <xdr:cNvPr id="51" name="直線コネクタ 50">
          <a:extLst>
            <a:ext uri="{FF2B5EF4-FFF2-40B4-BE49-F238E27FC236}">
              <a16:creationId xmlns:a16="http://schemas.microsoft.com/office/drawing/2014/main" id="{6F022E3F-9BA8-4A69-B12A-7590A9FB34B4}"/>
            </a:ext>
          </a:extLst>
        </xdr:cNvPr>
        <xdr:cNvCxnSpPr/>
      </xdr:nvCxnSpPr>
      <xdr:spPr>
        <a:xfrm>
          <a:off x="5486961" y="3091413"/>
          <a:ext cx="55398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19611</xdr:colOff>
      <xdr:row>13</xdr:row>
      <xdr:rowOff>153201</xdr:rowOff>
    </xdr:from>
    <xdr:to>
      <xdr:col>26</xdr:col>
      <xdr:colOff>87318</xdr:colOff>
      <xdr:row>13</xdr:row>
      <xdr:rowOff>153201</xdr:rowOff>
    </xdr:to>
    <xdr:cxnSp macro="">
      <xdr:nvCxnSpPr>
        <xdr:cNvPr id="52" name="直線コネクタ 51">
          <a:extLst>
            <a:ext uri="{FF2B5EF4-FFF2-40B4-BE49-F238E27FC236}">
              <a16:creationId xmlns:a16="http://schemas.microsoft.com/office/drawing/2014/main" id="{CC2D5028-0841-4F8D-AD81-79CF9D92B515}"/>
            </a:ext>
          </a:extLst>
        </xdr:cNvPr>
        <xdr:cNvCxnSpPr/>
      </xdr:nvCxnSpPr>
      <xdr:spPr>
        <a:xfrm>
          <a:off x="5506011" y="3248826"/>
          <a:ext cx="52490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95339</xdr:colOff>
      <xdr:row>13</xdr:row>
      <xdr:rowOff>684</xdr:rowOff>
    </xdr:from>
    <xdr:to>
      <xdr:col>26</xdr:col>
      <xdr:colOff>95339</xdr:colOff>
      <xdr:row>13</xdr:row>
      <xdr:rowOff>153586</xdr:rowOff>
    </xdr:to>
    <xdr:cxnSp macro="">
      <xdr:nvCxnSpPr>
        <xdr:cNvPr id="53" name="直線コネクタ 52">
          <a:extLst>
            <a:ext uri="{FF2B5EF4-FFF2-40B4-BE49-F238E27FC236}">
              <a16:creationId xmlns:a16="http://schemas.microsoft.com/office/drawing/2014/main" id="{B597DAC1-EE08-4E70-8026-F5F0856AA431}"/>
            </a:ext>
          </a:extLst>
        </xdr:cNvPr>
        <xdr:cNvCxnSpPr/>
      </xdr:nvCxnSpPr>
      <xdr:spPr>
        <a:xfrm>
          <a:off x="6038939" y="3096309"/>
          <a:ext cx="0" cy="15290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122553</xdr:colOff>
      <xdr:row>12</xdr:row>
      <xdr:rowOff>228604</xdr:rowOff>
    </xdr:from>
    <xdr:to>
      <xdr:col>26</xdr:col>
      <xdr:colOff>122553</xdr:colOff>
      <xdr:row>13</xdr:row>
      <xdr:rowOff>167372</xdr:rowOff>
    </xdr:to>
    <xdr:cxnSp macro="">
      <xdr:nvCxnSpPr>
        <xdr:cNvPr id="54" name="直線コネクタ 53">
          <a:extLst>
            <a:ext uri="{FF2B5EF4-FFF2-40B4-BE49-F238E27FC236}">
              <a16:creationId xmlns:a16="http://schemas.microsoft.com/office/drawing/2014/main" id="{BC915D35-01A0-4138-9356-9D5FDA1170A1}"/>
            </a:ext>
          </a:extLst>
        </xdr:cNvPr>
        <xdr:cNvCxnSpPr/>
      </xdr:nvCxnSpPr>
      <xdr:spPr>
        <a:xfrm>
          <a:off x="6066153" y="3086104"/>
          <a:ext cx="0" cy="1768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36828</xdr:colOff>
      <xdr:row>12</xdr:row>
      <xdr:rowOff>228604</xdr:rowOff>
    </xdr:from>
    <xdr:to>
      <xdr:col>27</xdr:col>
      <xdr:colOff>36828</xdr:colOff>
      <xdr:row>13</xdr:row>
      <xdr:rowOff>167372</xdr:rowOff>
    </xdr:to>
    <xdr:cxnSp macro="">
      <xdr:nvCxnSpPr>
        <xdr:cNvPr id="55" name="直線コネクタ 54">
          <a:extLst>
            <a:ext uri="{FF2B5EF4-FFF2-40B4-BE49-F238E27FC236}">
              <a16:creationId xmlns:a16="http://schemas.microsoft.com/office/drawing/2014/main" id="{F245BFBB-2183-4BCB-AA6E-0B417F1DB038}"/>
            </a:ext>
          </a:extLst>
        </xdr:cNvPr>
        <xdr:cNvCxnSpPr/>
      </xdr:nvCxnSpPr>
      <xdr:spPr>
        <a:xfrm>
          <a:off x="6209028" y="3086104"/>
          <a:ext cx="0" cy="1768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121483</xdr:colOff>
      <xdr:row>13</xdr:row>
      <xdr:rowOff>78925</xdr:rowOff>
    </xdr:from>
    <xdr:to>
      <xdr:col>27</xdr:col>
      <xdr:colOff>32357</xdr:colOff>
      <xdr:row>13</xdr:row>
      <xdr:rowOff>78925</xdr:rowOff>
    </xdr:to>
    <xdr:cxnSp macro="">
      <xdr:nvCxnSpPr>
        <xdr:cNvPr id="56" name="直線コネクタ 55">
          <a:extLst>
            <a:ext uri="{FF2B5EF4-FFF2-40B4-BE49-F238E27FC236}">
              <a16:creationId xmlns:a16="http://schemas.microsoft.com/office/drawing/2014/main" id="{F61709BA-C586-41A3-A02D-F6BAE11D1576}"/>
            </a:ext>
          </a:extLst>
        </xdr:cNvPr>
        <xdr:cNvCxnSpPr/>
      </xdr:nvCxnSpPr>
      <xdr:spPr>
        <a:xfrm>
          <a:off x="6065083" y="3174550"/>
          <a:ext cx="13947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154592</xdr:colOff>
      <xdr:row>20</xdr:row>
      <xdr:rowOff>121747</xdr:rowOff>
    </xdr:from>
    <xdr:to>
      <xdr:col>27</xdr:col>
      <xdr:colOff>15638</xdr:colOff>
      <xdr:row>20</xdr:row>
      <xdr:rowOff>121747</xdr:rowOff>
    </xdr:to>
    <xdr:cxnSp macro="">
      <xdr:nvCxnSpPr>
        <xdr:cNvPr id="64" name="直線矢印コネクタ 63">
          <a:extLst>
            <a:ext uri="{FF2B5EF4-FFF2-40B4-BE49-F238E27FC236}">
              <a16:creationId xmlns:a16="http://schemas.microsoft.com/office/drawing/2014/main" id="{3981D4FA-5310-390A-C7EE-8621222F2666}"/>
            </a:ext>
          </a:extLst>
        </xdr:cNvPr>
        <xdr:cNvCxnSpPr/>
      </xdr:nvCxnSpPr>
      <xdr:spPr>
        <a:xfrm>
          <a:off x="5640992" y="4960447"/>
          <a:ext cx="546846" cy="0"/>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28905</xdr:colOff>
      <xdr:row>13</xdr:row>
      <xdr:rowOff>85396</xdr:rowOff>
    </xdr:from>
    <xdr:to>
      <xdr:col>25</xdr:col>
      <xdr:colOff>28905</xdr:colOff>
      <xdr:row>20</xdr:row>
      <xdr:rowOff>123825</xdr:rowOff>
    </xdr:to>
    <xdr:cxnSp macro="">
      <xdr:nvCxnSpPr>
        <xdr:cNvPr id="67" name="直線矢印コネクタ 66">
          <a:extLst>
            <a:ext uri="{FF2B5EF4-FFF2-40B4-BE49-F238E27FC236}">
              <a16:creationId xmlns:a16="http://schemas.microsoft.com/office/drawing/2014/main" id="{112D5832-6FA5-B6C6-2A25-9333D78EE4E4}"/>
            </a:ext>
          </a:extLst>
        </xdr:cNvPr>
        <xdr:cNvCxnSpPr/>
      </xdr:nvCxnSpPr>
      <xdr:spPr>
        <a:xfrm>
          <a:off x="5743905" y="3181021"/>
          <a:ext cx="0" cy="178150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31</xdr:col>
      <xdr:colOff>75780</xdr:colOff>
      <xdr:row>13</xdr:row>
      <xdr:rowOff>207066</xdr:rowOff>
    </xdr:from>
    <xdr:to>
      <xdr:col>35</xdr:col>
      <xdr:colOff>76200</xdr:colOff>
      <xdr:row>14</xdr:row>
      <xdr:rowOff>223394</xdr:rowOff>
    </xdr:to>
    <xdr:sp macro="" textlink="">
      <xdr:nvSpPr>
        <xdr:cNvPr id="29" name="テキスト ボックス 28">
          <a:extLst>
            <a:ext uri="{FF2B5EF4-FFF2-40B4-BE49-F238E27FC236}">
              <a16:creationId xmlns:a16="http://schemas.microsoft.com/office/drawing/2014/main" id="{2CA88E2A-2B59-4EDC-B84D-0E181F8E0A2C}"/>
            </a:ext>
          </a:extLst>
        </xdr:cNvPr>
        <xdr:cNvSpPr txBox="1"/>
      </xdr:nvSpPr>
      <xdr:spPr>
        <a:xfrm>
          <a:off x="7162380" y="3302691"/>
          <a:ext cx="914820" cy="254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 </a:t>
          </a:r>
          <a:r>
            <a:rPr kumimoji="1" lang="en-US" altLang="ja-JP" sz="1100"/>
            <a:t>1.50m</a:t>
          </a:r>
          <a:endParaRPr kumimoji="1" lang="ja-JP" altLang="en-US" sz="1100"/>
        </a:p>
      </xdr:txBody>
    </xdr:sp>
    <xdr:clientData/>
  </xdr:twoCellAnchor>
  <xdr:twoCellAnchor editAs="absolute">
    <xdr:from>
      <xdr:col>31</xdr:col>
      <xdr:colOff>90993</xdr:colOff>
      <xdr:row>16</xdr:row>
      <xdr:rowOff>4762</xdr:rowOff>
    </xdr:from>
    <xdr:to>
      <xdr:col>35</xdr:col>
      <xdr:colOff>47625</xdr:colOff>
      <xdr:row>16</xdr:row>
      <xdr:rowOff>239652</xdr:rowOff>
    </xdr:to>
    <xdr:sp macro="" textlink="">
      <xdr:nvSpPr>
        <xdr:cNvPr id="30" name="テキスト ボックス 29">
          <a:extLst>
            <a:ext uri="{FF2B5EF4-FFF2-40B4-BE49-F238E27FC236}">
              <a16:creationId xmlns:a16="http://schemas.microsoft.com/office/drawing/2014/main" id="{FC68FDCB-2C88-40EE-8EC4-67660C5CEC8F}"/>
            </a:ext>
          </a:extLst>
        </xdr:cNvPr>
        <xdr:cNvSpPr txBox="1"/>
      </xdr:nvSpPr>
      <xdr:spPr>
        <a:xfrm>
          <a:off x="7177593" y="3843337"/>
          <a:ext cx="871032" cy="234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 </a:t>
          </a:r>
          <a:r>
            <a:rPr kumimoji="1" lang="en-US" altLang="ja-JP" sz="1100"/>
            <a:t>4.50m</a:t>
          </a:r>
          <a:endParaRPr kumimoji="1" lang="ja-JP" altLang="en-US" sz="1100"/>
        </a:p>
      </xdr:txBody>
    </xdr:sp>
    <xdr:clientData/>
  </xdr:twoCellAnchor>
  <xdr:twoCellAnchor editAs="absolute">
    <xdr:from>
      <xdr:col>31</xdr:col>
      <xdr:colOff>143275</xdr:colOff>
      <xdr:row>20</xdr:row>
      <xdr:rowOff>118862</xdr:rowOff>
    </xdr:from>
    <xdr:to>
      <xdr:col>33</xdr:col>
      <xdr:colOff>178076</xdr:colOff>
      <xdr:row>21</xdr:row>
      <xdr:rowOff>135189</xdr:rowOff>
    </xdr:to>
    <xdr:sp macro="" textlink="">
      <xdr:nvSpPr>
        <xdr:cNvPr id="31" name="テキスト ボックス 30">
          <a:extLst>
            <a:ext uri="{FF2B5EF4-FFF2-40B4-BE49-F238E27FC236}">
              <a16:creationId xmlns:a16="http://schemas.microsoft.com/office/drawing/2014/main" id="{B754444F-CD13-F9D3-E640-E839C858FEA0}"/>
            </a:ext>
          </a:extLst>
        </xdr:cNvPr>
        <xdr:cNvSpPr txBox="1"/>
      </xdr:nvSpPr>
      <xdr:spPr>
        <a:xfrm>
          <a:off x="7229875" y="4957562"/>
          <a:ext cx="492001" cy="254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a:t>
          </a:r>
        </a:p>
      </xdr:txBody>
    </xdr:sp>
    <xdr:clientData/>
  </xdr:twoCellAnchor>
  <xdr:twoCellAnchor>
    <xdr:from>
      <xdr:col>26</xdr:col>
      <xdr:colOff>226743</xdr:colOff>
      <xdr:row>20</xdr:row>
      <xdr:rowOff>57025</xdr:rowOff>
    </xdr:from>
    <xdr:to>
      <xdr:col>27</xdr:col>
      <xdr:colOff>125023</xdr:colOff>
      <xdr:row>20</xdr:row>
      <xdr:rowOff>183905</xdr:rowOff>
    </xdr:to>
    <xdr:sp macro="" textlink="">
      <xdr:nvSpPr>
        <xdr:cNvPr id="107" name="楕円 106">
          <a:extLst>
            <a:ext uri="{FF2B5EF4-FFF2-40B4-BE49-F238E27FC236}">
              <a16:creationId xmlns:a16="http://schemas.microsoft.com/office/drawing/2014/main" id="{B47B04A3-F3B3-2A10-E878-1196A61E90D4}"/>
            </a:ext>
          </a:extLst>
        </xdr:cNvPr>
        <xdr:cNvSpPr/>
      </xdr:nvSpPr>
      <xdr:spPr>
        <a:xfrm>
          <a:off x="6170343" y="4895725"/>
          <a:ext cx="126880" cy="12688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95250</xdr:colOff>
      <xdr:row>19</xdr:row>
      <xdr:rowOff>182897</xdr:rowOff>
    </xdr:from>
    <xdr:to>
      <xdr:col>34</xdr:col>
      <xdr:colOff>168090</xdr:colOff>
      <xdr:row>19</xdr:row>
      <xdr:rowOff>182897</xdr:rowOff>
    </xdr:to>
    <xdr:cxnSp macro="">
      <xdr:nvCxnSpPr>
        <xdr:cNvPr id="160" name="直線コネクタ 159">
          <a:extLst>
            <a:ext uri="{FF2B5EF4-FFF2-40B4-BE49-F238E27FC236}">
              <a16:creationId xmlns:a16="http://schemas.microsoft.com/office/drawing/2014/main" id="{5BC15401-4829-9630-880A-8883C901F71C}"/>
            </a:ext>
          </a:extLst>
        </xdr:cNvPr>
        <xdr:cNvCxnSpPr/>
      </xdr:nvCxnSpPr>
      <xdr:spPr>
        <a:xfrm>
          <a:off x="7410450" y="4783472"/>
          <a:ext cx="530040"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67236</xdr:colOff>
      <xdr:row>49</xdr:row>
      <xdr:rowOff>97154</xdr:rowOff>
    </xdr:from>
    <xdr:to>
      <xdr:col>35</xdr:col>
      <xdr:colOff>42673</xdr:colOff>
      <xdr:row>49</xdr:row>
      <xdr:rowOff>97154</xdr:rowOff>
    </xdr:to>
    <xdr:cxnSp macro="">
      <xdr:nvCxnSpPr>
        <xdr:cNvPr id="321" name="直線コネクタ 320">
          <a:extLst>
            <a:ext uri="{FF2B5EF4-FFF2-40B4-BE49-F238E27FC236}">
              <a16:creationId xmlns:a16="http://schemas.microsoft.com/office/drawing/2014/main" id="{D5574122-5423-41AA-B66D-C6635A81E004}"/>
            </a:ext>
          </a:extLst>
        </xdr:cNvPr>
        <xdr:cNvCxnSpPr/>
      </xdr:nvCxnSpPr>
      <xdr:spPr>
        <a:xfrm>
          <a:off x="6118412" y="12939095"/>
          <a:ext cx="176837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22412</xdr:colOff>
      <xdr:row>55</xdr:row>
      <xdr:rowOff>30586</xdr:rowOff>
    </xdr:from>
    <xdr:to>
      <xdr:col>27</xdr:col>
      <xdr:colOff>65763</xdr:colOff>
      <xdr:row>55</xdr:row>
      <xdr:rowOff>30586</xdr:rowOff>
    </xdr:to>
    <xdr:cxnSp macro="">
      <xdr:nvCxnSpPr>
        <xdr:cNvPr id="322" name="直線コネクタ 321">
          <a:extLst>
            <a:ext uri="{FF2B5EF4-FFF2-40B4-BE49-F238E27FC236}">
              <a16:creationId xmlns:a16="http://schemas.microsoft.com/office/drawing/2014/main" id="{D615D974-589B-46C9-A6AB-EF4A7F8BC8E1}"/>
            </a:ext>
          </a:extLst>
        </xdr:cNvPr>
        <xdr:cNvCxnSpPr/>
      </xdr:nvCxnSpPr>
      <xdr:spPr>
        <a:xfrm>
          <a:off x="4953000" y="14284468"/>
          <a:ext cx="116393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164937</xdr:colOff>
      <xdr:row>55</xdr:row>
      <xdr:rowOff>38222</xdr:rowOff>
    </xdr:from>
    <xdr:to>
      <xdr:col>26</xdr:col>
      <xdr:colOff>33532</xdr:colOff>
      <xdr:row>55</xdr:row>
      <xdr:rowOff>141961</xdr:rowOff>
    </xdr:to>
    <xdr:cxnSp macro="">
      <xdr:nvCxnSpPr>
        <xdr:cNvPr id="323" name="直線コネクタ 322">
          <a:extLst>
            <a:ext uri="{FF2B5EF4-FFF2-40B4-BE49-F238E27FC236}">
              <a16:creationId xmlns:a16="http://schemas.microsoft.com/office/drawing/2014/main" id="{E8DD4841-4DF5-45A7-939A-214F146C250B}"/>
            </a:ext>
          </a:extLst>
        </xdr:cNvPr>
        <xdr:cNvCxnSpPr/>
      </xdr:nvCxnSpPr>
      <xdr:spPr>
        <a:xfrm>
          <a:off x="5879937" y="14440022"/>
          <a:ext cx="97195" cy="1037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116211</xdr:colOff>
      <xdr:row>55</xdr:row>
      <xdr:rowOff>40066</xdr:rowOff>
    </xdr:from>
    <xdr:to>
      <xdr:col>25</xdr:col>
      <xdr:colOff>214814</xdr:colOff>
      <xdr:row>55</xdr:row>
      <xdr:rowOff>143805</xdr:rowOff>
    </xdr:to>
    <xdr:cxnSp macro="">
      <xdr:nvCxnSpPr>
        <xdr:cNvPr id="324" name="直線コネクタ 323">
          <a:extLst>
            <a:ext uri="{FF2B5EF4-FFF2-40B4-BE49-F238E27FC236}">
              <a16:creationId xmlns:a16="http://schemas.microsoft.com/office/drawing/2014/main" id="{844D0155-02CD-4353-89F8-06E9BF55570C}"/>
            </a:ext>
          </a:extLst>
        </xdr:cNvPr>
        <xdr:cNvCxnSpPr/>
      </xdr:nvCxnSpPr>
      <xdr:spPr>
        <a:xfrm>
          <a:off x="5831211" y="14441866"/>
          <a:ext cx="98603" cy="1037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117126</xdr:colOff>
      <xdr:row>55</xdr:row>
      <xdr:rowOff>97432</xdr:rowOff>
    </xdr:from>
    <xdr:to>
      <xdr:col>25</xdr:col>
      <xdr:colOff>150190</xdr:colOff>
      <xdr:row>55</xdr:row>
      <xdr:rowOff>125917</xdr:rowOff>
    </xdr:to>
    <xdr:cxnSp macro="">
      <xdr:nvCxnSpPr>
        <xdr:cNvPr id="325" name="直線コネクタ 324">
          <a:extLst>
            <a:ext uri="{FF2B5EF4-FFF2-40B4-BE49-F238E27FC236}">
              <a16:creationId xmlns:a16="http://schemas.microsoft.com/office/drawing/2014/main" id="{E93FF2AA-DB9A-416E-86BB-055E511F35C2}"/>
            </a:ext>
          </a:extLst>
        </xdr:cNvPr>
        <xdr:cNvCxnSpPr/>
      </xdr:nvCxnSpPr>
      <xdr:spPr>
        <a:xfrm flipH="1">
          <a:off x="5832126" y="14499232"/>
          <a:ext cx="33064" cy="2848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138818</xdr:colOff>
      <xdr:row>55</xdr:row>
      <xdr:rowOff>112389</xdr:rowOff>
    </xdr:from>
    <xdr:to>
      <xdr:col>25</xdr:col>
      <xdr:colOff>170474</xdr:colOff>
      <xdr:row>55</xdr:row>
      <xdr:rowOff>143115</xdr:rowOff>
    </xdr:to>
    <xdr:cxnSp macro="">
      <xdr:nvCxnSpPr>
        <xdr:cNvPr id="326" name="直線コネクタ 325">
          <a:extLst>
            <a:ext uri="{FF2B5EF4-FFF2-40B4-BE49-F238E27FC236}">
              <a16:creationId xmlns:a16="http://schemas.microsoft.com/office/drawing/2014/main" id="{FDF57AE1-2219-4230-ACAC-9CCD9D39DB00}"/>
            </a:ext>
          </a:extLst>
        </xdr:cNvPr>
        <xdr:cNvCxnSpPr/>
      </xdr:nvCxnSpPr>
      <xdr:spPr>
        <a:xfrm flipH="1">
          <a:off x="5853818" y="14514189"/>
          <a:ext cx="3165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19835</xdr:colOff>
      <xdr:row>55</xdr:row>
      <xdr:rowOff>46092</xdr:rowOff>
    </xdr:from>
    <xdr:to>
      <xdr:col>25</xdr:col>
      <xdr:colOff>108098</xdr:colOff>
      <xdr:row>55</xdr:row>
      <xdr:rowOff>149831</xdr:rowOff>
    </xdr:to>
    <xdr:cxnSp macro="">
      <xdr:nvCxnSpPr>
        <xdr:cNvPr id="327" name="直線コネクタ 326">
          <a:extLst>
            <a:ext uri="{FF2B5EF4-FFF2-40B4-BE49-F238E27FC236}">
              <a16:creationId xmlns:a16="http://schemas.microsoft.com/office/drawing/2014/main" id="{03BCF8BF-EFBA-4891-8AA7-E8E13FDFBE6C}"/>
            </a:ext>
          </a:extLst>
        </xdr:cNvPr>
        <xdr:cNvCxnSpPr/>
      </xdr:nvCxnSpPr>
      <xdr:spPr>
        <a:xfrm>
          <a:off x="5734835" y="14447892"/>
          <a:ext cx="88263" cy="1037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201117</xdr:colOff>
      <xdr:row>55</xdr:row>
      <xdr:rowOff>47936</xdr:rowOff>
    </xdr:from>
    <xdr:to>
      <xdr:col>25</xdr:col>
      <xdr:colOff>63501</xdr:colOff>
      <xdr:row>55</xdr:row>
      <xdr:rowOff>151675</xdr:rowOff>
    </xdr:to>
    <xdr:cxnSp macro="">
      <xdr:nvCxnSpPr>
        <xdr:cNvPr id="328" name="直線コネクタ 327">
          <a:extLst>
            <a:ext uri="{FF2B5EF4-FFF2-40B4-BE49-F238E27FC236}">
              <a16:creationId xmlns:a16="http://schemas.microsoft.com/office/drawing/2014/main" id="{3FC8EC80-58DD-4AE4-971F-A00DB72C3925}"/>
            </a:ext>
          </a:extLst>
        </xdr:cNvPr>
        <xdr:cNvCxnSpPr/>
      </xdr:nvCxnSpPr>
      <xdr:spPr>
        <a:xfrm>
          <a:off x="5687517" y="14449736"/>
          <a:ext cx="90984" cy="1037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201153</xdr:colOff>
      <xdr:row>55</xdr:row>
      <xdr:rowOff>102500</xdr:rowOff>
    </xdr:from>
    <xdr:to>
      <xdr:col>25</xdr:col>
      <xdr:colOff>3279</xdr:colOff>
      <xdr:row>55</xdr:row>
      <xdr:rowOff>133787</xdr:rowOff>
    </xdr:to>
    <xdr:cxnSp macro="">
      <xdr:nvCxnSpPr>
        <xdr:cNvPr id="329" name="直線コネクタ 328">
          <a:extLst>
            <a:ext uri="{FF2B5EF4-FFF2-40B4-BE49-F238E27FC236}">
              <a16:creationId xmlns:a16="http://schemas.microsoft.com/office/drawing/2014/main" id="{99BD3CD2-8983-4427-8E03-9F57B77FE417}"/>
            </a:ext>
          </a:extLst>
        </xdr:cNvPr>
        <xdr:cNvCxnSpPr/>
      </xdr:nvCxnSpPr>
      <xdr:spPr>
        <a:xfrm flipH="1">
          <a:off x="5687553" y="14504300"/>
          <a:ext cx="30726" cy="312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221437</xdr:colOff>
      <xdr:row>55</xdr:row>
      <xdr:rowOff>120259</xdr:rowOff>
    </xdr:from>
    <xdr:to>
      <xdr:col>25</xdr:col>
      <xdr:colOff>23563</xdr:colOff>
      <xdr:row>55</xdr:row>
      <xdr:rowOff>150985</xdr:rowOff>
    </xdr:to>
    <xdr:cxnSp macro="">
      <xdr:nvCxnSpPr>
        <xdr:cNvPr id="330" name="直線コネクタ 329">
          <a:extLst>
            <a:ext uri="{FF2B5EF4-FFF2-40B4-BE49-F238E27FC236}">
              <a16:creationId xmlns:a16="http://schemas.microsoft.com/office/drawing/2014/main" id="{88F55F8A-2925-4DD1-9116-C18C66993171}"/>
            </a:ext>
          </a:extLst>
        </xdr:cNvPr>
        <xdr:cNvCxnSpPr/>
      </xdr:nvCxnSpPr>
      <xdr:spPr>
        <a:xfrm flipH="1">
          <a:off x="5707837" y="14522059"/>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129280</xdr:colOff>
      <xdr:row>49</xdr:row>
      <xdr:rowOff>110973</xdr:rowOff>
    </xdr:from>
    <xdr:to>
      <xdr:col>30</xdr:col>
      <xdr:colOff>217995</xdr:colOff>
      <xdr:row>49</xdr:row>
      <xdr:rowOff>193611</xdr:rowOff>
    </xdr:to>
    <xdr:cxnSp macro="">
      <xdr:nvCxnSpPr>
        <xdr:cNvPr id="331" name="直線コネクタ 330">
          <a:extLst>
            <a:ext uri="{FF2B5EF4-FFF2-40B4-BE49-F238E27FC236}">
              <a16:creationId xmlns:a16="http://schemas.microsoft.com/office/drawing/2014/main" id="{CA49A464-2280-464C-A10F-FB37C8E62A74}"/>
            </a:ext>
          </a:extLst>
        </xdr:cNvPr>
        <xdr:cNvCxnSpPr/>
      </xdr:nvCxnSpPr>
      <xdr:spPr>
        <a:xfrm>
          <a:off x="6987280" y="13084023"/>
          <a:ext cx="88715"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81962</xdr:colOff>
      <xdr:row>49</xdr:row>
      <xdr:rowOff>112817</xdr:rowOff>
    </xdr:from>
    <xdr:to>
      <xdr:col>30</xdr:col>
      <xdr:colOff>167956</xdr:colOff>
      <xdr:row>49</xdr:row>
      <xdr:rowOff>195455</xdr:rowOff>
    </xdr:to>
    <xdr:cxnSp macro="">
      <xdr:nvCxnSpPr>
        <xdr:cNvPr id="332" name="直線コネクタ 331">
          <a:extLst>
            <a:ext uri="{FF2B5EF4-FFF2-40B4-BE49-F238E27FC236}">
              <a16:creationId xmlns:a16="http://schemas.microsoft.com/office/drawing/2014/main" id="{7F4CEC81-899D-4A07-B0B2-998598358B32}"/>
            </a:ext>
          </a:extLst>
        </xdr:cNvPr>
        <xdr:cNvCxnSpPr/>
      </xdr:nvCxnSpPr>
      <xdr:spPr>
        <a:xfrm>
          <a:off x="6939962" y="13085867"/>
          <a:ext cx="8599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81998</xdr:colOff>
      <xdr:row>49</xdr:row>
      <xdr:rowOff>153649</xdr:rowOff>
    </xdr:from>
    <xdr:to>
      <xdr:col>30</xdr:col>
      <xdr:colOff>112724</xdr:colOff>
      <xdr:row>49</xdr:row>
      <xdr:rowOff>174850</xdr:rowOff>
    </xdr:to>
    <xdr:cxnSp macro="">
      <xdr:nvCxnSpPr>
        <xdr:cNvPr id="333" name="直線コネクタ 332">
          <a:extLst>
            <a:ext uri="{FF2B5EF4-FFF2-40B4-BE49-F238E27FC236}">
              <a16:creationId xmlns:a16="http://schemas.microsoft.com/office/drawing/2014/main" id="{FD421545-D01F-4C00-B466-15A1C50FE704}"/>
            </a:ext>
          </a:extLst>
        </xdr:cNvPr>
        <xdr:cNvCxnSpPr/>
      </xdr:nvCxnSpPr>
      <xdr:spPr>
        <a:xfrm flipH="1">
          <a:off x="6939998" y="13126699"/>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102282</xdr:colOff>
      <xdr:row>49</xdr:row>
      <xdr:rowOff>170847</xdr:rowOff>
    </xdr:from>
    <xdr:to>
      <xdr:col>30</xdr:col>
      <xdr:colOff>133008</xdr:colOff>
      <xdr:row>49</xdr:row>
      <xdr:rowOff>194770</xdr:rowOff>
    </xdr:to>
    <xdr:cxnSp macro="">
      <xdr:nvCxnSpPr>
        <xdr:cNvPr id="334" name="直線コネクタ 333">
          <a:extLst>
            <a:ext uri="{FF2B5EF4-FFF2-40B4-BE49-F238E27FC236}">
              <a16:creationId xmlns:a16="http://schemas.microsoft.com/office/drawing/2014/main" id="{948BC4F2-E1DB-4F23-9D48-E9D79AEFED6C}"/>
            </a:ext>
          </a:extLst>
        </xdr:cNvPr>
        <xdr:cNvCxnSpPr/>
      </xdr:nvCxnSpPr>
      <xdr:spPr>
        <a:xfrm flipH="1">
          <a:off x="6960282" y="13143897"/>
          <a:ext cx="3072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49144</xdr:colOff>
      <xdr:row>49</xdr:row>
      <xdr:rowOff>106484</xdr:rowOff>
    </xdr:from>
    <xdr:to>
      <xdr:col>31</xdr:col>
      <xdr:colOff>134104</xdr:colOff>
      <xdr:row>49</xdr:row>
      <xdr:rowOff>189122</xdr:rowOff>
    </xdr:to>
    <xdr:cxnSp macro="">
      <xdr:nvCxnSpPr>
        <xdr:cNvPr id="335" name="直線コネクタ 334">
          <a:extLst>
            <a:ext uri="{FF2B5EF4-FFF2-40B4-BE49-F238E27FC236}">
              <a16:creationId xmlns:a16="http://schemas.microsoft.com/office/drawing/2014/main" id="{F2E39FCB-1663-4A4C-B7F3-57BCDD8B0CD4}"/>
            </a:ext>
          </a:extLst>
        </xdr:cNvPr>
        <xdr:cNvCxnSpPr/>
      </xdr:nvCxnSpPr>
      <xdr:spPr>
        <a:xfrm>
          <a:off x="7135744" y="13079534"/>
          <a:ext cx="84960"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225944</xdr:colOff>
      <xdr:row>49</xdr:row>
      <xdr:rowOff>108328</xdr:rowOff>
    </xdr:from>
    <xdr:to>
      <xdr:col>31</xdr:col>
      <xdr:colOff>91268</xdr:colOff>
      <xdr:row>49</xdr:row>
      <xdr:rowOff>190966</xdr:rowOff>
    </xdr:to>
    <xdr:cxnSp macro="">
      <xdr:nvCxnSpPr>
        <xdr:cNvPr id="336" name="直線コネクタ 335">
          <a:extLst>
            <a:ext uri="{FF2B5EF4-FFF2-40B4-BE49-F238E27FC236}">
              <a16:creationId xmlns:a16="http://schemas.microsoft.com/office/drawing/2014/main" id="{A1004297-E175-44B0-B94C-6F18B513C8C2}"/>
            </a:ext>
          </a:extLst>
        </xdr:cNvPr>
        <xdr:cNvCxnSpPr/>
      </xdr:nvCxnSpPr>
      <xdr:spPr>
        <a:xfrm>
          <a:off x="7083944" y="13081378"/>
          <a:ext cx="9392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225980</xdr:colOff>
      <xdr:row>49</xdr:row>
      <xdr:rowOff>149155</xdr:rowOff>
    </xdr:from>
    <xdr:to>
      <xdr:col>31</xdr:col>
      <xdr:colOff>32588</xdr:colOff>
      <xdr:row>49</xdr:row>
      <xdr:rowOff>179881</xdr:rowOff>
    </xdr:to>
    <xdr:cxnSp macro="">
      <xdr:nvCxnSpPr>
        <xdr:cNvPr id="337" name="直線コネクタ 336">
          <a:extLst>
            <a:ext uri="{FF2B5EF4-FFF2-40B4-BE49-F238E27FC236}">
              <a16:creationId xmlns:a16="http://schemas.microsoft.com/office/drawing/2014/main" id="{FDA814D2-49BA-4D77-A878-95F329E8B0B2}"/>
            </a:ext>
          </a:extLst>
        </xdr:cNvPr>
        <xdr:cNvCxnSpPr/>
      </xdr:nvCxnSpPr>
      <xdr:spPr>
        <a:xfrm flipH="1">
          <a:off x="7083980" y="13122205"/>
          <a:ext cx="35208"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17664</xdr:colOff>
      <xdr:row>49</xdr:row>
      <xdr:rowOff>166353</xdr:rowOff>
    </xdr:from>
    <xdr:to>
      <xdr:col>31</xdr:col>
      <xdr:colOff>52872</xdr:colOff>
      <xdr:row>49</xdr:row>
      <xdr:rowOff>190276</xdr:rowOff>
    </xdr:to>
    <xdr:cxnSp macro="">
      <xdr:nvCxnSpPr>
        <xdr:cNvPr id="338" name="直線コネクタ 337">
          <a:extLst>
            <a:ext uri="{FF2B5EF4-FFF2-40B4-BE49-F238E27FC236}">
              <a16:creationId xmlns:a16="http://schemas.microsoft.com/office/drawing/2014/main" id="{63E2F09D-2757-40EA-8E22-8937B256CD68}"/>
            </a:ext>
          </a:extLst>
        </xdr:cNvPr>
        <xdr:cNvCxnSpPr/>
      </xdr:nvCxnSpPr>
      <xdr:spPr>
        <a:xfrm flipH="1">
          <a:off x="7104264" y="13139403"/>
          <a:ext cx="35208"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76200</xdr:colOff>
      <xdr:row>55</xdr:row>
      <xdr:rowOff>15892</xdr:rowOff>
    </xdr:from>
    <xdr:to>
      <xdr:col>27</xdr:col>
      <xdr:colOff>96519</xdr:colOff>
      <xdr:row>59</xdr:row>
      <xdr:rowOff>66675</xdr:rowOff>
    </xdr:to>
    <xdr:cxnSp macro="">
      <xdr:nvCxnSpPr>
        <xdr:cNvPr id="342" name="直線コネクタ 341">
          <a:extLst>
            <a:ext uri="{FF2B5EF4-FFF2-40B4-BE49-F238E27FC236}">
              <a16:creationId xmlns:a16="http://schemas.microsoft.com/office/drawing/2014/main" id="{FCCF568D-A535-4046-875A-E714A89E9774}"/>
            </a:ext>
          </a:extLst>
        </xdr:cNvPr>
        <xdr:cNvCxnSpPr/>
      </xdr:nvCxnSpPr>
      <xdr:spPr>
        <a:xfrm flipH="1">
          <a:off x="4876800" y="14417692"/>
          <a:ext cx="1391919" cy="1003283"/>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27</xdr:col>
      <xdr:colOff>109257</xdr:colOff>
      <xdr:row>48</xdr:row>
      <xdr:rowOff>175657</xdr:rowOff>
    </xdr:from>
    <xdr:to>
      <xdr:col>29</xdr:col>
      <xdr:colOff>4149</xdr:colOff>
      <xdr:row>48</xdr:row>
      <xdr:rowOff>175657</xdr:rowOff>
    </xdr:to>
    <xdr:cxnSp macro="">
      <xdr:nvCxnSpPr>
        <xdr:cNvPr id="344" name="直線コネクタ 343">
          <a:extLst>
            <a:ext uri="{FF2B5EF4-FFF2-40B4-BE49-F238E27FC236}">
              <a16:creationId xmlns:a16="http://schemas.microsoft.com/office/drawing/2014/main" id="{A920B766-D3AA-4DC7-8CAE-F9CB63CFB6C6}"/>
            </a:ext>
          </a:extLst>
        </xdr:cNvPr>
        <xdr:cNvCxnSpPr/>
      </xdr:nvCxnSpPr>
      <xdr:spPr>
        <a:xfrm>
          <a:off x="6281457" y="12910582"/>
          <a:ext cx="352092"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27</xdr:col>
      <xdr:colOff>94810</xdr:colOff>
      <xdr:row>49</xdr:row>
      <xdr:rowOff>104941</xdr:rowOff>
    </xdr:from>
    <xdr:to>
      <xdr:col>27</xdr:col>
      <xdr:colOff>94810</xdr:colOff>
      <xdr:row>59</xdr:row>
      <xdr:rowOff>80269</xdr:rowOff>
    </xdr:to>
    <xdr:cxnSp macro="">
      <xdr:nvCxnSpPr>
        <xdr:cNvPr id="345" name="直線コネクタ 344">
          <a:extLst>
            <a:ext uri="{FF2B5EF4-FFF2-40B4-BE49-F238E27FC236}">
              <a16:creationId xmlns:a16="http://schemas.microsoft.com/office/drawing/2014/main" id="{3C246F32-1A43-4F20-A3FD-8F233631D6AC}"/>
            </a:ext>
          </a:extLst>
        </xdr:cNvPr>
        <xdr:cNvCxnSpPr/>
      </xdr:nvCxnSpPr>
      <xdr:spPr>
        <a:xfrm>
          <a:off x="6267010" y="13077991"/>
          <a:ext cx="0" cy="2356578"/>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31</xdr:col>
      <xdr:colOff>176893</xdr:colOff>
      <xdr:row>52</xdr:row>
      <xdr:rowOff>49399</xdr:rowOff>
    </xdr:from>
    <xdr:to>
      <xdr:col>34</xdr:col>
      <xdr:colOff>190503</xdr:colOff>
      <xdr:row>52</xdr:row>
      <xdr:rowOff>49399</xdr:rowOff>
    </xdr:to>
    <xdr:cxnSp macro="">
      <xdr:nvCxnSpPr>
        <xdr:cNvPr id="346" name="直線コネクタ 345">
          <a:extLst>
            <a:ext uri="{FF2B5EF4-FFF2-40B4-BE49-F238E27FC236}">
              <a16:creationId xmlns:a16="http://schemas.microsoft.com/office/drawing/2014/main" id="{38411FFB-7F4A-4ACC-95D5-06084ABBBA54}"/>
            </a:ext>
          </a:extLst>
        </xdr:cNvPr>
        <xdr:cNvCxnSpPr/>
      </xdr:nvCxnSpPr>
      <xdr:spPr>
        <a:xfrm>
          <a:off x="7263493" y="13736824"/>
          <a:ext cx="699410"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163286</xdr:colOff>
      <xdr:row>50</xdr:row>
      <xdr:rowOff>93495</xdr:rowOff>
    </xdr:from>
    <xdr:to>
      <xdr:col>35</xdr:col>
      <xdr:colOff>33621</xdr:colOff>
      <xdr:row>50</xdr:row>
      <xdr:rowOff>93495</xdr:rowOff>
    </xdr:to>
    <xdr:cxnSp macro="">
      <xdr:nvCxnSpPr>
        <xdr:cNvPr id="347" name="直線コネクタ 346">
          <a:extLst>
            <a:ext uri="{FF2B5EF4-FFF2-40B4-BE49-F238E27FC236}">
              <a16:creationId xmlns:a16="http://schemas.microsoft.com/office/drawing/2014/main" id="{D048DCD8-2A65-4715-BEF4-D3257716BCFC}"/>
            </a:ext>
          </a:extLst>
        </xdr:cNvPr>
        <xdr:cNvCxnSpPr/>
      </xdr:nvCxnSpPr>
      <xdr:spPr>
        <a:xfrm>
          <a:off x="7334250" y="13646209"/>
          <a:ext cx="795621"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29</xdr:col>
      <xdr:colOff>192522</xdr:colOff>
      <xdr:row>52</xdr:row>
      <xdr:rowOff>66675</xdr:rowOff>
    </xdr:from>
    <xdr:to>
      <xdr:col>29</xdr:col>
      <xdr:colOff>192522</xdr:colOff>
      <xdr:row>59</xdr:row>
      <xdr:rowOff>89794</xdr:rowOff>
    </xdr:to>
    <xdr:cxnSp macro="">
      <xdr:nvCxnSpPr>
        <xdr:cNvPr id="348" name="直線コネクタ 347">
          <a:extLst>
            <a:ext uri="{FF2B5EF4-FFF2-40B4-BE49-F238E27FC236}">
              <a16:creationId xmlns:a16="http://schemas.microsoft.com/office/drawing/2014/main" id="{73E8B1A8-4BFE-4383-BFD1-8466C7433027}"/>
            </a:ext>
          </a:extLst>
        </xdr:cNvPr>
        <xdr:cNvCxnSpPr/>
      </xdr:nvCxnSpPr>
      <xdr:spPr>
        <a:xfrm>
          <a:off x="6821922" y="13754100"/>
          <a:ext cx="0" cy="1689994"/>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190500</xdr:colOff>
      <xdr:row>55</xdr:row>
      <xdr:rowOff>57858</xdr:rowOff>
    </xdr:from>
    <xdr:to>
      <xdr:col>31</xdr:col>
      <xdr:colOff>123827</xdr:colOff>
      <xdr:row>59</xdr:row>
      <xdr:rowOff>76200</xdr:rowOff>
    </xdr:to>
    <xdr:cxnSp macro="">
      <xdr:nvCxnSpPr>
        <xdr:cNvPr id="349" name="直線コネクタ 348">
          <a:extLst>
            <a:ext uri="{FF2B5EF4-FFF2-40B4-BE49-F238E27FC236}">
              <a16:creationId xmlns:a16="http://schemas.microsoft.com/office/drawing/2014/main" id="{8995CED5-BDDB-49E0-A96D-671D681A8F41}"/>
            </a:ext>
          </a:extLst>
        </xdr:cNvPr>
        <xdr:cNvCxnSpPr/>
      </xdr:nvCxnSpPr>
      <xdr:spPr>
        <a:xfrm flipH="1">
          <a:off x="6819900" y="14459658"/>
          <a:ext cx="390527" cy="970842"/>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190500</xdr:colOff>
      <xdr:row>52</xdr:row>
      <xdr:rowOff>66675</xdr:rowOff>
    </xdr:from>
    <xdr:to>
      <xdr:col>31</xdr:col>
      <xdr:colOff>133352</xdr:colOff>
      <xdr:row>55</xdr:row>
      <xdr:rowOff>54716</xdr:rowOff>
    </xdr:to>
    <xdr:cxnSp macro="">
      <xdr:nvCxnSpPr>
        <xdr:cNvPr id="350" name="直線コネクタ 349">
          <a:extLst>
            <a:ext uri="{FF2B5EF4-FFF2-40B4-BE49-F238E27FC236}">
              <a16:creationId xmlns:a16="http://schemas.microsoft.com/office/drawing/2014/main" id="{A99AD62A-0323-4A14-B117-D661AEF8B4F4}"/>
            </a:ext>
          </a:extLst>
        </xdr:cNvPr>
        <xdr:cNvCxnSpPr/>
      </xdr:nvCxnSpPr>
      <xdr:spPr>
        <a:xfrm flipH="1" flipV="1">
          <a:off x="6819900" y="13754100"/>
          <a:ext cx="400052" cy="702416"/>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editAs="absolute">
    <xdr:from>
      <xdr:col>31</xdr:col>
      <xdr:colOff>22412</xdr:colOff>
      <xdr:row>49</xdr:row>
      <xdr:rowOff>90106</xdr:rowOff>
    </xdr:from>
    <xdr:to>
      <xdr:col>35</xdr:col>
      <xdr:colOff>9524</xdr:colOff>
      <xdr:row>50</xdr:row>
      <xdr:rowOff>119903</xdr:rowOff>
    </xdr:to>
    <xdr:sp macro="" textlink="">
      <xdr:nvSpPr>
        <xdr:cNvPr id="352" name="テキスト ボックス 351">
          <a:extLst>
            <a:ext uri="{FF2B5EF4-FFF2-40B4-BE49-F238E27FC236}">
              <a16:creationId xmlns:a16="http://schemas.microsoft.com/office/drawing/2014/main" id="{DB7F911C-60D6-4325-8657-104974FBE647}"/>
            </a:ext>
          </a:extLst>
        </xdr:cNvPr>
        <xdr:cNvSpPr txBox="1"/>
      </xdr:nvSpPr>
      <xdr:spPr>
        <a:xfrm>
          <a:off x="7109012" y="11872531"/>
          <a:ext cx="901512" cy="26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 </a:t>
          </a:r>
          <a:r>
            <a:rPr kumimoji="1" lang="en-US" altLang="ja-JP" sz="1100"/>
            <a:t>1.00m</a:t>
          </a:r>
          <a:endParaRPr kumimoji="1" lang="ja-JP" altLang="en-US" sz="1100"/>
        </a:p>
      </xdr:txBody>
    </xdr:sp>
    <xdr:clientData/>
  </xdr:twoCellAnchor>
  <xdr:twoCellAnchor>
    <xdr:from>
      <xdr:col>24</xdr:col>
      <xdr:colOff>29138</xdr:colOff>
      <xdr:row>50</xdr:row>
      <xdr:rowOff>14985</xdr:rowOff>
    </xdr:from>
    <xdr:to>
      <xdr:col>26</xdr:col>
      <xdr:colOff>125921</xdr:colOff>
      <xdr:row>50</xdr:row>
      <xdr:rowOff>14985</xdr:rowOff>
    </xdr:to>
    <xdr:cxnSp macro="">
      <xdr:nvCxnSpPr>
        <xdr:cNvPr id="354" name="直線コネクタ 353">
          <a:extLst>
            <a:ext uri="{FF2B5EF4-FFF2-40B4-BE49-F238E27FC236}">
              <a16:creationId xmlns:a16="http://schemas.microsoft.com/office/drawing/2014/main" id="{9A031756-8CFE-4862-AF0E-09F3DF08AF61}"/>
            </a:ext>
          </a:extLst>
        </xdr:cNvPr>
        <xdr:cNvCxnSpPr/>
      </xdr:nvCxnSpPr>
      <xdr:spPr>
        <a:xfrm>
          <a:off x="5515538" y="13226160"/>
          <a:ext cx="55398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48188</xdr:colOff>
      <xdr:row>50</xdr:row>
      <xdr:rowOff>169597</xdr:rowOff>
    </xdr:from>
    <xdr:to>
      <xdr:col>26</xdr:col>
      <xdr:colOff>115895</xdr:colOff>
      <xdr:row>50</xdr:row>
      <xdr:rowOff>169597</xdr:rowOff>
    </xdr:to>
    <xdr:cxnSp macro="">
      <xdr:nvCxnSpPr>
        <xdr:cNvPr id="355" name="直線コネクタ 354">
          <a:extLst>
            <a:ext uri="{FF2B5EF4-FFF2-40B4-BE49-F238E27FC236}">
              <a16:creationId xmlns:a16="http://schemas.microsoft.com/office/drawing/2014/main" id="{617D4F34-465C-4E5D-866B-9EB777B58F02}"/>
            </a:ext>
          </a:extLst>
        </xdr:cNvPr>
        <xdr:cNvCxnSpPr/>
      </xdr:nvCxnSpPr>
      <xdr:spPr>
        <a:xfrm>
          <a:off x="5534588" y="13380772"/>
          <a:ext cx="52490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123916</xdr:colOff>
      <xdr:row>50</xdr:row>
      <xdr:rowOff>17080</xdr:rowOff>
    </xdr:from>
    <xdr:to>
      <xdr:col>26</xdr:col>
      <xdr:colOff>123916</xdr:colOff>
      <xdr:row>50</xdr:row>
      <xdr:rowOff>169982</xdr:rowOff>
    </xdr:to>
    <xdr:cxnSp macro="">
      <xdr:nvCxnSpPr>
        <xdr:cNvPr id="356" name="直線コネクタ 355">
          <a:extLst>
            <a:ext uri="{FF2B5EF4-FFF2-40B4-BE49-F238E27FC236}">
              <a16:creationId xmlns:a16="http://schemas.microsoft.com/office/drawing/2014/main" id="{E05597F6-1060-4E13-A4EA-62F1D6FF07CF}"/>
            </a:ext>
          </a:extLst>
        </xdr:cNvPr>
        <xdr:cNvCxnSpPr/>
      </xdr:nvCxnSpPr>
      <xdr:spPr>
        <a:xfrm>
          <a:off x="6067516" y="13228255"/>
          <a:ext cx="0" cy="15290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151130</xdr:colOff>
      <xdr:row>50</xdr:row>
      <xdr:rowOff>9676</xdr:rowOff>
    </xdr:from>
    <xdr:to>
      <xdr:col>26</xdr:col>
      <xdr:colOff>151130</xdr:colOff>
      <xdr:row>50</xdr:row>
      <xdr:rowOff>183768</xdr:rowOff>
    </xdr:to>
    <xdr:cxnSp macro="">
      <xdr:nvCxnSpPr>
        <xdr:cNvPr id="357" name="直線コネクタ 356">
          <a:extLst>
            <a:ext uri="{FF2B5EF4-FFF2-40B4-BE49-F238E27FC236}">
              <a16:creationId xmlns:a16="http://schemas.microsoft.com/office/drawing/2014/main" id="{59B13B41-38A2-41F1-9A3E-E1A06BAB5962}"/>
            </a:ext>
          </a:extLst>
        </xdr:cNvPr>
        <xdr:cNvCxnSpPr/>
      </xdr:nvCxnSpPr>
      <xdr:spPr>
        <a:xfrm>
          <a:off x="6094730" y="13220851"/>
          <a:ext cx="0" cy="17409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65405</xdr:colOff>
      <xdr:row>50</xdr:row>
      <xdr:rowOff>9676</xdr:rowOff>
    </xdr:from>
    <xdr:to>
      <xdr:col>27</xdr:col>
      <xdr:colOff>65405</xdr:colOff>
      <xdr:row>50</xdr:row>
      <xdr:rowOff>183768</xdr:rowOff>
    </xdr:to>
    <xdr:cxnSp macro="">
      <xdr:nvCxnSpPr>
        <xdr:cNvPr id="358" name="直線コネクタ 357">
          <a:extLst>
            <a:ext uri="{FF2B5EF4-FFF2-40B4-BE49-F238E27FC236}">
              <a16:creationId xmlns:a16="http://schemas.microsoft.com/office/drawing/2014/main" id="{D9675B14-9E79-494A-A390-720D1143CAF6}"/>
            </a:ext>
          </a:extLst>
        </xdr:cNvPr>
        <xdr:cNvCxnSpPr/>
      </xdr:nvCxnSpPr>
      <xdr:spPr>
        <a:xfrm>
          <a:off x="6237605" y="13220851"/>
          <a:ext cx="0" cy="17409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150060</xdr:colOff>
      <xdr:row>50</xdr:row>
      <xdr:rowOff>95321</xdr:rowOff>
    </xdr:from>
    <xdr:to>
      <xdr:col>27</xdr:col>
      <xdr:colOff>60934</xdr:colOff>
      <xdr:row>50</xdr:row>
      <xdr:rowOff>95321</xdr:rowOff>
    </xdr:to>
    <xdr:cxnSp macro="">
      <xdr:nvCxnSpPr>
        <xdr:cNvPr id="359" name="直線コネクタ 358">
          <a:extLst>
            <a:ext uri="{FF2B5EF4-FFF2-40B4-BE49-F238E27FC236}">
              <a16:creationId xmlns:a16="http://schemas.microsoft.com/office/drawing/2014/main" id="{3AB6A787-5508-4082-8D04-2B8E9A6D2C89}"/>
            </a:ext>
          </a:extLst>
        </xdr:cNvPr>
        <xdr:cNvCxnSpPr/>
      </xdr:nvCxnSpPr>
      <xdr:spPr>
        <a:xfrm>
          <a:off x="6093660" y="13306496"/>
          <a:ext cx="13947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31</xdr:col>
      <xdr:colOff>37682</xdr:colOff>
      <xdr:row>50</xdr:row>
      <xdr:rowOff>156782</xdr:rowOff>
    </xdr:from>
    <xdr:to>
      <xdr:col>35</xdr:col>
      <xdr:colOff>4481</xdr:colOff>
      <xdr:row>51</xdr:row>
      <xdr:rowOff>175911</xdr:rowOff>
    </xdr:to>
    <xdr:sp macro="" textlink="">
      <xdr:nvSpPr>
        <xdr:cNvPr id="362" name="テキスト ボックス 361">
          <a:extLst>
            <a:ext uri="{FF2B5EF4-FFF2-40B4-BE49-F238E27FC236}">
              <a16:creationId xmlns:a16="http://schemas.microsoft.com/office/drawing/2014/main" id="{804066B4-AA3E-40D3-8A56-D8A1055E4C4D}"/>
            </a:ext>
          </a:extLst>
        </xdr:cNvPr>
        <xdr:cNvSpPr txBox="1"/>
      </xdr:nvSpPr>
      <xdr:spPr>
        <a:xfrm>
          <a:off x="7124282" y="12177332"/>
          <a:ext cx="881199" cy="257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 </a:t>
          </a:r>
          <a:r>
            <a:rPr kumimoji="1" lang="en-US" altLang="ja-JP" sz="1100"/>
            <a:t>1.50m</a:t>
          </a:r>
          <a:endParaRPr kumimoji="1" lang="ja-JP" altLang="en-US" sz="1100"/>
        </a:p>
      </xdr:txBody>
    </xdr:sp>
    <xdr:clientData/>
  </xdr:twoCellAnchor>
  <xdr:twoCellAnchor>
    <xdr:from>
      <xdr:col>27</xdr:col>
      <xdr:colOff>26720</xdr:colOff>
      <xdr:row>57</xdr:row>
      <xdr:rowOff>163069</xdr:rowOff>
    </xdr:from>
    <xdr:to>
      <xdr:col>27</xdr:col>
      <xdr:colOff>153600</xdr:colOff>
      <xdr:row>58</xdr:row>
      <xdr:rowOff>54625</xdr:rowOff>
    </xdr:to>
    <xdr:sp macro="" textlink="">
      <xdr:nvSpPr>
        <xdr:cNvPr id="365" name="楕円 364">
          <a:extLst>
            <a:ext uri="{FF2B5EF4-FFF2-40B4-BE49-F238E27FC236}">
              <a16:creationId xmlns:a16="http://schemas.microsoft.com/office/drawing/2014/main" id="{851ACD71-8AF2-4365-9171-EFF24F54C6D8}"/>
            </a:ext>
          </a:extLst>
        </xdr:cNvPr>
        <xdr:cNvSpPr/>
      </xdr:nvSpPr>
      <xdr:spPr>
        <a:xfrm>
          <a:off x="6198920" y="15041119"/>
          <a:ext cx="126880" cy="129681"/>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204107</xdr:colOff>
      <xdr:row>55</xdr:row>
      <xdr:rowOff>25042</xdr:rowOff>
    </xdr:from>
    <xdr:to>
      <xdr:col>34</xdr:col>
      <xdr:colOff>168092</xdr:colOff>
      <xdr:row>55</xdr:row>
      <xdr:rowOff>25042</xdr:rowOff>
    </xdr:to>
    <xdr:cxnSp macro="">
      <xdr:nvCxnSpPr>
        <xdr:cNvPr id="366" name="直線コネクタ 365">
          <a:extLst>
            <a:ext uri="{FF2B5EF4-FFF2-40B4-BE49-F238E27FC236}">
              <a16:creationId xmlns:a16="http://schemas.microsoft.com/office/drawing/2014/main" id="{78DDA0AF-937E-4A00-9729-5EF1DF59002C}"/>
            </a:ext>
          </a:extLst>
        </xdr:cNvPr>
        <xdr:cNvCxnSpPr/>
      </xdr:nvCxnSpPr>
      <xdr:spPr>
        <a:xfrm>
          <a:off x="7290707" y="14426842"/>
          <a:ext cx="649785"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29</xdr:col>
      <xdr:colOff>10987</xdr:colOff>
      <xdr:row>48</xdr:row>
      <xdr:rowOff>176714</xdr:rowOff>
    </xdr:from>
    <xdr:to>
      <xdr:col>29</xdr:col>
      <xdr:colOff>10987</xdr:colOff>
      <xdr:row>59</xdr:row>
      <xdr:rowOff>78443</xdr:rowOff>
    </xdr:to>
    <xdr:cxnSp macro="">
      <xdr:nvCxnSpPr>
        <xdr:cNvPr id="369" name="直線コネクタ 368">
          <a:extLst>
            <a:ext uri="{FF2B5EF4-FFF2-40B4-BE49-F238E27FC236}">
              <a16:creationId xmlns:a16="http://schemas.microsoft.com/office/drawing/2014/main" id="{EC4D0EA7-6E89-1400-DADE-39DD8CD521F9}"/>
            </a:ext>
          </a:extLst>
        </xdr:cNvPr>
        <xdr:cNvCxnSpPr/>
      </xdr:nvCxnSpPr>
      <xdr:spPr>
        <a:xfrm>
          <a:off x="6640387" y="12911639"/>
          <a:ext cx="0" cy="2521104"/>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27</xdr:col>
      <xdr:colOff>92790</xdr:colOff>
      <xdr:row>48</xdr:row>
      <xdr:rowOff>165508</xdr:rowOff>
    </xdr:from>
    <xdr:to>
      <xdr:col>27</xdr:col>
      <xdr:colOff>92790</xdr:colOff>
      <xdr:row>49</xdr:row>
      <xdr:rowOff>112062</xdr:rowOff>
    </xdr:to>
    <xdr:cxnSp macro="">
      <xdr:nvCxnSpPr>
        <xdr:cNvPr id="373" name="直線コネクタ 372">
          <a:extLst>
            <a:ext uri="{FF2B5EF4-FFF2-40B4-BE49-F238E27FC236}">
              <a16:creationId xmlns:a16="http://schemas.microsoft.com/office/drawing/2014/main" id="{E1C57BC4-4926-884E-059F-6894B00A45E7}"/>
            </a:ext>
          </a:extLst>
        </xdr:cNvPr>
        <xdr:cNvCxnSpPr/>
      </xdr:nvCxnSpPr>
      <xdr:spPr>
        <a:xfrm>
          <a:off x="6264990" y="12900433"/>
          <a:ext cx="0" cy="184679"/>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21</xdr:col>
      <xdr:colOff>57150</xdr:colOff>
      <xdr:row>59</xdr:row>
      <xdr:rowOff>74804</xdr:rowOff>
    </xdr:from>
    <xdr:to>
      <xdr:col>29</xdr:col>
      <xdr:colOff>4149</xdr:colOff>
      <xdr:row>59</xdr:row>
      <xdr:rowOff>74804</xdr:rowOff>
    </xdr:to>
    <xdr:cxnSp macro="">
      <xdr:nvCxnSpPr>
        <xdr:cNvPr id="36" name="直線コネクタ 35">
          <a:extLst>
            <a:ext uri="{FF2B5EF4-FFF2-40B4-BE49-F238E27FC236}">
              <a16:creationId xmlns:a16="http://schemas.microsoft.com/office/drawing/2014/main" id="{04EF9880-8EE0-B3CF-9683-6176759090A3}"/>
            </a:ext>
          </a:extLst>
        </xdr:cNvPr>
        <xdr:cNvCxnSpPr/>
      </xdr:nvCxnSpPr>
      <xdr:spPr>
        <a:xfrm>
          <a:off x="4857750" y="15429104"/>
          <a:ext cx="1775799"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34</xdr:col>
      <xdr:colOff>200025</xdr:colOff>
      <xdr:row>12</xdr:row>
      <xdr:rowOff>104775</xdr:rowOff>
    </xdr:from>
    <xdr:to>
      <xdr:col>34</xdr:col>
      <xdr:colOff>200025</xdr:colOff>
      <xdr:row>13</xdr:row>
      <xdr:rowOff>103533</xdr:rowOff>
    </xdr:to>
    <xdr:cxnSp macro="">
      <xdr:nvCxnSpPr>
        <xdr:cNvPr id="111" name="直線矢印コネクタ 110">
          <a:extLst>
            <a:ext uri="{FF2B5EF4-FFF2-40B4-BE49-F238E27FC236}">
              <a16:creationId xmlns:a16="http://schemas.microsoft.com/office/drawing/2014/main" id="{DBC4C127-AC5E-4EB3-A1E4-9C13BA09D6A9}"/>
            </a:ext>
          </a:extLst>
        </xdr:cNvPr>
        <xdr:cNvCxnSpPr/>
      </xdr:nvCxnSpPr>
      <xdr:spPr>
        <a:xfrm>
          <a:off x="7972425" y="2962275"/>
          <a:ext cx="0" cy="23688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200025</xdr:colOff>
      <xdr:row>13</xdr:row>
      <xdr:rowOff>113058</xdr:rowOff>
    </xdr:from>
    <xdr:to>
      <xdr:col>34</xdr:col>
      <xdr:colOff>200025</xdr:colOff>
      <xdr:row>14</xdr:row>
      <xdr:rowOff>224697</xdr:rowOff>
    </xdr:to>
    <xdr:cxnSp macro="">
      <xdr:nvCxnSpPr>
        <xdr:cNvPr id="112" name="直線矢印コネクタ 111">
          <a:extLst>
            <a:ext uri="{FF2B5EF4-FFF2-40B4-BE49-F238E27FC236}">
              <a16:creationId xmlns:a16="http://schemas.microsoft.com/office/drawing/2014/main" id="{7B4314B1-7AE2-48F9-9D12-68F57661D049}"/>
            </a:ext>
          </a:extLst>
        </xdr:cNvPr>
        <xdr:cNvCxnSpPr/>
      </xdr:nvCxnSpPr>
      <xdr:spPr>
        <a:xfrm>
          <a:off x="7972425" y="3208683"/>
          <a:ext cx="0" cy="34976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200025</xdr:colOff>
      <xdr:row>15</xdr:row>
      <xdr:rowOff>47625</xdr:rowOff>
    </xdr:from>
    <xdr:to>
      <xdr:col>34</xdr:col>
      <xdr:colOff>200025</xdr:colOff>
      <xdr:row>19</xdr:row>
      <xdr:rowOff>209550</xdr:rowOff>
    </xdr:to>
    <xdr:cxnSp macro="">
      <xdr:nvCxnSpPr>
        <xdr:cNvPr id="119" name="直線矢印コネクタ 118">
          <a:extLst>
            <a:ext uri="{FF2B5EF4-FFF2-40B4-BE49-F238E27FC236}">
              <a16:creationId xmlns:a16="http://schemas.microsoft.com/office/drawing/2014/main" id="{7F90CFB0-754B-4C13-99C2-EAAD42AEE7E1}"/>
            </a:ext>
          </a:extLst>
        </xdr:cNvPr>
        <xdr:cNvCxnSpPr/>
      </xdr:nvCxnSpPr>
      <xdr:spPr>
        <a:xfrm>
          <a:off x="7972425" y="3619500"/>
          <a:ext cx="0" cy="119062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152400</xdr:colOff>
      <xdr:row>49</xdr:row>
      <xdr:rowOff>110687</xdr:rowOff>
    </xdr:from>
    <xdr:to>
      <xdr:col>34</xdr:col>
      <xdr:colOff>152400</xdr:colOff>
      <xdr:row>50</xdr:row>
      <xdr:rowOff>109445</xdr:rowOff>
    </xdr:to>
    <xdr:cxnSp macro="">
      <xdr:nvCxnSpPr>
        <xdr:cNvPr id="125" name="直線矢印コネクタ 124">
          <a:extLst>
            <a:ext uri="{FF2B5EF4-FFF2-40B4-BE49-F238E27FC236}">
              <a16:creationId xmlns:a16="http://schemas.microsoft.com/office/drawing/2014/main" id="{049E11DD-5277-4BAD-93CC-C614B84D1BD4}"/>
            </a:ext>
          </a:extLst>
        </xdr:cNvPr>
        <xdr:cNvCxnSpPr/>
      </xdr:nvCxnSpPr>
      <xdr:spPr>
        <a:xfrm>
          <a:off x="7969469" y="13012135"/>
          <a:ext cx="0" cy="23524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152400</xdr:colOff>
      <xdr:row>50</xdr:row>
      <xdr:rowOff>132108</xdr:rowOff>
    </xdr:from>
    <xdr:to>
      <xdr:col>34</xdr:col>
      <xdr:colOff>152400</xdr:colOff>
      <xdr:row>52</xdr:row>
      <xdr:rowOff>5622</xdr:rowOff>
    </xdr:to>
    <xdr:cxnSp macro="">
      <xdr:nvCxnSpPr>
        <xdr:cNvPr id="127" name="直線矢印コネクタ 126">
          <a:extLst>
            <a:ext uri="{FF2B5EF4-FFF2-40B4-BE49-F238E27FC236}">
              <a16:creationId xmlns:a16="http://schemas.microsoft.com/office/drawing/2014/main" id="{1562D079-C5EE-4842-A4E8-50F1E81B5597}"/>
            </a:ext>
          </a:extLst>
        </xdr:cNvPr>
        <xdr:cNvCxnSpPr/>
      </xdr:nvCxnSpPr>
      <xdr:spPr>
        <a:xfrm>
          <a:off x="7924800" y="13343283"/>
          <a:ext cx="0" cy="34976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152400</xdr:colOff>
      <xdr:row>52</xdr:row>
      <xdr:rowOff>66675</xdr:rowOff>
    </xdr:from>
    <xdr:to>
      <xdr:col>34</xdr:col>
      <xdr:colOff>152400</xdr:colOff>
      <xdr:row>55</xdr:row>
      <xdr:rowOff>47625</xdr:rowOff>
    </xdr:to>
    <xdr:cxnSp macro="">
      <xdr:nvCxnSpPr>
        <xdr:cNvPr id="128" name="直線矢印コネクタ 127">
          <a:extLst>
            <a:ext uri="{FF2B5EF4-FFF2-40B4-BE49-F238E27FC236}">
              <a16:creationId xmlns:a16="http://schemas.microsoft.com/office/drawing/2014/main" id="{E0A41566-915F-4B5D-AA53-76B3DBE81D8D}"/>
            </a:ext>
          </a:extLst>
        </xdr:cNvPr>
        <xdr:cNvCxnSpPr/>
      </xdr:nvCxnSpPr>
      <xdr:spPr>
        <a:xfrm>
          <a:off x="7924800" y="13754100"/>
          <a:ext cx="0" cy="69532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65942</xdr:colOff>
      <xdr:row>55</xdr:row>
      <xdr:rowOff>43961</xdr:rowOff>
    </xdr:from>
    <xdr:to>
      <xdr:col>26</xdr:col>
      <xdr:colOff>66675</xdr:colOff>
      <xdr:row>58</xdr:row>
      <xdr:rowOff>0</xdr:rowOff>
    </xdr:to>
    <xdr:cxnSp macro="">
      <xdr:nvCxnSpPr>
        <xdr:cNvPr id="131" name="直線矢印コネクタ 130">
          <a:extLst>
            <a:ext uri="{FF2B5EF4-FFF2-40B4-BE49-F238E27FC236}">
              <a16:creationId xmlns:a16="http://schemas.microsoft.com/office/drawing/2014/main" id="{825426D2-06FA-A5DE-3A36-457FAA653CE3}"/>
            </a:ext>
          </a:extLst>
        </xdr:cNvPr>
        <xdr:cNvCxnSpPr/>
      </xdr:nvCxnSpPr>
      <xdr:spPr>
        <a:xfrm>
          <a:off x="5971442" y="14639192"/>
          <a:ext cx="733" cy="68140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24</xdr:col>
      <xdr:colOff>43370</xdr:colOff>
      <xdr:row>56</xdr:row>
      <xdr:rowOff>172432</xdr:rowOff>
    </xdr:from>
    <xdr:to>
      <xdr:col>26</xdr:col>
      <xdr:colOff>200025</xdr:colOff>
      <xdr:row>57</xdr:row>
      <xdr:rowOff>172559</xdr:rowOff>
    </xdr:to>
    <xdr:sp macro="" textlink="">
      <xdr:nvSpPr>
        <xdr:cNvPr id="133" name="テキスト ボックス 132">
          <a:extLst>
            <a:ext uri="{FF2B5EF4-FFF2-40B4-BE49-F238E27FC236}">
              <a16:creationId xmlns:a16="http://schemas.microsoft.com/office/drawing/2014/main" id="{E6E159FB-C402-4DD5-B68C-2572907D9595}"/>
            </a:ext>
          </a:extLst>
        </xdr:cNvPr>
        <xdr:cNvSpPr txBox="1"/>
      </xdr:nvSpPr>
      <xdr:spPr>
        <a:xfrm>
          <a:off x="5422194" y="13485020"/>
          <a:ext cx="604890" cy="235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2.48m</a:t>
          </a:r>
          <a:endParaRPr kumimoji="1" lang="ja-JP" altLang="en-US" sz="1100"/>
        </a:p>
      </xdr:txBody>
    </xdr:sp>
    <xdr:clientData/>
  </xdr:twoCellAnchor>
  <xdr:twoCellAnchor>
    <xdr:from>
      <xdr:col>25</xdr:col>
      <xdr:colOff>209550</xdr:colOff>
      <xdr:row>57</xdr:row>
      <xdr:rowOff>234592</xdr:rowOff>
    </xdr:from>
    <xdr:to>
      <xdr:col>26</xdr:col>
      <xdr:colOff>225242</xdr:colOff>
      <xdr:row>57</xdr:row>
      <xdr:rowOff>234592</xdr:rowOff>
    </xdr:to>
    <xdr:cxnSp macro="">
      <xdr:nvCxnSpPr>
        <xdr:cNvPr id="134" name="直線コネクタ 133">
          <a:extLst>
            <a:ext uri="{FF2B5EF4-FFF2-40B4-BE49-F238E27FC236}">
              <a16:creationId xmlns:a16="http://schemas.microsoft.com/office/drawing/2014/main" id="{5F472D5A-0CE4-7F10-0204-CE6FFE74C908}"/>
            </a:ext>
          </a:extLst>
        </xdr:cNvPr>
        <xdr:cNvCxnSpPr/>
      </xdr:nvCxnSpPr>
      <xdr:spPr>
        <a:xfrm>
          <a:off x="5924550" y="15112642"/>
          <a:ext cx="244292"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22</xdr:col>
      <xdr:colOff>190500</xdr:colOff>
      <xdr:row>50</xdr:row>
      <xdr:rowOff>85725</xdr:rowOff>
    </xdr:from>
    <xdr:to>
      <xdr:col>22</xdr:col>
      <xdr:colOff>190500</xdr:colOff>
      <xdr:row>55</xdr:row>
      <xdr:rowOff>28575</xdr:rowOff>
    </xdr:to>
    <xdr:cxnSp macro="">
      <xdr:nvCxnSpPr>
        <xdr:cNvPr id="136" name="直線矢印コネクタ 135">
          <a:extLst>
            <a:ext uri="{FF2B5EF4-FFF2-40B4-BE49-F238E27FC236}">
              <a16:creationId xmlns:a16="http://schemas.microsoft.com/office/drawing/2014/main" id="{43C1D46C-D433-3C19-19BB-90B07E0E9013}"/>
            </a:ext>
          </a:extLst>
        </xdr:cNvPr>
        <xdr:cNvCxnSpPr/>
      </xdr:nvCxnSpPr>
      <xdr:spPr>
        <a:xfrm>
          <a:off x="5219700" y="13296900"/>
          <a:ext cx="0" cy="113347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20</xdr:col>
      <xdr:colOff>167195</xdr:colOff>
      <xdr:row>57</xdr:row>
      <xdr:rowOff>110369</xdr:rowOff>
    </xdr:from>
    <xdr:to>
      <xdr:col>23</xdr:col>
      <xdr:colOff>95250</xdr:colOff>
      <xdr:row>58</xdr:row>
      <xdr:rowOff>110497</xdr:rowOff>
    </xdr:to>
    <xdr:sp macro="" textlink="">
      <xdr:nvSpPr>
        <xdr:cNvPr id="139" name="テキスト ボックス 138">
          <a:extLst>
            <a:ext uri="{FF2B5EF4-FFF2-40B4-BE49-F238E27FC236}">
              <a16:creationId xmlns:a16="http://schemas.microsoft.com/office/drawing/2014/main" id="{28E061E7-6E31-FDE4-7613-1C0099BD801C}"/>
            </a:ext>
          </a:extLst>
        </xdr:cNvPr>
        <xdr:cNvSpPr txBox="1"/>
      </xdr:nvSpPr>
      <xdr:spPr>
        <a:xfrm>
          <a:off x="4739195" y="13797794"/>
          <a:ext cx="613855" cy="238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4.00m</a:t>
          </a:r>
          <a:endParaRPr kumimoji="1" lang="ja-JP" altLang="en-US" sz="1100"/>
        </a:p>
      </xdr:txBody>
    </xdr:sp>
    <xdr:clientData/>
  </xdr:twoCellAnchor>
  <xdr:twoCellAnchor>
    <xdr:from>
      <xdr:col>22</xdr:col>
      <xdr:colOff>152170</xdr:colOff>
      <xdr:row>17</xdr:row>
      <xdr:rowOff>190500</xdr:rowOff>
    </xdr:from>
    <xdr:to>
      <xdr:col>22</xdr:col>
      <xdr:colOff>152170</xdr:colOff>
      <xdr:row>21</xdr:row>
      <xdr:rowOff>191061</xdr:rowOff>
    </xdr:to>
    <xdr:cxnSp macro="">
      <xdr:nvCxnSpPr>
        <xdr:cNvPr id="140" name="直線矢印コネクタ 139">
          <a:extLst>
            <a:ext uri="{FF2B5EF4-FFF2-40B4-BE49-F238E27FC236}">
              <a16:creationId xmlns:a16="http://schemas.microsoft.com/office/drawing/2014/main" id="{E6AEF5B7-41B8-9652-05EF-F9A2DE7E01EB}"/>
            </a:ext>
          </a:extLst>
        </xdr:cNvPr>
        <xdr:cNvCxnSpPr/>
      </xdr:nvCxnSpPr>
      <xdr:spPr>
        <a:xfrm>
          <a:off x="5082758" y="4258235"/>
          <a:ext cx="0" cy="96426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20</xdr:col>
      <xdr:colOff>145340</xdr:colOff>
      <xdr:row>18</xdr:row>
      <xdr:rowOff>279</xdr:rowOff>
    </xdr:from>
    <xdr:to>
      <xdr:col>23</xdr:col>
      <xdr:colOff>56028</xdr:colOff>
      <xdr:row>18</xdr:row>
      <xdr:rowOff>224116</xdr:rowOff>
    </xdr:to>
    <xdr:sp macro="" textlink="">
      <xdr:nvSpPr>
        <xdr:cNvPr id="144" name="テキスト ボックス 143">
          <a:extLst>
            <a:ext uri="{FF2B5EF4-FFF2-40B4-BE49-F238E27FC236}">
              <a16:creationId xmlns:a16="http://schemas.microsoft.com/office/drawing/2014/main" id="{C4760F05-F6A8-AB15-3070-F03E9E873BE1}"/>
            </a:ext>
          </a:extLst>
        </xdr:cNvPr>
        <xdr:cNvSpPr txBox="1"/>
      </xdr:nvSpPr>
      <xdr:spPr>
        <a:xfrm>
          <a:off x="4627693" y="4325189"/>
          <a:ext cx="583041" cy="2243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3.72m</a:t>
          </a:r>
          <a:endParaRPr kumimoji="1" lang="ja-JP" altLang="en-US" sz="1100"/>
        </a:p>
      </xdr:txBody>
    </xdr:sp>
    <xdr:clientData/>
  </xdr:twoCellAnchor>
  <xdr:twoCellAnchor>
    <xdr:from>
      <xdr:col>22</xdr:col>
      <xdr:colOff>178001</xdr:colOff>
      <xdr:row>55</xdr:row>
      <xdr:rowOff>43961</xdr:rowOff>
    </xdr:from>
    <xdr:to>
      <xdr:col>22</xdr:col>
      <xdr:colOff>178001</xdr:colOff>
      <xdr:row>59</xdr:row>
      <xdr:rowOff>78442</xdr:rowOff>
    </xdr:to>
    <xdr:cxnSp macro="">
      <xdr:nvCxnSpPr>
        <xdr:cNvPr id="146" name="直線矢印コネクタ 145">
          <a:extLst>
            <a:ext uri="{FF2B5EF4-FFF2-40B4-BE49-F238E27FC236}">
              <a16:creationId xmlns:a16="http://schemas.microsoft.com/office/drawing/2014/main" id="{9D567041-A25E-DB12-3010-C1D7B618A7B0}"/>
            </a:ext>
          </a:extLst>
        </xdr:cNvPr>
        <xdr:cNvCxnSpPr/>
      </xdr:nvCxnSpPr>
      <xdr:spPr>
        <a:xfrm>
          <a:off x="5108589" y="14297843"/>
          <a:ext cx="0" cy="97577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20</xdr:col>
      <xdr:colOff>155429</xdr:colOff>
      <xdr:row>52</xdr:row>
      <xdr:rowOff>116403</xdr:rowOff>
    </xdr:from>
    <xdr:to>
      <xdr:col>23</xdr:col>
      <xdr:colOff>87966</xdr:colOff>
      <xdr:row>53</xdr:row>
      <xdr:rowOff>116530</xdr:rowOff>
    </xdr:to>
    <xdr:sp macro="" textlink="">
      <xdr:nvSpPr>
        <xdr:cNvPr id="149" name="テキスト ボックス 148">
          <a:extLst>
            <a:ext uri="{FF2B5EF4-FFF2-40B4-BE49-F238E27FC236}">
              <a16:creationId xmlns:a16="http://schemas.microsoft.com/office/drawing/2014/main" id="{FA3FE613-37A2-6D54-6396-9BA2B9838885}"/>
            </a:ext>
          </a:extLst>
        </xdr:cNvPr>
        <xdr:cNvSpPr txBox="1"/>
      </xdr:nvSpPr>
      <xdr:spPr>
        <a:xfrm>
          <a:off x="4637782" y="12487697"/>
          <a:ext cx="604890" cy="235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3.72m</a:t>
          </a:r>
          <a:endParaRPr kumimoji="1" lang="ja-JP" altLang="en-US" sz="1100"/>
        </a:p>
      </xdr:txBody>
    </xdr:sp>
    <xdr:clientData/>
  </xdr:twoCellAnchor>
  <xdr:twoCellAnchor>
    <xdr:from>
      <xdr:col>22</xdr:col>
      <xdr:colOff>190500</xdr:colOff>
      <xdr:row>48</xdr:row>
      <xdr:rowOff>157655</xdr:rowOff>
    </xdr:from>
    <xdr:to>
      <xdr:col>22</xdr:col>
      <xdr:colOff>190500</xdr:colOff>
      <xdr:row>49</xdr:row>
      <xdr:rowOff>109445</xdr:rowOff>
    </xdr:to>
    <xdr:cxnSp macro="">
      <xdr:nvCxnSpPr>
        <xdr:cNvPr id="150" name="直線矢印コネクタ 149">
          <a:extLst>
            <a:ext uri="{FF2B5EF4-FFF2-40B4-BE49-F238E27FC236}">
              <a16:creationId xmlns:a16="http://schemas.microsoft.com/office/drawing/2014/main" id="{1F60C896-2704-BE8B-BD47-14FA2F0FD6F8}"/>
            </a:ext>
          </a:extLst>
        </xdr:cNvPr>
        <xdr:cNvCxnSpPr/>
      </xdr:nvCxnSpPr>
      <xdr:spPr>
        <a:xfrm>
          <a:off x="5219700" y="12892580"/>
          <a:ext cx="0" cy="18991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20</xdr:col>
      <xdr:colOff>152401</xdr:colOff>
      <xdr:row>48</xdr:row>
      <xdr:rowOff>110469</xdr:rowOff>
    </xdr:from>
    <xdr:to>
      <xdr:col>23</xdr:col>
      <xdr:colOff>25622</xdr:colOff>
      <xdr:row>49</xdr:row>
      <xdr:rowOff>140267</xdr:rowOff>
    </xdr:to>
    <xdr:sp macro="" textlink="">
      <xdr:nvSpPr>
        <xdr:cNvPr id="152" name="テキスト ボックス 151">
          <a:extLst>
            <a:ext uri="{FF2B5EF4-FFF2-40B4-BE49-F238E27FC236}">
              <a16:creationId xmlns:a16="http://schemas.microsoft.com/office/drawing/2014/main" id="{3976DF4C-69DF-7A62-5C68-8C4CA553485D}"/>
            </a:ext>
          </a:extLst>
        </xdr:cNvPr>
        <xdr:cNvSpPr txBox="1"/>
      </xdr:nvSpPr>
      <xdr:spPr>
        <a:xfrm>
          <a:off x="4724401" y="11654769"/>
          <a:ext cx="559021" cy="267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0.83m</a:t>
          </a:r>
          <a:endParaRPr kumimoji="1" lang="ja-JP" altLang="en-US" sz="1100"/>
        </a:p>
      </xdr:txBody>
    </xdr:sp>
    <xdr:clientData/>
  </xdr:twoCellAnchor>
  <xdr:twoCellAnchor>
    <xdr:from>
      <xdr:col>22</xdr:col>
      <xdr:colOff>157843</xdr:colOff>
      <xdr:row>48</xdr:row>
      <xdr:rowOff>161072</xdr:rowOff>
    </xdr:from>
    <xdr:to>
      <xdr:col>23</xdr:col>
      <xdr:colOff>219075</xdr:colOff>
      <xdr:row>48</xdr:row>
      <xdr:rowOff>161072</xdr:rowOff>
    </xdr:to>
    <xdr:cxnSp macro="">
      <xdr:nvCxnSpPr>
        <xdr:cNvPr id="153" name="直線コネクタ 152">
          <a:extLst>
            <a:ext uri="{FF2B5EF4-FFF2-40B4-BE49-F238E27FC236}">
              <a16:creationId xmlns:a16="http://schemas.microsoft.com/office/drawing/2014/main" id="{2316DDAB-A6CB-1860-3D34-D23D1DB80C18}"/>
            </a:ext>
          </a:extLst>
        </xdr:cNvPr>
        <xdr:cNvCxnSpPr/>
      </xdr:nvCxnSpPr>
      <xdr:spPr>
        <a:xfrm>
          <a:off x="5187043" y="12895997"/>
          <a:ext cx="289832"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22</xdr:col>
      <xdr:colOff>148318</xdr:colOff>
      <xdr:row>49</xdr:row>
      <xdr:rowOff>94397</xdr:rowOff>
    </xdr:from>
    <xdr:to>
      <xdr:col>24</xdr:col>
      <xdr:colOff>0</xdr:colOff>
      <xdr:row>49</xdr:row>
      <xdr:rowOff>94397</xdr:rowOff>
    </xdr:to>
    <xdr:cxnSp macro="">
      <xdr:nvCxnSpPr>
        <xdr:cNvPr id="37" name="直線コネクタ 36">
          <a:extLst>
            <a:ext uri="{FF2B5EF4-FFF2-40B4-BE49-F238E27FC236}">
              <a16:creationId xmlns:a16="http://schemas.microsoft.com/office/drawing/2014/main" id="{98A7045A-6DC6-50DD-5592-35E617DB7491}"/>
            </a:ext>
          </a:extLst>
        </xdr:cNvPr>
        <xdr:cNvCxnSpPr/>
      </xdr:nvCxnSpPr>
      <xdr:spPr>
        <a:xfrm>
          <a:off x="5177518" y="13067447"/>
          <a:ext cx="308882"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22</xdr:col>
      <xdr:colOff>187544</xdr:colOff>
      <xdr:row>49</xdr:row>
      <xdr:rowOff>86710</xdr:rowOff>
    </xdr:from>
    <xdr:to>
      <xdr:col>22</xdr:col>
      <xdr:colOff>187544</xdr:colOff>
      <xdr:row>50</xdr:row>
      <xdr:rowOff>85468</xdr:rowOff>
    </xdr:to>
    <xdr:cxnSp macro="">
      <xdr:nvCxnSpPr>
        <xdr:cNvPr id="38" name="直線矢印コネクタ 37">
          <a:extLst>
            <a:ext uri="{FF2B5EF4-FFF2-40B4-BE49-F238E27FC236}">
              <a16:creationId xmlns:a16="http://schemas.microsoft.com/office/drawing/2014/main" id="{083FB3A4-DFD3-4A1F-A15E-FCFE84B2C127}"/>
            </a:ext>
          </a:extLst>
        </xdr:cNvPr>
        <xdr:cNvCxnSpPr/>
      </xdr:nvCxnSpPr>
      <xdr:spPr>
        <a:xfrm>
          <a:off x="5216744" y="13059760"/>
          <a:ext cx="0" cy="23688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157843</xdr:colOff>
      <xdr:row>50</xdr:row>
      <xdr:rowOff>75347</xdr:rowOff>
    </xdr:from>
    <xdr:to>
      <xdr:col>24</xdr:col>
      <xdr:colOff>0</xdr:colOff>
      <xdr:row>50</xdr:row>
      <xdr:rowOff>75347</xdr:rowOff>
    </xdr:to>
    <xdr:cxnSp macro="">
      <xdr:nvCxnSpPr>
        <xdr:cNvPr id="39" name="直線コネクタ 38">
          <a:extLst>
            <a:ext uri="{FF2B5EF4-FFF2-40B4-BE49-F238E27FC236}">
              <a16:creationId xmlns:a16="http://schemas.microsoft.com/office/drawing/2014/main" id="{A55D0556-B19F-452B-AAE3-27E4524F53A5}"/>
            </a:ext>
          </a:extLst>
        </xdr:cNvPr>
        <xdr:cNvCxnSpPr/>
      </xdr:nvCxnSpPr>
      <xdr:spPr>
        <a:xfrm>
          <a:off x="5187043" y="13286522"/>
          <a:ext cx="29935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absolute">
    <xdr:from>
      <xdr:col>20</xdr:col>
      <xdr:colOff>167195</xdr:colOff>
      <xdr:row>49</xdr:row>
      <xdr:rowOff>81794</xdr:rowOff>
    </xdr:from>
    <xdr:to>
      <xdr:col>23</xdr:col>
      <xdr:colOff>95250</xdr:colOff>
      <xdr:row>50</xdr:row>
      <xdr:rowOff>81922</xdr:rowOff>
    </xdr:to>
    <xdr:sp macro="" textlink="">
      <xdr:nvSpPr>
        <xdr:cNvPr id="40" name="テキスト ボックス 39">
          <a:extLst>
            <a:ext uri="{FF2B5EF4-FFF2-40B4-BE49-F238E27FC236}">
              <a16:creationId xmlns:a16="http://schemas.microsoft.com/office/drawing/2014/main" id="{48E60651-FE2D-357A-9D87-070E13B2D0DF}"/>
            </a:ext>
          </a:extLst>
        </xdr:cNvPr>
        <xdr:cNvSpPr txBox="1"/>
      </xdr:nvSpPr>
      <xdr:spPr>
        <a:xfrm>
          <a:off x="4739195" y="11864219"/>
          <a:ext cx="613855" cy="238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1.00m</a:t>
          </a:r>
          <a:endParaRPr kumimoji="1" lang="ja-JP" altLang="en-US" sz="1100"/>
        </a:p>
      </xdr:txBody>
    </xdr:sp>
    <xdr:clientData/>
  </xdr:twoCellAnchor>
  <xdr:twoCellAnchor>
    <xdr:from>
      <xdr:col>31</xdr:col>
      <xdr:colOff>76200</xdr:colOff>
      <xdr:row>53</xdr:row>
      <xdr:rowOff>0</xdr:rowOff>
    </xdr:from>
    <xdr:to>
      <xdr:col>35</xdr:col>
      <xdr:colOff>0</xdr:colOff>
      <xdr:row>54</xdr:row>
      <xdr:rowOff>8671</xdr:rowOff>
    </xdr:to>
    <xdr:sp macro="" textlink="">
      <xdr:nvSpPr>
        <xdr:cNvPr id="47" name="テキスト ボックス 46">
          <a:extLst>
            <a:ext uri="{FF2B5EF4-FFF2-40B4-BE49-F238E27FC236}">
              <a16:creationId xmlns:a16="http://schemas.microsoft.com/office/drawing/2014/main" id="{5A9A2082-6468-4EB3-8E7F-1BCB7D48B697}"/>
            </a:ext>
          </a:extLst>
        </xdr:cNvPr>
        <xdr:cNvSpPr txBox="1"/>
      </xdr:nvSpPr>
      <xdr:spPr>
        <a:xfrm>
          <a:off x="7162800" y="13925550"/>
          <a:ext cx="838200" cy="246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a:t>
          </a:r>
          <a:r>
            <a:rPr kumimoji="1" lang="ja-JP" altLang="en-US" sz="1100"/>
            <a:t>層 </a:t>
          </a:r>
          <a:r>
            <a:rPr kumimoji="1" lang="en-US" altLang="ja-JP" sz="1100"/>
            <a:t>2.50m</a:t>
          </a:r>
          <a:endParaRPr kumimoji="1" lang="ja-JP" altLang="en-US" sz="1100"/>
        </a:p>
      </xdr:txBody>
    </xdr:sp>
    <xdr:clientData/>
  </xdr:twoCellAnchor>
  <xdr:twoCellAnchor>
    <xdr:from>
      <xdr:col>31</xdr:col>
      <xdr:colOff>90853</xdr:colOff>
      <xdr:row>55</xdr:row>
      <xdr:rowOff>222006</xdr:rowOff>
    </xdr:from>
    <xdr:to>
      <xdr:col>35</xdr:col>
      <xdr:colOff>9525</xdr:colOff>
      <xdr:row>56</xdr:row>
      <xdr:rowOff>230677</xdr:rowOff>
    </xdr:to>
    <xdr:sp macro="" textlink="">
      <xdr:nvSpPr>
        <xdr:cNvPr id="48" name="テキスト ボックス 47">
          <a:extLst>
            <a:ext uri="{FF2B5EF4-FFF2-40B4-BE49-F238E27FC236}">
              <a16:creationId xmlns:a16="http://schemas.microsoft.com/office/drawing/2014/main" id="{E6C3877C-ECFE-469A-B61D-FF80189D33C0}"/>
            </a:ext>
          </a:extLst>
        </xdr:cNvPr>
        <xdr:cNvSpPr txBox="1"/>
      </xdr:nvSpPr>
      <xdr:spPr>
        <a:xfrm>
          <a:off x="7177453" y="13433181"/>
          <a:ext cx="833072" cy="246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4'</a:t>
          </a:r>
          <a:r>
            <a:rPr kumimoji="1" lang="ja-JP" altLang="en-US" sz="1100"/>
            <a:t>層 </a:t>
          </a:r>
          <a:r>
            <a:rPr kumimoji="1" lang="en-US" altLang="ja-JP" sz="1100"/>
            <a:t>2.48m</a:t>
          </a:r>
          <a:endParaRPr kumimoji="1" lang="ja-JP" altLang="en-US" sz="1100"/>
        </a:p>
      </xdr:txBody>
    </xdr:sp>
    <xdr:clientData/>
  </xdr:twoCellAnchor>
  <xdr:twoCellAnchor>
    <xdr:from>
      <xdr:col>31</xdr:col>
      <xdr:colOff>204107</xdr:colOff>
      <xdr:row>58</xdr:row>
      <xdr:rowOff>5992</xdr:rowOff>
    </xdr:from>
    <xdr:to>
      <xdr:col>34</xdr:col>
      <xdr:colOff>168092</xdr:colOff>
      <xdr:row>58</xdr:row>
      <xdr:rowOff>5992</xdr:rowOff>
    </xdr:to>
    <xdr:cxnSp macro="">
      <xdr:nvCxnSpPr>
        <xdr:cNvPr id="49" name="直線コネクタ 48">
          <a:extLst>
            <a:ext uri="{FF2B5EF4-FFF2-40B4-BE49-F238E27FC236}">
              <a16:creationId xmlns:a16="http://schemas.microsoft.com/office/drawing/2014/main" id="{A00B5DB0-B2A4-BF10-407D-BB235EEC533A}"/>
            </a:ext>
          </a:extLst>
        </xdr:cNvPr>
        <xdr:cNvCxnSpPr/>
      </xdr:nvCxnSpPr>
      <xdr:spPr>
        <a:xfrm>
          <a:off x="7290707" y="15122167"/>
          <a:ext cx="649785"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34</xdr:col>
      <xdr:colOff>151667</xdr:colOff>
      <xdr:row>55</xdr:row>
      <xdr:rowOff>43961</xdr:rowOff>
    </xdr:from>
    <xdr:to>
      <xdr:col>34</xdr:col>
      <xdr:colOff>152400</xdr:colOff>
      <xdr:row>58</xdr:row>
      <xdr:rowOff>0</xdr:rowOff>
    </xdr:to>
    <xdr:cxnSp macro="">
      <xdr:nvCxnSpPr>
        <xdr:cNvPr id="57" name="直線矢印コネクタ 56">
          <a:extLst>
            <a:ext uri="{FF2B5EF4-FFF2-40B4-BE49-F238E27FC236}">
              <a16:creationId xmlns:a16="http://schemas.microsoft.com/office/drawing/2014/main" id="{374EA585-6090-A6B3-4ABB-5FC40574C743}"/>
            </a:ext>
          </a:extLst>
        </xdr:cNvPr>
        <xdr:cNvCxnSpPr/>
      </xdr:nvCxnSpPr>
      <xdr:spPr>
        <a:xfrm>
          <a:off x="7924067" y="14445761"/>
          <a:ext cx="733" cy="67041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67236</xdr:colOff>
      <xdr:row>91</xdr:row>
      <xdr:rowOff>49529</xdr:rowOff>
    </xdr:from>
    <xdr:to>
      <xdr:col>35</xdr:col>
      <xdr:colOff>42673</xdr:colOff>
      <xdr:row>91</xdr:row>
      <xdr:rowOff>49529</xdr:rowOff>
    </xdr:to>
    <xdr:cxnSp macro="">
      <xdr:nvCxnSpPr>
        <xdr:cNvPr id="126" name="直線コネクタ 125">
          <a:extLst>
            <a:ext uri="{FF2B5EF4-FFF2-40B4-BE49-F238E27FC236}">
              <a16:creationId xmlns:a16="http://schemas.microsoft.com/office/drawing/2014/main" id="{861BD9F8-67AC-1633-CAC1-A59E1A7A3046}"/>
            </a:ext>
          </a:extLst>
        </xdr:cNvPr>
        <xdr:cNvCxnSpPr/>
      </xdr:nvCxnSpPr>
      <xdr:spPr>
        <a:xfrm>
          <a:off x="6239436" y="22823804"/>
          <a:ext cx="180423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22412</xdr:colOff>
      <xdr:row>96</xdr:row>
      <xdr:rowOff>163936</xdr:rowOff>
    </xdr:from>
    <xdr:to>
      <xdr:col>27</xdr:col>
      <xdr:colOff>65763</xdr:colOff>
      <xdr:row>96</xdr:row>
      <xdr:rowOff>163936</xdr:rowOff>
    </xdr:to>
    <xdr:cxnSp macro="">
      <xdr:nvCxnSpPr>
        <xdr:cNvPr id="129" name="直線コネクタ 128">
          <a:extLst>
            <a:ext uri="{FF2B5EF4-FFF2-40B4-BE49-F238E27FC236}">
              <a16:creationId xmlns:a16="http://schemas.microsoft.com/office/drawing/2014/main" id="{43254F63-B799-6684-A9AF-E03D3DF84759}"/>
            </a:ext>
          </a:extLst>
        </xdr:cNvPr>
        <xdr:cNvCxnSpPr/>
      </xdr:nvCxnSpPr>
      <xdr:spPr>
        <a:xfrm>
          <a:off x="5051612" y="24185986"/>
          <a:ext cx="118635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164937</xdr:colOff>
      <xdr:row>96</xdr:row>
      <xdr:rowOff>171572</xdr:rowOff>
    </xdr:from>
    <xdr:to>
      <xdr:col>26</xdr:col>
      <xdr:colOff>33532</xdr:colOff>
      <xdr:row>97</xdr:row>
      <xdr:rowOff>18136</xdr:rowOff>
    </xdr:to>
    <xdr:cxnSp macro="">
      <xdr:nvCxnSpPr>
        <xdr:cNvPr id="130" name="直線コネクタ 129">
          <a:extLst>
            <a:ext uri="{FF2B5EF4-FFF2-40B4-BE49-F238E27FC236}">
              <a16:creationId xmlns:a16="http://schemas.microsoft.com/office/drawing/2014/main" id="{42B476F6-52BA-68C2-1BE7-C24F531D7FD2}"/>
            </a:ext>
          </a:extLst>
        </xdr:cNvPr>
        <xdr:cNvCxnSpPr/>
      </xdr:nvCxnSpPr>
      <xdr:spPr>
        <a:xfrm>
          <a:off x="5879937" y="24193622"/>
          <a:ext cx="97195" cy="1037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116211</xdr:colOff>
      <xdr:row>96</xdr:row>
      <xdr:rowOff>173416</xdr:rowOff>
    </xdr:from>
    <xdr:to>
      <xdr:col>25</xdr:col>
      <xdr:colOff>214814</xdr:colOff>
      <xdr:row>97</xdr:row>
      <xdr:rowOff>19980</xdr:rowOff>
    </xdr:to>
    <xdr:cxnSp macro="">
      <xdr:nvCxnSpPr>
        <xdr:cNvPr id="132" name="直線コネクタ 131">
          <a:extLst>
            <a:ext uri="{FF2B5EF4-FFF2-40B4-BE49-F238E27FC236}">
              <a16:creationId xmlns:a16="http://schemas.microsoft.com/office/drawing/2014/main" id="{20F34B47-9FFD-BF88-8188-C4F86A01475A}"/>
            </a:ext>
          </a:extLst>
        </xdr:cNvPr>
        <xdr:cNvCxnSpPr/>
      </xdr:nvCxnSpPr>
      <xdr:spPr>
        <a:xfrm>
          <a:off x="5831211" y="24195466"/>
          <a:ext cx="98603" cy="1037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117126</xdr:colOff>
      <xdr:row>96</xdr:row>
      <xdr:rowOff>230782</xdr:rowOff>
    </xdr:from>
    <xdr:to>
      <xdr:col>25</xdr:col>
      <xdr:colOff>150190</xdr:colOff>
      <xdr:row>97</xdr:row>
      <xdr:rowOff>2092</xdr:rowOff>
    </xdr:to>
    <xdr:cxnSp macro="">
      <xdr:nvCxnSpPr>
        <xdr:cNvPr id="135" name="直線コネクタ 134">
          <a:extLst>
            <a:ext uri="{FF2B5EF4-FFF2-40B4-BE49-F238E27FC236}">
              <a16:creationId xmlns:a16="http://schemas.microsoft.com/office/drawing/2014/main" id="{A5367367-BE37-F60F-3AF4-FA1C7E45C2F0}"/>
            </a:ext>
          </a:extLst>
        </xdr:cNvPr>
        <xdr:cNvCxnSpPr/>
      </xdr:nvCxnSpPr>
      <xdr:spPr>
        <a:xfrm flipH="1">
          <a:off x="5832126" y="24252832"/>
          <a:ext cx="33064" cy="2848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138818</xdr:colOff>
      <xdr:row>96</xdr:row>
      <xdr:rowOff>245739</xdr:rowOff>
    </xdr:from>
    <xdr:to>
      <xdr:col>25</xdr:col>
      <xdr:colOff>170474</xdr:colOff>
      <xdr:row>97</xdr:row>
      <xdr:rowOff>19290</xdr:rowOff>
    </xdr:to>
    <xdr:cxnSp macro="">
      <xdr:nvCxnSpPr>
        <xdr:cNvPr id="137" name="直線コネクタ 136">
          <a:extLst>
            <a:ext uri="{FF2B5EF4-FFF2-40B4-BE49-F238E27FC236}">
              <a16:creationId xmlns:a16="http://schemas.microsoft.com/office/drawing/2014/main" id="{78A460B8-2CF9-5598-6960-B6737221E4A5}"/>
            </a:ext>
          </a:extLst>
        </xdr:cNvPr>
        <xdr:cNvCxnSpPr/>
      </xdr:nvCxnSpPr>
      <xdr:spPr>
        <a:xfrm flipH="1">
          <a:off x="5853818" y="24267789"/>
          <a:ext cx="3165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19835</xdr:colOff>
      <xdr:row>96</xdr:row>
      <xdr:rowOff>179442</xdr:rowOff>
    </xdr:from>
    <xdr:to>
      <xdr:col>25</xdr:col>
      <xdr:colOff>108098</xdr:colOff>
      <xdr:row>97</xdr:row>
      <xdr:rowOff>26006</xdr:rowOff>
    </xdr:to>
    <xdr:cxnSp macro="">
      <xdr:nvCxnSpPr>
        <xdr:cNvPr id="138" name="直線コネクタ 137">
          <a:extLst>
            <a:ext uri="{FF2B5EF4-FFF2-40B4-BE49-F238E27FC236}">
              <a16:creationId xmlns:a16="http://schemas.microsoft.com/office/drawing/2014/main" id="{7D9A34EF-6C07-7C36-66A5-AC83596EFFE9}"/>
            </a:ext>
          </a:extLst>
        </xdr:cNvPr>
        <xdr:cNvCxnSpPr/>
      </xdr:nvCxnSpPr>
      <xdr:spPr>
        <a:xfrm>
          <a:off x="5734835" y="24201492"/>
          <a:ext cx="88263" cy="1037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201117</xdr:colOff>
      <xdr:row>96</xdr:row>
      <xdr:rowOff>181286</xdr:rowOff>
    </xdr:from>
    <xdr:to>
      <xdr:col>25</xdr:col>
      <xdr:colOff>63501</xdr:colOff>
      <xdr:row>97</xdr:row>
      <xdr:rowOff>27850</xdr:rowOff>
    </xdr:to>
    <xdr:cxnSp macro="">
      <xdr:nvCxnSpPr>
        <xdr:cNvPr id="141" name="直線コネクタ 140">
          <a:extLst>
            <a:ext uri="{FF2B5EF4-FFF2-40B4-BE49-F238E27FC236}">
              <a16:creationId xmlns:a16="http://schemas.microsoft.com/office/drawing/2014/main" id="{857A873C-8153-5B6F-32F0-02005AB2FB3D}"/>
            </a:ext>
          </a:extLst>
        </xdr:cNvPr>
        <xdr:cNvCxnSpPr/>
      </xdr:nvCxnSpPr>
      <xdr:spPr>
        <a:xfrm>
          <a:off x="5687517" y="24203336"/>
          <a:ext cx="90984" cy="1037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201153</xdr:colOff>
      <xdr:row>96</xdr:row>
      <xdr:rowOff>235850</xdr:rowOff>
    </xdr:from>
    <xdr:to>
      <xdr:col>25</xdr:col>
      <xdr:colOff>3279</xdr:colOff>
      <xdr:row>97</xdr:row>
      <xdr:rowOff>9962</xdr:rowOff>
    </xdr:to>
    <xdr:cxnSp macro="">
      <xdr:nvCxnSpPr>
        <xdr:cNvPr id="142" name="直線コネクタ 141">
          <a:extLst>
            <a:ext uri="{FF2B5EF4-FFF2-40B4-BE49-F238E27FC236}">
              <a16:creationId xmlns:a16="http://schemas.microsoft.com/office/drawing/2014/main" id="{D5206678-C965-84B1-5F0F-D57799A0CDF7}"/>
            </a:ext>
          </a:extLst>
        </xdr:cNvPr>
        <xdr:cNvCxnSpPr/>
      </xdr:nvCxnSpPr>
      <xdr:spPr>
        <a:xfrm flipH="1">
          <a:off x="5687553" y="24257900"/>
          <a:ext cx="30726" cy="312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221437</xdr:colOff>
      <xdr:row>96</xdr:row>
      <xdr:rowOff>253609</xdr:rowOff>
    </xdr:from>
    <xdr:to>
      <xdr:col>25</xdr:col>
      <xdr:colOff>23563</xdr:colOff>
      <xdr:row>97</xdr:row>
      <xdr:rowOff>27160</xdr:rowOff>
    </xdr:to>
    <xdr:cxnSp macro="">
      <xdr:nvCxnSpPr>
        <xdr:cNvPr id="143" name="直線コネクタ 142">
          <a:extLst>
            <a:ext uri="{FF2B5EF4-FFF2-40B4-BE49-F238E27FC236}">
              <a16:creationId xmlns:a16="http://schemas.microsoft.com/office/drawing/2014/main" id="{333CDB4A-E8AC-06D0-8024-2396BF0394A8}"/>
            </a:ext>
          </a:extLst>
        </xdr:cNvPr>
        <xdr:cNvCxnSpPr/>
      </xdr:nvCxnSpPr>
      <xdr:spPr>
        <a:xfrm flipH="1">
          <a:off x="5707837" y="24275659"/>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129280</xdr:colOff>
      <xdr:row>91</xdr:row>
      <xdr:rowOff>63348</xdr:rowOff>
    </xdr:from>
    <xdr:to>
      <xdr:col>30</xdr:col>
      <xdr:colOff>217995</xdr:colOff>
      <xdr:row>91</xdr:row>
      <xdr:rowOff>145986</xdr:rowOff>
    </xdr:to>
    <xdr:cxnSp macro="">
      <xdr:nvCxnSpPr>
        <xdr:cNvPr id="145" name="直線コネクタ 144">
          <a:extLst>
            <a:ext uri="{FF2B5EF4-FFF2-40B4-BE49-F238E27FC236}">
              <a16:creationId xmlns:a16="http://schemas.microsoft.com/office/drawing/2014/main" id="{EE18499D-3941-509B-3D48-BC11E9C6F35C}"/>
            </a:ext>
          </a:extLst>
        </xdr:cNvPr>
        <xdr:cNvCxnSpPr/>
      </xdr:nvCxnSpPr>
      <xdr:spPr>
        <a:xfrm>
          <a:off x="6987280" y="22837623"/>
          <a:ext cx="88715"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81962</xdr:colOff>
      <xdr:row>91</xdr:row>
      <xdr:rowOff>65192</xdr:rowOff>
    </xdr:from>
    <xdr:to>
      <xdr:col>30</xdr:col>
      <xdr:colOff>167956</xdr:colOff>
      <xdr:row>91</xdr:row>
      <xdr:rowOff>147830</xdr:rowOff>
    </xdr:to>
    <xdr:cxnSp macro="">
      <xdr:nvCxnSpPr>
        <xdr:cNvPr id="147" name="直線コネクタ 146">
          <a:extLst>
            <a:ext uri="{FF2B5EF4-FFF2-40B4-BE49-F238E27FC236}">
              <a16:creationId xmlns:a16="http://schemas.microsoft.com/office/drawing/2014/main" id="{F88A2EAE-650F-2745-CD5D-F90F95745AE4}"/>
            </a:ext>
          </a:extLst>
        </xdr:cNvPr>
        <xdr:cNvCxnSpPr/>
      </xdr:nvCxnSpPr>
      <xdr:spPr>
        <a:xfrm>
          <a:off x="6939962" y="22839467"/>
          <a:ext cx="8599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81998</xdr:colOff>
      <xdr:row>91</xdr:row>
      <xdr:rowOff>106024</xdr:rowOff>
    </xdr:from>
    <xdr:to>
      <xdr:col>30</xdr:col>
      <xdr:colOff>112724</xdr:colOff>
      <xdr:row>91</xdr:row>
      <xdr:rowOff>127225</xdr:rowOff>
    </xdr:to>
    <xdr:cxnSp macro="">
      <xdr:nvCxnSpPr>
        <xdr:cNvPr id="148" name="直線コネクタ 147">
          <a:extLst>
            <a:ext uri="{FF2B5EF4-FFF2-40B4-BE49-F238E27FC236}">
              <a16:creationId xmlns:a16="http://schemas.microsoft.com/office/drawing/2014/main" id="{C86446D6-8BAF-46FB-C41B-068323F7BF27}"/>
            </a:ext>
          </a:extLst>
        </xdr:cNvPr>
        <xdr:cNvCxnSpPr/>
      </xdr:nvCxnSpPr>
      <xdr:spPr>
        <a:xfrm flipH="1">
          <a:off x="6939998" y="22880299"/>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102282</xdr:colOff>
      <xdr:row>91</xdr:row>
      <xdr:rowOff>123222</xdr:rowOff>
    </xdr:from>
    <xdr:to>
      <xdr:col>30</xdr:col>
      <xdr:colOff>133008</xdr:colOff>
      <xdr:row>91</xdr:row>
      <xdr:rowOff>147145</xdr:rowOff>
    </xdr:to>
    <xdr:cxnSp macro="">
      <xdr:nvCxnSpPr>
        <xdr:cNvPr id="151" name="直線コネクタ 150">
          <a:extLst>
            <a:ext uri="{FF2B5EF4-FFF2-40B4-BE49-F238E27FC236}">
              <a16:creationId xmlns:a16="http://schemas.microsoft.com/office/drawing/2014/main" id="{A153A5B3-5167-BA97-BC6C-9972B87DAB47}"/>
            </a:ext>
          </a:extLst>
        </xdr:cNvPr>
        <xdr:cNvCxnSpPr/>
      </xdr:nvCxnSpPr>
      <xdr:spPr>
        <a:xfrm flipH="1">
          <a:off x="6960282" y="22897497"/>
          <a:ext cx="3072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49144</xdr:colOff>
      <xdr:row>91</xdr:row>
      <xdr:rowOff>58859</xdr:rowOff>
    </xdr:from>
    <xdr:to>
      <xdr:col>31</xdr:col>
      <xdr:colOff>134104</xdr:colOff>
      <xdr:row>91</xdr:row>
      <xdr:rowOff>141497</xdr:rowOff>
    </xdr:to>
    <xdr:cxnSp macro="">
      <xdr:nvCxnSpPr>
        <xdr:cNvPr id="154" name="直線コネクタ 153">
          <a:extLst>
            <a:ext uri="{FF2B5EF4-FFF2-40B4-BE49-F238E27FC236}">
              <a16:creationId xmlns:a16="http://schemas.microsoft.com/office/drawing/2014/main" id="{1B409975-0BBB-8FAF-9475-964D21E3BFF7}"/>
            </a:ext>
          </a:extLst>
        </xdr:cNvPr>
        <xdr:cNvCxnSpPr/>
      </xdr:nvCxnSpPr>
      <xdr:spPr>
        <a:xfrm>
          <a:off x="7135744" y="22833134"/>
          <a:ext cx="84960"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225944</xdr:colOff>
      <xdr:row>91</xdr:row>
      <xdr:rowOff>60703</xdr:rowOff>
    </xdr:from>
    <xdr:to>
      <xdr:col>31</xdr:col>
      <xdr:colOff>91268</xdr:colOff>
      <xdr:row>91</xdr:row>
      <xdr:rowOff>143341</xdr:rowOff>
    </xdr:to>
    <xdr:cxnSp macro="">
      <xdr:nvCxnSpPr>
        <xdr:cNvPr id="155" name="直線コネクタ 154">
          <a:extLst>
            <a:ext uri="{FF2B5EF4-FFF2-40B4-BE49-F238E27FC236}">
              <a16:creationId xmlns:a16="http://schemas.microsoft.com/office/drawing/2014/main" id="{4ED570A8-D9DC-06C5-C72F-5543680065BE}"/>
            </a:ext>
          </a:extLst>
        </xdr:cNvPr>
        <xdr:cNvCxnSpPr/>
      </xdr:nvCxnSpPr>
      <xdr:spPr>
        <a:xfrm>
          <a:off x="7083944" y="22834978"/>
          <a:ext cx="9392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225980</xdr:colOff>
      <xdr:row>91</xdr:row>
      <xdr:rowOff>101530</xdr:rowOff>
    </xdr:from>
    <xdr:to>
      <xdr:col>31</xdr:col>
      <xdr:colOff>32588</xdr:colOff>
      <xdr:row>91</xdr:row>
      <xdr:rowOff>132256</xdr:rowOff>
    </xdr:to>
    <xdr:cxnSp macro="">
      <xdr:nvCxnSpPr>
        <xdr:cNvPr id="156" name="直線コネクタ 155">
          <a:extLst>
            <a:ext uri="{FF2B5EF4-FFF2-40B4-BE49-F238E27FC236}">
              <a16:creationId xmlns:a16="http://schemas.microsoft.com/office/drawing/2014/main" id="{773FC165-099E-7AAE-EAC9-D41CB8EC607B}"/>
            </a:ext>
          </a:extLst>
        </xdr:cNvPr>
        <xdr:cNvCxnSpPr/>
      </xdr:nvCxnSpPr>
      <xdr:spPr>
        <a:xfrm flipH="1">
          <a:off x="7083980" y="22875805"/>
          <a:ext cx="35208"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17664</xdr:colOff>
      <xdr:row>91</xdr:row>
      <xdr:rowOff>118728</xdr:rowOff>
    </xdr:from>
    <xdr:to>
      <xdr:col>31</xdr:col>
      <xdr:colOff>52872</xdr:colOff>
      <xdr:row>91</xdr:row>
      <xdr:rowOff>142651</xdr:rowOff>
    </xdr:to>
    <xdr:cxnSp macro="">
      <xdr:nvCxnSpPr>
        <xdr:cNvPr id="157" name="直線コネクタ 156">
          <a:extLst>
            <a:ext uri="{FF2B5EF4-FFF2-40B4-BE49-F238E27FC236}">
              <a16:creationId xmlns:a16="http://schemas.microsoft.com/office/drawing/2014/main" id="{D45A9BC7-41F5-5723-C67E-640CD76DAEDD}"/>
            </a:ext>
          </a:extLst>
        </xdr:cNvPr>
        <xdr:cNvCxnSpPr/>
      </xdr:nvCxnSpPr>
      <xdr:spPr>
        <a:xfrm flipH="1">
          <a:off x="7104264" y="22893003"/>
          <a:ext cx="35208"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109257</xdr:colOff>
      <xdr:row>90</xdr:row>
      <xdr:rowOff>147082</xdr:rowOff>
    </xdr:from>
    <xdr:to>
      <xdr:col>29</xdr:col>
      <xdr:colOff>4149</xdr:colOff>
      <xdr:row>90</xdr:row>
      <xdr:rowOff>147082</xdr:rowOff>
    </xdr:to>
    <xdr:cxnSp macro="">
      <xdr:nvCxnSpPr>
        <xdr:cNvPr id="159" name="直線コネクタ 158">
          <a:extLst>
            <a:ext uri="{FF2B5EF4-FFF2-40B4-BE49-F238E27FC236}">
              <a16:creationId xmlns:a16="http://schemas.microsoft.com/office/drawing/2014/main" id="{3C99E4A3-FE2A-A14B-9587-1CE42DD39B0E}"/>
            </a:ext>
          </a:extLst>
        </xdr:cNvPr>
        <xdr:cNvCxnSpPr/>
      </xdr:nvCxnSpPr>
      <xdr:spPr>
        <a:xfrm>
          <a:off x="6281457" y="22664182"/>
          <a:ext cx="352092"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27</xdr:col>
      <xdr:colOff>94810</xdr:colOff>
      <xdr:row>91</xdr:row>
      <xdr:rowOff>57316</xdr:rowOff>
    </xdr:from>
    <xdr:to>
      <xdr:col>27</xdr:col>
      <xdr:colOff>94810</xdr:colOff>
      <xdr:row>100</xdr:row>
      <xdr:rowOff>156469</xdr:rowOff>
    </xdr:to>
    <xdr:cxnSp macro="">
      <xdr:nvCxnSpPr>
        <xdr:cNvPr id="161" name="直線コネクタ 160">
          <a:extLst>
            <a:ext uri="{FF2B5EF4-FFF2-40B4-BE49-F238E27FC236}">
              <a16:creationId xmlns:a16="http://schemas.microsoft.com/office/drawing/2014/main" id="{8272F247-9BB2-7D4E-DB4E-C2544E7BF880}"/>
            </a:ext>
          </a:extLst>
        </xdr:cNvPr>
        <xdr:cNvCxnSpPr/>
      </xdr:nvCxnSpPr>
      <xdr:spPr>
        <a:xfrm>
          <a:off x="6267010" y="22831591"/>
          <a:ext cx="0" cy="2356578"/>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31</xdr:col>
      <xdr:colOff>176893</xdr:colOff>
      <xdr:row>93</xdr:row>
      <xdr:rowOff>220849</xdr:rowOff>
    </xdr:from>
    <xdr:to>
      <xdr:col>34</xdr:col>
      <xdr:colOff>190503</xdr:colOff>
      <xdr:row>93</xdr:row>
      <xdr:rowOff>220849</xdr:rowOff>
    </xdr:to>
    <xdr:cxnSp macro="">
      <xdr:nvCxnSpPr>
        <xdr:cNvPr id="162" name="直線コネクタ 161">
          <a:extLst>
            <a:ext uri="{FF2B5EF4-FFF2-40B4-BE49-F238E27FC236}">
              <a16:creationId xmlns:a16="http://schemas.microsoft.com/office/drawing/2014/main" id="{D9365F9A-6E4C-5E86-1982-A17E2A2D40CE}"/>
            </a:ext>
          </a:extLst>
        </xdr:cNvPr>
        <xdr:cNvCxnSpPr/>
      </xdr:nvCxnSpPr>
      <xdr:spPr>
        <a:xfrm>
          <a:off x="7263493" y="23490424"/>
          <a:ext cx="699410"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163286</xdr:colOff>
      <xdr:row>92</xdr:row>
      <xdr:rowOff>45870</xdr:rowOff>
    </xdr:from>
    <xdr:to>
      <xdr:col>35</xdr:col>
      <xdr:colOff>33621</xdr:colOff>
      <xdr:row>92</xdr:row>
      <xdr:rowOff>45870</xdr:rowOff>
    </xdr:to>
    <xdr:cxnSp macro="">
      <xdr:nvCxnSpPr>
        <xdr:cNvPr id="163" name="直線コネクタ 162">
          <a:extLst>
            <a:ext uri="{FF2B5EF4-FFF2-40B4-BE49-F238E27FC236}">
              <a16:creationId xmlns:a16="http://schemas.microsoft.com/office/drawing/2014/main" id="{5DA2BF3F-DE46-A06B-FEBC-196256356AFB}"/>
            </a:ext>
          </a:extLst>
        </xdr:cNvPr>
        <xdr:cNvCxnSpPr/>
      </xdr:nvCxnSpPr>
      <xdr:spPr>
        <a:xfrm>
          <a:off x="7249886" y="23058270"/>
          <a:ext cx="784735"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9525</xdr:colOff>
      <xdr:row>96</xdr:row>
      <xdr:rowOff>191208</xdr:rowOff>
    </xdr:from>
    <xdr:to>
      <xdr:col>30</xdr:col>
      <xdr:colOff>171452</xdr:colOff>
      <xdr:row>100</xdr:row>
      <xdr:rowOff>152400</xdr:rowOff>
    </xdr:to>
    <xdr:cxnSp macro="">
      <xdr:nvCxnSpPr>
        <xdr:cNvPr id="165" name="直線コネクタ 164">
          <a:extLst>
            <a:ext uri="{FF2B5EF4-FFF2-40B4-BE49-F238E27FC236}">
              <a16:creationId xmlns:a16="http://schemas.microsoft.com/office/drawing/2014/main" id="{D8E1E81C-52B3-BD2A-9EF2-3DEF35DF8617}"/>
            </a:ext>
          </a:extLst>
        </xdr:cNvPr>
        <xdr:cNvCxnSpPr/>
      </xdr:nvCxnSpPr>
      <xdr:spPr>
        <a:xfrm flipH="1">
          <a:off x="5267325" y="24213258"/>
          <a:ext cx="1762127" cy="970842"/>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29</xdr:col>
      <xdr:colOff>9525</xdr:colOff>
      <xdr:row>93</xdr:row>
      <xdr:rowOff>238125</xdr:rowOff>
    </xdr:from>
    <xdr:to>
      <xdr:col>30</xdr:col>
      <xdr:colOff>180977</xdr:colOff>
      <xdr:row>96</xdr:row>
      <xdr:rowOff>188066</xdr:rowOff>
    </xdr:to>
    <xdr:cxnSp macro="">
      <xdr:nvCxnSpPr>
        <xdr:cNvPr id="166" name="直線コネクタ 165">
          <a:extLst>
            <a:ext uri="{FF2B5EF4-FFF2-40B4-BE49-F238E27FC236}">
              <a16:creationId xmlns:a16="http://schemas.microsoft.com/office/drawing/2014/main" id="{E2195AB7-C7C9-7AF8-C1CA-6F56E3DA7F8A}"/>
            </a:ext>
          </a:extLst>
        </xdr:cNvPr>
        <xdr:cNvCxnSpPr/>
      </xdr:nvCxnSpPr>
      <xdr:spPr>
        <a:xfrm flipH="1" flipV="1">
          <a:off x="6638925" y="23507700"/>
          <a:ext cx="400052" cy="702416"/>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editAs="absolute">
    <xdr:from>
      <xdr:col>31</xdr:col>
      <xdr:colOff>22412</xdr:colOff>
      <xdr:row>91</xdr:row>
      <xdr:rowOff>23431</xdr:rowOff>
    </xdr:from>
    <xdr:to>
      <xdr:col>35</xdr:col>
      <xdr:colOff>9524</xdr:colOff>
      <xdr:row>92</xdr:row>
      <xdr:rowOff>53228</xdr:rowOff>
    </xdr:to>
    <xdr:sp macro="" textlink="">
      <xdr:nvSpPr>
        <xdr:cNvPr id="167" name="テキスト ボックス 166">
          <a:extLst>
            <a:ext uri="{FF2B5EF4-FFF2-40B4-BE49-F238E27FC236}">
              <a16:creationId xmlns:a16="http://schemas.microsoft.com/office/drawing/2014/main" id="{28BCA3CD-963A-4F1B-10E5-1EFC18DC3971}"/>
            </a:ext>
          </a:extLst>
        </xdr:cNvPr>
        <xdr:cNvSpPr txBox="1"/>
      </xdr:nvSpPr>
      <xdr:spPr>
        <a:xfrm>
          <a:off x="7109012" y="21845206"/>
          <a:ext cx="901512" cy="26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 </a:t>
          </a:r>
          <a:r>
            <a:rPr kumimoji="1" lang="en-US" altLang="ja-JP" sz="1100"/>
            <a:t>1.00m</a:t>
          </a:r>
          <a:endParaRPr kumimoji="1" lang="ja-JP" altLang="en-US" sz="1100"/>
        </a:p>
      </xdr:txBody>
    </xdr:sp>
    <xdr:clientData/>
  </xdr:twoCellAnchor>
  <xdr:twoCellAnchor>
    <xdr:from>
      <xdr:col>24</xdr:col>
      <xdr:colOff>29138</xdr:colOff>
      <xdr:row>91</xdr:row>
      <xdr:rowOff>205485</xdr:rowOff>
    </xdr:from>
    <xdr:to>
      <xdr:col>26</xdr:col>
      <xdr:colOff>125921</xdr:colOff>
      <xdr:row>91</xdr:row>
      <xdr:rowOff>205485</xdr:rowOff>
    </xdr:to>
    <xdr:cxnSp macro="">
      <xdr:nvCxnSpPr>
        <xdr:cNvPr id="168" name="直線コネクタ 167">
          <a:extLst>
            <a:ext uri="{FF2B5EF4-FFF2-40B4-BE49-F238E27FC236}">
              <a16:creationId xmlns:a16="http://schemas.microsoft.com/office/drawing/2014/main" id="{681E5F6F-B69A-9DE9-DCBC-52E551B2CADE}"/>
            </a:ext>
          </a:extLst>
        </xdr:cNvPr>
        <xdr:cNvCxnSpPr/>
      </xdr:nvCxnSpPr>
      <xdr:spPr>
        <a:xfrm>
          <a:off x="5515538" y="22979760"/>
          <a:ext cx="55398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48188</xdr:colOff>
      <xdr:row>92</xdr:row>
      <xdr:rowOff>121972</xdr:rowOff>
    </xdr:from>
    <xdr:to>
      <xdr:col>26</xdr:col>
      <xdr:colOff>115895</xdr:colOff>
      <xdr:row>92</xdr:row>
      <xdr:rowOff>121972</xdr:rowOff>
    </xdr:to>
    <xdr:cxnSp macro="">
      <xdr:nvCxnSpPr>
        <xdr:cNvPr id="169" name="直線コネクタ 168">
          <a:extLst>
            <a:ext uri="{FF2B5EF4-FFF2-40B4-BE49-F238E27FC236}">
              <a16:creationId xmlns:a16="http://schemas.microsoft.com/office/drawing/2014/main" id="{E43A69A8-796E-AEBA-6210-873268D4AAB0}"/>
            </a:ext>
          </a:extLst>
        </xdr:cNvPr>
        <xdr:cNvCxnSpPr/>
      </xdr:nvCxnSpPr>
      <xdr:spPr>
        <a:xfrm>
          <a:off x="5534588" y="23134372"/>
          <a:ext cx="52490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123916</xdr:colOff>
      <xdr:row>91</xdr:row>
      <xdr:rowOff>207580</xdr:rowOff>
    </xdr:from>
    <xdr:to>
      <xdr:col>26</xdr:col>
      <xdr:colOff>123916</xdr:colOff>
      <xdr:row>92</xdr:row>
      <xdr:rowOff>122357</xdr:rowOff>
    </xdr:to>
    <xdr:cxnSp macro="">
      <xdr:nvCxnSpPr>
        <xdr:cNvPr id="170" name="直線コネクタ 169">
          <a:extLst>
            <a:ext uri="{FF2B5EF4-FFF2-40B4-BE49-F238E27FC236}">
              <a16:creationId xmlns:a16="http://schemas.microsoft.com/office/drawing/2014/main" id="{6290D778-F08C-CCFA-3320-409F4B7D2B52}"/>
            </a:ext>
          </a:extLst>
        </xdr:cNvPr>
        <xdr:cNvCxnSpPr/>
      </xdr:nvCxnSpPr>
      <xdr:spPr>
        <a:xfrm>
          <a:off x="6067516" y="22981855"/>
          <a:ext cx="0" cy="15290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151130</xdr:colOff>
      <xdr:row>91</xdr:row>
      <xdr:rowOff>200176</xdr:rowOff>
    </xdr:from>
    <xdr:to>
      <xdr:col>26</xdr:col>
      <xdr:colOff>151130</xdr:colOff>
      <xdr:row>92</xdr:row>
      <xdr:rowOff>136143</xdr:rowOff>
    </xdr:to>
    <xdr:cxnSp macro="">
      <xdr:nvCxnSpPr>
        <xdr:cNvPr id="171" name="直線コネクタ 170">
          <a:extLst>
            <a:ext uri="{FF2B5EF4-FFF2-40B4-BE49-F238E27FC236}">
              <a16:creationId xmlns:a16="http://schemas.microsoft.com/office/drawing/2014/main" id="{8819DF1F-2B4F-7DFC-86F6-0E4846D9CE78}"/>
            </a:ext>
          </a:extLst>
        </xdr:cNvPr>
        <xdr:cNvCxnSpPr/>
      </xdr:nvCxnSpPr>
      <xdr:spPr>
        <a:xfrm>
          <a:off x="6094730" y="22974451"/>
          <a:ext cx="0" cy="17409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65405</xdr:colOff>
      <xdr:row>91</xdr:row>
      <xdr:rowOff>200176</xdr:rowOff>
    </xdr:from>
    <xdr:to>
      <xdr:col>27</xdr:col>
      <xdr:colOff>65405</xdr:colOff>
      <xdr:row>92</xdr:row>
      <xdr:rowOff>136143</xdr:rowOff>
    </xdr:to>
    <xdr:cxnSp macro="">
      <xdr:nvCxnSpPr>
        <xdr:cNvPr id="172" name="直線コネクタ 171">
          <a:extLst>
            <a:ext uri="{FF2B5EF4-FFF2-40B4-BE49-F238E27FC236}">
              <a16:creationId xmlns:a16="http://schemas.microsoft.com/office/drawing/2014/main" id="{C27C4204-F422-6590-AA26-1DC3231A25B5}"/>
            </a:ext>
          </a:extLst>
        </xdr:cNvPr>
        <xdr:cNvCxnSpPr/>
      </xdr:nvCxnSpPr>
      <xdr:spPr>
        <a:xfrm>
          <a:off x="6237605" y="22974451"/>
          <a:ext cx="0" cy="17409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150060</xdr:colOff>
      <xdr:row>92</xdr:row>
      <xdr:rowOff>47696</xdr:rowOff>
    </xdr:from>
    <xdr:to>
      <xdr:col>27</xdr:col>
      <xdr:colOff>60934</xdr:colOff>
      <xdr:row>92</xdr:row>
      <xdr:rowOff>47696</xdr:rowOff>
    </xdr:to>
    <xdr:cxnSp macro="">
      <xdr:nvCxnSpPr>
        <xdr:cNvPr id="173" name="直線コネクタ 172">
          <a:extLst>
            <a:ext uri="{FF2B5EF4-FFF2-40B4-BE49-F238E27FC236}">
              <a16:creationId xmlns:a16="http://schemas.microsoft.com/office/drawing/2014/main" id="{E4A1C7CA-FFDE-27D5-56DF-E5790270F308}"/>
            </a:ext>
          </a:extLst>
        </xdr:cNvPr>
        <xdr:cNvCxnSpPr/>
      </xdr:nvCxnSpPr>
      <xdr:spPr>
        <a:xfrm>
          <a:off x="6093660" y="23060096"/>
          <a:ext cx="13947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31</xdr:col>
      <xdr:colOff>37682</xdr:colOff>
      <xdr:row>92</xdr:row>
      <xdr:rowOff>99632</xdr:rowOff>
    </xdr:from>
    <xdr:to>
      <xdr:col>35</xdr:col>
      <xdr:colOff>4481</xdr:colOff>
      <xdr:row>93</xdr:row>
      <xdr:rowOff>99711</xdr:rowOff>
    </xdr:to>
    <xdr:sp macro="" textlink="">
      <xdr:nvSpPr>
        <xdr:cNvPr id="174" name="テキスト ボックス 173">
          <a:extLst>
            <a:ext uri="{FF2B5EF4-FFF2-40B4-BE49-F238E27FC236}">
              <a16:creationId xmlns:a16="http://schemas.microsoft.com/office/drawing/2014/main" id="{6C7E79CC-85F1-9800-64E9-B4148402F55D}"/>
            </a:ext>
          </a:extLst>
        </xdr:cNvPr>
        <xdr:cNvSpPr txBox="1"/>
      </xdr:nvSpPr>
      <xdr:spPr>
        <a:xfrm>
          <a:off x="7124282" y="22159532"/>
          <a:ext cx="881199" cy="257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 </a:t>
          </a:r>
          <a:r>
            <a:rPr kumimoji="1" lang="en-US" altLang="ja-JP" sz="1100"/>
            <a:t>1.50m</a:t>
          </a:r>
          <a:endParaRPr kumimoji="1" lang="ja-JP" altLang="en-US" sz="1100"/>
        </a:p>
      </xdr:txBody>
    </xdr:sp>
    <xdr:clientData/>
  </xdr:twoCellAnchor>
  <xdr:twoCellAnchor>
    <xdr:from>
      <xdr:col>27</xdr:col>
      <xdr:colOff>26720</xdr:colOff>
      <xdr:row>99</xdr:row>
      <xdr:rowOff>20194</xdr:rowOff>
    </xdr:from>
    <xdr:to>
      <xdr:col>27</xdr:col>
      <xdr:colOff>153600</xdr:colOff>
      <xdr:row>99</xdr:row>
      <xdr:rowOff>149875</xdr:rowOff>
    </xdr:to>
    <xdr:sp macro="" textlink="">
      <xdr:nvSpPr>
        <xdr:cNvPr id="175" name="楕円 174">
          <a:extLst>
            <a:ext uri="{FF2B5EF4-FFF2-40B4-BE49-F238E27FC236}">
              <a16:creationId xmlns:a16="http://schemas.microsoft.com/office/drawing/2014/main" id="{FFCDF671-3F09-3C02-3A60-AC472F92AFCB}"/>
            </a:ext>
          </a:extLst>
        </xdr:cNvPr>
        <xdr:cNvSpPr/>
      </xdr:nvSpPr>
      <xdr:spPr>
        <a:xfrm>
          <a:off x="6198920" y="24794719"/>
          <a:ext cx="126880" cy="129681"/>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204107</xdr:colOff>
      <xdr:row>96</xdr:row>
      <xdr:rowOff>158392</xdr:rowOff>
    </xdr:from>
    <xdr:to>
      <xdr:col>34</xdr:col>
      <xdr:colOff>168092</xdr:colOff>
      <xdr:row>96</xdr:row>
      <xdr:rowOff>158392</xdr:rowOff>
    </xdr:to>
    <xdr:cxnSp macro="">
      <xdr:nvCxnSpPr>
        <xdr:cNvPr id="176" name="直線コネクタ 175">
          <a:extLst>
            <a:ext uri="{FF2B5EF4-FFF2-40B4-BE49-F238E27FC236}">
              <a16:creationId xmlns:a16="http://schemas.microsoft.com/office/drawing/2014/main" id="{09991CBB-A725-666C-C77A-8A0766610189}"/>
            </a:ext>
          </a:extLst>
        </xdr:cNvPr>
        <xdr:cNvCxnSpPr/>
      </xdr:nvCxnSpPr>
      <xdr:spPr>
        <a:xfrm>
          <a:off x="7290707" y="24180442"/>
          <a:ext cx="649785"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29</xdr:col>
      <xdr:colOff>10987</xdr:colOff>
      <xdr:row>90</xdr:row>
      <xdr:rowOff>148139</xdr:rowOff>
    </xdr:from>
    <xdr:to>
      <xdr:col>29</xdr:col>
      <xdr:colOff>10987</xdr:colOff>
      <xdr:row>94</xdr:row>
      <xdr:rowOff>9525</xdr:rowOff>
    </xdr:to>
    <xdr:cxnSp macro="">
      <xdr:nvCxnSpPr>
        <xdr:cNvPr id="177" name="直線コネクタ 176">
          <a:extLst>
            <a:ext uri="{FF2B5EF4-FFF2-40B4-BE49-F238E27FC236}">
              <a16:creationId xmlns:a16="http://schemas.microsoft.com/office/drawing/2014/main" id="{63D7563A-9116-BA13-06BF-B24A400FC65A}"/>
            </a:ext>
          </a:extLst>
        </xdr:cNvPr>
        <xdr:cNvCxnSpPr/>
      </xdr:nvCxnSpPr>
      <xdr:spPr>
        <a:xfrm>
          <a:off x="6640387" y="22665239"/>
          <a:ext cx="0" cy="871036"/>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27</xdr:col>
      <xdr:colOff>92790</xdr:colOff>
      <xdr:row>90</xdr:row>
      <xdr:rowOff>136933</xdr:rowOff>
    </xdr:from>
    <xdr:to>
      <xdr:col>27</xdr:col>
      <xdr:colOff>92790</xdr:colOff>
      <xdr:row>91</xdr:row>
      <xdr:rowOff>64437</xdr:rowOff>
    </xdr:to>
    <xdr:cxnSp macro="">
      <xdr:nvCxnSpPr>
        <xdr:cNvPr id="178" name="直線コネクタ 177">
          <a:extLst>
            <a:ext uri="{FF2B5EF4-FFF2-40B4-BE49-F238E27FC236}">
              <a16:creationId xmlns:a16="http://schemas.microsoft.com/office/drawing/2014/main" id="{DBE3EAD8-8E87-FC1B-A56C-CDB109474FB2}"/>
            </a:ext>
          </a:extLst>
        </xdr:cNvPr>
        <xdr:cNvCxnSpPr/>
      </xdr:nvCxnSpPr>
      <xdr:spPr>
        <a:xfrm>
          <a:off x="6264990" y="22654033"/>
          <a:ext cx="0" cy="184679"/>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9525</xdr:colOff>
      <xdr:row>100</xdr:row>
      <xdr:rowOff>151004</xdr:rowOff>
    </xdr:from>
    <xdr:to>
      <xdr:col>27</xdr:col>
      <xdr:colOff>114300</xdr:colOff>
      <xdr:row>100</xdr:row>
      <xdr:rowOff>151004</xdr:rowOff>
    </xdr:to>
    <xdr:cxnSp macro="">
      <xdr:nvCxnSpPr>
        <xdr:cNvPr id="179" name="直線コネクタ 178">
          <a:extLst>
            <a:ext uri="{FF2B5EF4-FFF2-40B4-BE49-F238E27FC236}">
              <a16:creationId xmlns:a16="http://schemas.microsoft.com/office/drawing/2014/main" id="{4D55BC3A-433F-3E19-2679-5B8694813363}"/>
            </a:ext>
          </a:extLst>
        </xdr:cNvPr>
        <xdr:cNvCxnSpPr/>
      </xdr:nvCxnSpPr>
      <xdr:spPr>
        <a:xfrm>
          <a:off x="5267325" y="25182704"/>
          <a:ext cx="1019175" cy="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34</xdr:col>
      <xdr:colOff>152400</xdr:colOff>
      <xdr:row>91</xdr:row>
      <xdr:rowOff>63062</xdr:rowOff>
    </xdr:from>
    <xdr:to>
      <xdr:col>34</xdr:col>
      <xdr:colOff>152400</xdr:colOff>
      <xdr:row>92</xdr:row>
      <xdr:rowOff>61820</xdr:rowOff>
    </xdr:to>
    <xdr:cxnSp macro="">
      <xdr:nvCxnSpPr>
        <xdr:cNvPr id="180" name="直線矢印コネクタ 179">
          <a:extLst>
            <a:ext uri="{FF2B5EF4-FFF2-40B4-BE49-F238E27FC236}">
              <a16:creationId xmlns:a16="http://schemas.microsoft.com/office/drawing/2014/main" id="{49F787C6-0FE1-5240-FB91-D980D4215614}"/>
            </a:ext>
          </a:extLst>
        </xdr:cNvPr>
        <xdr:cNvCxnSpPr/>
      </xdr:nvCxnSpPr>
      <xdr:spPr>
        <a:xfrm>
          <a:off x="7924800" y="22837337"/>
          <a:ext cx="0" cy="23688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152400</xdr:colOff>
      <xdr:row>92</xdr:row>
      <xdr:rowOff>84483</xdr:rowOff>
    </xdr:from>
    <xdr:to>
      <xdr:col>34</xdr:col>
      <xdr:colOff>152400</xdr:colOff>
      <xdr:row>93</xdr:row>
      <xdr:rowOff>177072</xdr:rowOff>
    </xdr:to>
    <xdr:cxnSp macro="">
      <xdr:nvCxnSpPr>
        <xdr:cNvPr id="181" name="直線矢印コネクタ 180">
          <a:extLst>
            <a:ext uri="{FF2B5EF4-FFF2-40B4-BE49-F238E27FC236}">
              <a16:creationId xmlns:a16="http://schemas.microsoft.com/office/drawing/2014/main" id="{F1743E3B-EE6E-9812-9F80-7835281632FC}"/>
            </a:ext>
          </a:extLst>
        </xdr:cNvPr>
        <xdr:cNvCxnSpPr/>
      </xdr:nvCxnSpPr>
      <xdr:spPr>
        <a:xfrm>
          <a:off x="7924800" y="23096883"/>
          <a:ext cx="0" cy="34976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152400</xdr:colOff>
      <xdr:row>93</xdr:row>
      <xdr:rowOff>238125</xdr:rowOff>
    </xdr:from>
    <xdr:to>
      <xdr:col>34</xdr:col>
      <xdr:colOff>152400</xdr:colOff>
      <xdr:row>96</xdr:row>
      <xdr:rowOff>180975</xdr:rowOff>
    </xdr:to>
    <xdr:cxnSp macro="">
      <xdr:nvCxnSpPr>
        <xdr:cNvPr id="182" name="直線矢印コネクタ 181">
          <a:extLst>
            <a:ext uri="{FF2B5EF4-FFF2-40B4-BE49-F238E27FC236}">
              <a16:creationId xmlns:a16="http://schemas.microsoft.com/office/drawing/2014/main" id="{B12DBDEB-A841-5D81-0BC2-77EFBC550DAA}"/>
            </a:ext>
          </a:extLst>
        </xdr:cNvPr>
        <xdr:cNvCxnSpPr/>
      </xdr:nvCxnSpPr>
      <xdr:spPr>
        <a:xfrm>
          <a:off x="7924800" y="23507700"/>
          <a:ext cx="0" cy="69532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65942</xdr:colOff>
      <xdr:row>96</xdr:row>
      <xdr:rowOff>177311</xdr:rowOff>
    </xdr:from>
    <xdr:to>
      <xdr:col>26</xdr:col>
      <xdr:colOff>65942</xdr:colOff>
      <xdr:row>98</xdr:row>
      <xdr:rowOff>85725</xdr:rowOff>
    </xdr:to>
    <xdr:cxnSp macro="">
      <xdr:nvCxnSpPr>
        <xdr:cNvPr id="183" name="直線矢印コネクタ 182">
          <a:extLst>
            <a:ext uri="{FF2B5EF4-FFF2-40B4-BE49-F238E27FC236}">
              <a16:creationId xmlns:a16="http://schemas.microsoft.com/office/drawing/2014/main" id="{331E019C-B9D7-5AFB-B082-4662923FC3DF}"/>
            </a:ext>
          </a:extLst>
        </xdr:cNvPr>
        <xdr:cNvCxnSpPr/>
      </xdr:nvCxnSpPr>
      <xdr:spPr>
        <a:xfrm>
          <a:off x="6009542" y="24199361"/>
          <a:ext cx="0" cy="42276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180975</xdr:colOff>
      <xdr:row>98</xdr:row>
      <xdr:rowOff>82192</xdr:rowOff>
    </xdr:from>
    <xdr:to>
      <xdr:col>26</xdr:col>
      <xdr:colOff>196667</xdr:colOff>
      <xdr:row>98</xdr:row>
      <xdr:rowOff>82192</xdr:rowOff>
    </xdr:to>
    <xdr:cxnSp macro="">
      <xdr:nvCxnSpPr>
        <xdr:cNvPr id="185" name="直線コネクタ 184">
          <a:extLst>
            <a:ext uri="{FF2B5EF4-FFF2-40B4-BE49-F238E27FC236}">
              <a16:creationId xmlns:a16="http://schemas.microsoft.com/office/drawing/2014/main" id="{D03F87D2-0BD5-B507-4D75-1056FBB81F49}"/>
            </a:ext>
          </a:extLst>
        </xdr:cNvPr>
        <xdr:cNvCxnSpPr/>
      </xdr:nvCxnSpPr>
      <xdr:spPr>
        <a:xfrm>
          <a:off x="5895975" y="24618592"/>
          <a:ext cx="244292"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22</xdr:col>
      <xdr:colOff>190500</xdr:colOff>
      <xdr:row>92</xdr:row>
      <xdr:rowOff>38100</xdr:rowOff>
    </xdr:from>
    <xdr:to>
      <xdr:col>22</xdr:col>
      <xdr:colOff>190500</xdr:colOff>
      <xdr:row>96</xdr:row>
      <xdr:rowOff>161925</xdr:rowOff>
    </xdr:to>
    <xdr:cxnSp macro="">
      <xdr:nvCxnSpPr>
        <xdr:cNvPr id="186" name="直線矢印コネクタ 185">
          <a:extLst>
            <a:ext uri="{FF2B5EF4-FFF2-40B4-BE49-F238E27FC236}">
              <a16:creationId xmlns:a16="http://schemas.microsoft.com/office/drawing/2014/main" id="{0C26E771-3571-74B8-C418-9864E1EDAEC7}"/>
            </a:ext>
          </a:extLst>
        </xdr:cNvPr>
        <xdr:cNvCxnSpPr/>
      </xdr:nvCxnSpPr>
      <xdr:spPr>
        <a:xfrm>
          <a:off x="5219700" y="23050500"/>
          <a:ext cx="0" cy="113347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20</xdr:col>
      <xdr:colOff>167195</xdr:colOff>
      <xdr:row>97</xdr:row>
      <xdr:rowOff>224669</xdr:rowOff>
    </xdr:from>
    <xdr:to>
      <xdr:col>23</xdr:col>
      <xdr:colOff>95250</xdr:colOff>
      <xdr:row>98</xdr:row>
      <xdr:rowOff>205747</xdr:rowOff>
    </xdr:to>
    <xdr:sp macro="" textlink="">
      <xdr:nvSpPr>
        <xdr:cNvPr id="187" name="テキスト ボックス 186">
          <a:extLst>
            <a:ext uri="{FF2B5EF4-FFF2-40B4-BE49-F238E27FC236}">
              <a16:creationId xmlns:a16="http://schemas.microsoft.com/office/drawing/2014/main" id="{8CAF6B38-8B94-EBAE-A71E-E2EE7BA07497}"/>
            </a:ext>
          </a:extLst>
        </xdr:cNvPr>
        <xdr:cNvSpPr txBox="1"/>
      </xdr:nvSpPr>
      <xdr:spPr>
        <a:xfrm>
          <a:off x="4739195" y="23551394"/>
          <a:ext cx="613855" cy="238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4.00m</a:t>
          </a:r>
          <a:endParaRPr kumimoji="1" lang="ja-JP" altLang="en-US" sz="1100"/>
        </a:p>
      </xdr:txBody>
    </xdr:sp>
    <xdr:clientData/>
  </xdr:twoCellAnchor>
  <xdr:twoCellAnchor>
    <xdr:from>
      <xdr:col>22</xdr:col>
      <xdr:colOff>178001</xdr:colOff>
      <xdr:row>96</xdr:row>
      <xdr:rowOff>177311</xdr:rowOff>
    </xdr:from>
    <xdr:to>
      <xdr:col>22</xdr:col>
      <xdr:colOff>178001</xdr:colOff>
      <xdr:row>100</xdr:row>
      <xdr:rowOff>154642</xdr:rowOff>
    </xdr:to>
    <xdr:cxnSp macro="">
      <xdr:nvCxnSpPr>
        <xdr:cNvPr id="188" name="直線矢印コネクタ 187">
          <a:extLst>
            <a:ext uri="{FF2B5EF4-FFF2-40B4-BE49-F238E27FC236}">
              <a16:creationId xmlns:a16="http://schemas.microsoft.com/office/drawing/2014/main" id="{CDD55538-80D8-8952-34AB-8B1A6AD97981}"/>
            </a:ext>
          </a:extLst>
        </xdr:cNvPr>
        <xdr:cNvCxnSpPr/>
      </xdr:nvCxnSpPr>
      <xdr:spPr>
        <a:xfrm>
          <a:off x="5207201" y="24199361"/>
          <a:ext cx="0" cy="98698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20</xdr:col>
      <xdr:colOff>155429</xdr:colOff>
      <xdr:row>101</xdr:row>
      <xdr:rowOff>215014</xdr:rowOff>
    </xdr:from>
    <xdr:to>
      <xdr:col>23</xdr:col>
      <xdr:colOff>87966</xdr:colOff>
      <xdr:row>102</xdr:row>
      <xdr:rowOff>196092</xdr:rowOff>
    </xdr:to>
    <xdr:sp macro="" textlink="">
      <xdr:nvSpPr>
        <xdr:cNvPr id="189" name="テキスト ボックス 188">
          <a:extLst>
            <a:ext uri="{FF2B5EF4-FFF2-40B4-BE49-F238E27FC236}">
              <a16:creationId xmlns:a16="http://schemas.microsoft.com/office/drawing/2014/main" id="{57A68267-6EF6-7510-CB01-4C0D31AD0D30}"/>
            </a:ext>
          </a:extLst>
        </xdr:cNvPr>
        <xdr:cNvSpPr txBox="1"/>
      </xdr:nvSpPr>
      <xdr:spPr>
        <a:xfrm>
          <a:off x="4727429" y="24532339"/>
          <a:ext cx="618337" cy="238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3.72m</a:t>
          </a:r>
          <a:endParaRPr kumimoji="1" lang="ja-JP" altLang="en-US" sz="1100"/>
        </a:p>
      </xdr:txBody>
    </xdr:sp>
    <xdr:clientData/>
  </xdr:twoCellAnchor>
  <xdr:twoCellAnchor>
    <xdr:from>
      <xdr:col>22</xdr:col>
      <xdr:colOff>190500</xdr:colOff>
      <xdr:row>90</xdr:row>
      <xdr:rowOff>129080</xdr:rowOff>
    </xdr:from>
    <xdr:to>
      <xdr:col>22</xdr:col>
      <xdr:colOff>190500</xdr:colOff>
      <xdr:row>91</xdr:row>
      <xdr:rowOff>61820</xdr:rowOff>
    </xdr:to>
    <xdr:cxnSp macro="">
      <xdr:nvCxnSpPr>
        <xdr:cNvPr id="190" name="直線矢印コネクタ 189">
          <a:extLst>
            <a:ext uri="{FF2B5EF4-FFF2-40B4-BE49-F238E27FC236}">
              <a16:creationId xmlns:a16="http://schemas.microsoft.com/office/drawing/2014/main" id="{FD9512A8-71B5-B59F-E548-6DBD767AC9D4}"/>
            </a:ext>
          </a:extLst>
        </xdr:cNvPr>
        <xdr:cNvCxnSpPr/>
      </xdr:nvCxnSpPr>
      <xdr:spPr>
        <a:xfrm>
          <a:off x="5219700" y="22646180"/>
          <a:ext cx="0" cy="18991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20</xdr:col>
      <xdr:colOff>152401</xdr:colOff>
      <xdr:row>90</xdr:row>
      <xdr:rowOff>62844</xdr:rowOff>
    </xdr:from>
    <xdr:to>
      <xdr:col>23</xdr:col>
      <xdr:colOff>25622</xdr:colOff>
      <xdr:row>91</xdr:row>
      <xdr:rowOff>73592</xdr:rowOff>
    </xdr:to>
    <xdr:sp macro="" textlink="">
      <xdr:nvSpPr>
        <xdr:cNvPr id="191" name="テキスト ボックス 190">
          <a:extLst>
            <a:ext uri="{FF2B5EF4-FFF2-40B4-BE49-F238E27FC236}">
              <a16:creationId xmlns:a16="http://schemas.microsoft.com/office/drawing/2014/main" id="{B7BE6DC8-3FAD-8BBC-1516-35313A224B9D}"/>
            </a:ext>
          </a:extLst>
        </xdr:cNvPr>
        <xdr:cNvSpPr txBox="1"/>
      </xdr:nvSpPr>
      <xdr:spPr>
        <a:xfrm>
          <a:off x="4724401" y="21627444"/>
          <a:ext cx="559021" cy="267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0.83m</a:t>
          </a:r>
          <a:endParaRPr kumimoji="1" lang="ja-JP" altLang="en-US" sz="1100"/>
        </a:p>
      </xdr:txBody>
    </xdr:sp>
    <xdr:clientData/>
  </xdr:twoCellAnchor>
  <xdr:twoCellAnchor>
    <xdr:from>
      <xdr:col>22</xdr:col>
      <xdr:colOff>157843</xdr:colOff>
      <xdr:row>90</xdr:row>
      <xdr:rowOff>132497</xdr:rowOff>
    </xdr:from>
    <xdr:to>
      <xdr:col>23</xdr:col>
      <xdr:colOff>219075</xdr:colOff>
      <xdr:row>90</xdr:row>
      <xdr:rowOff>132497</xdr:rowOff>
    </xdr:to>
    <xdr:cxnSp macro="">
      <xdr:nvCxnSpPr>
        <xdr:cNvPr id="320" name="直線コネクタ 319">
          <a:extLst>
            <a:ext uri="{FF2B5EF4-FFF2-40B4-BE49-F238E27FC236}">
              <a16:creationId xmlns:a16="http://schemas.microsoft.com/office/drawing/2014/main" id="{871428BD-4A3E-D604-C2D1-7813C920E254}"/>
            </a:ext>
          </a:extLst>
        </xdr:cNvPr>
        <xdr:cNvCxnSpPr/>
      </xdr:nvCxnSpPr>
      <xdr:spPr>
        <a:xfrm>
          <a:off x="5187043" y="22649597"/>
          <a:ext cx="289832"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22</xdr:col>
      <xdr:colOff>148318</xdr:colOff>
      <xdr:row>91</xdr:row>
      <xdr:rowOff>46772</xdr:rowOff>
    </xdr:from>
    <xdr:to>
      <xdr:col>24</xdr:col>
      <xdr:colOff>0</xdr:colOff>
      <xdr:row>91</xdr:row>
      <xdr:rowOff>46772</xdr:rowOff>
    </xdr:to>
    <xdr:cxnSp macro="">
      <xdr:nvCxnSpPr>
        <xdr:cNvPr id="339" name="直線コネクタ 338">
          <a:extLst>
            <a:ext uri="{FF2B5EF4-FFF2-40B4-BE49-F238E27FC236}">
              <a16:creationId xmlns:a16="http://schemas.microsoft.com/office/drawing/2014/main" id="{F1480FDB-B588-FFFD-A4F1-52F5B08AAB69}"/>
            </a:ext>
          </a:extLst>
        </xdr:cNvPr>
        <xdr:cNvCxnSpPr/>
      </xdr:nvCxnSpPr>
      <xdr:spPr>
        <a:xfrm>
          <a:off x="5177518" y="22821047"/>
          <a:ext cx="308882"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22</xdr:col>
      <xdr:colOff>187544</xdr:colOff>
      <xdr:row>91</xdr:row>
      <xdr:rowOff>39085</xdr:rowOff>
    </xdr:from>
    <xdr:to>
      <xdr:col>22</xdr:col>
      <xdr:colOff>187544</xdr:colOff>
      <xdr:row>92</xdr:row>
      <xdr:rowOff>37843</xdr:rowOff>
    </xdr:to>
    <xdr:cxnSp macro="">
      <xdr:nvCxnSpPr>
        <xdr:cNvPr id="340" name="直線矢印コネクタ 339">
          <a:extLst>
            <a:ext uri="{FF2B5EF4-FFF2-40B4-BE49-F238E27FC236}">
              <a16:creationId xmlns:a16="http://schemas.microsoft.com/office/drawing/2014/main" id="{5E5AED0A-4F42-9FEC-141D-1AD2E15A8B15}"/>
            </a:ext>
          </a:extLst>
        </xdr:cNvPr>
        <xdr:cNvCxnSpPr/>
      </xdr:nvCxnSpPr>
      <xdr:spPr>
        <a:xfrm>
          <a:off x="5216744" y="22813360"/>
          <a:ext cx="0" cy="23688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157843</xdr:colOff>
      <xdr:row>92</xdr:row>
      <xdr:rowOff>27722</xdr:rowOff>
    </xdr:from>
    <xdr:to>
      <xdr:col>24</xdr:col>
      <xdr:colOff>0</xdr:colOff>
      <xdr:row>92</xdr:row>
      <xdr:rowOff>27722</xdr:rowOff>
    </xdr:to>
    <xdr:cxnSp macro="">
      <xdr:nvCxnSpPr>
        <xdr:cNvPr id="341" name="直線コネクタ 340">
          <a:extLst>
            <a:ext uri="{FF2B5EF4-FFF2-40B4-BE49-F238E27FC236}">
              <a16:creationId xmlns:a16="http://schemas.microsoft.com/office/drawing/2014/main" id="{9BD2F8FB-EBED-282C-EED7-B6102B22DECA}"/>
            </a:ext>
          </a:extLst>
        </xdr:cNvPr>
        <xdr:cNvCxnSpPr/>
      </xdr:nvCxnSpPr>
      <xdr:spPr>
        <a:xfrm>
          <a:off x="5187043" y="23040122"/>
          <a:ext cx="29935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absolute">
    <xdr:from>
      <xdr:col>20</xdr:col>
      <xdr:colOff>167195</xdr:colOff>
      <xdr:row>91</xdr:row>
      <xdr:rowOff>15119</xdr:rowOff>
    </xdr:from>
    <xdr:to>
      <xdr:col>23</xdr:col>
      <xdr:colOff>95250</xdr:colOff>
      <xdr:row>92</xdr:row>
      <xdr:rowOff>15247</xdr:rowOff>
    </xdr:to>
    <xdr:sp macro="" textlink="">
      <xdr:nvSpPr>
        <xdr:cNvPr id="343" name="テキスト ボックス 342">
          <a:extLst>
            <a:ext uri="{FF2B5EF4-FFF2-40B4-BE49-F238E27FC236}">
              <a16:creationId xmlns:a16="http://schemas.microsoft.com/office/drawing/2014/main" id="{27997159-364A-DFA2-9453-2E3FA2AE9015}"/>
            </a:ext>
          </a:extLst>
        </xdr:cNvPr>
        <xdr:cNvSpPr txBox="1"/>
      </xdr:nvSpPr>
      <xdr:spPr>
        <a:xfrm>
          <a:off x="4739195" y="21836894"/>
          <a:ext cx="613855" cy="238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1.00m</a:t>
          </a:r>
          <a:endParaRPr kumimoji="1" lang="ja-JP" altLang="en-US" sz="1100"/>
        </a:p>
      </xdr:txBody>
    </xdr:sp>
    <xdr:clientData/>
  </xdr:twoCellAnchor>
  <xdr:twoCellAnchor>
    <xdr:from>
      <xdr:col>31</xdr:col>
      <xdr:colOff>76200</xdr:colOff>
      <xdr:row>94</xdr:row>
      <xdr:rowOff>152400</xdr:rowOff>
    </xdr:from>
    <xdr:to>
      <xdr:col>35</xdr:col>
      <xdr:colOff>0</xdr:colOff>
      <xdr:row>95</xdr:row>
      <xdr:rowOff>161071</xdr:rowOff>
    </xdr:to>
    <xdr:sp macro="" textlink="">
      <xdr:nvSpPr>
        <xdr:cNvPr id="351" name="テキスト ボックス 350">
          <a:extLst>
            <a:ext uri="{FF2B5EF4-FFF2-40B4-BE49-F238E27FC236}">
              <a16:creationId xmlns:a16="http://schemas.microsoft.com/office/drawing/2014/main" id="{5A54BD83-3DAB-829E-1D54-48CA405C273E}"/>
            </a:ext>
          </a:extLst>
        </xdr:cNvPr>
        <xdr:cNvSpPr txBox="1"/>
      </xdr:nvSpPr>
      <xdr:spPr>
        <a:xfrm>
          <a:off x="7162800" y="23679150"/>
          <a:ext cx="838200" cy="246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a:t>
          </a:r>
          <a:r>
            <a:rPr kumimoji="1" lang="ja-JP" altLang="en-US" sz="1100"/>
            <a:t>層 </a:t>
          </a:r>
          <a:r>
            <a:rPr kumimoji="1" lang="en-US" altLang="ja-JP" sz="1100"/>
            <a:t>2.50m</a:t>
          </a:r>
          <a:endParaRPr kumimoji="1" lang="ja-JP" altLang="en-US" sz="1100"/>
        </a:p>
      </xdr:txBody>
    </xdr:sp>
    <xdr:clientData/>
  </xdr:twoCellAnchor>
  <xdr:twoCellAnchor>
    <xdr:from>
      <xdr:col>31</xdr:col>
      <xdr:colOff>90853</xdr:colOff>
      <xdr:row>97</xdr:row>
      <xdr:rowOff>117231</xdr:rowOff>
    </xdr:from>
    <xdr:to>
      <xdr:col>35</xdr:col>
      <xdr:colOff>9525</xdr:colOff>
      <xdr:row>98</xdr:row>
      <xdr:rowOff>125902</xdr:rowOff>
    </xdr:to>
    <xdr:sp macro="" textlink="">
      <xdr:nvSpPr>
        <xdr:cNvPr id="353" name="テキスト ボックス 352">
          <a:extLst>
            <a:ext uri="{FF2B5EF4-FFF2-40B4-BE49-F238E27FC236}">
              <a16:creationId xmlns:a16="http://schemas.microsoft.com/office/drawing/2014/main" id="{F35605BA-201F-231F-3035-D102C1B3D7CA}"/>
            </a:ext>
          </a:extLst>
        </xdr:cNvPr>
        <xdr:cNvSpPr txBox="1"/>
      </xdr:nvSpPr>
      <xdr:spPr>
        <a:xfrm>
          <a:off x="7177453" y="23443956"/>
          <a:ext cx="833072" cy="265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4'</a:t>
          </a:r>
          <a:r>
            <a:rPr kumimoji="1" lang="ja-JP" altLang="en-US" sz="1100"/>
            <a:t>層 </a:t>
          </a:r>
          <a:r>
            <a:rPr kumimoji="1" lang="en-US" altLang="ja-JP" sz="1100"/>
            <a:t>2.48m</a:t>
          </a:r>
          <a:endParaRPr kumimoji="1" lang="ja-JP" altLang="en-US" sz="1100"/>
        </a:p>
      </xdr:txBody>
    </xdr:sp>
    <xdr:clientData/>
  </xdr:twoCellAnchor>
  <xdr:twoCellAnchor>
    <xdr:from>
      <xdr:col>31</xdr:col>
      <xdr:colOff>204107</xdr:colOff>
      <xdr:row>99</xdr:row>
      <xdr:rowOff>101242</xdr:rowOff>
    </xdr:from>
    <xdr:to>
      <xdr:col>34</xdr:col>
      <xdr:colOff>168092</xdr:colOff>
      <xdr:row>99</xdr:row>
      <xdr:rowOff>101242</xdr:rowOff>
    </xdr:to>
    <xdr:cxnSp macro="">
      <xdr:nvCxnSpPr>
        <xdr:cNvPr id="360" name="直線コネクタ 359">
          <a:extLst>
            <a:ext uri="{FF2B5EF4-FFF2-40B4-BE49-F238E27FC236}">
              <a16:creationId xmlns:a16="http://schemas.microsoft.com/office/drawing/2014/main" id="{74E2C920-C8D3-4EC3-8EFA-7F92BE420196}"/>
            </a:ext>
          </a:extLst>
        </xdr:cNvPr>
        <xdr:cNvCxnSpPr/>
      </xdr:nvCxnSpPr>
      <xdr:spPr>
        <a:xfrm>
          <a:off x="7290707" y="24875767"/>
          <a:ext cx="649785"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34</xdr:col>
      <xdr:colOff>151667</xdr:colOff>
      <xdr:row>96</xdr:row>
      <xdr:rowOff>177311</xdr:rowOff>
    </xdr:from>
    <xdr:to>
      <xdr:col>34</xdr:col>
      <xdr:colOff>152400</xdr:colOff>
      <xdr:row>99</xdr:row>
      <xdr:rowOff>95250</xdr:rowOff>
    </xdr:to>
    <xdr:cxnSp macro="">
      <xdr:nvCxnSpPr>
        <xdr:cNvPr id="361" name="直線矢印コネクタ 360">
          <a:extLst>
            <a:ext uri="{FF2B5EF4-FFF2-40B4-BE49-F238E27FC236}">
              <a16:creationId xmlns:a16="http://schemas.microsoft.com/office/drawing/2014/main" id="{236E903D-FAA9-37CA-1F14-BCA98FE85A46}"/>
            </a:ext>
          </a:extLst>
        </xdr:cNvPr>
        <xdr:cNvCxnSpPr/>
      </xdr:nvCxnSpPr>
      <xdr:spPr>
        <a:xfrm>
          <a:off x="7924067" y="24199361"/>
          <a:ext cx="733" cy="67041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23</xdr:col>
      <xdr:colOff>220274</xdr:colOff>
      <xdr:row>113</xdr:row>
      <xdr:rowOff>98519</xdr:rowOff>
    </xdr:from>
    <xdr:to>
      <xdr:col>26</xdr:col>
      <xdr:colOff>99472</xdr:colOff>
      <xdr:row>114</xdr:row>
      <xdr:rowOff>112582</xdr:rowOff>
    </xdr:to>
    <xdr:sp macro="" textlink="">
      <xdr:nvSpPr>
        <xdr:cNvPr id="164" name="テキスト ボックス 163">
          <a:extLst>
            <a:ext uri="{FF2B5EF4-FFF2-40B4-BE49-F238E27FC236}">
              <a16:creationId xmlns:a16="http://schemas.microsoft.com/office/drawing/2014/main" id="{046BA13E-6082-4514-933C-D250E3A5116E}"/>
            </a:ext>
          </a:extLst>
        </xdr:cNvPr>
        <xdr:cNvSpPr txBox="1"/>
      </xdr:nvSpPr>
      <xdr:spPr>
        <a:xfrm>
          <a:off x="5478074" y="28263944"/>
          <a:ext cx="564998" cy="252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1.45m</a:t>
          </a:r>
          <a:endParaRPr kumimoji="1" lang="ja-JP" altLang="en-US" sz="1100"/>
        </a:p>
      </xdr:txBody>
    </xdr:sp>
    <xdr:clientData/>
  </xdr:twoCellAnchor>
  <xdr:twoCellAnchor>
    <xdr:from>
      <xdr:col>26</xdr:col>
      <xdr:colOff>83608</xdr:colOff>
      <xdr:row>108</xdr:row>
      <xdr:rowOff>10580</xdr:rowOff>
    </xdr:from>
    <xdr:to>
      <xdr:col>28</xdr:col>
      <xdr:colOff>25860</xdr:colOff>
      <xdr:row>109</xdr:row>
      <xdr:rowOff>2698</xdr:rowOff>
    </xdr:to>
    <xdr:sp macro="" textlink="">
      <xdr:nvSpPr>
        <xdr:cNvPr id="367" name="テキスト ボックス 366">
          <a:extLst>
            <a:ext uri="{FF2B5EF4-FFF2-40B4-BE49-F238E27FC236}">
              <a16:creationId xmlns:a16="http://schemas.microsoft.com/office/drawing/2014/main" id="{DE13984C-0BD1-40A4-AF58-7CB946AB5648}"/>
            </a:ext>
          </a:extLst>
        </xdr:cNvPr>
        <xdr:cNvSpPr txBox="1"/>
      </xdr:nvSpPr>
      <xdr:spPr>
        <a:xfrm>
          <a:off x="6027208" y="26966330"/>
          <a:ext cx="399452" cy="2492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a:t>
          </a:r>
          <a:endParaRPr kumimoji="1" lang="ja-JP" altLang="en-US" sz="1100">
            <a:solidFill>
              <a:srgbClr val="FF0000"/>
            </a:solidFill>
          </a:endParaRPr>
        </a:p>
      </xdr:txBody>
    </xdr:sp>
    <xdr:clientData/>
  </xdr:twoCellAnchor>
  <xdr:twoCellAnchor>
    <xdr:from>
      <xdr:col>26</xdr:col>
      <xdr:colOff>70001</xdr:colOff>
      <xdr:row>115</xdr:row>
      <xdr:rowOff>144676</xdr:rowOff>
    </xdr:from>
    <xdr:to>
      <xdr:col>28</xdr:col>
      <xdr:colOff>8589</xdr:colOff>
      <xdr:row>116</xdr:row>
      <xdr:rowOff>151477</xdr:rowOff>
    </xdr:to>
    <xdr:sp macro="" textlink="">
      <xdr:nvSpPr>
        <xdr:cNvPr id="368" name="テキスト ボックス 367">
          <a:extLst>
            <a:ext uri="{FF2B5EF4-FFF2-40B4-BE49-F238E27FC236}">
              <a16:creationId xmlns:a16="http://schemas.microsoft.com/office/drawing/2014/main" id="{3FD916A6-1CA2-4A3D-AA17-1D653B026BF5}"/>
            </a:ext>
          </a:extLst>
        </xdr:cNvPr>
        <xdr:cNvSpPr txBox="1"/>
      </xdr:nvSpPr>
      <xdr:spPr>
        <a:xfrm>
          <a:off x="6013601" y="28786351"/>
          <a:ext cx="395788" cy="244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B</a:t>
          </a:r>
          <a:endParaRPr kumimoji="1" lang="ja-JP" altLang="en-US" sz="1100">
            <a:solidFill>
              <a:srgbClr val="FF0000"/>
            </a:solidFill>
          </a:endParaRPr>
        </a:p>
      </xdr:txBody>
    </xdr:sp>
    <xdr:clientData/>
  </xdr:twoCellAnchor>
  <xdr:twoCellAnchor>
    <xdr:from>
      <xdr:col>27</xdr:col>
      <xdr:colOff>67236</xdr:colOff>
      <xdr:row>107</xdr:row>
      <xdr:rowOff>40004</xdr:rowOff>
    </xdr:from>
    <xdr:to>
      <xdr:col>35</xdr:col>
      <xdr:colOff>42673</xdr:colOff>
      <xdr:row>107</xdr:row>
      <xdr:rowOff>40004</xdr:rowOff>
    </xdr:to>
    <xdr:cxnSp macro="">
      <xdr:nvCxnSpPr>
        <xdr:cNvPr id="370" name="直線コネクタ 369">
          <a:extLst>
            <a:ext uri="{FF2B5EF4-FFF2-40B4-BE49-F238E27FC236}">
              <a16:creationId xmlns:a16="http://schemas.microsoft.com/office/drawing/2014/main" id="{3F11D90F-C4E0-A225-AD30-636A253A6502}"/>
            </a:ext>
          </a:extLst>
        </xdr:cNvPr>
        <xdr:cNvCxnSpPr/>
      </xdr:nvCxnSpPr>
      <xdr:spPr>
        <a:xfrm>
          <a:off x="6239436" y="26757629"/>
          <a:ext cx="180423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22412</xdr:colOff>
      <xdr:row>112</xdr:row>
      <xdr:rowOff>192511</xdr:rowOff>
    </xdr:from>
    <xdr:to>
      <xdr:col>27</xdr:col>
      <xdr:colOff>65763</xdr:colOff>
      <xdr:row>112</xdr:row>
      <xdr:rowOff>192511</xdr:rowOff>
    </xdr:to>
    <xdr:cxnSp macro="">
      <xdr:nvCxnSpPr>
        <xdr:cNvPr id="371" name="直線コネクタ 370">
          <a:extLst>
            <a:ext uri="{FF2B5EF4-FFF2-40B4-BE49-F238E27FC236}">
              <a16:creationId xmlns:a16="http://schemas.microsoft.com/office/drawing/2014/main" id="{8E4F4E5A-64C1-CB83-5C36-6891EBA96486}"/>
            </a:ext>
          </a:extLst>
        </xdr:cNvPr>
        <xdr:cNvCxnSpPr/>
      </xdr:nvCxnSpPr>
      <xdr:spPr>
        <a:xfrm>
          <a:off x="5051612" y="28119811"/>
          <a:ext cx="118635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164937</xdr:colOff>
      <xdr:row>112</xdr:row>
      <xdr:rowOff>200147</xdr:rowOff>
    </xdr:from>
    <xdr:to>
      <xdr:col>26</xdr:col>
      <xdr:colOff>33532</xdr:colOff>
      <xdr:row>113</xdr:row>
      <xdr:rowOff>65761</xdr:rowOff>
    </xdr:to>
    <xdr:cxnSp macro="">
      <xdr:nvCxnSpPr>
        <xdr:cNvPr id="372" name="直線コネクタ 371">
          <a:extLst>
            <a:ext uri="{FF2B5EF4-FFF2-40B4-BE49-F238E27FC236}">
              <a16:creationId xmlns:a16="http://schemas.microsoft.com/office/drawing/2014/main" id="{8EEC8162-1E9E-27ED-F926-B1DAF10E96CC}"/>
            </a:ext>
          </a:extLst>
        </xdr:cNvPr>
        <xdr:cNvCxnSpPr/>
      </xdr:nvCxnSpPr>
      <xdr:spPr>
        <a:xfrm>
          <a:off x="5879937" y="28127447"/>
          <a:ext cx="97195" cy="1037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116211</xdr:colOff>
      <xdr:row>112</xdr:row>
      <xdr:rowOff>201991</xdr:rowOff>
    </xdr:from>
    <xdr:to>
      <xdr:col>25</xdr:col>
      <xdr:colOff>214814</xdr:colOff>
      <xdr:row>113</xdr:row>
      <xdr:rowOff>67605</xdr:rowOff>
    </xdr:to>
    <xdr:cxnSp macro="">
      <xdr:nvCxnSpPr>
        <xdr:cNvPr id="374" name="直線コネクタ 373">
          <a:extLst>
            <a:ext uri="{FF2B5EF4-FFF2-40B4-BE49-F238E27FC236}">
              <a16:creationId xmlns:a16="http://schemas.microsoft.com/office/drawing/2014/main" id="{5E4BA086-0888-17AF-D1F2-660C2849BC59}"/>
            </a:ext>
          </a:extLst>
        </xdr:cNvPr>
        <xdr:cNvCxnSpPr/>
      </xdr:nvCxnSpPr>
      <xdr:spPr>
        <a:xfrm>
          <a:off x="5831211" y="28129291"/>
          <a:ext cx="98603" cy="1037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117126</xdr:colOff>
      <xdr:row>113</xdr:row>
      <xdr:rowOff>21232</xdr:rowOff>
    </xdr:from>
    <xdr:to>
      <xdr:col>25</xdr:col>
      <xdr:colOff>150190</xdr:colOff>
      <xdr:row>113</xdr:row>
      <xdr:rowOff>49717</xdr:rowOff>
    </xdr:to>
    <xdr:cxnSp macro="">
      <xdr:nvCxnSpPr>
        <xdr:cNvPr id="375" name="直線コネクタ 374">
          <a:extLst>
            <a:ext uri="{FF2B5EF4-FFF2-40B4-BE49-F238E27FC236}">
              <a16:creationId xmlns:a16="http://schemas.microsoft.com/office/drawing/2014/main" id="{EEC8B828-F511-5903-DB36-C1D51A5F4519}"/>
            </a:ext>
          </a:extLst>
        </xdr:cNvPr>
        <xdr:cNvCxnSpPr/>
      </xdr:nvCxnSpPr>
      <xdr:spPr>
        <a:xfrm flipH="1">
          <a:off x="5832126" y="28186657"/>
          <a:ext cx="33064" cy="2848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138818</xdr:colOff>
      <xdr:row>113</xdr:row>
      <xdr:rowOff>36189</xdr:rowOff>
    </xdr:from>
    <xdr:to>
      <xdr:col>25</xdr:col>
      <xdr:colOff>170474</xdr:colOff>
      <xdr:row>113</xdr:row>
      <xdr:rowOff>66915</xdr:rowOff>
    </xdr:to>
    <xdr:cxnSp macro="">
      <xdr:nvCxnSpPr>
        <xdr:cNvPr id="376" name="直線コネクタ 375">
          <a:extLst>
            <a:ext uri="{FF2B5EF4-FFF2-40B4-BE49-F238E27FC236}">
              <a16:creationId xmlns:a16="http://schemas.microsoft.com/office/drawing/2014/main" id="{38F4EF1F-A39F-0183-368A-F0C4C44A36BF}"/>
            </a:ext>
          </a:extLst>
        </xdr:cNvPr>
        <xdr:cNvCxnSpPr/>
      </xdr:nvCxnSpPr>
      <xdr:spPr>
        <a:xfrm flipH="1">
          <a:off x="5853818" y="28201614"/>
          <a:ext cx="3165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19835</xdr:colOff>
      <xdr:row>112</xdr:row>
      <xdr:rowOff>208017</xdr:rowOff>
    </xdr:from>
    <xdr:to>
      <xdr:col>25</xdr:col>
      <xdr:colOff>108098</xdr:colOff>
      <xdr:row>113</xdr:row>
      <xdr:rowOff>73631</xdr:rowOff>
    </xdr:to>
    <xdr:cxnSp macro="">
      <xdr:nvCxnSpPr>
        <xdr:cNvPr id="377" name="直線コネクタ 376">
          <a:extLst>
            <a:ext uri="{FF2B5EF4-FFF2-40B4-BE49-F238E27FC236}">
              <a16:creationId xmlns:a16="http://schemas.microsoft.com/office/drawing/2014/main" id="{A1A9F0D1-E15D-1CAA-7469-E66576FB981D}"/>
            </a:ext>
          </a:extLst>
        </xdr:cNvPr>
        <xdr:cNvCxnSpPr/>
      </xdr:nvCxnSpPr>
      <xdr:spPr>
        <a:xfrm>
          <a:off x="5734835" y="28135317"/>
          <a:ext cx="88263" cy="1037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201117</xdr:colOff>
      <xdr:row>112</xdr:row>
      <xdr:rowOff>209861</xdr:rowOff>
    </xdr:from>
    <xdr:to>
      <xdr:col>25</xdr:col>
      <xdr:colOff>63501</xdr:colOff>
      <xdr:row>113</xdr:row>
      <xdr:rowOff>75475</xdr:rowOff>
    </xdr:to>
    <xdr:cxnSp macro="">
      <xdr:nvCxnSpPr>
        <xdr:cNvPr id="378" name="直線コネクタ 377">
          <a:extLst>
            <a:ext uri="{FF2B5EF4-FFF2-40B4-BE49-F238E27FC236}">
              <a16:creationId xmlns:a16="http://schemas.microsoft.com/office/drawing/2014/main" id="{418E0CF9-2C3C-DA59-6D9B-E02C0C0C08BE}"/>
            </a:ext>
          </a:extLst>
        </xdr:cNvPr>
        <xdr:cNvCxnSpPr/>
      </xdr:nvCxnSpPr>
      <xdr:spPr>
        <a:xfrm>
          <a:off x="5687517" y="28137161"/>
          <a:ext cx="90984" cy="10373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201153</xdr:colOff>
      <xdr:row>113</xdr:row>
      <xdr:rowOff>26300</xdr:rowOff>
    </xdr:from>
    <xdr:to>
      <xdr:col>25</xdr:col>
      <xdr:colOff>3279</xdr:colOff>
      <xdr:row>113</xdr:row>
      <xdr:rowOff>57587</xdr:rowOff>
    </xdr:to>
    <xdr:cxnSp macro="">
      <xdr:nvCxnSpPr>
        <xdr:cNvPr id="379" name="直線コネクタ 378">
          <a:extLst>
            <a:ext uri="{FF2B5EF4-FFF2-40B4-BE49-F238E27FC236}">
              <a16:creationId xmlns:a16="http://schemas.microsoft.com/office/drawing/2014/main" id="{CC6297B1-1458-71D9-1610-F32C12DC21A8}"/>
            </a:ext>
          </a:extLst>
        </xdr:cNvPr>
        <xdr:cNvCxnSpPr/>
      </xdr:nvCxnSpPr>
      <xdr:spPr>
        <a:xfrm flipH="1">
          <a:off x="5687553" y="28191725"/>
          <a:ext cx="30726" cy="312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221437</xdr:colOff>
      <xdr:row>113</xdr:row>
      <xdr:rowOff>44059</xdr:rowOff>
    </xdr:from>
    <xdr:to>
      <xdr:col>25</xdr:col>
      <xdr:colOff>23563</xdr:colOff>
      <xdr:row>113</xdr:row>
      <xdr:rowOff>74785</xdr:rowOff>
    </xdr:to>
    <xdr:cxnSp macro="">
      <xdr:nvCxnSpPr>
        <xdr:cNvPr id="380" name="直線コネクタ 379">
          <a:extLst>
            <a:ext uri="{FF2B5EF4-FFF2-40B4-BE49-F238E27FC236}">
              <a16:creationId xmlns:a16="http://schemas.microsoft.com/office/drawing/2014/main" id="{B2CF365E-43B2-2CC1-2CD5-B7CE031A4690}"/>
            </a:ext>
          </a:extLst>
        </xdr:cNvPr>
        <xdr:cNvCxnSpPr/>
      </xdr:nvCxnSpPr>
      <xdr:spPr>
        <a:xfrm flipH="1">
          <a:off x="5707837" y="28209484"/>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129280</xdr:colOff>
      <xdr:row>107</xdr:row>
      <xdr:rowOff>53823</xdr:rowOff>
    </xdr:from>
    <xdr:to>
      <xdr:col>30</xdr:col>
      <xdr:colOff>217995</xdr:colOff>
      <xdr:row>107</xdr:row>
      <xdr:rowOff>136461</xdr:rowOff>
    </xdr:to>
    <xdr:cxnSp macro="">
      <xdr:nvCxnSpPr>
        <xdr:cNvPr id="381" name="直線コネクタ 380">
          <a:extLst>
            <a:ext uri="{FF2B5EF4-FFF2-40B4-BE49-F238E27FC236}">
              <a16:creationId xmlns:a16="http://schemas.microsoft.com/office/drawing/2014/main" id="{745B3A9B-64DD-2BCF-98CA-56F69037AEBC}"/>
            </a:ext>
          </a:extLst>
        </xdr:cNvPr>
        <xdr:cNvCxnSpPr/>
      </xdr:nvCxnSpPr>
      <xdr:spPr>
        <a:xfrm>
          <a:off x="6987280" y="26771448"/>
          <a:ext cx="88715"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81962</xdr:colOff>
      <xdr:row>107</xdr:row>
      <xdr:rowOff>55667</xdr:rowOff>
    </xdr:from>
    <xdr:to>
      <xdr:col>30</xdr:col>
      <xdr:colOff>167956</xdr:colOff>
      <xdr:row>107</xdr:row>
      <xdr:rowOff>138305</xdr:rowOff>
    </xdr:to>
    <xdr:cxnSp macro="">
      <xdr:nvCxnSpPr>
        <xdr:cNvPr id="382" name="直線コネクタ 381">
          <a:extLst>
            <a:ext uri="{FF2B5EF4-FFF2-40B4-BE49-F238E27FC236}">
              <a16:creationId xmlns:a16="http://schemas.microsoft.com/office/drawing/2014/main" id="{9B89AEE1-9954-02BA-2316-3D7D812139DC}"/>
            </a:ext>
          </a:extLst>
        </xdr:cNvPr>
        <xdr:cNvCxnSpPr/>
      </xdr:nvCxnSpPr>
      <xdr:spPr>
        <a:xfrm>
          <a:off x="6939962" y="26773292"/>
          <a:ext cx="8599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81998</xdr:colOff>
      <xdr:row>107</xdr:row>
      <xdr:rowOff>96499</xdr:rowOff>
    </xdr:from>
    <xdr:to>
      <xdr:col>30</xdr:col>
      <xdr:colOff>112724</xdr:colOff>
      <xdr:row>107</xdr:row>
      <xdr:rowOff>117700</xdr:rowOff>
    </xdr:to>
    <xdr:cxnSp macro="">
      <xdr:nvCxnSpPr>
        <xdr:cNvPr id="383" name="直線コネクタ 382">
          <a:extLst>
            <a:ext uri="{FF2B5EF4-FFF2-40B4-BE49-F238E27FC236}">
              <a16:creationId xmlns:a16="http://schemas.microsoft.com/office/drawing/2014/main" id="{07E95908-7233-B7AA-F3EC-415F78B18D27}"/>
            </a:ext>
          </a:extLst>
        </xdr:cNvPr>
        <xdr:cNvCxnSpPr/>
      </xdr:nvCxnSpPr>
      <xdr:spPr>
        <a:xfrm flipH="1">
          <a:off x="6939998" y="26814124"/>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102282</xdr:colOff>
      <xdr:row>107</xdr:row>
      <xdr:rowOff>113697</xdr:rowOff>
    </xdr:from>
    <xdr:to>
      <xdr:col>30</xdr:col>
      <xdr:colOff>133008</xdr:colOff>
      <xdr:row>107</xdr:row>
      <xdr:rowOff>137620</xdr:rowOff>
    </xdr:to>
    <xdr:cxnSp macro="">
      <xdr:nvCxnSpPr>
        <xdr:cNvPr id="384" name="直線コネクタ 383">
          <a:extLst>
            <a:ext uri="{FF2B5EF4-FFF2-40B4-BE49-F238E27FC236}">
              <a16:creationId xmlns:a16="http://schemas.microsoft.com/office/drawing/2014/main" id="{CE487A05-CEF4-DCE8-6E11-8AE37D033DFB}"/>
            </a:ext>
          </a:extLst>
        </xdr:cNvPr>
        <xdr:cNvCxnSpPr/>
      </xdr:nvCxnSpPr>
      <xdr:spPr>
        <a:xfrm flipH="1">
          <a:off x="6960282" y="26831322"/>
          <a:ext cx="3072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49144</xdr:colOff>
      <xdr:row>107</xdr:row>
      <xdr:rowOff>49334</xdr:rowOff>
    </xdr:from>
    <xdr:to>
      <xdr:col>31</xdr:col>
      <xdr:colOff>134104</xdr:colOff>
      <xdr:row>107</xdr:row>
      <xdr:rowOff>131972</xdr:rowOff>
    </xdr:to>
    <xdr:cxnSp macro="">
      <xdr:nvCxnSpPr>
        <xdr:cNvPr id="385" name="直線コネクタ 384">
          <a:extLst>
            <a:ext uri="{FF2B5EF4-FFF2-40B4-BE49-F238E27FC236}">
              <a16:creationId xmlns:a16="http://schemas.microsoft.com/office/drawing/2014/main" id="{5B8A47F3-1338-E8A3-F477-403405D2F3B3}"/>
            </a:ext>
          </a:extLst>
        </xdr:cNvPr>
        <xdr:cNvCxnSpPr/>
      </xdr:nvCxnSpPr>
      <xdr:spPr>
        <a:xfrm>
          <a:off x="7135744" y="26766959"/>
          <a:ext cx="84960"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225944</xdr:colOff>
      <xdr:row>107</xdr:row>
      <xdr:rowOff>51178</xdr:rowOff>
    </xdr:from>
    <xdr:to>
      <xdr:col>31</xdr:col>
      <xdr:colOff>91268</xdr:colOff>
      <xdr:row>107</xdr:row>
      <xdr:rowOff>133816</xdr:rowOff>
    </xdr:to>
    <xdr:cxnSp macro="">
      <xdr:nvCxnSpPr>
        <xdr:cNvPr id="386" name="直線コネクタ 385">
          <a:extLst>
            <a:ext uri="{FF2B5EF4-FFF2-40B4-BE49-F238E27FC236}">
              <a16:creationId xmlns:a16="http://schemas.microsoft.com/office/drawing/2014/main" id="{371C3B0E-8864-96BA-CC41-EA4379A03BB9}"/>
            </a:ext>
          </a:extLst>
        </xdr:cNvPr>
        <xdr:cNvCxnSpPr/>
      </xdr:nvCxnSpPr>
      <xdr:spPr>
        <a:xfrm>
          <a:off x="7083944" y="26768803"/>
          <a:ext cx="9392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225980</xdr:colOff>
      <xdr:row>107</xdr:row>
      <xdr:rowOff>92005</xdr:rowOff>
    </xdr:from>
    <xdr:to>
      <xdr:col>31</xdr:col>
      <xdr:colOff>32588</xdr:colOff>
      <xdr:row>107</xdr:row>
      <xdr:rowOff>122731</xdr:rowOff>
    </xdr:to>
    <xdr:cxnSp macro="">
      <xdr:nvCxnSpPr>
        <xdr:cNvPr id="387" name="直線コネクタ 386">
          <a:extLst>
            <a:ext uri="{FF2B5EF4-FFF2-40B4-BE49-F238E27FC236}">
              <a16:creationId xmlns:a16="http://schemas.microsoft.com/office/drawing/2014/main" id="{DEB5D5C0-C57F-D8DE-0F35-0C3D0BD62D05}"/>
            </a:ext>
          </a:extLst>
        </xdr:cNvPr>
        <xdr:cNvCxnSpPr/>
      </xdr:nvCxnSpPr>
      <xdr:spPr>
        <a:xfrm flipH="1">
          <a:off x="7083980" y="26809630"/>
          <a:ext cx="35208"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17664</xdr:colOff>
      <xdr:row>107</xdr:row>
      <xdr:rowOff>109203</xdr:rowOff>
    </xdr:from>
    <xdr:to>
      <xdr:col>31</xdr:col>
      <xdr:colOff>52872</xdr:colOff>
      <xdr:row>107</xdr:row>
      <xdr:rowOff>133126</xdr:rowOff>
    </xdr:to>
    <xdr:cxnSp macro="">
      <xdr:nvCxnSpPr>
        <xdr:cNvPr id="388" name="直線コネクタ 387">
          <a:extLst>
            <a:ext uri="{FF2B5EF4-FFF2-40B4-BE49-F238E27FC236}">
              <a16:creationId xmlns:a16="http://schemas.microsoft.com/office/drawing/2014/main" id="{E8EFA592-AD6F-B466-C181-C1E038EFE343}"/>
            </a:ext>
          </a:extLst>
        </xdr:cNvPr>
        <xdr:cNvCxnSpPr/>
      </xdr:nvCxnSpPr>
      <xdr:spPr>
        <a:xfrm flipH="1">
          <a:off x="7104264" y="26826828"/>
          <a:ext cx="35208"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109257</xdr:colOff>
      <xdr:row>106</xdr:row>
      <xdr:rowOff>118507</xdr:rowOff>
    </xdr:from>
    <xdr:to>
      <xdr:col>29</xdr:col>
      <xdr:colOff>4149</xdr:colOff>
      <xdr:row>106</xdr:row>
      <xdr:rowOff>118507</xdr:rowOff>
    </xdr:to>
    <xdr:cxnSp macro="">
      <xdr:nvCxnSpPr>
        <xdr:cNvPr id="389" name="直線コネクタ 388">
          <a:extLst>
            <a:ext uri="{FF2B5EF4-FFF2-40B4-BE49-F238E27FC236}">
              <a16:creationId xmlns:a16="http://schemas.microsoft.com/office/drawing/2014/main" id="{7CFB6E2F-05DF-103E-5532-94499E60DB21}"/>
            </a:ext>
          </a:extLst>
        </xdr:cNvPr>
        <xdr:cNvCxnSpPr/>
      </xdr:nvCxnSpPr>
      <xdr:spPr>
        <a:xfrm>
          <a:off x="6281457" y="26598007"/>
          <a:ext cx="352092" cy="0"/>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94810</xdr:colOff>
      <xdr:row>107</xdr:row>
      <xdr:rowOff>47791</xdr:rowOff>
    </xdr:from>
    <xdr:to>
      <xdr:col>27</xdr:col>
      <xdr:colOff>94810</xdr:colOff>
      <xdr:row>117</xdr:row>
      <xdr:rowOff>4069</xdr:rowOff>
    </xdr:to>
    <xdr:cxnSp macro="">
      <xdr:nvCxnSpPr>
        <xdr:cNvPr id="390" name="直線コネクタ 389">
          <a:extLst>
            <a:ext uri="{FF2B5EF4-FFF2-40B4-BE49-F238E27FC236}">
              <a16:creationId xmlns:a16="http://schemas.microsoft.com/office/drawing/2014/main" id="{A0319A24-C7AD-31BE-889A-B744DCF7C919}"/>
            </a:ext>
          </a:extLst>
        </xdr:cNvPr>
        <xdr:cNvCxnSpPr/>
      </xdr:nvCxnSpPr>
      <xdr:spPr>
        <a:xfrm>
          <a:off x="6267010" y="26765416"/>
          <a:ext cx="0" cy="2356578"/>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31</xdr:col>
      <xdr:colOff>176893</xdr:colOff>
      <xdr:row>109</xdr:row>
      <xdr:rowOff>211324</xdr:rowOff>
    </xdr:from>
    <xdr:to>
      <xdr:col>34</xdr:col>
      <xdr:colOff>190503</xdr:colOff>
      <xdr:row>109</xdr:row>
      <xdr:rowOff>211324</xdr:rowOff>
    </xdr:to>
    <xdr:cxnSp macro="">
      <xdr:nvCxnSpPr>
        <xdr:cNvPr id="391" name="直線コネクタ 390">
          <a:extLst>
            <a:ext uri="{FF2B5EF4-FFF2-40B4-BE49-F238E27FC236}">
              <a16:creationId xmlns:a16="http://schemas.microsoft.com/office/drawing/2014/main" id="{E6B8AB93-6239-8F27-F299-0026A32D4563}"/>
            </a:ext>
          </a:extLst>
        </xdr:cNvPr>
        <xdr:cNvCxnSpPr/>
      </xdr:nvCxnSpPr>
      <xdr:spPr>
        <a:xfrm>
          <a:off x="7263493" y="27424249"/>
          <a:ext cx="699410"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163286</xdr:colOff>
      <xdr:row>108</xdr:row>
      <xdr:rowOff>36345</xdr:rowOff>
    </xdr:from>
    <xdr:to>
      <xdr:col>35</xdr:col>
      <xdr:colOff>33621</xdr:colOff>
      <xdr:row>108</xdr:row>
      <xdr:rowOff>36345</xdr:rowOff>
    </xdr:to>
    <xdr:cxnSp macro="">
      <xdr:nvCxnSpPr>
        <xdr:cNvPr id="392" name="直線コネクタ 391">
          <a:extLst>
            <a:ext uri="{FF2B5EF4-FFF2-40B4-BE49-F238E27FC236}">
              <a16:creationId xmlns:a16="http://schemas.microsoft.com/office/drawing/2014/main" id="{27B8F4E3-6D60-6702-5D29-BF15325CA279}"/>
            </a:ext>
          </a:extLst>
        </xdr:cNvPr>
        <xdr:cNvCxnSpPr/>
      </xdr:nvCxnSpPr>
      <xdr:spPr>
        <a:xfrm>
          <a:off x="7249886" y="26992095"/>
          <a:ext cx="784735"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104775</xdr:colOff>
      <xdr:row>112</xdr:row>
      <xdr:rowOff>219783</xdr:rowOff>
    </xdr:from>
    <xdr:to>
      <xdr:col>30</xdr:col>
      <xdr:colOff>171452</xdr:colOff>
      <xdr:row>114</xdr:row>
      <xdr:rowOff>158109</xdr:rowOff>
    </xdr:to>
    <xdr:cxnSp macro="">
      <xdr:nvCxnSpPr>
        <xdr:cNvPr id="393" name="直線コネクタ 392">
          <a:extLst>
            <a:ext uri="{FF2B5EF4-FFF2-40B4-BE49-F238E27FC236}">
              <a16:creationId xmlns:a16="http://schemas.microsoft.com/office/drawing/2014/main" id="{E8327D1F-3075-7480-5E7D-2456348AEF9E}"/>
            </a:ext>
          </a:extLst>
        </xdr:cNvPr>
        <xdr:cNvCxnSpPr/>
      </xdr:nvCxnSpPr>
      <xdr:spPr>
        <a:xfrm flipH="1">
          <a:off x="6276975" y="28147083"/>
          <a:ext cx="752477" cy="414576"/>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0</xdr:colOff>
      <xdr:row>109</xdr:row>
      <xdr:rowOff>200025</xdr:rowOff>
    </xdr:from>
    <xdr:to>
      <xdr:col>30</xdr:col>
      <xdr:colOff>180977</xdr:colOff>
      <xdr:row>112</xdr:row>
      <xdr:rowOff>216641</xdr:rowOff>
    </xdr:to>
    <xdr:cxnSp macro="">
      <xdr:nvCxnSpPr>
        <xdr:cNvPr id="394" name="直線コネクタ 393">
          <a:extLst>
            <a:ext uri="{FF2B5EF4-FFF2-40B4-BE49-F238E27FC236}">
              <a16:creationId xmlns:a16="http://schemas.microsoft.com/office/drawing/2014/main" id="{BA0BD525-52C4-A882-8011-6B5A6C159B99}"/>
            </a:ext>
          </a:extLst>
        </xdr:cNvPr>
        <xdr:cNvCxnSpPr/>
      </xdr:nvCxnSpPr>
      <xdr:spPr>
        <a:xfrm flipH="1" flipV="1">
          <a:off x="6629400" y="27412950"/>
          <a:ext cx="409577" cy="730991"/>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editAs="absolute">
    <xdr:from>
      <xdr:col>31</xdr:col>
      <xdr:colOff>22412</xdr:colOff>
      <xdr:row>107</xdr:row>
      <xdr:rowOff>4381</xdr:rowOff>
    </xdr:from>
    <xdr:to>
      <xdr:col>35</xdr:col>
      <xdr:colOff>9524</xdr:colOff>
      <xdr:row>108</xdr:row>
      <xdr:rowOff>34178</xdr:rowOff>
    </xdr:to>
    <xdr:sp macro="" textlink="">
      <xdr:nvSpPr>
        <xdr:cNvPr id="395" name="テキスト ボックス 394">
          <a:extLst>
            <a:ext uri="{FF2B5EF4-FFF2-40B4-BE49-F238E27FC236}">
              <a16:creationId xmlns:a16="http://schemas.microsoft.com/office/drawing/2014/main" id="{7BE6D4FC-25A1-D327-FD0D-A8C49E287412}"/>
            </a:ext>
          </a:extLst>
        </xdr:cNvPr>
        <xdr:cNvSpPr txBox="1"/>
      </xdr:nvSpPr>
      <xdr:spPr>
        <a:xfrm>
          <a:off x="7109012" y="25769506"/>
          <a:ext cx="901512" cy="26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 </a:t>
          </a:r>
          <a:r>
            <a:rPr kumimoji="1" lang="en-US" altLang="ja-JP" sz="1100"/>
            <a:t>1.00m</a:t>
          </a:r>
          <a:endParaRPr kumimoji="1" lang="ja-JP" altLang="en-US" sz="1100"/>
        </a:p>
      </xdr:txBody>
    </xdr:sp>
    <xdr:clientData/>
  </xdr:twoCellAnchor>
  <xdr:twoCellAnchor>
    <xdr:from>
      <xdr:col>24</xdr:col>
      <xdr:colOff>29138</xdr:colOff>
      <xdr:row>107</xdr:row>
      <xdr:rowOff>195960</xdr:rowOff>
    </xdr:from>
    <xdr:to>
      <xdr:col>26</xdr:col>
      <xdr:colOff>125921</xdr:colOff>
      <xdr:row>107</xdr:row>
      <xdr:rowOff>195960</xdr:rowOff>
    </xdr:to>
    <xdr:cxnSp macro="">
      <xdr:nvCxnSpPr>
        <xdr:cNvPr id="396" name="直線コネクタ 395">
          <a:extLst>
            <a:ext uri="{FF2B5EF4-FFF2-40B4-BE49-F238E27FC236}">
              <a16:creationId xmlns:a16="http://schemas.microsoft.com/office/drawing/2014/main" id="{7ACFFBCC-3AA5-E996-F9C3-3DC1F6E567EE}"/>
            </a:ext>
          </a:extLst>
        </xdr:cNvPr>
        <xdr:cNvCxnSpPr/>
      </xdr:nvCxnSpPr>
      <xdr:spPr>
        <a:xfrm>
          <a:off x="5515538" y="26913585"/>
          <a:ext cx="55398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48188</xdr:colOff>
      <xdr:row>108</xdr:row>
      <xdr:rowOff>112447</xdr:rowOff>
    </xdr:from>
    <xdr:to>
      <xdr:col>26</xdr:col>
      <xdr:colOff>115895</xdr:colOff>
      <xdr:row>108</xdr:row>
      <xdr:rowOff>112447</xdr:rowOff>
    </xdr:to>
    <xdr:cxnSp macro="">
      <xdr:nvCxnSpPr>
        <xdr:cNvPr id="397" name="直線コネクタ 396">
          <a:extLst>
            <a:ext uri="{FF2B5EF4-FFF2-40B4-BE49-F238E27FC236}">
              <a16:creationId xmlns:a16="http://schemas.microsoft.com/office/drawing/2014/main" id="{FB0BB773-C72F-00B0-83C9-AEBB1FF41EFA}"/>
            </a:ext>
          </a:extLst>
        </xdr:cNvPr>
        <xdr:cNvCxnSpPr/>
      </xdr:nvCxnSpPr>
      <xdr:spPr>
        <a:xfrm>
          <a:off x="5534588" y="27068197"/>
          <a:ext cx="52490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123916</xdr:colOff>
      <xdr:row>107</xdr:row>
      <xdr:rowOff>198055</xdr:rowOff>
    </xdr:from>
    <xdr:to>
      <xdr:col>26</xdr:col>
      <xdr:colOff>123916</xdr:colOff>
      <xdr:row>108</xdr:row>
      <xdr:rowOff>112832</xdr:rowOff>
    </xdr:to>
    <xdr:cxnSp macro="">
      <xdr:nvCxnSpPr>
        <xdr:cNvPr id="398" name="直線コネクタ 397">
          <a:extLst>
            <a:ext uri="{FF2B5EF4-FFF2-40B4-BE49-F238E27FC236}">
              <a16:creationId xmlns:a16="http://schemas.microsoft.com/office/drawing/2014/main" id="{ED650664-F757-AC60-3522-CFD3C969AB5A}"/>
            </a:ext>
          </a:extLst>
        </xdr:cNvPr>
        <xdr:cNvCxnSpPr/>
      </xdr:nvCxnSpPr>
      <xdr:spPr>
        <a:xfrm>
          <a:off x="6067516" y="26915680"/>
          <a:ext cx="0" cy="15290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151130</xdr:colOff>
      <xdr:row>107</xdr:row>
      <xdr:rowOff>190651</xdr:rowOff>
    </xdr:from>
    <xdr:to>
      <xdr:col>26</xdr:col>
      <xdr:colOff>151130</xdr:colOff>
      <xdr:row>108</xdr:row>
      <xdr:rowOff>126618</xdr:rowOff>
    </xdr:to>
    <xdr:cxnSp macro="">
      <xdr:nvCxnSpPr>
        <xdr:cNvPr id="399" name="直線コネクタ 398">
          <a:extLst>
            <a:ext uri="{FF2B5EF4-FFF2-40B4-BE49-F238E27FC236}">
              <a16:creationId xmlns:a16="http://schemas.microsoft.com/office/drawing/2014/main" id="{16855407-2E4D-E973-D71F-0AAF19EDCB72}"/>
            </a:ext>
          </a:extLst>
        </xdr:cNvPr>
        <xdr:cNvCxnSpPr/>
      </xdr:nvCxnSpPr>
      <xdr:spPr>
        <a:xfrm>
          <a:off x="6094730" y="26908276"/>
          <a:ext cx="0" cy="17409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65405</xdr:colOff>
      <xdr:row>107</xdr:row>
      <xdr:rowOff>190651</xdr:rowOff>
    </xdr:from>
    <xdr:to>
      <xdr:col>27</xdr:col>
      <xdr:colOff>65405</xdr:colOff>
      <xdr:row>108</xdr:row>
      <xdr:rowOff>126618</xdr:rowOff>
    </xdr:to>
    <xdr:cxnSp macro="">
      <xdr:nvCxnSpPr>
        <xdr:cNvPr id="400" name="直線コネクタ 399">
          <a:extLst>
            <a:ext uri="{FF2B5EF4-FFF2-40B4-BE49-F238E27FC236}">
              <a16:creationId xmlns:a16="http://schemas.microsoft.com/office/drawing/2014/main" id="{E2C205D0-8C8E-113F-95C8-D1D94B2BBB93}"/>
            </a:ext>
          </a:extLst>
        </xdr:cNvPr>
        <xdr:cNvCxnSpPr/>
      </xdr:nvCxnSpPr>
      <xdr:spPr>
        <a:xfrm>
          <a:off x="6237605" y="26908276"/>
          <a:ext cx="0" cy="17409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150060</xdr:colOff>
      <xdr:row>108</xdr:row>
      <xdr:rowOff>38171</xdr:rowOff>
    </xdr:from>
    <xdr:to>
      <xdr:col>27</xdr:col>
      <xdr:colOff>60934</xdr:colOff>
      <xdr:row>108</xdr:row>
      <xdr:rowOff>38171</xdr:rowOff>
    </xdr:to>
    <xdr:cxnSp macro="">
      <xdr:nvCxnSpPr>
        <xdr:cNvPr id="401" name="直線コネクタ 400">
          <a:extLst>
            <a:ext uri="{FF2B5EF4-FFF2-40B4-BE49-F238E27FC236}">
              <a16:creationId xmlns:a16="http://schemas.microsoft.com/office/drawing/2014/main" id="{CC1BA091-6BF5-8940-A6B3-87AE13FF591B}"/>
            </a:ext>
          </a:extLst>
        </xdr:cNvPr>
        <xdr:cNvCxnSpPr/>
      </xdr:nvCxnSpPr>
      <xdr:spPr>
        <a:xfrm>
          <a:off x="6093660" y="26993921"/>
          <a:ext cx="13947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31</xdr:col>
      <xdr:colOff>37682</xdr:colOff>
      <xdr:row>108</xdr:row>
      <xdr:rowOff>99632</xdr:rowOff>
    </xdr:from>
    <xdr:to>
      <xdr:col>35</xdr:col>
      <xdr:colOff>4481</xdr:colOff>
      <xdr:row>109</xdr:row>
      <xdr:rowOff>99711</xdr:rowOff>
    </xdr:to>
    <xdr:sp macro="" textlink="">
      <xdr:nvSpPr>
        <xdr:cNvPr id="402" name="テキスト ボックス 401">
          <a:extLst>
            <a:ext uri="{FF2B5EF4-FFF2-40B4-BE49-F238E27FC236}">
              <a16:creationId xmlns:a16="http://schemas.microsoft.com/office/drawing/2014/main" id="{BF8CC20E-AE86-25EE-0AAA-078441E65410}"/>
            </a:ext>
          </a:extLst>
        </xdr:cNvPr>
        <xdr:cNvSpPr txBox="1"/>
      </xdr:nvSpPr>
      <xdr:spPr>
        <a:xfrm>
          <a:off x="7124282" y="26102882"/>
          <a:ext cx="881199" cy="257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 </a:t>
          </a:r>
          <a:r>
            <a:rPr kumimoji="1" lang="en-US" altLang="ja-JP" sz="1100"/>
            <a:t>1.50m</a:t>
          </a:r>
          <a:endParaRPr kumimoji="1" lang="ja-JP" altLang="en-US" sz="1100"/>
        </a:p>
      </xdr:txBody>
    </xdr:sp>
    <xdr:clientData/>
  </xdr:twoCellAnchor>
  <xdr:twoCellAnchor>
    <xdr:from>
      <xdr:col>27</xdr:col>
      <xdr:colOff>26720</xdr:colOff>
      <xdr:row>115</xdr:row>
      <xdr:rowOff>105919</xdr:rowOff>
    </xdr:from>
    <xdr:to>
      <xdr:col>27</xdr:col>
      <xdr:colOff>153600</xdr:colOff>
      <xdr:row>115</xdr:row>
      <xdr:rowOff>235600</xdr:rowOff>
    </xdr:to>
    <xdr:sp macro="" textlink="">
      <xdr:nvSpPr>
        <xdr:cNvPr id="403" name="楕円 402">
          <a:extLst>
            <a:ext uri="{FF2B5EF4-FFF2-40B4-BE49-F238E27FC236}">
              <a16:creationId xmlns:a16="http://schemas.microsoft.com/office/drawing/2014/main" id="{DAFB9F61-D9B9-5AFD-C2CD-094F9529704C}"/>
            </a:ext>
          </a:extLst>
        </xdr:cNvPr>
        <xdr:cNvSpPr/>
      </xdr:nvSpPr>
      <xdr:spPr>
        <a:xfrm>
          <a:off x="6198920" y="28747594"/>
          <a:ext cx="126880" cy="129681"/>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204107</xdr:colOff>
      <xdr:row>112</xdr:row>
      <xdr:rowOff>186967</xdr:rowOff>
    </xdr:from>
    <xdr:to>
      <xdr:col>34</xdr:col>
      <xdr:colOff>168092</xdr:colOff>
      <xdr:row>112</xdr:row>
      <xdr:rowOff>186967</xdr:rowOff>
    </xdr:to>
    <xdr:cxnSp macro="">
      <xdr:nvCxnSpPr>
        <xdr:cNvPr id="404" name="直線コネクタ 403">
          <a:extLst>
            <a:ext uri="{FF2B5EF4-FFF2-40B4-BE49-F238E27FC236}">
              <a16:creationId xmlns:a16="http://schemas.microsoft.com/office/drawing/2014/main" id="{1D17D95B-F1AF-EA6D-28F2-46B8D6412ED3}"/>
            </a:ext>
          </a:extLst>
        </xdr:cNvPr>
        <xdr:cNvCxnSpPr/>
      </xdr:nvCxnSpPr>
      <xdr:spPr>
        <a:xfrm>
          <a:off x="7290707" y="28114267"/>
          <a:ext cx="649785"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29</xdr:col>
      <xdr:colOff>0</xdr:colOff>
      <xdr:row>106</xdr:row>
      <xdr:rowOff>119564</xdr:rowOff>
    </xdr:from>
    <xdr:to>
      <xdr:col>29</xdr:col>
      <xdr:colOff>10987</xdr:colOff>
      <xdr:row>108</xdr:row>
      <xdr:rowOff>47625</xdr:rowOff>
    </xdr:to>
    <xdr:cxnSp macro="">
      <xdr:nvCxnSpPr>
        <xdr:cNvPr id="405" name="直線コネクタ 404">
          <a:extLst>
            <a:ext uri="{FF2B5EF4-FFF2-40B4-BE49-F238E27FC236}">
              <a16:creationId xmlns:a16="http://schemas.microsoft.com/office/drawing/2014/main" id="{FDC6B625-5D7C-1F18-8A43-1994E392FEF3}"/>
            </a:ext>
          </a:extLst>
        </xdr:cNvPr>
        <xdr:cNvCxnSpPr/>
      </xdr:nvCxnSpPr>
      <xdr:spPr>
        <a:xfrm flipH="1">
          <a:off x="6629400" y="26599064"/>
          <a:ext cx="10987" cy="404311"/>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92790</xdr:colOff>
      <xdr:row>106</xdr:row>
      <xdr:rowOff>108358</xdr:rowOff>
    </xdr:from>
    <xdr:to>
      <xdr:col>27</xdr:col>
      <xdr:colOff>92790</xdr:colOff>
      <xdr:row>107</xdr:row>
      <xdr:rowOff>54912</xdr:rowOff>
    </xdr:to>
    <xdr:cxnSp macro="">
      <xdr:nvCxnSpPr>
        <xdr:cNvPr id="406" name="直線コネクタ 405">
          <a:extLst>
            <a:ext uri="{FF2B5EF4-FFF2-40B4-BE49-F238E27FC236}">
              <a16:creationId xmlns:a16="http://schemas.microsoft.com/office/drawing/2014/main" id="{52DDD8BA-7752-EA11-1923-BAEB38C934DB}"/>
            </a:ext>
          </a:extLst>
        </xdr:cNvPr>
        <xdr:cNvCxnSpPr/>
      </xdr:nvCxnSpPr>
      <xdr:spPr>
        <a:xfrm>
          <a:off x="6264990" y="26587858"/>
          <a:ext cx="0" cy="184679"/>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9527</xdr:colOff>
      <xdr:row>116</xdr:row>
      <xdr:rowOff>236729</xdr:rowOff>
    </xdr:from>
    <xdr:to>
      <xdr:col>27</xdr:col>
      <xdr:colOff>114302</xdr:colOff>
      <xdr:row>116</xdr:row>
      <xdr:rowOff>236729</xdr:rowOff>
    </xdr:to>
    <xdr:cxnSp macro="">
      <xdr:nvCxnSpPr>
        <xdr:cNvPr id="407" name="直線コネクタ 406">
          <a:extLst>
            <a:ext uri="{FF2B5EF4-FFF2-40B4-BE49-F238E27FC236}">
              <a16:creationId xmlns:a16="http://schemas.microsoft.com/office/drawing/2014/main" id="{A5FC4EB4-DFD5-5022-000E-6C55251797F2}"/>
            </a:ext>
          </a:extLst>
        </xdr:cNvPr>
        <xdr:cNvCxnSpPr/>
      </xdr:nvCxnSpPr>
      <xdr:spPr>
        <a:xfrm>
          <a:off x="5329920" y="29845872"/>
          <a:ext cx="1030061" cy="0"/>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34</xdr:col>
      <xdr:colOff>152400</xdr:colOff>
      <xdr:row>107</xdr:row>
      <xdr:rowOff>53537</xdr:rowOff>
    </xdr:from>
    <xdr:to>
      <xdr:col>34</xdr:col>
      <xdr:colOff>152400</xdr:colOff>
      <xdr:row>108</xdr:row>
      <xdr:rowOff>52295</xdr:rowOff>
    </xdr:to>
    <xdr:cxnSp macro="">
      <xdr:nvCxnSpPr>
        <xdr:cNvPr id="408" name="直線矢印コネクタ 407">
          <a:extLst>
            <a:ext uri="{FF2B5EF4-FFF2-40B4-BE49-F238E27FC236}">
              <a16:creationId xmlns:a16="http://schemas.microsoft.com/office/drawing/2014/main" id="{12076300-D063-C6A2-6F8D-376429F4FF0B}"/>
            </a:ext>
          </a:extLst>
        </xdr:cNvPr>
        <xdr:cNvCxnSpPr/>
      </xdr:nvCxnSpPr>
      <xdr:spPr>
        <a:xfrm>
          <a:off x="7924800" y="26771162"/>
          <a:ext cx="0" cy="23688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152400</xdr:colOff>
      <xdr:row>108</xdr:row>
      <xdr:rowOff>74958</xdr:rowOff>
    </xdr:from>
    <xdr:to>
      <xdr:col>34</xdr:col>
      <xdr:colOff>152400</xdr:colOff>
      <xdr:row>109</xdr:row>
      <xdr:rowOff>167547</xdr:rowOff>
    </xdr:to>
    <xdr:cxnSp macro="">
      <xdr:nvCxnSpPr>
        <xdr:cNvPr id="409" name="直線矢印コネクタ 408">
          <a:extLst>
            <a:ext uri="{FF2B5EF4-FFF2-40B4-BE49-F238E27FC236}">
              <a16:creationId xmlns:a16="http://schemas.microsoft.com/office/drawing/2014/main" id="{06E44879-448C-8B0B-EFB5-6754A8D3EA41}"/>
            </a:ext>
          </a:extLst>
        </xdr:cNvPr>
        <xdr:cNvCxnSpPr/>
      </xdr:nvCxnSpPr>
      <xdr:spPr>
        <a:xfrm>
          <a:off x="7924800" y="27030708"/>
          <a:ext cx="0" cy="34976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152400</xdr:colOff>
      <xdr:row>109</xdr:row>
      <xdr:rowOff>228600</xdr:rowOff>
    </xdr:from>
    <xdr:to>
      <xdr:col>34</xdr:col>
      <xdr:colOff>152400</xdr:colOff>
      <xdr:row>112</xdr:row>
      <xdr:rowOff>209550</xdr:rowOff>
    </xdr:to>
    <xdr:cxnSp macro="">
      <xdr:nvCxnSpPr>
        <xdr:cNvPr id="410" name="直線矢印コネクタ 409">
          <a:extLst>
            <a:ext uri="{FF2B5EF4-FFF2-40B4-BE49-F238E27FC236}">
              <a16:creationId xmlns:a16="http://schemas.microsoft.com/office/drawing/2014/main" id="{87FA5EBB-DD09-2BD9-416E-85E3EB90F908}"/>
            </a:ext>
          </a:extLst>
        </xdr:cNvPr>
        <xdr:cNvCxnSpPr/>
      </xdr:nvCxnSpPr>
      <xdr:spPr>
        <a:xfrm>
          <a:off x="7924800" y="27441525"/>
          <a:ext cx="0" cy="69532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65942</xdr:colOff>
      <xdr:row>112</xdr:row>
      <xdr:rowOff>205886</xdr:rowOff>
    </xdr:from>
    <xdr:to>
      <xdr:col>26</xdr:col>
      <xdr:colOff>65942</xdr:colOff>
      <xdr:row>114</xdr:row>
      <xdr:rowOff>152400</xdr:rowOff>
    </xdr:to>
    <xdr:cxnSp macro="">
      <xdr:nvCxnSpPr>
        <xdr:cNvPr id="411" name="直線矢印コネクタ 410">
          <a:extLst>
            <a:ext uri="{FF2B5EF4-FFF2-40B4-BE49-F238E27FC236}">
              <a16:creationId xmlns:a16="http://schemas.microsoft.com/office/drawing/2014/main" id="{E59831EE-3BCC-6C83-D746-663C6F4CCF38}"/>
            </a:ext>
          </a:extLst>
        </xdr:cNvPr>
        <xdr:cNvCxnSpPr/>
      </xdr:nvCxnSpPr>
      <xdr:spPr>
        <a:xfrm>
          <a:off x="6009542" y="28133186"/>
          <a:ext cx="0" cy="42276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180975</xdr:colOff>
      <xdr:row>114</xdr:row>
      <xdr:rowOff>148867</xdr:rowOff>
    </xdr:from>
    <xdr:to>
      <xdr:col>26</xdr:col>
      <xdr:colOff>196667</xdr:colOff>
      <xdr:row>114</xdr:row>
      <xdr:rowOff>148867</xdr:rowOff>
    </xdr:to>
    <xdr:cxnSp macro="">
      <xdr:nvCxnSpPr>
        <xdr:cNvPr id="412" name="直線コネクタ 411">
          <a:extLst>
            <a:ext uri="{FF2B5EF4-FFF2-40B4-BE49-F238E27FC236}">
              <a16:creationId xmlns:a16="http://schemas.microsoft.com/office/drawing/2014/main" id="{17124A8C-058D-7053-1D71-0D3F691D0DFB}"/>
            </a:ext>
          </a:extLst>
        </xdr:cNvPr>
        <xdr:cNvCxnSpPr/>
      </xdr:nvCxnSpPr>
      <xdr:spPr>
        <a:xfrm>
          <a:off x="5895975" y="28552417"/>
          <a:ext cx="244292"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22</xdr:col>
      <xdr:colOff>190500</xdr:colOff>
      <xdr:row>108</xdr:row>
      <xdr:rowOff>28575</xdr:rowOff>
    </xdr:from>
    <xdr:to>
      <xdr:col>22</xdr:col>
      <xdr:colOff>190500</xdr:colOff>
      <xdr:row>112</xdr:row>
      <xdr:rowOff>190500</xdr:rowOff>
    </xdr:to>
    <xdr:cxnSp macro="">
      <xdr:nvCxnSpPr>
        <xdr:cNvPr id="413" name="直線矢印コネクタ 412">
          <a:extLst>
            <a:ext uri="{FF2B5EF4-FFF2-40B4-BE49-F238E27FC236}">
              <a16:creationId xmlns:a16="http://schemas.microsoft.com/office/drawing/2014/main" id="{DE2DB964-2B3E-29F3-B71A-CDE7CF1F4D3E}"/>
            </a:ext>
          </a:extLst>
        </xdr:cNvPr>
        <xdr:cNvCxnSpPr/>
      </xdr:nvCxnSpPr>
      <xdr:spPr>
        <a:xfrm>
          <a:off x="5219700" y="26984325"/>
          <a:ext cx="0" cy="113347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20</xdr:col>
      <xdr:colOff>167195</xdr:colOff>
      <xdr:row>109</xdr:row>
      <xdr:rowOff>178164</xdr:rowOff>
    </xdr:from>
    <xdr:to>
      <xdr:col>23</xdr:col>
      <xdr:colOff>95250</xdr:colOff>
      <xdr:row>110</xdr:row>
      <xdr:rowOff>178292</xdr:rowOff>
    </xdr:to>
    <xdr:sp macro="" textlink="">
      <xdr:nvSpPr>
        <xdr:cNvPr id="414" name="テキスト ボックス 413">
          <a:extLst>
            <a:ext uri="{FF2B5EF4-FFF2-40B4-BE49-F238E27FC236}">
              <a16:creationId xmlns:a16="http://schemas.microsoft.com/office/drawing/2014/main" id="{8AACE43C-45C3-2D48-C18F-8D50B5F88598}"/>
            </a:ext>
          </a:extLst>
        </xdr:cNvPr>
        <xdr:cNvSpPr txBox="1"/>
      </xdr:nvSpPr>
      <xdr:spPr>
        <a:xfrm>
          <a:off x="4739195" y="26438589"/>
          <a:ext cx="613855" cy="238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4.00m</a:t>
          </a:r>
          <a:endParaRPr kumimoji="1" lang="ja-JP" altLang="en-US" sz="1100"/>
        </a:p>
      </xdr:txBody>
    </xdr:sp>
    <xdr:clientData/>
  </xdr:twoCellAnchor>
  <xdr:twoCellAnchor>
    <xdr:from>
      <xdr:col>22</xdr:col>
      <xdr:colOff>178001</xdr:colOff>
      <xdr:row>112</xdr:row>
      <xdr:rowOff>205886</xdr:rowOff>
    </xdr:from>
    <xdr:to>
      <xdr:col>22</xdr:col>
      <xdr:colOff>178001</xdr:colOff>
      <xdr:row>117</xdr:row>
      <xdr:rowOff>2242</xdr:rowOff>
    </xdr:to>
    <xdr:cxnSp macro="">
      <xdr:nvCxnSpPr>
        <xdr:cNvPr id="415" name="直線矢印コネクタ 414">
          <a:extLst>
            <a:ext uri="{FF2B5EF4-FFF2-40B4-BE49-F238E27FC236}">
              <a16:creationId xmlns:a16="http://schemas.microsoft.com/office/drawing/2014/main" id="{8C5176BF-6251-5A65-FF5C-886100805F8A}"/>
            </a:ext>
          </a:extLst>
        </xdr:cNvPr>
        <xdr:cNvCxnSpPr/>
      </xdr:nvCxnSpPr>
      <xdr:spPr>
        <a:xfrm>
          <a:off x="5207201" y="28133186"/>
          <a:ext cx="0" cy="98698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20</xdr:col>
      <xdr:colOff>155429</xdr:colOff>
      <xdr:row>114</xdr:row>
      <xdr:rowOff>10507</xdr:rowOff>
    </xdr:from>
    <xdr:to>
      <xdr:col>23</xdr:col>
      <xdr:colOff>87966</xdr:colOff>
      <xdr:row>115</xdr:row>
      <xdr:rowOff>10635</xdr:rowOff>
    </xdr:to>
    <xdr:sp macro="" textlink="">
      <xdr:nvSpPr>
        <xdr:cNvPr id="416" name="テキスト ボックス 415">
          <a:extLst>
            <a:ext uri="{FF2B5EF4-FFF2-40B4-BE49-F238E27FC236}">
              <a16:creationId xmlns:a16="http://schemas.microsoft.com/office/drawing/2014/main" id="{079F65C6-4D29-1BD2-744E-3B83B0ED3DFF}"/>
            </a:ext>
          </a:extLst>
        </xdr:cNvPr>
        <xdr:cNvSpPr txBox="1"/>
      </xdr:nvSpPr>
      <xdr:spPr>
        <a:xfrm>
          <a:off x="4727429" y="27461557"/>
          <a:ext cx="618337" cy="238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3.72m</a:t>
          </a:r>
          <a:endParaRPr kumimoji="1" lang="ja-JP" altLang="en-US" sz="1100"/>
        </a:p>
      </xdr:txBody>
    </xdr:sp>
    <xdr:clientData/>
  </xdr:twoCellAnchor>
  <xdr:twoCellAnchor>
    <xdr:from>
      <xdr:col>22</xdr:col>
      <xdr:colOff>157843</xdr:colOff>
      <xdr:row>108</xdr:row>
      <xdr:rowOff>18197</xdr:rowOff>
    </xdr:from>
    <xdr:to>
      <xdr:col>24</xdr:col>
      <xdr:colOff>0</xdr:colOff>
      <xdr:row>108</xdr:row>
      <xdr:rowOff>18197</xdr:rowOff>
    </xdr:to>
    <xdr:cxnSp macro="">
      <xdr:nvCxnSpPr>
        <xdr:cNvPr id="422" name="直線コネクタ 421">
          <a:extLst>
            <a:ext uri="{FF2B5EF4-FFF2-40B4-BE49-F238E27FC236}">
              <a16:creationId xmlns:a16="http://schemas.microsoft.com/office/drawing/2014/main" id="{BE5C4862-52DD-3A25-AC1A-17601E65CD3C}"/>
            </a:ext>
          </a:extLst>
        </xdr:cNvPr>
        <xdr:cNvCxnSpPr/>
      </xdr:nvCxnSpPr>
      <xdr:spPr>
        <a:xfrm>
          <a:off x="5187043" y="26973947"/>
          <a:ext cx="29935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76200</xdr:colOff>
      <xdr:row>110</xdr:row>
      <xdr:rowOff>161925</xdr:rowOff>
    </xdr:from>
    <xdr:to>
      <xdr:col>35</xdr:col>
      <xdr:colOff>0</xdr:colOff>
      <xdr:row>111</xdr:row>
      <xdr:rowOff>170596</xdr:rowOff>
    </xdr:to>
    <xdr:sp macro="" textlink="">
      <xdr:nvSpPr>
        <xdr:cNvPr id="424" name="テキスト ボックス 423">
          <a:extLst>
            <a:ext uri="{FF2B5EF4-FFF2-40B4-BE49-F238E27FC236}">
              <a16:creationId xmlns:a16="http://schemas.microsoft.com/office/drawing/2014/main" id="{BA05F1CA-EDF5-DE4A-9FC7-81D9924D0355}"/>
            </a:ext>
          </a:extLst>
        </xdr:cNvPr>
        <xdr:cNvSpPr txBox="1"/>
      </xdr:nvSpPr>
      <xdr:spPr>
        <a:xfrm>
          <a:off x="7162800" y="27612975"/>
          <a:ext cx="838200" cy="246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a:t>
          </a:r>
          <a:r>
            <a:rPr kumimoji="1" lang="ja-JP" altLang="en-US" sz="1100"/>
            <a:t>層 </a:t>
          </a:r>
          <a:r>
            <a:rPr kumimoji="1" lang="en-US" altLang="ja-JP" sz="1100"/>
            <a:t>2.50m</a:t>
          </a:r>
          <a:endParaRPr kumimoji="1" lang="ja-JP" altLang="en-US" sz="1100"/>
        </a:p>
      </xdr:txBody>
    </xdr:sp>
    <xdr:clientData/>
  </xdr:twoCellAnchor>
  <xdr:twoCellAnchor>
    <xdr:from>
      <xdr:col>31</xdr:col>
      <xdr:colOff>90853</xdr:colOff>
      <xdr:row>113</xdr:row>
      <xdr:rowOff>174381</xdr:rowOff>
    </xdr:from>
    <xdr:to>
      <xdr:col>35</xdr:col>
      <xdr:colOff>9525</xdr:colOff>
      <xdr:row>114</xdr:row>
      <xdr:rowOff>202102</xdr:rowOff>
    </xdr:to>
    <xdr:sp macro="" textlink="">
      <xdr:nvSpPr>
        <xdr:cNvPr id="425" name="テキスト ボックス 424">
          <a:extLst>
            <a:ext uri="{FF2B5EF4-FFF2-40B4-BE49-F238E27FC236}">
              <a16:creationId xmlns:a16="http://schemas.microsoft.com/office/drawing/2014/main" id="{CFC5C7DD-8F3C-0509-7BEC-45808F103E0C}"/>
            </a:ext>
          </a:extLst>
        </xdr:cNvPr>
        <xdr:cNvSpPr txBox="1"/>
      </xdr:nvSpPr>
      <xdr:spPr>
        <a:xfrm>
          <a:off x="7177453" y="27387306"/>
          <a:ext cx="833072" cy="265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4'</a:t>
          </a:r>
          <a:r>
            <a:rPr kumimoji="1" lang="ja-JP" altLang="en-US" sz="1100"/>
            <a:t>層 </a:t>
          </a:r>
          <a:r>
            <a:rPr kumimoji="1" lang="en-US" altLang="ja-JP" sz="1100"/>
            <a:t>2.48m</a:t>
          </a:r>
          <a:endParaRPr kumimoji="1" lang="ja-JP" altLang="en-US" sz="1100"/>
        </a:p>
      </xdr:txBody>
    </xdr:sp>
    <xdr:clientData/>
  </xdr:twoCellAnchor>
  <xdr:twoCellAnchor>
    <xdr:from>
      <xdr:col>31</xdr:col>
      <xdr:colOff>204107</xdr:colOff>
      <xdr:row>115</xdr:row>
      <xdr:rowOff>186967</xdr:rowOff>
    </xdr:from>
    <xdr:to>
      <xdr:col>34</xdr:col>
      <xdr:colOff>168092</xdr:colOff>
      <xdr:row>115</xdr:row>
      <xdr:rowOff>186967</xdr:rowOff>
    </xdr:to>
    <xdr:cxnSp macro="">
      <xdr:nvCxnSpPr>
        <xdr:cNvPr id="426" name="直線コネクタ 425">
          <a:extLst>
            <a:ext uri="{FF2B5EF4-FFF2-40B4-BE49-F238E27FC236}">
              <a16:creationId xmlns:a16="http://schemas.microsoft.com/office/drawing/2014/main" id="{4CB203DF-0AA3-4B86-BA4C-DD65365E6FE0}"/>
            </a:ext>
          </a:extLst>
        </xdr:cNvPr>
        <xdr:cNvCxnSpPr/>
      </xdr:nvCxnSpPr>
      <xdr:spPr>
        <a:xfrm>
          <a:off x="7290707" y="28828642"/>
          <a:ext cx="649785"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34</xdr:col>
      <xdr:colOff>151667</xdr:colOff>
      <xdr:row>112</xdr:row>
      <xdr:rowOff>205886</xdr:rowOff>
    </xdr:from>
    <xdr:to>
      <xdr:col>34</xdr:col>
      <xdr:colOff>152400</xdr:colOff>
      <xdr:row>115</xdr:row>
      <xdr:rowOff>180975</xdr:rowOff>
    </xdr:to>
    <xdr:cxnSp macro="">
      <xdr:nvCxnSpPr>
        <xdr:cNvPr id="427" name="直線矢印コネクタ 426">
          <a:extLst>
            <a:ext uri="{FF2B5EF4-FFF2-40B4-BE49-F238E27FC236}">
              <a16:creationId xmlns:a16="http://schemas.microsoft.com/office/drawing/2014/main" id="{55B37CD7-1654-069D-6D30-05B21648389B}"/>
            </a:ext>
          </a:extLst>
        </xdr:cNvPr>
        <xdr:cNvCxnSpPr/>
      </xdr:nvCxnSpPr>
      <xdr:spPr>
        <a:xfrm>
          <a:off x="7924067" y="28133186"/>
          <a:ext cx="733" cy="68946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118782</xdr:colOff>
      <xdr:row>108</xdr:row>
      <xdr:rowOff>42307</xdr:rowOff>
    </xdr:from>
    <xdr:to>
      <xdr:col>29</xdr:col>
      <xdr:colOff>13674</xdr:colOff>
      <xdr:row>108</xdr:row>
      <xdr:rowOff>42307</xdr:rowOff>
    </xdr:to>
    <xdr:cxnSp macro="">
      <xdr:nvCxnSpPr>
        <xdr:cNvPr id="428" name="直線コネクタ 427">
          <a:extLst>
            <a:ext uri="{FF2B5EF4-FFF2-40B4-BE49-F238E27FC236}">
              <a16:creationId xmlns:a16="http://schemas.microsoft.com/office/drawing/2014/main" id="{1749EFE3-7353-4B79-9B89-F21A1CCB4563}"/>
            </a:ext>
          </a:extLst>
        </xdr:cNvPr>
        <xdr:cNvCxnSpPr/>
      </xdr:nvCxnSpPr>
      <xdr:spPr>
        <a:xfrm>
          <a:off x="6290982" y="26998057"/>
          <a:ext cx="352092"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10987</xdr:colOff>
      <xdr:row>108</xdr:row>
      <xdr:rowOff>38100</xdr:rowOff>
    </xdr:from>
    <xdr:to>
      <xdr:col>29</xdr:col>
      <xdr:colOff>10987</xdr:colOff>
      <xdr:row>110</xdr:row>
      <xdr:rowOff>0</xdr:rowOff>
    </xdr:to>
    <xdr:cxnSp macro="">
      <xdr:nvCxnSpPr>
        <xdr:cNvPr id="429" name="直線コネクタ 428">
          <a:extLst>
            <a:ext uri="{FF2B5EF4-FFF2-40B4-BE49-F238E27FC236}">
              <a16:creationId xmlns:a16="http://schemas.microsoft.com/office/drawing/2014/main" id="{3144CB0C-21A5-48B1-88D4-C7FBF1A738DB}"/>
            </a:ext>
          </a:extLst>
        </xdr:cNvPr>
        <xdr:cNvCxnSpPr/>
      </xdr:nvCxnSpPr>
      <xdr:spPr>
        <a:xfrm>
          <a:off x="6640387" y="26993850"/>
          <a:ext cx="0" cy="45720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38100</xdr:colOff>
      <xdr:row>114</xdr:row>
      <xdr:rowOff>161925</xdr:rowOff>
    </xdr:from>
    <xdr:to>
      <xdr:col>27</xdr:col>
      <xdr:colOff>69603</xdr:colOff>
      <xdr:row>116</xdr:row>
      <xdr:rowOff>206819</xdr:rowOff>
    </xdr:to>
    <xdr:cxnSp macro="">
      <xdr:nvCxnSpPr>
        <xdr:cNvPr id="432" name="直線コネクタ 431">
          <a:extLst>
            <a:ext uri="{FF2B5EF4-FFF2-40B4-BE49-F238E27FC236}">
              <a16:creationId xmlns:a16="http://schemas.microsoft.com/office/drawing/2014/main" id="{5BC44CB3-43A1-45A8-B9CC-A4A84CEEFC4B}"/>
            </a:ext>
          </a:extLst>
        </xdr:cNvPr>
        <xdr:cNvCxnSpPr/>
      </xdr:nvCxnSpPr>
      <xdr:spPr>
        <a:xfrm flipH="1">
          <a:off x="5295900" y="28565475"/>
          <a:ext cx="945903" cy="521144"/>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104775</xdr:colOff>
      <xdr:row>112</xdr:row>
      <xdr:rowOff>190500</xdr:rowOff>
    </xdr:from>
    <xdr:to>
      <xdr:col>30</xdr:col>
      <xdr:colOff>133350</xdr:colOff>
      <xdr:row>112</xdr:row>
      <xdr:rowOff>200025</xdr:rowOff>
    </xdr:to>
    <xdr:cxnSp macro="">
      <xdr:nvCxnSpPr>
        <xdr:cNvPr id="437" name="直線コネクタ 436">
          <a:extLst>
            <a:ext uri="{FF2B5EF4-FFF2-40B4-BE49-F238E27FC236}">
              <a16:creationId xmlns:a16="http://schemas.microsoft.com/office/drawing/2014/main" id="{6500C317-B705-48B3-9C09-C711F74AD141}"/>
            </a:ext>
          </a:extLst>
        </xdr:cNvPr>
        <xdr:cNvCxnSpPr/>
      </xdr:nvCxnSpPr>
      <xdr:spPr>
        <a:xfrm>
          <a:off x="6276975" y="28117800"/>
          <a:ext cx="714375" cy="952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29</xdr:col>
      <xdr:colOff>4407</xdr:colOff>
      <xdr:row>109</xdr:row>
      <xdr:rowOff>219075</xdr:rowOff>
    </xdr:from>
    <xdr:to>
      <xdr:col>29</xdr:col>
      <xdr:colOff>9525</xdr:colOff>
      <xdr:row>112</xdr:row>
      <xdr:rowOff>190500</xdr:rowOff>
    </xdr:to>
    <xdr:cxnSp macro="">
      <xdr:nvCxnSpPr>
        <xdr:cNvPr id="439" name="直線コネクタ 438">
          <a:extLst>
            <a:ext uri="{FF2B5EF4-FFF2-40B4-BE49-F238E27FC236}">
              <a16:creationId xmlns:a16="http://schemas.microsoft.com/office/drawing/2014/main" id="{76EBAD51-7063-4F9D-A5DD-461EC44424D1}"/>
            </a:ext>
          </a:extLst>
        </xdr:cNvPr>
        <xdr:cNvCxnSpPr/>
      </xdr:nvCxnSpPr>
      <xdr:spPr>
        <a:xfrm flipH="1">
          <a:off x="6633807" y="27432000"/>
          <a:ext cx="5118" cy="68580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166837</xdr:colOff>
      <xdr:row>110</xdr:row>
      <xdr:rowOff>9709</xdr:rowOff>
    </xdr:from>
    <xdr:to>
      <xdr:col>28</xdr:col>
      <xdr:colOff>227728</xdr:colOff>
      <xdr:row>111</xdr:row>
      <xdr:rowOff>26036</xdr:rowOff>
    </xdr:to>
    <xdr:sp macro="" textlink="">
      <xdr:nvSpPr>
        <xdr:cNvPr id="444" name="テキスト ボックス 443">
          <a:extLst>
            <a:ext uri="{FF2B5EF4-FFF2-40B4-BE49-F238E27FC236}">
              <a16:creationId xmlns:a16="http://schemas.microsoft.com/office/drawing/2014/main" id="{3AC1A682-5F05-499F-BF67-A79C7E1E9405}"/>
            </a:ext>
          </a:extLst>
        </xdr:cNvPr>
        <xdr:cNvSpPr txBox="1"/>
      </xdr:nvSpPr>
      <xdr:spPr>
        <a:xfrm>
          <a:off x="6339037" y="27460759"/>
          <a:ext cx="289491" cy="254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28</xdr:col>
      <xdr:colOff>191799</xdr:colOff>
      <xdr:row>111</xdr:row>
      <xdr:rowOff>42554</xdr:rowOff>
    </xdr:from>
    <xdr:to>
      <xdr:col>30</xdr:col>
      <xdr:colOff>24090</xdr:colOff>
      <xdr:row>112</xdr:row>
      <xdr:rowOff>58881</xdr:rowOff>
    </xdr:to>
    <xdr:sp macro="" textlink="">
      <xdr:nvSpPr>
        <xdr:cNvPr id="445" name="テキスト ボックス 444">
          <a:extLst>
            <a:ext uri="{FF2B5EF4-FFF2-40B4-BE49-F238E27FC236}">
              <a16:creationId xmlns:a16="http://schemas.microsoft.com/office/drawing/2014/main" id="{C92ECFA4-B90D-4ABA-A8FD-255D2E948905}"/>
            </a:ext>
          </a:extLst>
        </xdr:cNvPr>
        <xdr:cNvSpPr txBox="1"/>
      </xdr:nvSpPr>
      <xdr:spPr>
        <a:xfrm>
          <a:off x="6592599" y="27731729"/>
          <a:ext cx="289491" cy="254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27</xdr:col>
      <xdr:colOff>228041</xdr:colOff>
      <xdr:row>112</xdr:row>
      <xdr:rowOff>195883</xdr:rowOff>
    </xdr:from>
    <xdr:to>
      <xdr:col>29</xdr:col>
      <xdr:colOff>61261</xdr:colOff>
      <xdr:row>113</xdr:row>
      <xdr:rowOff>222896</xdr:rowOff>
    </xdr:to>
    <xdr:sp macro="" textlink="">
      <xdr:nvSpPr>
        <xdr:cNvPr id="446" name="テキスト ボックス 445">
          <a:extLst>
            <a:ext uri="{FF2B5EF4-FFF2-40B4-BE49-F238E27FC236}">
              <a16:creationId xmlns:a16="http://schemas.microsoft.com/office/drawing/2014/main" id="{4A05936E-2BE0-4315-9B75-C888DA2D13E9}"/>
            </a:ext>
          </a:extLst>
        </xdr:cNvPr>
        <xdr:cNvSpPr txBox="1"/>
      </xdr:nvSpPr>
      <xdr:spPr>
        <a:xfrm>
          <a:off x="6400241" y="28123183"/>
          <a:ext cx="290420" cy="265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25</xdr:col>
      <xdr:colOff>47310</xdr:colOff>
      <xdr:row>150</xdr:row>
      <xdr:rowOff>133953</xdr:rowOff>
    </xdr:from>
    <xdr:to>
      <xdr:col>26</xdr:col>
      <xdr:colOff>50281</xdr:colOff>
      <xdr:row>150</xdr:row>
      <xdr:rowOff>133953</xdr:rowOff>
    </xdr:to>
    <xdr:cxnSp macro="">
      <xdr:nvCxnSpPr>
        <xdr:cNvPr id="41" name="直線コネクタ 40">
          <a:extLst>
            <a:ext uri="{FF2B5EF4-FFF2-40B4-BE49-F238E27FC236}">
              <a16:creationId xmlns:a16="http://schemas.microsoft.com/office/drawing/2014/main" id="{114FA92C-FC46-4E69-BC6D-D707B6FC5E4A}"/>
            </a:ext>
          </a:extLst>
        </xdr:cNvPr>
        <xdr:cNvCxnSpPr/>
      </xdr:nvCxnSpPr>
      <xdr:spPr>
        <a:xfrm>
          <a:off x="5845136" y="37695583"/>
          <a:ext cx="234884" cy="0"/>
        </a:xfrm>
        <a:prstGeom prst="line">
          <a:avLst/>
        </a:prstGeom>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25</xdr:col>
      <xdr:colOff>51120</xdr:colOff>
      <xdr:row>152</xdr:row>
      <xdr:rowOff>197325</xdr:rowOff>
    </xdr:from>
    <xdr:to>
      <xdr:col>26</xdr:col>
      <xdr:colOff>54091</xdr:colOff>
      <xdr:row>152</xdr:row>
      <xdr:rowOff>197325</xdr:rowOff>
    </xdr:to>
    <xdr:cxnSp macro="">
      <xdr:nvCxnSpPr>
        <xdr:cNvPr id="42" name="直線コネクタ 41">
          <a:extLst>
            <a:ext uri="{FF2B5EF4-FFF2-40B4-BE49-F238E27FC236}">
              <a16:creationId xmlns:a16="http://schemas.microsoft.com/office/drawing/2014/main" id="{205EE0E1-0338-411D-8062-D506429EF3FC}"/>
            </a:ext>
          </a:extLst>
        </xdr:cNvPr>
        <xdr:cNvCxnSpPr/>
      </xdr:nvCxnSpPr>
      <xdr:spPr>
        <a:xfrm>
          <a:off x="5654061" y="37591354"/>
          <a:ext cx="227089" cy="0"/>
        </a:xfrm>
        <a:prstGeom prst="line">
          <a:avLst/>
        </a:prstGeom>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25</xdr:col>
      <xdr:colOff>123773</xdr:colOff>
      <xdr:row>150</xdr:row>
      <xdr:rowOff>157371</xdr:rowOff>
    </xdr:from>
    <xdr:to>
      <xdr:col>25</xdr:col>
      <xdr:colOff>123773</xdr:colOff>
      <xdr:row>152</xdr:row>
      <xdr:rowOff>207065</xdr:rowOff>
    </xdr:to>
    <xdr:cxnSp macro="">
      <xdr:nvCxnSpPr>
        <xdr:cNvPr id="43" name="直線コネクタ 42">
          <a:extLst>
            <a:ext uri="{FF2B5EF4-FFF2-40B4-BE49-F238E27FC236}">
              <a16:creationId xmlns:a16="http://schemas.microsoft.com/office/drawing/2014/main" id="{64B78865-7F97-4287-B7AA-E57F32A68DAC}"/>
            </a:ext>
          </a:extLst>
        </xdr:cNvPr>
        <xdr:cNvCxnSpPr/>
      </xdr:nvCxnSpPr>
      <xdr:spPr>
        <a:xfrm>
          <a:off x="5921599" y="37719001"/>
          <a:ext cx="0" cy="530086"/>
        </a:xfrm>
        <a:prstGeom prst="line">
          <a:avLst/>
        </a:prstGeom>
        <a:ln w="9525" cap="flat" cmpd="sng" algn="ctr">
          <a:solidFill>
            <a:srgbClr val="FF0000"/>
          </a:solidFill>
          <a:prstDash val="solid"/>
          <a:round/>
          <a:headEnd type="arrow"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24</xdr:col>
      <xdr:colOff>144430</xdr:colOff>
      <xdr:row>151</xdr:row>
      <xdr:rowOff>14646</xdr:rowOff>
    </xdr:from>
    <xdr:to>
      <xdr:col>26</xdr:col>
      <xdr:colOff>83234</xdr:colOff>
      <xdr:row>152</xdr:row>
      <xdr:rowOff>33322</xdr:rowOff>
    </xdr:to>
    <xdr:sp macro="" textlink="">
      <xdr:nvSpPr>
        <xdr:cNvPr id="44" name="テキスト ボックス 43">
          <a:extLst>
            <a:ext uri="{FF2B5EF4-FFF2-40B4-BE49-F238E27FC236}">
              <a16:creationId xmlns:a16="http://schemas.microsoft.com/office/drawing/2014/main" id="{74E0FB93-ADEF-40BF-810C-63F6C0855049}"/>
            </a:ext>
          </a:extLst>
        </xdr:cNvPr>
        <xdr:cNvSpPr txBox="1"/>
      </xdr:nvSpPr>
      <xdr:spPr>
        <a:xfrm>
          <a:off x="5710343" y="37816472"/>
          <a:ext cx="402630" cy="258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i="1" baseline="0">
              <a:solidFill>
                <a:srgbClr val="FF0000"/>
              </a:solidFill>
              <a:latin typeface="Times New Roman" panose="02020603050405020304" pitchFamily="18" charset="0"/>
            </a:rPr>
            <a:t>x</a:t>
          </a:r>
          <a:endParaRPr kumimoji="1" lang="ja-JP" altLang="en-US" sz="1100" b="0" i="1" baseline="0">
            <a:solidFill>
              <a:srgbClr val="FF0000"/>
            </a:solidFill>
            <a:latin typeface="Times New Roman" panose="02020603050405020304" pitchFamily="18" charset="0"/>
          </a:endParaRPr>
        </a:p>
      </xdr:txBody>
    </xdr:sp>
    <xdr:clientData/>
  </xdr:twoCellAnchor>
  <xdr:twoCellAnchor>
    <xdr:from>
      <xdr:col>27</xdr:col>
      <xdr:colOff>91109</xdr:colOff>
      <xdr:row>150</xdr:row>
      <xdr:rowOff>146834</xdr:rowOff>
    </xdr:from>
    <xdr:to>
      <xdr:col>29</xdr:col>
      <xdr:colOff>22960</xdr:colOff>
      <xdr:row>150</xdr:row>
      <xdr:rowOff>149087</xdr:rowOff>
    </xdr:to>
    <xdr:cxnSp macro="">
      <xdr:nvCxnSpPr>
        <xdr:cNvPr id="50" name="直線コネクタ 49">
          <a:extLst>
            <a:ext uri="{FF2B5EF4-FFF2-40B4-BE49-F238E27FC236}">
              <a16:creationId xmlns:a16="http://schemas.microsoft.com/office/drawing/2014/main" id="{9012B7E0-7A30-44C2-9253-845F67512BFE}"/>
            </a:ext>
          </a:extLst>
        </xdr:cNvPr>
        <xdr:cNvCxnSpPr/>
      </xdr:nvCxnSpPr>
      <xdr:spPr>
        <a:xfrm flipH="1">
          <a:off x="6352761" y="37708464"/>
          <a:ext cx="395677" cy="2253"/>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78442</xdr:colOff>
      <xdr:row>152</xdr:row>
      <xdr:rowOff>197320</xdr:rowOff>
    </xdr:from>
    <xdr:to>
      <xdr:col>30</xdr:col>
      <xdr:colOff>89646</xdr:colOff>
      <xdr:row>152</xdr:row>
      <xdr:rowOff>197320</xdr:rowOff>
    </xdr:to>
    <xdr:cxnSp macro="">
      <xdr:nvCxnSpPr>
        <xdr:cNvPr id="417" name="直線コネクタ 416">
          <a:extLst>
            <a:ext uri="{FF2B5EF4-FFF2-40B4-BE49-F238E27FC236}">
              <a16:creationId xmlns:a16="http://schemas.microsoft.com/office/drawing/2014/main" id="{EB201D82-9286-40C1-ACBD-A72009D4CFB5}"/>
            </a:ext>
          </a:extLst>
        </xdr:cNvPr>
        <xdr:cNvCxnSpPr/>
      </xdr:nvCxnSpPr>
      <xdr:spPr>
        <a:xfrm>
          <a:off x="6129618" y="37591349"/>
          <a:ext cx="683557" cy="0"/>
        </a:xfrm>
        <a:prstGeom prst="line">
          <a:avLst/>
        </a:prstGeom>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23</xdr:col>
      <xdr:colOff>220274</xdr:colOff>
      <xdr:row>154</xdr:row>
      <xdr:rowOff>8887</xdr:rowOff>
    </xdr:from>
    <xdr:to>
      <xdr:col>26</xdr:col>
      <xdr:colOff>99472</xdr:colOff>
      <xdr:row>155</xdr:row>
      <xdr:rowOff>22950</xdr:rowOff>
    </xdr:to>
    <xdr:sp macro="" textlink="">
      <xdr:nvSpPr>
        <xdr:cNvPr id="418" name="テキスト ボックス 417">
          <a:extLst>
            <a:ext uri="{FF2B5EF4-FFF2-40B4-BE49-F238E27FC236}">
              <a16:creationId xmlns:a16="http://schemas.microsoft.com/office/drawing/2014/main" id="{2EEBBC45-7212-43B5-A642-679AA7B3CBFC}"/>
            </a:ext>
          </a:extLst>
        </xdr:cNvPr>
        <xdr:cNvSpPr txBox="1"/>
      </xdr:nvSpPr>
      <xdr:spPr>
        <a:xfrm>
          <a:off x="5374980" y="37895975"/>
          <a:ext cx="551551" cy="249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1.45m</a:t>
          </a:r>
          <a:endParaRPr kumimoji="1" lang="ja-JP" altLang="en-US" sz="1100"/>
        </a:p>
      </xdr:txBody>
    </xdr:sp>
    <xdr:clientData/>
  </xdr:twoCellAnchor>
  <xdr:twoCellAnchor>
    <xdr:from>
      <xdr:col>26</xdr:col>
      <xdr:colOff>83608</xdr:colOff>
      <xdr:row>148</xdr:row>
      <xdr:rowOff>156272</xdr:rowOff>
    </xdr:from>
    <xdr:to>
      <xdr:col>28</xdr:col>
      <xdr:colOff>25860</xdr:colOff>
      <xdr:row>149</xdr:row>
      <xdr:rowOff>170801</xdr:rowOff>
    </xdr:to>
    <xdr:sp macro="" textlink="">
      <xdr:nvSpPr>
        <xdr:cNvPr id="419" name="テキスト ボックス 418">
          <a:extLst>
            <a:ext uri="{FF2B5EF4-FFF2-40B4-BE49-F238E27FC236}">
              <a16:creationId xmlns:a16="http://schemas.microsoft.com/office/drawing/2014/main" id="{75E8164A-BDFB-4704-A64F-C2A7ECF680AA}"/>
            </a:ext>
          </a:extLst>
        </xdr:cNvPr>
        <xdr:cNvSpPr txBox="1"/>
      </xdr:nvSpPr>
      <xdr:spPr>
        <a:xfrm>
          <a:off x="5910667" y="36609007"/>
          <a:ext cx="390487" cy="249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a:t>
          </a:r>
          <a:endParaRPr kumimoji="1" lang="ja-JP" altLang="en-US" sz="1100">
            <a:solidFill>
              <a:srgbClr val="FF0000"/>
            </a:solidFill>
          </a:endParaRPr>
        </a:p>
      </xdr:txBody>
    </xdr:sp>
    <xdr:clientData/>
  </xdr:twoCellAnchor>
  <xdr:twoCellAnchor>
    <xdr:from>
      <xdr:col>26</xdr:col>
      <xdr:colOff>70001</xdr:colOff>
      <xdr:row>156</xdr:row>
      <xdr:rowOff>55044</xdr:rowOff>
    </xdr:from>
    <xdr:to>
      <xdr:col>28</xdr:col>
      <xdr:colOff>8589</xdr:colOff>
      <xdr:row>157</xdr:row>
      <xdr:rowOff>61845</xdr:rowOff>
    </xdr:to>
    <xdr:sp macro="" textlink="">
      <xdr:nvSpPr>
        <xdr:cNvPr id="420" name="テキスト ボックス 419">
          <a:extLst>
            <a:ext uri="{FF2B5EF4-FFF2-40B4-BE49-F238E27FC236}">
              <a16:creationId xmlns:a16="http://schemas.microsoft.com/office/drawing/2014/main" id="{E6D3FC85-557A-464A-9B13-6AEBD958B70E}"/>
            </a:ext>
          </a:extLst>
        </xdr:cNvPr>
        <xdr:cNvSpPr txBox="1"/>
      </xdr:nvSpPr>
      <xdr:spPr>
        <a:xfrm>
          <a:off x="5897060" y="38412779"/>
          <a:ext cx="386823" cy="242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B</a:t>
          </a:r>
          <a:endParaRPr kumimoji="1" lang="ja-JP" altLang="en-US" sz="1100">
            <a:solidFill>
              <a:srgbClr val="FF0000"/>
            </a:solidFill>
          </a:endParaRPr>
        </a:p>
      </xdr:txBody>
    </xdr:sp>
    <xdr:clientData/>
  </xdr:twoCellAnchor>
  <xdr:twoCellAnchor>
    <xdr:from>
      <xdr:col>27</xdr:col>
      <xdr:colOff>67236</xdr:colOff>
      <xdr:row>147</xdr:row>
      <xdr:rowOff>185695</xdr:rowOff>
    </xdr:from>
    <xdr:to>
      <xdr:col>35</xdr:col>
      <xdr:colOff>42673</xdr:colOff>
      <xdr:row>147</xdr:row>
      <xdr:rowOff>185695</xdr:rowOff>
    </xdr:to>
    <xdr:cxnSp macro="">
      <xdr:nvCxnSpPr>
        <xdr:cNvPr id="421" name="直線コネクタ 420">
          <a:extLst>
            <a:ext uri="{FF2B5EF4-FFF2-40B4-BE49-F238E27FC236}">
              <a16:creationId xmlns:a16="http://schemas.microsoft.com/office/drawing/2014/main" id="{C97AAD24-D9D4-4EBA-8BB5-E609C223D5A9}"/>
            </a:ext>
          </a:extLst>
        </xdr:cNvPr>
        <xdr:cNvCxnSpPr/>
      </xdr:nvCxnSpPr>
      <xdr:spPr>
        <a:xfrm>
          <a:off x="6118412" y="36403107"/>
          <a:ext cx="176837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33618</xdr:colOff>
      <xdr:row>153</xdr:row>
      <xdr:rowOff>125291</xdr:rowOff>
    </xdr:from>
    <xdr:to>
      <xdr:col>27</xdr:col>
      <xdr:colOff>65763</xdr:colOff>
      <xdr:row>153</xdr:row>
      <xdr:rowOff>125291</xdr:rowOff>
    </xdr:to>
    <xdr:cxnSp macro="">
      <xdr:nvCxnSpPr>
        <xdr:cNvPr id="423" name="直線コネクタ 422">
          <a:extLst>
            <a:ext uri="{FF2B5EF4-FFF2-40B4-BE49-F238E27FC236}">
              <a16:creationId xmlns:a16="http://schemas.microsoft.com/office/drawing/2014/main" id="{6BB1F0FB-75F2-4727-A326-41198384136A}"/>
            </a:ext>
          </a:extLst>
        </xdr:cNvPr>
        <xdr:cNvCxnSpPr/>
      </xdr:nvCxnSpPr>
      <xdr:spPr>
        <a:xfrm>
          <a:off x="5188324" y="37754644"/>
          <a:ext cx="92861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164937</xdr:colOff>
      <xdr:row>153</xdr:row>
      <xdr:rowOff>132927</xdr:rowOff>
    </xdr:from>
    <xdr:to>
      <xdr:col>26</xdr:col>
      <xdr:colOff>33532</xdr:colOff>
      <xdr:row>153</xdr:row>
      <xdr:rowOff>233864</xdr:rowOff>
    </xdr:to>
    <xdr:cxnSp macro="">
      <xdr:nvCxnSpPr>
        <xdr:cNvPr id="430" name="直線コネクタ 429">
          <a:extLst>
            <a:ext uri="{FF2B5EF4-FFF2-40B4-BE49-F238E27FC236}">
              <a16:creationId xmlns:a16="http://schemas.microsoft.com/office/drawing/2014/main" id="{F1243E7E-D5DD-49E4-A81D-0631C03E24B4}"/>
            </a:ext>
          </a:extLst>
        </xdr:cNvPr>
        <xdr:cNvCxnSpPr/>
      </xdr:nvCxnSpPr>
      <xdr:spPr>
        <a:xfrm>
          <a:off x="5767878" y="37762280"/>
          <a:ext cx="92713" cy="10093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116211</xdr:colOff>
      <xdr:row>153</xdr:row>
      <xdr:rowOff>134771</xdr:rowOff>
    </xdr:from>
    <xdr:to>
      <xdr:col>25</xdr:col>
      <xdr:colOff>214814</xdr:colOff>
      <xdr:row>153</xdr:row>
      <xdr:rowOff>235708</xdr:rowOff>
    </xdr:to>
    <xdr:cxnSp macro="">
      <xdr:nvCxnSpPr>
        <xdr:cNvPr id="431" name="直線コネクタ 430">
          <a:extLst>
            <a:ext uri="{FF2B5EF4-FFF2-40B4-BE49-F238E27FC236}">
              <a16:creationId xmlns:a16="http://schemas.microsoft.com/office/drawing/2014/main" id="{2DD12341-32BA-4FCE-9691-7F9A4154D89B}"/>
            </a:ext>
          </a:extLst>
        </xdr:cNvPr>
        <xdr:cNvCxnSpPr/>
      </xdr:nvCxnSpPr>
      <xdr:spPr>
        <a:xfrm>
          <a:off x="5719152" y="37764124"/>
          <a:ext cx="98603" cy="10093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117126</xdr:colOff>
      <xdr:row>153</xdr:row>
      <xdr:rowOff>189335</xdr:rowOff>
    </xdr:from>
    <xdr:to>
      <xdr:col>25</xdr:col>
      <xdr:colOff>150190</xdr:colOff>
      <xdr:row>153</xdr:row>
      <xdr:rowOff>217820</xdr:rowOff>
    </xdr:to>
    <xdr:cxnSp macro="">
      <xdr:nvCxnSpPr>
        <xdr:cNvPr id="433" name="直線コネクタ 432">
          <a:extLst>
            <a:ext uri="{FF2B5EF4-FFF2-40B4-BE49-F238E27FC236}">
              <a16:creationId xmlns:a16="http://schemas.microsoft.com/office/drawing/2014/main" id="{FE236F5F-22F0-42AF-A48A-E5786CFF886F}"/>
            </a:ext>
          </a:extLst>
        </xdr:cNvPr>
        <xdr:cNvCxnSpPr/>
      </xdr:nvCxnSpPr>
      <xdr:spPr>
        <a:xfrm flipH="1">
          <a:off x="5720067" y="37818688"/>
          <a:ext cx="33064" cy="2848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138818</xdr:colOff>
      <xdr:row>153</xdr:row>
      <xdr:rowOff>204292</xdr:rowOff>
    </xdr:from>
    <xdr:to>
      <xdr:col>25</xdr:col>
      <xdr:colOff>170474</xdr:colOff>
      <xdr:row>153</xdr:row>
      <xdr:rowOff>235018</xdr:rowOff>
    </xdr:to>
    <xdr:cxnSp macro="">
      <xdr:nvCxnSpPr>
        <xdr:cNvPr id="434" name="直線コネクタ 433">
          <a:extLst>
            <a:ext uri="{FF2B5EF4-FFF2-40B4-BE49-F238E27FC236}">
              <a16:creationId xmlns:a16="http://schemas.microsoft.com/office/drawing/2014/main" id="{EB89AFC0-6C91-4B93-BB34-223BE36ED170}"/>
            </a:ext>
          </a:extLst>
        </xdr:cNvPr>
        <xdr:cNvCxnSpPr/>
      </xdr:nvCxnSpPr>
      <xdr:spPr>
        <a:xfrm flipH="1">
          <a:off x="5741759" y="37833645"/>
          <a:ext cx="3165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19835</xdr:colOff>
      <xdr:row>153</xdr:row>
      <xdr:rowOff>140797</xdr:rowOff>
    </xdr:from>
    <xdr:to>
      <xdr:col>25</xdr:col>
      <xdr:colOff>108098</xdr:colOff>
      <xdr:row>153</xdr:row>
      <xdr:rowOff>241734</xdr:rowOff>
    </xdr:to>
    <xdr:cxnSp macro="">
      <xdr:nvCxnSpPr>
        <xdr:cNvPr id="435" name="直線コネクタ 434">
          <a:extLst>
            <a:ext uri="{FF2B5EF4-FFF2-40B4-BE49-F238E27FC236}">
              <a16:creationId xmlns:a16="http://schemas.microsoft.com/office/drawing/2014/main" id="{0B287D04-CDE8-4DC9-90A1-C768E4B3C192}"/>
            </a:ext>
          </a:extLst>
        </xdr:cNvPr>
        <xdr:cNvCxnSpPr/>
      </xdr:nvCxnSpPr>
      <xdr:spPr>
        <a:xfrm>
          <a:off x="5622776" y="37770150"/>
          <a:ext cx="88263" cy="10093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201117</xdr:colOff>
      <xdr:row>153</xdr:row>
      <xdr:rowOff>142641</xdr:rowOff>
    </xdr:from>
    <xdr:to>
      <xdr:col>25</xdr:col>
      <xdr:colOff>63501</xdr:colOff>
      <xdr:row>153</xdr:row>
      <xdr:rowOff>243578</xdr:rowOff>
    </xdr:to>
    <xdr:cxnSp macro="">
      <xdr:nvCxnSpPr>
        <xdr:cNvPr id="436" name="直線コネクタ 435">
          <a:extLst>
            <a:ext uri="{FF2B5EF4-FFF2-40B4-BE49-F238E27FC236}">
              <a16:creationId xmlns:a16="http://schemas.microsoft.com/office/drawing/2014/main" id="{6B7644BD-FA69-47C5-BAB8-045713E19100}"/>
            </a:ext>
          </a:extLst>
        </xdr:cNvPr>
        <xdr:cNvCxnSpPr/>
      </xdr:nvCxnSpPr>
      <xdr:spPr>
        <a:xfrm>
          <a:off x="5579941" y="37771994"/>
          <a:ext cx="86501" cy="10093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201153</xdr:colOff>
      <xdr:row>153</xdr:row>
      <xdr:rowOff>194403</xdr:rowOff>
    </xdr:from>
    <xdr:to>
      <xdr:col>25</xdr:col>
      <xdr:colOff>3279</xdr:colOff>
      <xdr:row>153</xdr:row>
      <xdr:rowOff>225690</xdr:rowOff>
    </xdr:to>
    <xdr:cxnSp macro="">
      <xdr:nvCxnSpPr>
        <xdr:cNvPr id="438" name="直線コネクタ 437">
          <a:extLst>
            <a:ext uri="{FF2B5EF4-FFF2-40B4-BE49-F238E27FC236}">
              <a16:creationId xmlns:a16="http://schemas.microsoft.com/office/drawing/2014/main" id="{1DEF0F5E-DB9A-40F5-A204-3E49304FC604}"/>
            </a:ext>
          </a:extLst>
        </xdr:cNvPr>
        <xdr:cNvCxnSpPr/>
      </xdr:nvCxnSpPr>
      <xdr:spPr>
        <a:xfrm flipH="1">
          <a:off x="5579977" y="37823756"/>
          <a:ext cx="26243" cy="312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221437</xdr:colOff>
      <xdr:row>153</xdr:row>
      <xdr:rowOff>212162</xdr:rowOff>
    </xdr:from>
    <xdr:to>
      <xdr:col>25</xdr:col>
      <xdr:colOff>23563</xdr:colOff>
      <xdr:row>153</xdr:row>
      <xdr:rowOff>242888</xdr:rowOff>
    </xdr:to>
    <xdr:cxnSp macro="">
      <xdr:nvCxnSpPr>
        <xdr:cNvPr id="440" name="直線コネクタ 439">
          <a:extLst>
            <a:ext uri="{FF2B5EF4-FFF2-40B4-BE49-F238E27FC236}">
              <a16:creationId xmlns:a16="http://schemas.microsoft.com/office/drawing/2014/main" id="{8B90D100-F929-4FD1-951B-8C7BA7C9D8EB}"/>
            </a:ext>
          </a:extLst>
        </xdr:cNvPr>
        <xdr:cNvCxnSpPr/>
      </xdr:nvCxnSpPr>
      <xdr:spPr>
        <a:xfrm flipH="1">
          <a:off x="5600261" y="37841515"/>
          <a:ext cx="26243"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129280</xdr:colOff>
      <xdr:row>147</xdr:row>
      <xdr:rowOff>199514</xdr:rowOff>
    </xdr:from>
    <xdr:to>
      <xdr:col>30</xdr:col>
      <xdr:colOff>217995</xdr:colOff>
      <xdr:row>148</xdr:row>
      <xdr:rowOff>46829</xdr:rowOff>
    </xdr:to>
    <xdr:cxnSp macro="">
      <xdr:nvCxnSpPr>
        <xdr:cNvPr id="441" name="直線コネクタ 440">
          <a:extLst>
            <a:ext uri="{FF2B5EF4-FFF2-40B4-BE49-F238E27FC236}">
              <a16:creationId xmlns:a16="http://schemas.microsoft.com/office/drawing/2014/main" id="{8E34FC81-BCC2-4512-BF10-D0D55F8F47D6}"/>
            </a:ext>
          </a:extLst>
        </xdr:cNvPr>
        <xdr:cNvCxnSpPr/>
      </xdr:nvCxnSpPr>
      <xdr:spPr>
        <a:xfrm>
          <a:off x="6852809" y="36416926"/>
          <a:ext cx="88715"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81962</xdr:colOff>
      <xdr:row>147</xdr:row>
      <xdr:rowOff>201358</xdr:rowOff>
    </xdr:from>
    <xdr:to>
      <xdr:col>30</xdr:col>
      <xdr:colOff>167956</xdr:colOff>
      <xdr:row>148</xdr:row>
      <xdr:rowOff>48673</xdr:rowOff>
    </xdr:to>
    <xdr:cxnSp macro="">
      <xdr:nvCxnSpPr>
        <xdr:cNvPr id="442" name="直線コネクタ 441">
          <a:extLst>
            <a:ext uri="{FF2B5EF4-FFF2-40B4-BE49-F238E27FC236}">
              <a16:creationId xmlns:a16="http://schemas.microsoft.com/office/drawing/2014/main" id="{E568BDB6-20A8-47FB-9437-DE14FED01305}"/>
            </a:ext>
          </a:extLst>
        </xdr:cNvPr>
        <xdr:cNvCxnSpPr/>
      </xdr:nvCxnSpPr>
      <xdr:spPr>
        <a:xfrm>
          <a:off x="6805491" y="36418770"/>
          <a:ext cx="8599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81998</xdr:colOff>
      <xdr:row>148</xdr:row>
      <xdr:rowOff>6867</xdr:rowOff>
    </xdr:from>
    <xdr:to>
      <xdr:col>30</xdr:col>
      <xdr:colOff>112724</xdr:colOff>
      <xdr:row>148</xdr:row>
      <xdr:rowOff>28068</xdr:rowOff>
    </xdr:to>
    <xdr:cxnSp macro="">
      <xdr:nvCxnSpPr>
        <xdr:cNvPr id="443" name="直線コネクタ 442">
          <a:extLst>
            <a:ext uri="{FF2B5EF4-FFF2-40B4-BE49-F238E27FC236}">
              <a16:creationId xmlns:a16="http://schemas.microsoft.com/office/drawing/2014/main" id="{37B3A504-0B05-4949-975A-5AF0D8ACDF0F}"/>
            </a:ext>
          </a:extLst>
        </xdr:cNvPr>
        <xdr:cNvCxnSpPr/>
      </xdr:nvCxnSpPr>
      <xdr:spPr>
        <a:xfrm flipH="1">
          <a:off x="6805527" y="36459602"/>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102282</xdr:colOff>
      <xdr:row>148</xdr:row>
      <xdr:rowOff>24065</xdr:rowOff>
    </xdr:from>
    <xdr:to>
      <xdr:col>30</xdr:col>
      <xdr:colOff>133008</xdr:colOff>
      <xdr:row>148</xdr:row>
      <xdr:rowOff>47988</xdr:rowOff>
    </xdr:to>
    <xdr:cxnSp macro="">
      <xdr:nvCxnSpPr>
        <xdr:cNvPr id="447" name="直線コネクタ 446">
          <a:extLst>
            <a:ext uri="{FF2B5EF4-FFF2-40B4-BE49-F238E27FC236}">
              <a16:creationId xmlns:a16="http://schemas.microsoft.com/office/drawing/2014/main" id="{B3BB023E-06BC-4DE4-8605-0437FB52D850}"/>
            </a:ext>
          </a:extLst>
        </xdr:cNvPr>
        <xdr:cNvCxnSpPr/>
      </xdr:nvCxnSpPr>
      <xdr:spPr>
        <a:xfrm flipH="1">
          <a:off x="6825811" y="36476800"/>
          <a:ext cx="3072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49144</xdr:colOff>
      <xdr:row>147</xdr:row>
      <xdr:rowOff>195025</xdr:rowOff>
    </xdr:from>
    <xdr:to>
      <xdr:col>31</xdr:col>
      <xdr:colOff>134104</xdr:colOff>
      <xdr:row>148</xdr:row>
      <xdr:rowOff>42340</xdr:rowOff>
    </xdr:to>
    <xdr:cxnSp macro="">
      <xdr:nvCxnSpPr>
        <xdr:cNvPr id="448" name="直線コネクタ 447">
          <a:extLst>
            <a:ext uri="{FF2B5EF4-FFF2-40B4-BE49-F238E27FC236}">
              <a16:creationId xmlns:a16="http://schemas.microsoft.com/office/drawing/2014/main" id="{CA267281-48CC-48A7-8B25-813EF0D7FB31}"/>
            </a:ext>
          </a:extLst>
        </xdr:cNvPr>
        <xdr:cNvCxnSpPr/>
      </xdr:nvCxnSpPr>
      <xdr:spPr>
        <a:xfrm>
          <a:off x="6996791" y="36412437"/>
          <a:ext cx="84960"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1826</xdr:colOff>
      <xdr:row>147</xdr:row>
      <xdr:rowOff>196869</xdr:rowOff>
    </xdr:from>
    <xdr:to>
      <xdr:col>31</xdr:col>
      <xdr:colOff>91268</xdr:colOff>
      <xdr:row>148</xdr:row>
      <xdr:rowOff>44184</xdr:rowOff>
    </xdr:to>
    <xdr:cxnSp macro="">
      <xdr:nvCxnSpPr>
        <xdr:cNvPr id="449" name="直線コネクタ 448">
          <a:extLst>
            <a:ext uri="{FF2B5EF4-FFF2-40B4-BE49-F238E27FC236}">
              <a16:creationId xmlns:a16="http://schemas.microsoft.com/office/drawing/2014/main" id="{98817F51-79E0-4464-90AE-2F68DC903BB9}"/>
            </a:ext>
          </a:extLst>
        </xdr:cNvPr>
        <xdr:cNvCxnSpPr/>
      </xdr:nvCxnSpPr>
      <xdr:spPr>
        <a:xfrm>
          <a:off x="6949473" y="36414281"/>
          <a:ext cx="89442"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1862</xdr:colOff>
      <xdr:row>148</xdr:row>
      <xdr:rowOff>2373</xdr:rowOff>
    </xdr:from>
    <xdr:to>
      <xdr:col>31</xdr:col>
      <xdr:colOff>32588</xdr:colOff>
      <xdr:row>148</xdr:row>
      <xdr:rowOff>33099</xdr:rowOff>
    </xdr:to>
    <xdr:cxnSp macro="">
      <xdr:nvCxnSpPr>
        <xdr:cNvPr id="450" name="直線コネクタ 449">
          <a:extLst>
            <a:ext uri="{FF2B5EF4-FFF2-40B4-BE49-F238E27FC236}">
              <a16:creationId xmlns:a16="http://schemas.microsoft.com/office/drawing/2014/main" id="{251F924D-693B-4E00-A440-1F4269763D7F}"/>
            </a:ext>
          </a:extLst>
        </xdr:cNvPr>
        <xdr:cNvCxnSpPr/>
      </xdr:nvCxnSpPr>
      <xdr:spPr>
        <a:xfrm flipH="1">
          <a:off x="6949509" y="36455108"/>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17664</xdr:colOff>
      <xdr:row>148</xdr:row>
      <xdr:rowOff>19571</xdr:rowOff>
    </xdr:from>
    <xdr:to>
      <xdr:col>31</xdr:col>
      <xdr:colOff>52872</xdr:colOff>
      <xdr:row>148</xdr:row>
      <xdr:rowOff>43494</xdr:rowOff>
    </xdr:to>
    <xdr:cxnSp macro="">
      <xdr:nvCxnSpPr>
        <xdr:cNvPr id="451" name="直線コネクタ 450">
          <a:extLst>
            <a:ext uri="{FF2B5EF4-FFF2-40B4-BE49-F238E27FC236}">
              <a16:creationId xmlns:a16="http://schemas.microsoft.com/office/drawing/2014/main" id="{858BF6D6-CAD7-4868-BFA4-34236B350934}"/>
            </a:ext>
          </a:extLst>
        </xdr:cNvPr>
        <xdr:cNvCxnSpPr/>
      </xdr:nvCxnSpPr>
      <xdr:spPr>
        <a:xfrm flipH="1">
          <a:off x="6965311" y="36472306"/>
          <a:ext cx="35208"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109257</xdr:colOff>
      <xdr:row>147</xdr:row>
      <xdr:rowOff>28875</xdr:rowOff>
    </xdr:from>
    <xdr:to>
      <xdr:col>29</xdr:col>
      <xdr:colOff>4149</xdr:colOff>
      <xdr:row>147</xdr:row>
      <xdr:rowOff>28875</xdr:rowOff>
    </xdr:to>
    <xdr:cxnSp macro="">
      <xdr:nvCxnSpPr>
        <xdr:cNvPr id="452" name="直線コネクタ 451">
          <a:extLst>
            <a:ext uri="{FF2B5EF4-FFF2-40B4-BE49-F238E27FC236}">
              <a16:creationId xmlns:a16="http://schemas.microsoft.com/office/drawing/2014/main" id="{573DBA7F-FE3F-4D43-9DBA-A2DA17BAF4AE}"/>
            </a:ext>
          </a:extLst>
        </xdr:cNvPr>
        <xdr:cNvCxnSpPr/>
      </xdr:nvCxnSpPr>
      <xdr:spPr>
        <a:xfrm>
          <a:off x="6160433" y="36246287"/>
          <a:ext cx="343128" cy="0"/>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94810</xdr:colOff>
      <xdr:row>147</xdr:row>
      <xdr:rowOff>193482</xdr:rowOff>
    </xdr:from>
    <xdr:to>
      <xdr:col>27</xdr:col>
      <xdr:colOff>94810</xdr:colOff>
      <xdr:row>157</xdr:row>
      <xdr:rowOff>149760</xdr:rowOff>
    </xdr:to>
    <xdr:cxnSp macro="">
      <xdr:nvCxnSpPr>
        <xdr:cNvPr id="453" name="直線コネクタ 452">
          <a:extLst>
            <a:ext uri="{FF2B5EF4-FFF2-40B4-BE49-F238E27FC236}">
              <a16:creationId xmlns:a16="http://schemas.microsoft.com/office/drawing/2014/main" id="{15868E2C-B884-4B9B-8AFB-54630F504E6B}"/>
            </a:ext>
          </a:extLst>
        </xdr:cNvPr>
        <xdr:cNvCxnSpPr/>
      </xdr:nvCxnSpPr>
      <xdr:spPr>
        <a:xfrm>
          <a:off x="6145986" y="36410894"/>
          <a:ext cx="0" cy="2331925"/>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31</xdr:col>
      <xdr:colOff>176893</xdr:colOff>
      <xdr:row>150</xdr:row>
      <xdr:rowOff>144104</xdr:rowOff>
    </xdr:from>
    <xdr:to>
      <xdr:col>34</xdr:col>
      <xdr:colOff>190503</xdr:colOff>
      <xdr:row>150</xdr:row>
      <xdr:rowOff>144104</xdr:rowOff>
    </xdr:to>
    <xdr:cxnSp macro="">
      <xdr:nvCxnSpPr>
        <xdr:cNvPr id="454" name="直線コネクタ 453">
          <a:extLst>
            <a:ext uri="{FF2B5EF4-FFF2-40B4-BE49-F238E27FC236}">
              <a16:creationId xmlns:a16="http://schemas.microsoft.com/office/drawing/2014/main" id="{F9DEFC6F-41E8-48E3-8947-E996C04488DD}"/>
            </a:ext>
          </a:extLst>
        </xdr:cNvPr>
        <xdr:cNvCxnSpPr/>
      </xdr:nvCxnSpPr>
      <xdr:spPr>
        <a:xfrm>
          <a:off x="7124540" y="37067486"/>
          <a:ext cx="685963"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163286</xdr:colOff>
      <xdr:row>148</xdr:row>
      <xdr:rowOff>182037</xdr:rowOff>
    </xdr:from>
    <xdr:to>
      <xdr:col>35</xdr:col>
      <xdr:colOff>33621</xdr:colOff>
      <xdr:row>148</xdr:row>
      <xdr:rowOff>182037</xdr:rowOff>
    </xdr:to>
    <xdr:cxnSp macro="">
      <xdr:nvCxnSpPr>
        <xdr:cNvPr id="455" name="直線コネクタ 454">
          <a:extLst>
            <a:ext uri="{FF2B5EF4-FFF2-40B4-BE49-F238E27FC236}">
              <a16:creationId xmlns:a16="http://schemas.microsoft.com/office/drawing/2014/main" id="{BBFCD3AD-42C3-4379-B1ED-8C01492DC942}"/>
            </a:ext>
          </a:extLst>
        </xdr:cNvPr>
        <xdr:cNvCxnSpPr/>
      </xdr:nvCxnSpPr>
      <xdr:spPr>
        <a:xfrm>
          <a:off x="7110933" y="36634772"/>
          <a:ext cx="766806"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104775</xdr:colOff>
      <xdr:row>153</xdr:row>
      <xdr:rowOff>152563</xdr:rowOff>
    </xdr:from>
    <xdr:to>
      <xdr:col>30</xdr:col>
      <xdr:colOff>171452</xdr:colOff>
      <xdr:row>155</xdr:row>
      <xdr:rowOff>68477</xdr:rowOff>
    </xdr:to>
    <xdr:cxnSp macro="">
      <xdr:nvCxnSpPr>
        <xdr:cNvPr id="456" name="直線コネクタ 455">
          <a:extLst>
            <a:ext uri="{FF2B5EF4-FFF2-40B4-BE49-F238E27FC236}">
              <a16:creationId xmlns:a16="http://schemas.microsoft.com/office/drawing/2014/main" id="{D780BB12-17E9-414C-B28B-33B09DBCA942}"/>
            </a:ext>
          </a:extLst>
        </xdr:cNvPr>
        <xdr:cNvCxnSpPr/>
      </xdr:nvCxnSpPr>
      <xdr:spPr>
        <a:xfrm flipH="1">
          <a:off x="6155951" y="37781916"/>
          <a:ext cx="739030" cy="408973"/>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0</xdr:colOff>
      <xdr:row>150</xdr:row>
      <xdr:rowOff>132805</xdr:rowOff>
    </xdr:from>
    <xdr:to>
      <xdr:col>30</xdr:col>
      <xdr:colOff>180977</xdr:colOff>
      <xdr:row>153</xdr:row>
      <xdr:rowOff>149421</xdr:rowOff>
    </xdr:to>
    <xdr:cxnSp macro="">
      <xdr:nvCxnSpPr>
        <xdr:cNvPr id="457" name="直線コネクタ 456">
          <a:extLst>
            <a:ext uri="{FF2B5EF4-FFF2-40B4-BE49-F238E27FC236}">
              <a16:creationId xmlns:a16="http://schemas.microsoft.com/office/drawing/2014/main" id="{C60C3EAA-EA3B-4D4B-A20B-A732E4B8A98E}"/>
            </a:ext>
          </a:extLst>
        </xdr:cNvPr>
        <xdr:cNvCxnSpPr/>
      </xdr:nvCxnSpPr>
      <xdr:spPr>
        <a:xfrm flipH="1" flipV="1">
          <a:off x="6499412" y="37056187"/>
          <a:ext cx="405094" cy="722587"/>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editAs="absolute">
    <xdr:from>
      <xdr:col>31</xdr:col>
      <xdr:colOff>22412</xdr:colOff>
      <xdr:row>147</xdr:row>
      <xdr:rowOff>150072</xdr:rowOff>
    </xdr:from>
    <xdr:to>
      <xdr:col>35</xdr:col>
      <xdr:colOff>9524</xdr:colOff>
      <xdr:row>148</xdr:row>
      <xdr:rowOff>179870</xdr:rowOff>
    </xdr:to>
    <xdr:sp macro="" textlink="">
      <xdr:nvSpPr>
        <xdr:cNvPr id="458" name="テキスト ボックス 457">
          <a:extLst>
            <a:ext uri="{FF2B5EF4-FFF2-40B4-BE49-F238E27FC236}">
              <a16:creationId xmlns:a16="http://schemas.microsoft.com/office/drawing/2014/main" id="{ED9E1F2D-7324-4829-9890-5A49B3020C14}"/>
            </a:ext>
          </a:extLst>
        </xdr:cNvPr>
        <xdr:cNvSpPr txBox="1"/>
      </xdr:nvSpPr>
      <xdr:spPr>
        <a:xfrm>
          <a:off x="7109012" y="35516397"/>
          <a:ext cx="901512" cy="267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 </a:t>
          </a:r>
          <a:r>
            <a:rPr kumimoji="1" lang="en-US" altLang="ja-JP" sz="1100"/>
            <a:t>1.00m</a:t>
          </a:r>
          <a:endParaRPr kumimoji="1" lang="ja-JP" altLang="en-US" sz="1100"/>
        </a:p>
      </xdr:txBody>
    </xdr:sp>
    <xdr:clientData/>
  </xdr:twoCellAnchor>
  <xdr:twoCellAnchor>
    <xdr:from>
      <xdr:col>24</xdr:col>
      <xdr:colOff>29138</xdr:colOff>
      <xdr:row>148</xdr:row>
      <xdr:rowOff>106328</xdr:rowOff>
    </xdr:from>
    <xdr:to>
      <xdr:col>26</xdr:col>
      <xdr:colOff>125921</xdr:colOff>
      <xdr:row>148</xdr:row>
      <xdr:rowOff>106328</xdr:rowOff>
    </xdr:to>
    <xdr:cxnSp macro="">
      <xdr:nvCxnSpPr>
        <xdr:cNvPr id="459" name="直線コネクタ 458">
          <a:extLst>
            <a:ext uri="{FF2B5EF4-FFF2-40B4-BE49-F238E27FC236}">
              <a16:creationId xmlns:a16="http://schemas.microsoft.com/office/drawing/2014/main" id="{7B372C7A-C6D7-4D1E-9DE7-B5A08CEBDBA8}"/>
            </a:ext>
          </a:extLst>
        </xdr:cNvPr>
        <xdr:cNvCxnSpPr/>
      </xdr:nvCxnSpPr>
      <xdr:spPr>
        <a:xfrm>
          <a:off x="5407962" y="36559063"/>
          <a:ext cx="54501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48188</xdr:colOff>
      <xdr:row>149</xdr:row>
      <xdr:rowOff>22815</xdr:rowOff>
    </xdr:from>
    <xdr:to>
      <xdr:col>26</xdr:col>
      <xdr:colOff>115895</xdr:colOff>
      <xdr:row>149</xdr:row>
      <xdr:rowOff>22815</xdr:rowOff>
    </xdr:to>
    <xdr:cxnSp macro="">
      <xdr:nvCxnSpPr>
        <xdr:cNvPr id="460" name="直線コネクタ 459">
          <a:extLst>
            <a:ext uri="{FF2B5EF4-FFF2-40B4-BE49-F238E27FC236}">
              <a16:creationId xmlns:a16="http://schemas.microsoft.com/office/drawing/2014/main" id="{1D3FEA90-99AF-42F7-B436-B1FBA05E8BC9}"/>
            </a:ext>
          </a:extLst>
        </xdr:cNvPr>
        <xdr:cNvCxnSpPr/>
      </xdr:nvCxnSpPr>
      <xdr:spPr>
        <a:xfrm>
          <a:off x="5427012" y="36710874"/>
          <a:ext cx="5159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123916</xdr:colOff>
      <xdr:row>148</xdr:row>
      <xdr:rowOff>108423</xdr:rowOff>
    </xdr:from>
    <xdr:to>
      <xdr:col>26</xdr:col>
      <xdr:colOff>123916</xdr:colOff>
      <xdr:row>149</xdr:row>
      <xdr:rowOff>23200</xdr:rowOff>
    </xdr:to>
    <xdr:cxnSp macro="">
      <xdr:nvCxnSpPr>
        <xdr:cNvPr id="461" name="直線コネクタ 460">
          <a:extLst>
            <a:ext uri="{FF2B5EF4-FFF2-40B4-BE49-F238E27FC236}">
              <a16:creationId xmlns:a16="http://schemas.microsoft.com/office/drawing/2014/main" id="{DD15DB38-105A-4D94-8DBD-B60DC2E3626F}"/>
            </a:ext>
          </a:extLst>
        </xdr:cNvPr>
        <xdr:cNvCxnSpPr/>
      </xdr:nvCxnSpPr>
      <xdr:spPr>
        <a:xfrm>
          <a:off x="5950975" y="36561158"/>
          <a:ext cx="0" cy="1501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151130</xdr:colOff>
      <xdr:row>148</xdr:row>
      <xdr:rowOff>101019</xdr:rowOff>
    </xdr:from>
    <xdr:to>
      <xdr:col>26</xdr:col>
      <xdr:colOff>151130</xdr:colOff>
      <xdr:row>149</xdr:row>
      <xdr:rowOff>36986</xdr:rowOff>
    </xdr:to>
    <xdr:cxnSp macro="">
      <xdr:nvCxnSpPr>
        <xdr:cNvPr id="462" name="直線コネクタ 461">
          <a:extLst>
            <a:ext uri="{FF2B5EF4-FFF2-40B4-BE49-F238E27FC236}">
              <a16:creationId xmlns:a16="http://schemas.microsoft.com/office/drawing/2014/main" id="{EC20D65C-203B-41E8-9814-048058633BA4}"/>
            </a:ext>
          </a:extLst>
        </xdr:cNvPr>
        <xdr:cNvCxnSpPr/>
      </xdr:nvCxnSpPr>
      <xdr:spPr>
        <a:xfrm>
          <a:off x="5978189" y="36553754"/>
          <a:ext cx="0" cy="17129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65405</xdr:colOff>
      <xdr:row>148</xdr:row>
      <xdr:rowOff>101019</xdr:rowOff>
    </xdr:from>
    <xdr:to>
      <xdr:col>27</xdr:col>
      <xdr:colOff>65405</xdr:colOff>
      <xdr:row>149</xdr:row>
      <xdr:rowOff>36986</xdr:rowOff>
    </xdr:to>
    <xdr:cxnSp macro="">
      <xdr:nvCxnSpPr>
        <xdr:cNvPr id="463" name="直線コネクタ 462">
          <a:extLst>
            <a:ext uri="{FF2B5EF4-FFF2-40B4-BE49-F238E27FC236}">
              <a16:creationId xmlns:a16="http://schemas.microsoft.com/office/drawing/2014/main" id="{A2565D26-D1EB-4825-BB8D-C8ACD299DB93}"/>
            </a:ext>
          </a:extLst>
        </xdr:cNvPr>
        <xdr:cNvCxnSpPr/>
      </xdr:nvCxnSpPr>
      <xdr:spPr>
        <a:xfrm>
          <a:off x="6116581" y="36553754"/>
          <a:ext cx="0" cy="17129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150060</xdr:colOff>
      <xdr:row>148</xdr:row>
      <xdr:rowOff>183863</xdr:rowOff>
    </xdr:from>
    <xdr:to>
      <xdr:col>27</xdr:col>
      <xdr:colOff>60934</xdr:colOff>
      <xdr:row>148</xdr:row>
      <xdr:rowOff>183863</xdr:rowOff>
    </xdr:to>
    <xdr:cxnSp macro="">
      <xdr:nvCxnSpPr>
        <xdr:cNvPr id="464" name="直線コネクタ 463">
          <a:extLst>
            <a:ext uri="{FF2B5EF4-FFF2-40B4-BE49-F238E27FC236}">
              <a16:creationId xmlns:a16="http://schemas.microsoft.com/office/drawing/2014/main" id="{D1D3FA88-66F5-436E-BD07-53B09EEA64F3}"/>
            </a:ext>
          </a:extLst>
        </xdr:cNvPr>
        <xdr:cNvCxnSpPr/>
      </xdr:nvCxnSpPr>
      <xdr:spPr>
        <a:xfrm>
          <a:off x="5977119" y="36636598"/>
          <a:ext cx="13499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31</xdr:col>
      <xdr:colOff>37682</xdr:colOff>
      <xdr:row>148</xdr:row>
      <xdr:rowOff>219550</xdr:rowOff>
    </xdr:from>
    <xdr:to>
      <xdr:col>35</xdr:col>
      <xdr:colOff>4481</xdr:colOff>
      <xdr:row>150</xdr:row>
      <xdr:rowOff>3916</xdr:rowOff>
    </xdr:to>
    <xdr:sp macro="" textlink="">
      <xdr:nvSpPr>
        <xdr:cNvPr id="465" name="テキスト ボックス 464">
          <a:extLst>
            <a:ext uri="{FF2B5EF4-FFF2-40B4-BE49-F238E27FC236}">
              <a16:creationId xmlns:a16="http://schemas.microsoft.com/office/drawing/2014/main" id="{A199CE5B-E6D1-46E3-8E89-F84431038699}"/>
            </a:ext>
          </a:extLst>
        </xdr:cNvPr>
        <xdr:cNvSpPr txBox="1"/>
      </xdr:nvSpPr>
      <xdr:spPr>
        <a:xfrm>
          <a:off x="7124282" y="35824000"/>
          <a:ext cx="881199" cy="260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 </a:t>
          </a:r>
          <a:r>
            <a:rPr kumimoji="1" lang="en-US" altLang="ja-JP" sz="1100"/>
            <a:t>1.50m</a:t>
          </a:r>
          <a:endParaRPr kumimoji="1" lang="ja-JP" altLang="en-US" sz="1100"/>
        </a:p>
      </xdr:txBody>
    </xdr:sp>
    <xdr:clientData/>
  </xdr:twoCellAnchor>
  <xdr:twoCellAnchor>
    <xdr:from>
      <xdr:col>27</xdr:col>
      <xdr:colOff>26720</xdr:colOff>
      <xdr:row>156</xdr:row>
      <xdr:rowOff>16287</xdr:rowOff>
    </xdr:from>
    <xdr:to>
      <xdr:col>27</xdr:col>
      <xdr:colOff>153600</xdr:colOff>
      <xdr:row>156</xdr:row>
      <xdr:rowOff>145968</xdr:rowOff>
    </xdr:to>
    <xdr:sp macro="" textlink="">
      <xdr:nvSpPr>
        <xdr:cNvPr id="466" name="楕円 465">
          <a:extLst>
            <a:ext uri="{FF2B5EF4-FFF2-40B4-BE49-F238E27FC236}">
              <a16:creationId xmlns:a16="http://schemas.microsoft.com/office/drawing/2014/main" id="{CEBC5A37-0BAE-432F-A795-BA69F3051090}"/>
            </a:ext>
          </a:extLst>
        </xdr:cNvPr>
        <xdr:cNvSpPr/>
      </xdr:nvSpPr>
      <xdr:spPr>
        <a:xfrm>
          <a:off x="6077896" y="38374022"/>
          <a:ext cx="126880" cy="129681"/>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204107</xdr:colOff>
      <xdr:row>153</xdr:row>
      <xdr:rowOff>119747</xdr:rowOff>
    </xdr:from>
    <xdr:to>
      <xdr:col>34</xdr:col>
      <xdr:colOff>168092</xdr:colOff>
      <xdr:row>153</xdr:row>
      <xdr:rowOff>119747</xdr:rowOff>
    </xdr:to>
    <xdr:cxnSp macro="">
      <xdr:nvCxnSpPr>
        <xdr:cNvPr id="467" name="直線コネクタ 466">
          <a:extLst>
            <a:ext uri="{FF2B5EF4-FFF2-40B4-BE49-F238E27FC236}">
              <a16:creationId xmlns:a16="http://schemas.microsoft.com/office/drawing/2014/main" id="{E4AA6027-35D5-4D18-9041-DE1354D3621B}"/>
            </a:ext>
          </a:extLst>
        </xdr:cNvPr>
        <xdr:cNvCxnSpPr/>
      </xdr:nvCxnSpPr>
      <xdr:spPr>
        <a:xfrm>
          <a:off x="7151754" y="37749100"/>
          <a:ext cx="636338"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29</xdr:col>
      <xdr:colOff>0</xdr:colOff>
      <xdr:row>147</xdr:row>
      <xdr:rowOff>29932</xdr:rowOff>
    </xdr:from>
    <xdr:to>
      <xdr:col>29</xdr:col>
      <xdr:colOff>10987</xdr:colOff>
      <xdr:row>148</xdr:row>
      <xdr:rowOff>193317</xdr:rowOff>
    </xdr:to>
    <xdr:cxnSp macro="">
      <xdr:nvCxnSpPr>
        <xdr:cNvPr id="468" name="直線コネクタ 467">
          <a:extLst>
            <a:ext uri="{FF2B5EF4-FFF2-40B4-BE49-F238E27FC236}">
              <a16:creationId xmlns:a16="http://schemas.microsoft.com/office/drawing/2014/main" id="{A18A24E3-2E8E-4392-AA8B-7CC0723AD769}"/>
            </a:ext>
          </a:extLst>
        </xdr:cNvPr>
        <xdr:cNvCxnSpPr/>
      </xdr:nvCxnSpPr>
      <xdr:spPr>
        <a:xfrm flipH="1">
          <a:off x="6499412" y="36247344"/>
          <a:ext cx="10987" cy="398708"/>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92790</xdr:colOff>
      <xdr:row>147</xdr:row>
      <xdr:rowOff>18726</xdr:rowOff>
    </xdr:from>
    <xdr:to>
      <xdr:col>27</xdr:col>
      <xdr:colOff>92790</xdr:colOff>
      <xdr:row>147</xdr:row>
      <xdr:rowOff>200603</xdr:rowOff>
    </xdr:to>
    <xdr:cxnSp macro="">
      <xdr:nvCxnSpPr>
        <xdr:cNvPr id="469" name="直線コネクタ 468">
          <a:extLst>
            <a:ext uri="{FF2B5EF4-FFF2-40B4-BE49-F238E27FC236}">
              <a16:creationId xmlns:a16="http://schemas.microsoft.com/office/drawing/2014/main" id="{EEE627AD-2094-48B1-8A19-B081AE76F5C6}"/>
            </a:ext>
          </a:extLst>
        </xdr:cNvPr>
        <xdr:cNvCxnSpPr/>
      </xdr:nvCxnSpPr>
      <xdr:spPr>
        <a:xfrm>
          <a:off x="6143966" y="36236138"/>
          <a:ext cx="0" cy="181877"/>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9527</xdr:colOff>
      <xdr:row>157</xdr:row>
      <xdr:rowOff>147097</xdr:rowOff>
    </xdr:from>
    <xdr:to>
      <xdr:col>27</xdr:col>
      <xdr:colOff>114302</xdr:colOff>
      <xdr:row>157</xdr:row>
      <xdr:rowOff>147097</xdr:rowOff>
    </xdr:to>
    <xdr:cxnSp macro="">
      <xdr:nvCxnSpPr>
        <xdr:cNvPr id="470" name="直線コネクタ 469">
          <a:extLst>
            <a:ext uri="{FF2B5EF4-FFF2-40B4-BE49-F238E27FC236}">
              <a16:creationId xmlns:a16="http://schemas.microsoft.com/office/drawing/2014/main" id="{0760A373-39D2-4B6D-AB20-FFFB9BECA425}"/>
            </a:ext>
          </a:extLst>
        </xdr:cNvPr>
        <xdr:cNvCxnSpPr/>
      </xdr:nvCxnSpPr>
      <xdr:spPr>
        <a:xfrm>
          <a:off x="5164233" y="38740156"/>
          <a:ext cx="1001245" cy="0"/>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34</xdr:col>
      <xdr:colOff>152400</xdr:colOff>
      <xdr:row>147</xdr:row>
      <xdr:rowOff>199228</xdr:rowOff>
    </xdr:from>
    <xdr:to>
      <xdr:col>34</xdr:col>
      <xdr:colOff>152400</xdr:colOff>
      <xdr:row>148</xdr:row>
      <xdr:rowOff>197987</xdr:rowOff>
    </xdr:to>
    <xdr:cxnSp macro="">
      <xdr:nvCxnSpPr>
        <xdr:cNvPr id="471" name="直線矢印コネクタ 470">
          <a:extLst>
            <a:ext uri="{FF2B5EF4-FFF2-40B4-BE49-F238E27FC236}">
              <a16:creationId xmlns:a16="http://schemas.microsoft.com/office/drawing/2014/main" id="{F64F4D4D-6525-485A-BAF5-0462190326DF}"/>
            </a:ext>
          </a:extLst>
        </xdr:cNvPr>
        <xdr:cNvCxnSpPr/>
      </xdr:nvCxnSpPr>
      <xdr:spPr>
        <a:xfrm>
          <a:off x="7772400" y="36416640"/>
          <a:ext cx="0" cy="234082"/>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152400</xdr:colOff>
      <xdr:row>148</xdr:row>
      <xdr:rowOff>220650</xdr:rowOff>
    </xdr:from>
    <xdr:to>
      <xdr:col>34</xdr:col>
      <xdr:colOff>152400</xdr:colOff>
      <xdr:row>150</xdr:row>
      <xdr:rowOff>100327</xdr:rowOff>
    </xdr:to>
    <xdr:cxnSp macro="">
      <xdr:nvCxnSpPr>
        <xdr:cNvPr id="472" name="直線矢印コネクタ 471">
          <a:extLst>
            <a:ext uri="{FF2B5EF4-FFF2-40B4-BE49-F238E27FC236}">
              <a16:creationId xmlns:a16="http://schemas.microsoft.com/office/drawing/2014/main" id="{5A3CAEBD-B0DC-4771-B340-A0B9A3CE05F2}"/>
            </a:ext>
          </a:extLst>
        </xdr:cNvPr>
        <xdr:cNvCxnSpPr/>
      </xdr:nvCxnSpPr>
      <xdr:spPr>
        <a:xfrm>
          <a:off x="7772400" y="36673385"/>
          <a:ext cx="0" cy="35032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152400</xdr:colOff>
      <xdr:row>150</xdr:row>
      <xdr:rowOff>161380</xdr:rowOff>
    </xdr:from>
    <xdr:to>
      <xdr:col>34</xdr:col>
      <xdr:colOff>152400</xdr:colOff>
      <xdr:row>153</xdr:row>
      <xdr:rowOff>142330</xdr:rowOff>
    </xdr:to>
    <xdr:cxnSp macro="">
      <xdr:nvCxnSpPr>
        <xdr:cNvPr id="473" name="直線矢印コネクタ 472">
          <a:extLst>
            <a:ext uri="{FF2B5EF4-FFF2-40B4-BE49-F238E27FC236}">
              <a16:creationId xmlns:a16="http://schemas.microsoft.com/office/drawing/2014/main" id="{117B1E16-AFAA-425D-BFA0-55220751BA1C}"/>
            </a:ext>
          </a:extLst>
        </xdr:cNvPr>
        <xdr:cNvCxnSpPr/>
      </xdr:nvCxnSpPr>
      <xdr:spPr>
        <a:xfrm>
          <a:off x="7772400" y="37084762"/>
          <a:ext cx="0" cy="68692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65942</xdr:colOff>
      <xdr:row>153</xdr:row>
      <xdr:rowOff>138666</xdr:rowOff>
    </xdr:from>
    <xdr:to>
      <xdr:col>26</xdr:col>
      <xdr:colOff>65942</xdr:colOff>
      <xdr:row>155</xdr:row>
      <xdr:rowOff>62768</xdr:rowOff>
    </xdr:to>
    <xdr:cxnSp macro="">
      <xdr:nvCxnSpPr>
        <xdr:cNvPr id="474" name="直線矢印コネクタ 473">
          <a:extLst>
            <a:ext uri="{FF2B5EF4-FFF2-40B4-BE49-F238E27FC236}">
              <a16:creationId xmlns:a16="http://schemas.microsoft.com/office/drawing/2014/main" id="{3BE64404-EBB1-439C-B037-DD1FF48F3CE3}"/>
            </a:ext>
          </a:extLst>
        </xdr:cNvPr>
        <xdr:cNvCxnSpPr/>
      </xdr:nvCxnSpPr>
      <xdr:spPr>
        <a:xfrm>
          <a:off x="5893001" y="37768019"/>
          <a:ext cx="0" cy="41716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180975</xdr:colOff>
      <xdr:row>155</xdr:row>
      <xdr:rowOff>59235</xdr:rowOff>
    </xdr:from>
    <xdr:to>
      <xdr:col>26</xdr:col>
      <xdr:colOff>196667</xdr:colOff>
      <xdr:row>155</xdr:row>
      <xdr:rowOff>59235</xdr:rowOff>
    </xdr:to>
    <xdr:cxnSp macro="">
      <xdr:nvCxnSpPr>
        <xdr:cNvPr id="475" name="直線コネクタ 474">
          <a:extLst>
            <a:ext uri="{FF2B5EF4-FFF2-40B4-BE49-F238E27FC236}">
              <a16:creationId xmlns:a16="http://schemas.microsoft.com/office/drawing/2014/main" id="{BCCB5C09-BE47-40A7-A9D9-7414B8962F3C}"/>
            </a:ext>
          </a:extLst>
        </xdr:cNvPr>
        <xdr:cNvCxnSpPr/>
      </xdr:nvCxnSpPr>
      <xdr:spPr>
        <a:xfrm>
          <a:off x="5783916" y="38181647"/>
          <a:ext cx="239810"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76200</xdr:colOff>
      <xdr:row>151</xdr:row>
      <xdr:rowOff>94705</xdr:rowOff>
    </xdr:from>
    <xdr:to>
      <xdr:col>35</xdr:col>
      <xdr:colOff>0</xdr:colOff>
      <xdr:row>152</xdr:row>
      <xdr:rowOff>103376</xdr:rowOff>
    </xdr:to>
    <xdr:sp macro="" textlink="">
      <xdr:nvSpPr>
        <xdr:cNvPr id="481" name="テキスト ボックス 480">
          <a:extLst>
            <a:ext uri="{FF2B5EF4-FFF2-40B4-BE49-F238E27FC236}">
              <a16:creationId xmlns:a16="http://schemas.microsoft.com/office/drawing/2014/main" id="{36AE5DF8-EB07-44AE-9A75-3C3527E02480}"/>
            </a:ext>
          </a:extLst>
        </xdr:cNvPr>
        <xdr:cNvSpPr txBox="1"/>
      </xdr:nvSpPr>
      <xdr:spPr>
        <a:xfrm>
          <a:off x="7023847" y="37253411"/>
          <a:ext cx="820271" cy="243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a:t>
          </a:r>
          <a:r>
            <a:rPr kumimoji="1" lang="ja-JP" altLang="en-US" sz="1100"/>
            <a:t>層 </a:t>
          </a:r>
          <a:r>
            <a:rPr kumimoji="1" lang="en-US" altLang="ja-JP" sz="1100"/>
            <a:t>2.50m</a:t>
          </a:r>
          <a:endParaRPr kumimoji="1" lang="ja-JP" altLang="en-US" sz="1100"/>
        </a:p>
      </xdr:txBody>
    </xdr:sp>
    <xdr:clientData/>
  </xdr:twoCellAnchor>
  <xdr:twoCellAnchor>
    <xdr:from>
      <xdr:col>31</xdr:col>
      <xdr:colOff>90853</xdr:colOff>
      <xdr:row>153</xdr:row>
      <xdr:rowOff>209134</xdr:rowOff>
    </xdr:from>
    <xdr:to>
      <xdr:col>35</xdr:col>
      <xdr:colOff>9525</xdr:colOff>
      <xdr:row>154</xdr:row>
      <xdr:rowOff>214444</xdr:rowOff>
    </xdr:to>
    <xdr:sp macro="" textlink="">
      <xdr:nvSpPr>
        <xdr:cNvPr id="482" name="テキスト ボックス 481">
          <a:extLst>
            <a:ext uri="{FF2B5EF4-FFF2-40B4-BE49-F238E27FC236}">
              <a16:creationId xmlns:a16="http://schemas.microsoft.com/office/drawing/2014/main" id="{AF7C584B-A448-4ACD-9D6F-C043E0904C6D}"/>
            </a:ext>
          </a:extLst>
        </xdr:cNvPr>
        <xdr:cNvSpPr txBox="1"/>
      </xdr:nvSpPr>
      <xdr:spPr>
        <a:xfrm>
          <a:off x="7038500" y="37838487"/>
          <a:ext cx="815143" cy="263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4'</a:t>
          </a:r>
          <a:r>
            <a:rPr kumimoji="1" lang="ja-JP" altLang="en-US" sz="1100"/>
            <a:t>層 </a:t>
          </a:r>
          <a:r>
            <a:rPr kumimoji="1" lang="en-US" altLang="ja-JP" sz="1100"/>
            <a:t>2.48m</a:t>
          </a:r>
          <a:endParaRPr kumimoji="1" lang="ja-JP" altLang="en-US" sz="1100"/>
        </a:p>
      </xdr:txBody>
    </xdr:sp>
    <xdr:clientData/>
  </xdr:twoCellAnchor>
  <xdr:twoCellAnchor>
    <xdr:from>
      <xdr:col>31</xdr:col>
      <xdr:colOff>204107</xdr:colOff>
      <xdr:row>156</xdr:row>
      <xdr:rowOff>97335</xdr:rowOff>
    </xdr:from>
    <xdr:to>
      <xdr:col>34</xdr:col>
      <xdr:colOff>168092</xdr:colOff>
      <xdr:row>156</xdr:row>
      <xdr:rowOff>97335</xdr:rowOff>
    </xdr:to>
    <xdr:cxnSp macro="">
      <xdr:nvCxnSpPr>
        <xdr:cNvPr id="483" name="直線コネクタ 482">
          <a:extLst>
            <a:ext uri="{FF2B5EF4-FFF2-40B4-BE49-F238E27FC236}">
              <a16:creationId xmlns:a16="http://schemas.microsoft.com/office/drawing/2014/main" id="{45FC2627-8D72-48BD-B6D5-8F78E424FFD0}"/>
            </a:ext>
          </a:extLst>
        </xdr:cNvPr>
        <xdr:cNvCxnSpPr/>
      </xdr:nvCxnSpPr>
      <xdr:spPr>
        <a:xfrm>
          <a:off x="7151754" y="38455070"/>
          <a:ext cx="636338"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34</xdr:col>
      <xdr:colOff>151667</xdr:colOff>
      <xdr:row>153</xdr:row>
      <xdr:rowOff>138666</xdr:rowOff>
    </xdr:from>
    <xdr:to>
      <xdr:col>34</xdr:col>
      <xdr:colOff>152400</xdr:colOff>
      <xdr:row>156</xdr:row>
      <xdr:rowOff>91343</xdr:rowOff>
    </xdr:to>
    <xdr:cxnSp macro="">
      <xdr:nvCxnSpPr>
        <xdr:cNvPr id="484" name="直線矢印コネクタ 483">
          <a:extLst>
            <a:ext uri="{FF2B5EF4-FFF2-40B4-BE49-F238E27FC236}">
              <a16:creationId xmlns:a16="http://schemas.microsoft.com/office/drawing/2014/main" id="{E79AEE29-2339-4FBF-B656-07C8558BFAB2}"/>
            </a:ext>
          </a:extLst>
        </xdr:cNvPr>
        <xdr:cNvCxnSpPr/>
      </xdr:nvCxnSpPr>
      <xdr:spPr>
        <a:xfrm>
          <a:off x="7771667" y="37768019"/>
          <a:ext cx="733" cy="681059"/>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118782</xdr:colOff>
      <xdr:row>148</xdr:row>
      <xdr:rowOff>187999</xdr:rowOff>
    </xdr:from>
    <xdr:to>
      <xdr:col>29</xdr:col>
      <xdr:colOff>13674</xdr:colOff>
      <xdr:row>148</xdr:row>
      <xdr:rowOff>187999</xdr:rowOff>
    </xdr:to>
    <xdr:cxnSp macro="">
      <xdr:nvCxnSpPr>
        <xdr:cNvPr id="485" name="直線コネクタ 484">
          <a:extLst>
            <a:ext uri="{FF2B5EF4-FFF2-40B4-BE49-F238E27FC236}">
              <a16:creationId xmlns:a16="http://schemas.microsoft.com/office/drawing/2014/main" id="{E7049FE8-0027-4F88-BBB5-9C6D288AA812}"/>
            </a:ext>
          </a:extLst>
        </xdr:cNvPr>
        <xdr:cNvCxnSpPr/>
      </xdr:nvCxnSpPr>
      <xdr:spPr>
        <a:xfrm>
          <a:off x="6169958" y="36640734"/>
          <a:ext cx="343128"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10987</xdr:colOff>
      <xdr:row>148</xdr:row>
      <xdr:rowOff>183792</xdr:rowOff>
    </xdr:from>
    <xdr:to>
      <xdr:col>29</xdr:col>
      <xdr:colOff>10987</xdr:colOff>
      <xdr:row>150</xdr:row>
      <xdr:rowOff>168104</xdr:rowOff>
    </xdr:to>
    <xdr:cxnSp macro="">
      <xdr:nvCxnSpPr>
        <xdr:cNvPr id="486" name="直線コネクタ 485">
          <a:extLst>
            <a:ext uri="{FF2B5EF4-FFF2-40B4-BE49-F238E27FC236}">
              <a16:creationId xmlns:a16="http://schemas.microsoft.com/office/drawing/2014/main" id="{61C8598B-7ED8-47CA-A78C-34555222A734}"/>
            </a:ext>
          </a:extLst>
        </xdr:cNvPr>
        <xdr:cNvCxnSpPr/>
      </xdr:nvCxnSpPr>
      <xdr:spPr>
        <a:xfrm>
          <a:off x="6510399" y="36636527"/>
          <a:ext cx="0" cy="454959"/>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23</xdr:col>
      <xdr:colOff>38100</xdr:colOff>
      <xdr:row>155</xdr:row>
      <xdr:rowOff>72293</xdr:rowOff>
    </xdr:from>
    <xdr:to>
      <xdr:col>27</xdr:col>
      <xdr:colOff>69603</xdr:colOff>
      <xdr:row>157</xdr:row>
      <xdr:rowOff>117187</xdr:rowOff>
    </xdr:to>
    <xdr:cxnSp macro="">
      <xdr:nvCxnSpPr>
        <xdr:cNvPr id="487" name="直線コネクタ 486">
          <a:extLst>
            <a:ext uri="{FF2B5EF4-FFF2-40B4-BE49-F238E27FC236}">
              <a16:creationId xmlns:a16="http://schemas.microsoft.com/office/drawing/2014/main" id="{1915450E-8E31-41C2-AA15-9873C39322B9}"/>
            </a:ext>
          </a:extLst>
        </xdr:cNvPr>
        <xdr:cNvCxnSpPr/>
      </xdr:nvCxnSpPr>
      <xdr:spPr>
        <a:xfrm flipH="1">
          <a:off x="5192806" y="38194705"/>
          <a:ext cx="927973" cy="515541"/>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29</xdr:col>
      <xdr:colOff>9525</xdr:colOff>
      <xdr:row>149</xdr:row>
      <xdr:rowOff>230294</xdr:rowOff>
    </xdr:from>
    <xdr:to>
      <xdr:col>29</xdr:col>
      <xdr:colOff>9525</xdr:colOff>
      <xdr:row>152</xdr:row>
      <xdr:rowOff>201705</xdr:rowOff>
    </xdr:to>
    <xdr:cxnSp macro="">
      <xdr:nvCxnSpPr>
        <xdr:cNvPr id="489" name="直線コネクタ 488">
          <a:extLst>
            <a:ext uri="{FF2B5EF4-FFF2-40B4-BE49-F238E27FC236}">
              <a16:creationId xmlns:a16="http://schemas.microsoft.com/office/drawing/2014/main" id="{A13C6572-534C-4B71-9CD3-DFDF3F4C7808}"/>
            </a:ext>
          </a:extLst>
        </xdr:cNvPr>
        <xdr:cNvCxnSpPr/>
      </xdr:nvCxnSpPr>
      <xdr:spPr>
        <a:xfrm>
          <a:off x="6508937" y="36918353"/>
          <a:ext cx="0" cy="677381"/>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125424</xdr:colOff>
      <xdr:row>149</xdr:row>
      <xdr:rowOff>61856</xdr:rowOff>
    </xdr:from>
    <xdr:to>
      <xdr:col>28</xdr:col>
      <xdr:colOff>194110</xdr:colOff>
      <xdr:row>150</xdr:row>
      <xdr:rowOff>78183</xdr:rowOff>
    </xdr:to>
    <xdr:sp macro="" textlink="">
      <xdr:nvSpPr>
        <xdr:cNvPr id="490" name="テキスト ボックス 489">
          <a:extLst>
            <a:ext uri="{FF2B5EF4-FFF2-40B4-BE49-F238E27FC236}">
              <a16:creationId xmlns:a16="http://schemas.microsoft.com/office/drawing/2014/main" id="{872766AF-A11F-42EB-A6CA-D01E4CB1F2EB}"/>
            </a:ext>
          </a:extLst>
        </xdr:cNvPr>
        <xdr:cNvSpPr txBox="1"/>
      </xdr:nvSpPr>
      <xdr:spPr>
        <a:xfrm>
          <a:off x="6387076" y="37383291"/>
          <a:ext cx="300599" cy="256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27</xdr:col>
      <xdr:colOff>126494</xdr:colOff>
      <xdr:row>151</xdr:row>
      <xdr:rowOff>51694</xdr:rowOff>
    </xdr:from>
    <xdr:to>
      <xdr:col>28</xdr:col>
      <xdr:colOff>190698</xdr:colOff>
      <xdr:row>152</xdr:row>
      <xdr:rowOff>68022</xdr:rowOff>
    </xdr:to>
    <xdr:sp macro="" textlink="">
      <xdr:nvSpPr>
        <xdr:cNvPr id="491" name="テキスト ボックス 490">
          <a:extLst>
            <a:ext uri="{FF2B5EF4-FFF2-40B4-BE49-F238E27FC236}">
              <a16:creationId xmlns:a16="http://schemas.microsoft.com/office/drawing/2014/main" id="{C4F0533F-52B7-4931-9237-3F7ECDE9C177}"/>
            </a:ext>
          </a:extLst>
        </xdr:cNvPr>
        <xdr:cNvSpPr txBox="1"/>
      </xdr:nvSpPr>
      <xdr:spPr>
        <a:xfrm>
          <a:off x="6388146" y="37853520"/>
          <a:ext cx="296117" cy="256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28</xdr:col>
      <xdr:colOff>179502</xdr:colOff>
      <xdr:row>151</xdr:row>
      <xdr:rowOff>162681</xdr:rowOff>
    </xdr:from>
    <xdr:to>
      <xdr:col>30</xdr:col>
      <xdr:colOff>11793</xdr:colOff>
      <xdr:row>152</xdr:row>
      <xdr:rowOff>179009</xdr:rowOff>
    </xdr:to>
    <xdr:sp macro="" textlink="">
      <xdr:nvSpPr>
        <xdr:cNvPr id="501" name="テキスト ボックス 500">
          <a:extLst>
            <a:ext uri="{FF2B5EF4-FFF2-40B4-BE49-F238E27FC236}">
              <a16:creationId xmlns:a16="http://schemas.microsoft.com/office/drawing/2014/main" id="{08B73A4A-B21B-46F9-84FC-0BE06CC18E5C}"/>
            </a:ext>
          </a:extLst>
        </xdr:cNvPr>
        <xdr:cNvSpPr txBox="1"/>
      </xdr:nvSpPr>
      <xdr:spPr>
        <a:xfrm>
          <a:off x="6673067" y="37964507"/>
          <a:ext cx="296117" cy="2565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25</xdr:col>
      <xdr:colOff>85725</xdr:colOff>
      <xdr:row>96</xdr:row>
      <xdr:rowOff>200025</xdr:rowOff>
    </xdr:from>
    <xdr:to>
      <xdr:col>30</xdr:col>
      <xdr:colOff>171450</xdr:colOff>
      <xdr:row>99</xdr:row>
      <xdr:rowOff>95250</xdr:rowOff>
    </xdr:to>
    <xdr:cxnSp macro="">
      <xdr:nvCxnSpPr>
        <xdr:cNvPr id="59" name="直線コネクタ 58">
          <a:extLst>
            <a:ext uri="{FF2B5EF4-FFF2-40B4-BE49-F238E27FC236}">
              <a16:creationId xmlns:a16="http://schemas.microsoft.com/office/drawing/2014/main" id="{14620D0E-A162-4781-AE56-9769FF19EB67}"/>
            </a:ext>
          </a:extLst>
        </xdr:cNvPr>
        <xdr:cNvCxnSpPr/>
      </xdr:nvCxnSpPr>
      <xdr:spPr>
        <a:xfrm flipH="1">
          <a:off x="5800725" y="24222075"/>
          <a:ext cx="1228725" cy="66675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27</xdr:col>
      <xdr:colOff>174171</xdr:colOff>
      <xdr:row>12</xdr:row>
      <xdr:rowOff>92528</xdr:rowOff>
    </xdr:from>
    <xdr:to>
      <xdr:col>28</xdr:col>
      <xdr:colOff>192881</xdr:colOff>
      <xdr:row>15</xdr:row>
      <xdr:rowOff>61912</xdr:rowOff>
    </xdr:to>
    <xdr:cxnSp macro="">
      <xdr:nvCxnSpPr>
        <xdr:cNvPr id="60" name="直線コネクタ 59">
          <a:extLst>
            <a:ext uri="{FF2B5EF4-FFF2-40B4-BE49-F238E27FC236}">
              <a16:creationId xmlns:a16="http://schemas.microsoft.com/office/drawing/2014/main" id="{2EA4FCEF-BC4C-C536-D2DC-72CD347C2C90}"/>
            </a:ext>
          </a:extLst>
        </xdr:cNvPr>
        <xdr:cNvCxnSpPr/>
      </xdr:nvCxnSpPr>
      <xdr:spPr>
        <a:xfrm>
          <a:off x="6346371" y="2966357"/>
          <a:ext cx="247310" cy="687841"/>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141054</xdr:colOff>
      <xdr:row>18</xdr:row>
      <xdr:rowOff>80758</xdr:rowOff>
    </xdr:from>
    <xdr:to>
      <xdr:col>34</xdr:col>
      <xdr:colOff>107156</xdr:colOff>
      <xdr:row>18</xdr:row>
      <xdr:rowOff>80758</xdr:rowOff>
    </xdr:to>
    <xdr:cxnSp macro="">
      <xdr:nvCxnSpPr>
        <xdr:cNvPr id="2" name="直線コネクタ 1">
          <a:extLst>
            <a:ext uri="{FF2B5EF4-FFF2-40B4-BE49-F238E27FC236}">
              <a16:creationId xmlns:a16="http://schemas.microsoft.com/office/drawing/2014/main" id="{7CFD35E2-DBC2-4C01-A19A-EAE6761ED181}"/>
            </a:ext>
          </a:extLst>
        </xdr:cNvPr>
        <xdr:cNvCxnSpPr/>
      </xdr:nvCxnSpPr>
      <xdr:spPr>
        <a:xfrm>
          <a:off x="5344085" y="4444399"/>
          <a:ext cx="245450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151504</xdr:colOff>
      <xdr:row>25</xdr:row>
      <xdr:rowOff>172753</xdr:rowOff>
    </xdr:from>
    <xdr:to>
      <xdr:col>25</xdr:col>
      <xdr:colOff>188129</xdr:colOff>
      <xdr:row>25</xdr:row>
      <xdr:rowOff>172753</xdr:rowOff>
    </xdr:to>
    <xdr:cxnSp macro="">
      <xdr:nvCxnSpPr>
        <xdr:cNvPr id="3" name="直線コネクタ 2">
          <a:extLst>
            <a:ext uri="{FF2B5EF4-FFF2-40B4-BE49-F238E27FC236}">
              <a16:creationId xmlns:a16="http://schemas.microsoft.com/office/drawing/2014/main" id="{8E3FE084-CDF8-4B1C-9E25-4982CA95FBFF}"/>
            </a:ext>
          </a:extLst>
        </xdr:cNvPr>
        <xdr:cNvCxnSpPr/>
      </xdr:nvCxnSpPr>
      <xdr:spPr>
        <a:xfrm>
          <a:off x="5180704" y="6202078"/>
          <a:ext cx="7224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58704</xdr:colOff>
      <xdr:row>25</xdr:row>
      <xdr:rowOff>180389</xdr:rowOff>
    </xdr:from>
    <xdr:to>
      <xdr:col>24</xdr:col>
      <xdr:colOff>155899</xdr:colOff>
      <xdr:row>26</xdr:row>
      <xdr:rowOff>45442</xdr:rowOff>
    </xdr:to>
    <xdr:cxnSp macro="">
      <xdr:nvCxnSpPr>
        <xdr:cNvPr id="4" name="直線コネクタ 3">
          <a:extLst>
            <a:ext uri="{FF2B5EF4-FFF2-40B4-BE49-F238E27FC236}">
              <a16:creationId xmlns:a16="http://schemas.microsoft.com/office/drawing/2014/main" id="{CB8FCFDA-54A3-4513-A3FE-8A620EBDE0A6}"/>
            </a:ext>
          </a:extLst>
        </xdr:cNvPr>
        <xdr:cNvCxnSpPr/>
      </xdr:nvCxnSpPr>
      <xdr:spPr>
        <a:xfrm>
          <a:off x="5545104" y="6209714"/>
          <a:ext cx="97195" cy="1031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9978</xdr:colOff>
      <xdr:row>25</xdr:row>
      <xdr:rowOff>182233</xdr:rowOff>
    </xdr:from>
    <xdr:to>
      <xdr:col>24</xdr:col>
      <xdr:colOff>107116</xdr:colOff>
      <xdr:row>26</xdr:row>
      <xdr:rowOff>47286</xdr:rowOff>
    </xdr:to>
    <xdr:cxnSp macro="">
      <xdr:nvCxnSpPr>
        <xdr:cNvPr id="5" name="直線コネクタ 4">
          <a:extLst>
            <a:ext uri="{FF2B5EF4-FFF2-40B4-BE49-F238E27FC236}">
              <a16:creationId xmlns:a16="http://schemas.microsoft.com/office/drawing/2014/main" id="{3E4A81DD-1594-490C-802C-052CA4CE7B6E}"/>
            </a:ext>
          </a:extLst>
        </xdr:cNvPr>
        <xdr:cNvCxnSpPr/>
      </xdr:nvCxnSpPr>
      <xdr:spPr>
        <a:xfrm>
          <a:off x="5496378" y="6211558"/>
          <a:ext cx="97138" cy="10317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10893</xdr:colOff>
      <xdr:row>26</xdr:row>
      <xdr:rowOff>1474</xdr:rowOff>
    </xdr:from>
    <xdr:to>
      <xdr:col>24</xdr:col>
      <xdr:colOff>43957</xdr:colOff>
      <xdr:row>26</xdr:row>
      <xdr:rowOff>29398</xdr:rowOff>
    </xdr:to>
    <xdr:cxnSp macro="">
      <xdr:nvCxnSpPr>
        <xdr:cNvPr id="6" name="直線コネクタ 5">
          <a:extLst>
            <a:ext uri="{FF2B5EF4-FFF2-40B4-BE49-F238E27FC236}">
              <a16:creationId xmlns:a16="http://schemas.microsoft.com/office/drawing/2014/main" id="{3A91BB1B-FAA5-48B5-8E58-39EE0D4FB9F6}"/>
            </a:ext>
          </a:extLst>
        </xdr:cNvPr>
        <xdr:cNvCxnSpPr/>
      </xdr:nvCxnSpPr>
      <xdr:spPr>
        <a:xfrm flipH="1">
          <a:off x="5497293" y="6268924"/>
          <a:ext cx="33064" cy="279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32585</xdr:colOff>
      <xdr:row>26</xdr:row>
      <xdr:rowOff>15870</xdr:rowOff>
    </xdr:from>
    <xdr:to>
      <xdr:col>24</xdr:col>
      <xdr:colOff>64241</xdr:colOff>
      <xdr:row>26</xdr:row>
      <xdr:rowOff>46596</xdr:rowOff>
    </xdr:to>
    <xdr:cxnSp macro="">
      <xdr:nvCxnSpPr>
        <xdr:cNvPr id="7" name="直線コネクタ 6">
          <a:extLst>
            <a:ext uri="{FF2B5EF4-FFF2-40B4-BE49-F238E27FC236}">
              <a16:creationId xmlns:a16="http://schemas.microsoft.com/office/drawing/2014/main" id="{BE4275EF-E829-44B3-A760-758E01FB3C2E}"/>
            </a:ext>
          </a:extLst>
        </xdr:cNvPr>
        <xdr:cNvCxnSpPr/>
      </xdr:nvCxnSpPr>
      <xdr:spPr>
        <a:xfrm flipH="1">
          <a:off x="5518985" y="6283320"/>
          <a:ext cx="3165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134880</xdr:colOff>
      <xdr:row>25</xdr:row>
      <xdr:rowOff>188259</xdr:rowOff>
    </xdr:from>
    <xdr:to>
      <xdr:col>23</xdr:col>
      <xdr:colOff>221678</xdr:colOff>
      <xdr:row>26</xdr:row>
      <xdr:rowOff>53312</xdr:rowOff>
    </xdr:to>
    <xdr:cxnSp macro="">
      <xdr:nvCxnSpPr>
        <xdr:cNvPr id="8" name="直線コネクタ 7">
          <a:extLst>
            <a:ext uri="{FF2B5EF4-FFF2-40B4-BE49-F238E27FC236}">
              <a16:creationId xmlns:a16="http://schemas.microsoft.com/office/drawing/2014/main" id="{6F19515E-3DDF-470A-B8C3-5BFB58E895E3}"/>
            </a:ext>
          </a:extLst>
        </xdr:cNvPr>
        <xdr:cNvCxnSpPr/>
      </xdr:nvCxnSpPr>
      <xdr:spPr>
        <a:xfrm>
          <a:off x="5358976" y="6291586"/>
          <a:ext cx="86798" cy="10684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86096</xdr:colOff>
      <xdr:row>25</xdr:row>
      <xdr:rowOff>190103</xdr:rowOff>
    </xdr:from>
    <xdr:to>
      <xdr:col>23</xdr:col>
      <xdr:colOff>178546</xdr:colOff>
      <xdr:row>26</xdr:row>
      <xdr:rowOff>55156</xdr:rowOff>
    </xdr:to>
    <xdr:cxnSp macro="">
      <xdr:nvCxnSpPr>
        <xdr:cNvPr id="9" name="直線コネクタ 8">
          <a:extLst>
            <a:ext uri="{FF2B5EF4-FFF2-40B4-BE49-F238E27FC236}">
              <a16:creationId xmlns:a16="http://schemas.microsoft.com/office/drawing/2014/main" id="{58E8C956-1CF6-4755-937F-DB793F3E3683}"/>
            </a:ext>
          </a:extLst>
        </xdr:cNvPr>
        <xdr:cNvCxnSpPr/>
      </xdr:nvCxnSpPr>
      <xdr:spPr>
        <a:xfrm>
          <a:off x="5310192" y="6293430"/>
          <a:ext cx="92450" cy="10684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93454</xdr:colOff>
      <xdr:row>26</xdr:row>
      <xdr:rowOff>6542</xdr:rowOff>
    </xdr:from>
    <xdr:to>
      <xdr:col>23</xdr:col>
      <xdr:colOff>125646</xdr:colOff>
      <xdr:row>26</xdr:row>
      <xdr:rowOff>37268</xdr:rowOff>
    </xdr:to>
    <xdr:cxnSp macro="">
      <xdr:nvCxnSpPr>
        <xdr:cNvPr id="10" name="直線コネクタ 9">
          <a:extLst>
            <a:ext uri="{FF2B5EF4-FFF2-40B4-BE49-F238E27FC236}">
              <a16:creationId xmlns:a16="http://schemas.microsoft.com/office/drawing/2014/main" id="{A80DEF0F-C6EA-473E-BC77-A2D7210C4FC1}"/>
            </a:ext>
          </a:extLst>
        </xdr:cNvPr>
        <xdr:cNvCxnSpPr/>
      </xdr:nvCxnSpPr>
      <xdr:spPr>
        <a:xfrm flipH="1">
          <a:off x="5351254" y="6273992"/>
          <a:ext cx="32192"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113738</xdr:colOff>
      <xdr:row>26</xdr:row>
      <xdr:rowOff>23740</xdr:rowOff>
    </xdr:from>
    <xdr:to>
      <xdr:col>23</xdr:col>
      <xdr:colOff>145930</xdr:colOff>
      <xdr:row>26</xdr:row>
      <xdr:rowOff>54466</xdr:rowOff>
    </xdr:to>
    <xdr:cxnSp macro="">
      <xdr:nvCxnSpPr>
        <xdr:cNvPr id="11" name="直線コネクタ 10">
          <a:extLst>
            <a:ext uri="{FF2B5EF4-FFF2-40B4-BE49-F238E27FC236}">
              <a16:creationId xmlns:a16="http://schemas.microsoft.com/office/drawing/2014/main" id="{0EA0C21C-A78D-4FB0-9BE7-6F51773EEAB4}"/>
            </a:ext>
          </a:extLst>
        </xdr:cNvPr>
        <xdr:cNvCxnSpPr/>
      </xdr:nvCxnSpPr>
      <xdr:spPr>
        <a:xfrm flipH="1">
          <a:off x="5371538" y="6291190"/>
          <a:ext cx="32192"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117559</xdr:colOff>
      <xdr:row>18</xdr:row>
      <xdr:rowOff>75527</xdr:rowOff>
    </xdr:from>
    <xdr:to>
      <xdr:col>30</xdr:col>
      <xdr:colOff>206274</xdr:colOff>
      <xdr:row>18</xdr:row>
      <xdr:rowOff>158165</xdr:rowOff>
    </xdr:to>
    <xdr:cxnSp macro="">
      <xdr:nvCxnSpPr>
        <xdr:cNvPr id="12" name="直線コネクタ 11">
          <a:extLst>
            <a:ext uri="{FF2B5EF4-FFF2-40B4-BE49-F238E27FC236}">
              <a16:creationId xmlns:a16="http://schemas.microsoft.com/office/drawing/2014/main" id="{0F635828-9136-4A9E-BFDB-F3DE0AFC4660}"/>
            </a:ext>
          </a:extLst>
        </xdr:cNvPr>
        <xdr:cNvCxnSpPr/>
      </xdr:nvCxnSpPr>
      <xdr:spPr>
        <a:xfrm>
          <a:off x="6931597" y="4486335"/>
          <a:ext cx="88715"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70241</xdr:colOff>
      <xdr:row>18</xdr:row>
      <xdr:rowOff>77371</xdr:rowOff>
    </xdr:from>
    <xdr:to>
      <xdr:col>30</xdr:col>
      <xdr:colOff>156235</xdr:colOff>
      <xdr:row>18</xdr:row>
      <xdr:rowOff>160009</xdr:rowOff>
    </xdr:to>
    <xdr:cxnSp macro="">
      <xdr:nvCxnSpPr>
        <xdr:cNvPr id="13" name="直線コネクタ 12">
          <a:extLst>
            <a:ext uri="{FF2B5EF4-FFF2-40B4-BE49-F238E27FC236}">
              <a16:creationId xmlns:a16="http://schemas.microsoft.com/office/drawing/2014/main" id="{E6CC559E-8C97-471C-A63D-BCE32CE13422}"/>
            </a:ext>
          </a:extLst>
        </xdr:cNvPr>
        <xdr:cNvCxnSpPr/>
      </xdr:nvCxnSpPr>
      <xdr:spPr>
        <a:xfrm>
          <a:off x="6884279" y="4488179"/>
          <a:ext cx="8599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70277</xdr:colOff>
      <xdr:row>18</xdr:row>
      <xdr:rowOff>118203</xdr:rowOff>
    </xdr:from>
    <xdr:to>
      <xdr:col>30</xdr:col>
      <xdr:colOff>101003</xdr:colOff>
      <xdr:row>18</xdr:row>
      <xdr:rowOff>139404</xdr:rowOff>
    </xdr:to>
    <xdr:cxnSp macro="">
      <xdr:nvCxnSpPr>
        <xdr:cNvPr id="14" name="直線コネクタ 13">
          <a:extLst>
            <a:ext uri="{FF2B5EF4-FFF2-40B4-BE49-F238E27FC236}">
              <a16:creationId xmlns:a16="http://schemas.microsoft.com/office/drawing/2014/main" id="{05D60475-7BF8-4731-923E-85F521B33E7C}"/>
            </a:ext>
          </a:extLst>
        </xdr:cNvPr>
        <xdr:cNvCxnSpPr/>
      </xdr:nvCxnSpPr>
      <xdr:spPr>
        <a:xfrm flipH="1">
          <a:off x="6884315" y="4529011"/>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90561</xdr:colOff>
      <xdr:row>18</xdr:row>
      <xdr:rowOff>135401</xdr:rowOff>
    </xdr:from>
    <xdr:to>
      <xdr:col>30</xdr:col>
      <xdr:colOff>121287</xdr:colOff>
      <xdr:row>18</xdr:row>
      <xdr:rowOff>159324</xdr:rowOff>
    </xdr:to>
    <xdr:cxnSp macro="">
      <xdr:nvCxnSpPr>
        <xdr:cNvPr id="15" name="直線コネクタ 14">
          <a:extLst>
            <a:ext uri="{FF2B5EF4-FFF2-40B4-BE49-F238E27FC236}">
              <a16:creationId xmlns:a16="http://schemas.microsoft.com/office/drawing/2014/main" id="{BBD09B88-C941-4232-8213-C773D045A3AE}"/>
            </a:ext>
          </a:extLst>
        </xdr:cNvPr>
        <xdr:cNvCxnSpPr/>
      </xdr:nvCxnSpPr>
      <xdr:spPr>
        <a:xfrm flipH="1">
          <a:off x="6904599" y="4546209"/>
          <a:ext cx="3072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37422</xdr:colOff>
      <xdr:row>18</xdr:row>
      <xdr:rowOff>71038</xdr:rowOff>
    </xdr:from>
    <xdr:to>
      <xdr:col>31</xdr:col>
      <xdr:colOff>122382</xdr:colOff>
      <xdr:row>18</xdr:row>
      <xdr:rowOff>153676</xdr:rowOff>
    </xdr:to>
    <xdr:cxnSp macro="">
      <xdr:nvCxnSpPr>
        <xdr:cNvPr id="16" name="直線コネクタ 15">
          <a:extLst>
            <a:ext uri="{FF2B5EF4-FFF2-40B4-BE49-F238E27FC236}">
              <a16:creationId xmlns:a16="http://schemas.microsoft.com/office/drawing/2014/main" id="{5E8D00C6-CAD6-4112-AC7B-956ADFC5817F}"/>
            </a:ext>
          </a:extLst>
        </xdr:cNvPr>
        <xdr:cNvCxnSpPr/>
      </xdr:nvCxnSpPr>
      <xdr:spPr>
        <a:xfrm>
          <a:off x="7078595" y="4481846"/>
          <a:ext cx="84960"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214223</xdr:colOff>
      <xdr:row>18</xdr:row>
      <xdr:rowOff>72882</xdr:rowOff>
    </xdr:from>
    <xdr:to>
      <xdr:col>31</xdr:col>
      <xdr:colOff>79546</xdr:colOff>
      <xdr:row>18</xdr:row>
      <xdr:rowOff>155520</xdr:rowOff>
    </xdr:to>
    <xdr:cxnSp macro="">
      <xdr:nvCxnSpPr>
        <xdr:cNvPr id="17" name="直線コネクタ 16">
          <a:extLst>
            <a:ext uri="{FF2B5EF4-FFF2-40B4-BE49-F238E27FC236}">
              <a16:creationId xmlns:a16="http://schemas.microsoft.com/office/drawing/2014/main" id="{24CE5E5B-98FC-4DAC-B5C2-C39F043049CE}"/>
            </a:ext>
          </a:extLst>
        </xdr:cNvPr>
        <xdr:cNvCxnSpPr/>
      </xdr:nvCxnSpPr>
      <xdr:spPr>
        <a:xfrm>
          <a:off x="7028261" y="4483690"/>
          <a:ext cx="92458"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214259</xdr:colOff>
      <xdr:row>18</xdr:row>
      <xdr:rowOff>113709</xdr:rowOff>
    </xdr:from>
    <xdr:to>
      <xdr:col>31</xdr:col>
      <xdr:colOff>20866</xdr:colOff>
      <xdr:row>18</xdr:row>
      <xdr:rowOff>144435</xdr:rowOff>
    </xdr:to>
    <xdr:cxnSp macro="">
      <xdr:nvCxnSpPr>
        <xdr:cNvPr id="18" name="直線コネクタ 17">
          <a:extLst>
            <a:ext uri="{FF2B5EF4-FFF2-40B4-BE49-F238E27FC236}">
              <a16:creationId xmlns:a16="http://schemas.microsoft.com/office/drawing/2014/main" id="{3FD1EB18-1B22-4964-8B4E-ED21914B86BD}"/>
            </a:ext>
          </a:extLst>
        </xdr:cNvPr>
        <xdr:cNvCxnSpPr/>
      </xdr:nvCxnSpPr>
      <xdr:spPr>
        <a:xfrm flipH="1">
          <a:off x="7028297" y="4524517"/>
          <a:ext cx="33742"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7408</xdr:colOff>
      <xdr:row>18</xdr:row>
      <xdr:rowOff>130907</xdr:rowOff>
    </xdr:from>
    <xdr:to>
      <xdr:col>31</xdr:col>
      <xdr:colOff>41150</xdr:colOff>
      <xdr:row>18</xdr:row>
      <xdr:rowOff>154830</xdr:rowOff>
    </xdr:to>
    <xdr:cxnSp macro="">
      <xdr:nvCxnSpPr>
        <xdr:cNvPr id="19" name="直線コネクタ 18">
          <a:extLst>
            <a:ext uri="{FF2B5EF4-FFF2-40B4-BE49-F238E27FC236}">
              <a16:creationId xmlns:a16="http://schemas.microsoft.com/office/drawing/2014/main" id="{8F355082-C980-4BB1-901D-5FAEF7C7CF04}"/>
            </a:ext>
          </a:extLst>
        </xdr:cNvPr>
        <xdr:cNvCxnSpPr/>
      </xdr:nvCxnSpPr>
      <xdr:spPr>
        <a:xfrm flipH="1">
          <a:off x="7048581" y="4541715"/>
          <a:ext cx="33742"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101853</xdr:colOff>
      <xdr:row>23</xdr:row>
      <xdr:rowOff>0</xdr:rowOff>
    </xdr:from>
    <xdr:to>
      <xdr:col>28</xdr:col>
      <xdr:colOff>9757</xdr:colOff>
      <xdr:row>25</xdr:row>
      <xdr:rowOff>196815</xdr:rowOff>
    </xdr:to>
    <xdr:cxnSp macro="">
      <xdr:nvCxnSpPr>
        <xdr:cNvPr id="20" name="直線コネクタ 19">
          <a:extLst>
            <a:ext uri="{FF2B5EF4-FFF2-40B4-BE49-F238E27FC236}">
              <a16:creationId xmlns:a16="http://schemas.microsoft.com/office/drawing/2014/main" id="{6BF66096-3338-43EF-8DEA-70A081BB2B5F}"/>
            </a:ext>
          </a:extLst>
        </xdr:cNvPr>
        <xdr:cNvCxnSpPr/>
      </xdr:nvCxnSpPr>
      <xdr:spPr>
        <a:xfrm>
          <a:off x="6274053" y="5553075"/>
          <a:ext cx="136504" cy="67306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28</xdr:col>
      <xdr:colOff>14478</xdr:colOff>
      <xdr:row>25</xdr:row>
      <xdr:rowOff>176000</xdr:rowOff>
    </xdr:from>
    <xdr:to>
      <xdr:col>28</xdr:col>
      <xdr:colOff>200025</xdr:colOff>
      <xdr:row>29</xdr:row>
      <xdr:rowOff>47625</xdr:rowOff>
    </xdr:to>
    <xdr:cxnSp macro="">
      <xdr:nvCxnSpPr>
        <xdr:cNvPr id="22" name="直線コネクタ 21">
          <a:extLst>
            <a:ext uri="{FF2B5EF4-FFF2-40B4-BE49-F238E27FC236}">
              <a16:creationId xmlns:a16="http://schemas.microsoft.com/office/drawing/2014/main" id="{F8B25A5A-FF50-46ED-B780-D7E3C745E107}"/>
            </a:ext>
          </a:extLst>
        </xdr:cNvPr>
        <xdr:cNvCxnSpPr/>
      </xdr:nvCxnSpPr>
      <xdr:spPr>
        <a:xfrm>
          <a:off x="6415278" y="6205325"/>
          <a:ext cx="185547" cy="82412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22</xdr:col>
      <xdr:colOff>138479</xdr:colOff>
      <xdr:row>25</xdr:row>
      <xdr:rowOff>158059</xdr:rowOff>
    </xdr:from>
    <xdr:to>
      <xdr:col>25</xdr:col>
      <xdr:colOff>218885</xdr:colOff>
      <xdr:row>29</xdr:row>
      <xdr:rowOff>51288</xdr:rowOff>
    </xdr:to>
    <xdr:cxnSp macro="">
      <xdr:nvCxnSpPr>
        <xdr:cNvPr id="23" name="直線コネクタ 22">
          <a:extLst>
            <a:ext uri="{FF2B5EF4-FFF2-40B4-BE49-F238E27FC236}">
              <a16:creationId xmlns:a16="http://schemas.microsoft.com/office/drawing/2014/main" id="{AA2E1F50-66E8-46E2-B3A6-1C58AB968704}"/>
            </a:ext>
          </a:extLst>
        </xdr:cNvPr>
        <xdr:cNvCxnSpPr/>
      </xdr:nvCxnSpPr>
      <xdr:spPr>
        <a:xfrm flipH="1">
          <a:off x="5167679" y="6187384"/>
          <a:ext cx="766206" cy="845729"/>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20</xdr:col>
      <xdr:colOff>121626</xdr:colOff>
      <xdr:row>31</xdr:row>
      <xdr:rowOff>146438</xdr:rowOff>
    </xdr:from>
    <xdr:to>
      <xdr:col>29</xdr:col>
      <xdr:colOff>19050</xdr:colOff>
      <xdr:row>31</xdr:row>
      <xdr:rowOff>146438</xdr:rowOff>
    </xdr:to>
    <xdr:cxnSp macro="">
      <xdr:nvCxnSpPr>
        <xdr:cNvPr id="24" name="直線コネクタ 23">
          <a:extLst>
            <a:ext uri="{FF2B5EF4-FFF2-40B4-BE49-F238E27FC236}">
              <a16:creationId xmlns:a16="http://schemas.microsoft.com/office/drawing/2014/main" id="{B294211A-C1F8-4CB4-BC4A-BB225A146FD5}"/>
            </a:ext>
          </a:extLst>
        </xdr:cNvPr>
        <xdr:cNvCxnSpPr/>
      </xdr:nvCxnSpPr>
      <xdr:spPr>
        <a:xfrm>
          <a:off x="4693626" y="7604513"/>
          <a:ext cx="1954824"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25</xdr:col>
      <xdr:colOff>215626</xdr:colOff>
      <xdr:row>18</xdr:row>
      <xdr:rowOff>80821</xdr:rowOff>
    </xdr:from>
    <xdr:to>
      <xdr:col>26</xdr:col>
      <xdr:colOff>131894</xdr:colOff>
      <xdr:row>18</xdr:row>
      <xdr:rowOff>80821</xdr:rowOff>
    </xdr:to>
    <xdr:cxnSp macro="">
      <xdr:nvCxnSpPr>
        <xdr:cNvPr id="25" name="直線コネクタ 24">
          <a:extLst>
            <a:ext uri="{FF2B5EF4-FFF2-40B4-BE49-F238E27FC236}">
              <a16:creationId xmlns:a16="http://schemas.microsoft.com/office/drawing/2014/main" id="{C762BF33-D648-4207-B82F-D835FFC99C6A}"/>
            </a:ext>
          </a:extLst>
        </xdr:cNvPr>
        <xdr:cNvCxnSpPr/>
      </xdr:nvCxnSpPr>
      <xdr:spPr>
        <a:xfrm>
          <a:off x="5930626" y="4443271"/>
          <a:ext cx="144868" cy="0"/>
        </a:xfrm>
        <a:prstGeom prst="line">
          <a:avLst/>
        </a:prstGeom>
        <a:ln>
          <a:solidFill>
            <a:schemeClr val="bg1">
              <a:lumMod val="75000"/>
            </a:schemeClr>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25</xdr:col>
      <xdr:colOff>217176</xdr:colOff>
      <xdr:row>18</xdr:row>
      <xdr:rowOff>88545</xdr:rowOff>
    </xdr:from>
    <xdr:to>
      <xdr:col>25</xdr:col>
      <xdr:colOff>217176</xdr:colOff>
      <xdr:row>31</xdr:row>
      <xdr:rowOff>159700</xdr:rowOff>
    </xdr:to>
    <xdr:cxnSp macro="">
      <xdr:nvCxnSpPr>
        <xdr:cNvPr id="26" name="直線コネクタ 25">
          <a:extLst>
            <a:ext uri="{FF2B5EF4-FFF2-40B4-BE49-F238E27FC236}">
              <a16:creationId xmlns:a16="http://schemas.microsoft.com/office/drawing/2014/main" id="{067A9A45-BF7E-4D8E-A640-D9D72114E7DE}"/>
            </a:ext>
          </a:extLst>
        </xdr:cNvPr>
        <xdr:cNvCxnSpPr/>
      </xdr:nvCxnSpPr>
      <xdr:spPr>
        <a:xfrm>
          <a:off x="5932176" y="4450995"/>
          <a:ext cx="0" cy="3166780"/>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26</xdr:col>
      <xdr:colOff>0</xdr:colOff>
      <xdr:row>21</xdr:row>
      <xdr:rowOff>49149</xdr:rowOff>
    </xdr:from>
    <xdr:to>
      <xdr:col>34</xdr:col>
      <xdr:colOff>130968</xdr:colOff>
      <xdr:row>21</xdr:row>
      <xdr:rowOff>49149</xdr:rowOff>
    </xdr:to>
    <xdr:cxnSp macro="">
      <xdr:nvCxnSpPr>
        <xdr:cNvPr id="27" name="直線コネクタ 26">
          <a:extLst>
            <a:ext uri="{FF2B5EF4-FFF2-40B4-BE49-F238E27FC236}">
              <a16:creationId xmlns:a16="http://schemas.microsoft.com/office/drawing/2014/main" id="{6B19A20C-59E3-4FF1-9E3C-9C62A7263AE0}"/>
            </a:ext>
          </a:extLst>
        </xdr:cNvPr>
        <xdr:cNvCxnSpPr/>
      </xdr:nvCxnSpPr>
      <xdr:spPr>
        <a:xfrm>
          <a:off x="5943600" y="5125974"/>
          <a:ext cx="1959768"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26</xdr:col>
      <xdr:colOff>0</xdr:colOff>
      <xdr:row>19</xdr:row>
      <xdr:rowOff>77099</xdr:rowOff>
    </xdr:from>
    <xdr:to>
      <xdr:col>34</xdr:col>
      <xdr:colOff>125015</xdr:colOff>
      <xdr:row>19</xdr:row>
      <xdr:rowOff>77099</xdr:rowOff>
    </xdr:to>
    <xdr:cxnSp macro="">
      <xdr:nvCxnSpPr>
        <xdr:cNvPr id="28" name="直線コネクタ 27">
          <a:extLst>
            <a:ext uri="{FF2B5EF4-FFF2-40B4-BE49-F238E27FC236}">
              <a16:creationId xmlns:a16="http://schemas.microsoft.com/office/drawing/2014/main" id="{07C6C5DC-FE41-4179-A85A-25606FFD5FE9}"/>
            </a:ext>
          </a:extLst>
        </xdr:cNvPr>
        <xdr:cNvCxnSpPr/>
      </xdr:nvCxnSpPr>
      <xdr:spPr>
        <a:xfrm>
          <a:off x="5943600" y="4677674"/>
          <a:ext cx="1953815"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31</xdr:col>
      <xdr:colOff>45724</xdr:colOff>
      <xdr:row>23</xdr:row>
      <xdr:rowOff>0</xdr:rowOff>
    </xdr:from>
    <xdr:to>
      <xdr:col>31</xdr:col>
      <xdr:colOff>45724</xdr:colOff>
      <xdr:row>31</xdr:row>
      <xdr:rowOff>133424</xdr:rowOff>
    </xdr:to>
    <xdr:cxnSp macro="">
      <xdr:nvCxnSpPr>
        <xdr:cNvPr id="29" name="直線コネクタ 28">
          <a:extLst>
            <a:ext uri="{FF2B5EF4-FFF2-40B4-BE49-F238E27FC236}">
              <a16:creationId xmlns:a16="http://schemas.microsoft.com/office/drawing/2014/main" id="{82C4AB79-B7FB-4BF4-8E71-4375464D369A}"/>
            </a:ext>
          </a:extLst>
        </xdr:cNvPr>
        <xdr:cNvCxnSpPr/>
      </xdr:nvCxnSpPr>
      <xdr:spPr>
        <a:xfrm>
          <a:off x="6993371" y="5502088"/>
          <a:ext cx="0" cy="2016012"/>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31</xdr:col>
      <xdr:colOff>49460</xdr:colOff>
      <xdr:row>25</xdr:row>
      <xdr:rowOff>183173</xdr:rowOff>
    </xdr:from>
    <xdr:to>
      <xdr:col>33</xdr:col>
      <xdr:colOff>124558</xdr:colOff>
      <xdr:row>31</xdr:row>
      <xdr:rowOff>107422</xdr:rowOff>
    </xdr:to>
    <xdr:cxnSp macro="">
      <xdr:nvCxnSpPr>
        <xdr:cNvPr id="30" name="直線コネクタ 29">
          <a:extLst>
            <a:ext uri="{FF2B5EF4-FFF2-40B4-BE49-F238E27FC236}">
              <a16:creationId xmlns:a16="http://schemas.microsoft.com/office/drawing/2014/main" id="{7C796E2C-7A8C-4EFC-8012-77718FF56709}"/>
            </a:ext>
          </a:extLst>
        </xdr:cNvPr>
        <xdr:cNvCxnSpPr/>
      </xdr:nvCxnSpPr>
      <xdr:spPr>
        <a:xfrm flipH="1">
          <a:off x="7090633" y="6286500"/>
          <a:ext cx="529367" cy="137498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32</xdr:col>
      <xdr:colOff>47191</xdr:colOff>
      <xdr:row>23</xdr:row>
      <xdr:rowOff>22412</xdr:rowOff>
    </xdr:from>
    <xdr:to>
      <xdr:col>33</xdr:col>
      <xdr:colOff>132631</xdr:colOff>
      <xdr:row>25</xdr:row>
      <xdr:rowOff>179723</xdr:rowOff>
    </xdr:to>
    <xdr:cxnSp macro="">
      <xdr:nvCxnSpPr>
        <xdr:cNvPr id="31" name="直線コネクタ 30">
          <a:extLst>
            <a:ext uri="{FF2B5EF4-FFF2-40B4-BE49-F238E27FC236}">
              <a16:creationId xmlns:a16="http://schemas.microsoft.com/office/drawing/2014/main" id="{D6B850B0-585E-439E-9804-94B9D3AC8FA9}"/>
            </a:ext>
          </a:extLst>
        </xdr:cNvPr>
        <xdr:cNvCxnSpPr/>
      </xdr:nvCxnSpPr>
      <xdr:spPr>
        <a:xfrm flipH="1" flipV="1">
          <a:off x="7218956" y="5524500"/>
          <a:ext cx="309557" cy="627958"/>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editAs="absolute">
    <xdr:from>
      <xdr:col>31</xdr:col>
      <xdr:colOff>26091</xdr:colOff>
      <xdr:row>18</xdr:row>
      <xdr:rowOff>35615</xdr:rowOff>
    </xdr:from>
    <xdr:to>
      <xdr:col>35</xdr:col>
      <xdr:colOff>17860</xdr:colOff>
      <xdr:row>19</xdr:row>
      <xdr:rowOff>51942</xdr:rowOff>
    </xdr:to>
    <xdr:sp macro="" textlink="">
      <xdr:nvSpPr>
        <xdr:cNvPr id="33" name="テキスト ボックス 32">
          <a:extLst>
            <a:ext uri="{FF2B5EF4-FFF2-40B4-BE49-F238E27FC236}">
              <a16:creationId xmlns:a16="http://schemas.microsoft.com/office/drawing/2014/main" id="{DEA2770D-847D-46AA-946F-EDBAAA493E10}"/>
            </a:ext>
          </a:extLst>
        </xdr:cNvPr>
        <xdr:cNvSpPr txBox="1"/>
      </xdr:nvSpPr>
      <xdr:spPr>
        <a:xfrm>
          <a:off x="7038872" y="4399256"/>
          <a:ext cx="896644" cy="254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 </a:t>
          </a:r>
          <a:r>
            <a:rPr kumimoji="1" lang="en-US" altLang="ja-JP" sz="1100"/>
            <a:t>1.00m</a:t>
          </a:r>
          <a:endParaRPr kumimoji="1" lang="ja-JP" altLang="en-US" sz="1100"/>
        </a:p>
      </xdr:txBody>
    </xdr:sp>
    <xdr:clientData/>
  </xdr:twoCellAnchor>
  <xdr:twoCellAnchor>
    <xdr:from>
      <xdr:col>26</xdr:col>
      <xdr:colOff>0</xdr:colOff>
      <xdr:row>25</xdr:row>
      <xdr:rowOff>175570</xdr:rowOff>
    </xdr:from>
    <xdr:to>
      <xdr:col>34</xdr:col>
      <xdr:colOff>151575</xdr:colOff>
      <xdr:row>25</xdr:row>
      <xdr:rowOff>175570</xdr:rowOff>
    </xdr:to>
    <xdr:cxnSp macro="">
      <xdr:nvCxnSpPr>
        <xdr:cNvPr id="34" name="直線コネクタ 33">
          <a:extLst>
            <a:ext uri="{FF2B5EF4-FFF2-40B4-BE49-F238E27FC236}">
              <a16:creationId xmlns:a16="http://schemas.microsoft.com/office/drawing/2014/main" id="{012B4BC3-F7C8-4D28-8FB6-2F9925506A3C}"/>
            </a:ext>
          </a:extLst>
        </xdr:cNvPr>
        <xdr:cNvCxnSpPr/>
      </xdr:nvCxnSpPr>
      <xdr:spPr>
        <a:xfrm>
          <a:off x="5943600" y="6204895"/>
          <a:ext cx="1980375"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22</xdr:col>
      <xdr:colOff>151504</xdr:colOff>
      <xdr:row>19</xdr:row>
      <xdr:rowOff>18346</xdr:rowOff>
    </xdr:from>
    <xdr:to>
      <xdr:col>25</xdr:col>
      <xdr:colOff>19688</xdr:colOff>
      <xdr:row>19</xdr:row>
      <xdr:rowOff>18346</xdr:rowOff>
    </xdr:to>
    <xdr:cxnSp macro="">
      <xdr:nvCxnSpPr>
        <xdr:cNvPr id="35" name="直線コネクタ 34">
          <a:extLst>
            <a:ext uri="{FF2B5EF4-FFF2-40B4-BE49-F238E27FC236}">
              <a16:creationId xmlns:a16="http://schemas.microsoft.com/office/drawing/2014/main" id="{0DFCA480-965C-4811-A83B-9E25DD87B27E}"/>
            </a:ext>
          </a:extLst>
        </xdr:cNvPr>
        <xdr:cNvCxnSpPr/>
      </xdr:nvCxnSpPr>
      <xdr:spPr>
        <a:xfrm>
          <a:off x="5180704" y="4618921"/>
          <a:ext cx="55398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170554</xdr:colOff>
      <xdr:row>19</xdr:row>
      <xdr:rowOff>153201</xdr:rowOff>
    </xdr:from>
    <xdr:to>
      <xdr:col>25</xdr:col>
      <xdr:colOff>9662</xdr:colOff>
      <xdr:row>19</xdr:row>
      <xdr:rowOff>153201</xdr:rowOff>
    </xdr:to>
    <xdr:cxnSp macro="">
      <xdr:nvCxnSpPr>
        <xdr:cNvPr id="36" name="直線コネクタ 35">
          <a:extLst>
            <a:ext uri="{FF2B5EF4-FFF2-40B4-BE49-F238E27FC236}">
              <a16:creationId xmlns:a16="http://schemas.microsoft.com/office/drawing/2014/main" id="{16A5093B-E317-4796-8502-51031288C30B}"/>
            </a:ext>
          </a:extLst>
        </xdr:cNvPr>
        <xdr:cNvCxnSpPr/>
      </xdr:nvCxnSpPr>
      <xdr:spPr>
        <a:xfrm>
          <a:off x="5199754" y="4753776"/>
          <a:ext cx="52490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17683</xdr:colOff>
      <xdr:row>19</xdr:row>
      <xdr:rowOff>8790</xdr:rowOff>
    </xdr:from>
    <xdr:to>
      <xdr:col>25</xdr:col>
      <xdr:colOff>17683</xdr:colOff>
      <xdr:row>19</xdr:row>
      <xdr:rowOff>161692</xdr:rowOff>
    </xdr:to>
    <xdr:cxnSp macro="">
      <xdr:nvCxnSpPr>
        <xdr:cNvPr id="37" name="直線コネクタ 36">
          <a:extLst>
            <a:ext uri="{FF2B5EF4-FFF2-40B4-BE49-F238E27FC236}">
              <a16:creationId xmlns:a16="http://schemas.microsoft.com/office/drawing/2014/main" id="{CBA9AF57-40D6-4386-B606-267E59C9AC71}"/>
            </a:ext>
          </a:extLst>
        </xdr:cNvPr>
        <xdr:cNvCxnSpPr/>
      </xdr:nvCxnSpPr>
      <xdr:spPr>
        <a:xfrm>
          <a:off x="5732683" y="4609365"/>
          <a:ext cx="0" cy="15290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44897</xdr:colOff>
      <xdr:row>18</xdr:row>
      <xdr:rowOff>228604</xdr:rowOff>
    </xdr:from>
    <xdr:to>
      <xdr:col>25</xdr:col>
      <xdr:colOff>44897</xdr:colOff>
      <xdr:row>19</xdr:row>
      <xdr:rowOff>167372</xdr:rowOff>
    </xdr:to>
    <xdr:cxnSp macro="">
      <xdr:nvCxnSpPr>
        <xdr:cNvPr id="38" name="直線コネクタ 37">
          <a:extLst>
            <a:ext uri="{FF2B5EF4-FFF2-40B4-BE49-F238E27FC236}">
              <a16:creationId xmlns:a16="http://schemas.microsoft.com/office/drawing/2014/main" id="{BDD02FBC-AFA1-48FA-93C1-C01119269E08}"/>
            </a:ext>
          </a:extLst>
        </xdr:cNvPr>
        <xdr:cNvCxnSpPr/>
      </xdr:nvCxnSpPr>
      <xdr:spPr>
        <a:xfrm>
          <a:off x="5759897" y="4591054"/>
          <a:ext cx="0" cy="1768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187771</xdr:colOff>
      <xdr:row>18</xdr:row>
      <xdr:rowOff>228604</xdr:rowOff>
    </xdr:from>
    <xdr:to>
      <xdr:col>25</xdr:col>
      <xdr:colOff>187771</xdr:colOff>
      <xdr:row>19</xdr:row>
      <xdr:rowOff>167372</xdr:rowOff>
    </xdr:to>
    <xdr:cxnSp macro="">
      <xdr:nvCxnSpPr>
        <xdr:cNvPr id="39" name="直線コネクタ 38">
          <a:extLst>
            <a:ext uri="{FF2B5EF4-FFF2-40B4-BE49-F238E27FC236}">
              <a16:creationId xmlns:a16="http://schemas.microsoft.com/office/drawing/2014/main" id="{42A9DBDD-5A94-4AAA-9B3C-46C245310FF4}"/>
            </a:ext>
          </a:extLst>
        </xdr:cNvPr>
        <xdr:cNvCxnSpPr/>
      </xdr:nvCxnSpPr>
      <xdr:spPr>
        <a:xfrm>
          <a:off x="5902771" y="4591054"/>
          <a:ext cx="0" cy="17689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43827</xdr:colOff>
      <xdr:row>19</xdr:row>
      <xdr:rowOff>78925</xdr:rowOff>
    </xdr:from>
    <xdr:to>
      <xdr:col>25</xdr:col>
      <xdr:colOff>183300</xdr:colOff>
      <xdr:row>19</xdr:row>
      <xdr:rowOff>78925</xdr:rowOff>
    </xdr:to>
    <xdr:cxnSp macro="">
      <xdr:nvCxnSpPr>
        <xdr:cNvPr id="40" name="直線コネクタ 39">
          <a:extLst>
            <a:ext uri="{FF2B5EF4-FFF2-40B4-BE49-F238E27FC236}">
              <a16:creationId xmlns:a16="http://schemas.microsoft.com/office/drawing/2014/main" id="{916FF504-7F28-415C-ACED-BDEA37CBDFF0}"/>
            </a:ext>
          </a:extLst>
        </xdr:cNvPr>
        <xdr:cNvCxnSpPr/>
      </xdr:nvCxnSpPr>
      <xdr:spPr>
        <a:xfrm>
          <a:off x="5758827" y="4679500"/>
          <a:ext cx="13947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63391</xdr:colOff>
      <xdr:row>28</xdr:row>
      <xdr:rowOff>66979</xdr:rowOff>
    </xdr:from>
    <xdr:to>
      <xdr:col>25</xdr:col>
      <xdr:colOff>93316</xdr:colOff>
      <xdr:row>28</xdr:row>
      <xdr:rowOff>66979</xdr:rowOff>
    </xdr:to>
    <xdr:cxnSp macro="">
      <xdr:nvCxnSpPr>
        <xdr:cNvPr id="41" name="直線矢印コネクタ 40">
          <a:extLst>
            <a:ext uri="{FF2B5EF4-FFF2-40B4-BE49-F238E27FC236}">
              <a16:creationId xmlns:a16="http://schemas.microsoft.com/office/drawing/2014/main" id="{25F61B25-AD57-47F4-98DB-C926B0F94072}"/>
            </a:ext>
          </a:extLst>
        </xdr:cNvPr>
        <xdr:cNvCxnSpPr/>
      </xdr:nvCxnSpPr>
      <xdr:spPr>
        <a:xfrm>
          <a:off x="5287487" y="6895671"/>
          <a:ext cx="484194" cy="0"/>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185802</xdr:colOff>
      <xdr:row>23</xdr:row>
      <xdr:rowOff>0</xdr:rowOff>
    </xdr:from>
    <xdr:to>
      <xdr:col>23</xdr:col>
      <xdr:colOff>185802</xdr:colOff>
      <xdr:row>25</xdr:row>
      <xdr:rowOff>178593</xdr:rowOff>
    </xdr:to>
    <xdr:cxnSp macro="">
      <xdr:nvCxnSpPr>
        <xdr:cNvPr id="42" name="直線矢印コネクタ 41">
          <a:extLst>
            <a:ext uri="{FF2B5EF4-FFF2-40B4-BE49-F238E27FC236}">
              <a16:creationId xmlns:a16="http://schemas.microsoft.com/office/drawing/2014/main" id="{4E5BF9AB-D1B1-43E6-A5A8-E20018DBFE1C}"/>
            </a:ext>
          </a:extLst>
        </xdr:cNvPr>
        <xdr:cNvCxnSpPr/>
      </xdr:nvCxnSpPr>
      <xdr:spPr>
        <a:xfrm>
          <a:off x="5443602" y="5553075"/>
          <a:ext cx="0" cy="65484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31</xdr:col>
      <xdr:colOff>37681</xdr:colOff>
      <xdr:row>19</xdr:row>
      <xdr:rowOff>188016</xdr:rowOff>
    </xdr:from>
    <xdr:to>
      <xdr:col>35</xdr:col>
      <xdr:colOff>11906</xdr:colOff>
      <xdr:row>20</xdr:row>
      <xdr:rowOff>204344</xdr:rowOff>
    </xdr:to>
    <xdr:sp macro="" textlink="">
      <xdr:nvSpPr>
        <xdr:cNvPr id="43" name="テキスト ボックス 42">
          <a:extLst>
            <a:ext uri="{FF2B5EF4-FFF2-40B4-BE49-F238E27FC236}">
              <a16:creationId xmlns:a16="http://schemas.microsoft.com/office/drawing/2014/main" id="{A18FBEF9-6B05-4BB9-96E2-3A6A9C5E0B82}"/>
            </a:ext>
          </a:extLst>
        </xdr:cNvPr>
        <xdr:cNvSpPr txBox="1"/>
      </xdr:nvSpPr>
      <xdr:spPr>
        <a:xfrm>
          <a:off x="7050462" y="4789782"/>
          <a:ext cx="879100" cy="254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 </a:t>
          </a:r>
          <a:r>
            <a:rPr kumimoji="1" lang="en-US" altLang="ja-JP" sz="1100"/>
            <a:t>1.50m</a:t>
          </a:r>
          <a:endParaRPr kumimoji="1" lang="ja-JP" altLang="en-US" sz="1100"/>
        </a:p>
      </xdr:txBody>
    </xdr:sp>
    <xdr:clientData/>
  </xdr:twoCellAnchor>
  <xdr:twoCellAnchor editAs="absolute">
    <xdr:from>
      <xdr:col>31</xdr:col>
      <xdr:colOff>51596</xdr:colOff>
      <xdr:row>27</xdr:row>
      <xdr:rowOff>76003</xdr:rowOff>
    </xdr:from>
    <xdr:to>
      <xdr:col>35</xdr:col>
      <xdr:colOff>23812</xdr:colOff>
      <xdr:row>28</xdr:row>
      <xdr:rowOff>92330</xdr:rowOff>
    </xdr:to>
    <xdr:sp macro="" textlink="">
      <xdr:nvSpPr>
        <xdr:cNvPr id="45" name="テキスト ボックス 44">
          <a:extLst>
            <a:ext uri="{FF2B5EF4-FFF2-40B4-BE49-F238E27FC236}">
              <a16:creationId xmlns:a16="http://schemas.microsoft.com/office/drawing/2014/main" id="{8FB370C2-F8FD-4B73-8519-A5AEFC0BC3D9}"/>
            </a:ext>
          </a:extLst>
        </xdr:cNvPr>
        <xdr:cNvSpPr txBox="1"/>
      </xdr:nvSpPr>
      <xdr:spPr>
        <a:xfrm>
          <a:off x="7064377" y="6582769"/>
          <a:ext cx="877091" cy="254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 </a:t>
          </a:r>
          <a:r>
            <a:rPr kumimoji="1" lang="en-US" altLang="ja-JP" sz="1100"/>
            <a:t>3.00m</a:t>
          </a:r>
          <a:endParaRPr kumimoji="1" lang="ja-JP" altLang="en-US" sz="1100"/>
        </a:p>
      </xdr:txBody>
    </xdr:sp>
    <xdr:clientData/>
  </xdr:twoCellAnchor>
  <xdr:twoCellAnchor>
    <xdr:from>
      <xdr:col>28</xdr:col>
      <xdr:colOff>157312</xdr:colOff>
      <xdr:row>122</xdr:row>
      <xdr:rowOff>95434</xdr:rowOff>
    </xdr:from>
    <xdr:to>
      <xdr:col>29</xdr:col>
      <xdr:colOff>218203</xdr:colOff>
      <xdr:row>123</xdr:row>
      <xdr:rowOff>111761</xdr:rowOff>
    </xdr:to>
    <xdr:sp macro="" textlink="">
      <xdr:nvSpPr>
        <xdr:cNvPr id="75" name="テキスト ボックス 74">
          <a:extLst>
            <a:ext uri="{FF2B5EF4-FFF2-40B4-BE49-F238E27FC236}">
              <a16:creationId xmlns:a16="http://schemas.microsoft.com/office/drawing/2014/main" id="{59A72542-29F6-4DB1-BD9D-CD1B74FCE25C}"/>
            </a:ext>
          </a:extLst>
        </xdr:cNvPr>
        <xdr:cNvSpPr txBox="1"/>
      </xdr:nvSpPr>
      <xdr:spPr>
        <a:xfrm>
          <a:off x="6558112" y="29451484"/>
          <a:ext cx="289491" cy="254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25</xdr:col>
      <xdr:colOff>149086</xdr:colOff>
      <xdr:row>28</xdr:row>
      <xdr:rowOff>8209</xdr:rowOff>
    </xdr:from>
    <xdr:to>
      <xdr:col>26</xdr:col>
      <xdr:colOff>47366</xdr:colOff>
      <xdr:row>28</xdr:row>
      <xdr:rowOff>135089</xdr:rowOff>
    </xdr:to>
    <xdr:sp macro="" textlink="">
      <xdr:nvSpPr>
        <xdr:cNvPr id="91" name="楕円 90">
          <a:extLst>
            <a:ext uri="{FF2B5EF4-FFF2-40B4-BE49-F238E27FC236}">
              <a16:creationId xmlns:a16="http://schemas.microsoft.com/office/drawing/2014/main" id="{80E290C9-ED44-4124-9171-2991988941C9}"/>
            </a:ext>
          </a:extLst>
        </xdr:cNvPr>
        <xdr:cNvSpPr/>
      </xdr:nvSpPr>
      <xdr:spPr>
        <a:xfrm>
          <a:off x="5864086" y="6751909"/>
          <a:ext cx="126880" cy="12688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151504</xdr:colOff>
      <xdr:row>22</xdr:row>
      <xdr:rowOff>176763</xdr:rowOff>
    </xdr:from>
    <xdr:to>
      <xdr:col>25</xdr:col>
      <xdr:colOff>19688</xdr:colOff>
      <xdr:row>22</xdr:row>
      <xdr:rowOff>176763</xdr:rowOff>
    </xdr:to>
    <xdr:cxnSp macro="">
      <xdr:nvCxnSpPr>
        <xdr:cNvPr id="147" name="直線コネクタ 146">
          <a:extLst>
            <a:ext uri="{FF2B5EF4-FFF2-40B4-BE49-F238E27FC236}">
              <a16:creationId xmlns:a16="http://schemas.microsoft.com/office/drawing/2014/main" id="{C187C93E-921F-72E1-A1FB-D5B2D772D65F}"/>
            </a:ext>
          </a:extLst>
        </xdr:cNvPr>
        <xdr:cNvCxnSpPr/>
      </xdr:nvCxnSpPr>
      <xdr:spPr>
        <a:xfrm>
          <a:off x="5180704" y="5491713"/>
          <a:ext cx="55398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170554</xdr:colOff>
      <xdr:row>23</xdr:row>
      <xdr:rowOff>67476</xdr:rowOff>
    </xdr:from>
    <xdr:to>
      <xdr:col>25</xdr:col>
      <xdr:colOff>9662</xdr:colOff>
      <xdr:row>23</xdr:row>
      <xdr:rowOff>67476</xdr:rowOff>
    </xdr:to>
    <xdr:cxnSp macro="">
      <xdr:nvCxnSpPr>
        <xdr:cNvPr id="148" name="直線コネクタ 147">
          <a:extLst>
            <a:ext uri="{FF2B5EF4-FFF2-40B4-BE49-F238E27FC236}">
              <a16:creationId xmlns:a16="http://schemas.microsoft.com/office/drawing/2014/main" id="{652DD199-95B0-980B-3054-B572F1BC5B1C}"/>
            </a:ext>
          </a:extLst>
        </xdr:cNvPr>
        <xdr:cNvCxnSpPr/>
      </xdr:nvCxnSpPr>
      <xdr:spPr>
        <a:xfrm>
          <a:off x="5199754" y="5620551"/>
          <a:ext cx="52490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17683</xdr:colOff>
      <xdr:row>22</xdr:row>
      <xdr:rowOff>181659</xdr:rowOff>
    </xdr:from>
    <xdr:to>
      <xdr:col>25</xdr:col>
      <xdr:colOff>17683</xdr:colOff>
      <xdr:row>23</xdr:row>
      <xdr:rowOff>67861</xdr:rowOff>
    </xdr:to>
    <xdr:cxnSp macro="">
      <xdr:nvCxnSpPr>
        <xdr:cNvPr id="149" name="直線コネクタ 148">
          <a:extLst>
            <a:ext uri="{FF2B5EF4-FFF2-40B4-BE49-F238E27FC236}">
              <a16:creationId xmlns:a16="http://schemas.microsoft.com/office/drawing/2014/main" id="{BD80E4D2-1587-19D7-A96F-0CAB8A0A98F3}"/>
            </a:ext>
          </a:extLst>
        </xdr:cNvPr>
        <xdr:cNvCxnSpPr/>
      </xdr:nvCxnSpPr>
      <xdr:spPr>
        <a:xfrm>
          <a:off x="5732683" y="5496609"/>
          <a:ext cx="0" cy="12432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44897</xdr:colOff>
      <xdr:row>22</xdr:row>
      <xdr:rowOff>171454</xdr:rowOff>
    </xdr:from>
    <xdr:to>
      <xdr:col>25</xdr:col>
      <xdr:colOff>44897</xdr:colOff>
      <xdr:row>23</xdr:row>
      <xdr:rowOff>81647</xdr:rowOff>
    </xdr:to>
    <xdr:cxnSp macro="">
      <xdr:nvCxnSpPr>
        <xdr:cNvPr id="150" name="直線コネクタ 149">
          <a:extLst>
            <a:ext uri="{FF2B5EF4-FFF2-40B4-BE49-F238E27FC236}">
              <a16:creationId xmlns:a16="http://schemas.microsoft.com/office/drawing/2014/main" id="{48A2AE4B-99CD-A3C4-D2D1-33820D84052A}"/>
            </a:ext>
          </a:extLst>
        </xdr:cNvPr>
        <xdr:cNvCxnSpPr/>
      </xdr:nvCxnSpPr>
      <xdr:spPr>
        <a:xfrm>
          <a:off x="5759897" y="5486404"/>
          <a:ext cx="0" cy="14831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187771</xdr:colOff>
      <xdr:row>22</xdr:row>
      <xdr:rowOff>171454</xdr:rowOff>
    </xdr:from>
    <xdr:to>
      <xdr:col>25</xdr:col>
      <xdr:colOff>187771</xdr:colOff>
      <xdr:row>23</xdr:row>
      <xdr:rowOff>81647</xdr:rowOff>
    </xdr:to>
    <xdr:cxnSp macro="">
      <xdr:nvCxnSpPr>
        <xdr:cNvPr id="151" name="直線コネクタ 150">
          <a:extLst>
            <a:ext uri="{FF2B5EF4-FFF2-40B4-BE49-F238E27FC236}">
              <a16:creationId xmlns:a16="http://schemas.microsoft.com/office/drawing/2014/main" id="{4DB47B1F-9254-F09A-7656-9E4D3D997B76}"/>
            </a:ext>
          </a:extLst>
        </xdr:cNvPr>
        <xdr:cNvCxnSpPr/>
      </xdr:nvCxnSpPr>
      <xdr:spPr>
        <a:xfrm>
          <a:off x="5902771" y="5486404"/>
          <a:ext cx="0" cy="14831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43827</xdr:colOff>
      <xdr:row>23</xdr:row>
      <xdr:rowOff>2725</xdr:rowOff>
    </xdr:from>
    <xdr:to>
      <xdr:col>25</xdr:col>
      <xdr:colOff>183300</xdr:colOff>
      <xdr:row>23</xdr:row>
      <xdr:rowOff>2725</xdr:rowOff>
    </xdr:to>
    <xdr:cxnSp macro="">
      <xdr:nvCxnSpPr>
        <xdr:cNvPr id="152" name="直線コネクタ 151">
          <a:extLst>
            <a:ext uri="{FF2B5EF4-FFF2-40B4-BE49-F238E27FC236}">
              <a16:creationId xmlns:a16="http://schemas.microsoft.com/office/drawing/2014/main" id="{9A771238-C8DE-92F9-509F-05E0D9CDF89C}"/>
            </a:ext>
          </a:extLst>
        </xdr:cNvPr>
        <xdr:cNvCxnSpPr/>
      </xdr:nvCxnSpPr>
      <xdr:spPr>
        <a:xfrm>
          <a:off x="5758827" y="5555800"/>
          <a:ext cx="13947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9525</xdr:colOff>
      <xdr:row>23</xdr:row>
      <xdr:rowOff>2725</xdr:rowOff>
    </xdr:from>
    <xdr:to>
      <xdr:col>30</xdr:col>
      <xdr:colOff>116353</xdr:colOff>
      <xdr:row>23</xdr:row>
      <xdr:rowOff>2725</xdr:rowOff>
    </xdr:to>
    <xdr:cxnSp macro="">
      <xdr:nvCxnSpPr>
        <xdr:cNvPr id="153" name="直線コネクタ 152">
          <a:extLst>
            <a:ext uri="{FF2B5EF4-FFF2-40B4-BE49-F238E27FC236}">
              <a16:creationId xmlns:a16="http://schemas.microsoft.com/office/drawing/2014/main" id="{15B729E5-1788-B6B1-EDFA-91F0A981E318}"/>
            </a:ext>
          </a:extLst>
        </xdr:cNvPr>
        <xdr:cNvCxnSpPr/>
      </xdr:nvCxnSpPr>
      <xdr:spPr>
        <a:xfrm>
          <a:off x="5953125" y="5555800"/>
          <a:ext cx="102122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156883</xdr:colOff>
      <xdr:row>23</xdr:row>
      <xdr:rowOff>2725</xdr:rowOff>
    </xdr:from>
    <xdr:to>
      <xdr:col>32</xdr:col>
      <xdr:colOff>19850</xdr:colOff>
      <xdr:row>23</xdr:row>
      <xdr:rowOff>2725</xdr:rowOff>
    </xdr:to>
    <xdr:cxnSp macro="">
      <xdr:nvCxnSpPr>
        <xdr:cNvPr id="155" name="直線コネクタ 154">
          <a:extLst>
            <a:ext uri="{FF2B5EF4-FFF2-40B4-BE49-F238E27FC236}">
              <a16:creationId xmlns:a16="http://schemas.microsoft.com/office/drawing/2014/main" id="{DE3A5ABA-3DA2-FF41-51DA-8DD3F64490F8}"/>
            </a:ext>
          </a:extLst>
        </xdr:cNvPr>
        <xdr:cNvCxnSpPr/>
      </xdr:nvCxnSpPr>
      <xdr:spPr>
        <a:xfrm>
          <a:off x="6880412" y="5504813"/>
          <a:ext cx="31120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120903</xdr:colOff>
      <xdr:row>18</xdr:row>
      <xdr:rowOff>88473</xdr:rowOff>
    </xdr:from>
    <xdr:to>
      <xdr:col>27</xdr:col>
      <xdr:colOff>101853</xdr:colOff>
      <xdr:row>23</xdr:row>
      <xdr:rowOff>0</xdr:rowOff>
    </xdr:to>
    <xdr:cxnSp macro="">
      <xdr:nvCxnSpPr>
        <xdr:cNvPr id="160" name="直線コネクタ 159">
          <a:extLst>
            <a:ext uri="{FF2B5EF4-FFF2-40B4-BE49-F238E27FC236}">
              <a16:creationId xmlns:a16="http://schemas.microsoft.com/office/drawing/2014/main" id="{E5D692DB-5320-DE5A-CD40-E663FA1A7D2C}"/>
            </a:ext>
          </a:extLst>
        </xdr:cNvPr>
        <xdr:cNvCxnSpPr/>
      </xdr:nvCxnSpPr>
      <xdr:spPr>
        <a:xfrm>
          <a:off x="6064503" y="4450923"/>
          <a:ext cx="209550" cy="1102152"/>
        </a:xfrm>
        <a:prstGeom prst="line">
          <a:avLst/>
        </a:prstGeom>
        <a:ln>
          <a:solidFill>
            <a:schemeClr val="bg1">
              <a:lumMod val="75000"/>
            </a:schemeClr>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31</xdr:col>
      <xdr:colOff>45724</xdr:colOff>
      <xdr:row>21</xdr:row>
      <xdr:rowOff>65484</xdr:rowOff>
    </xdr:from>
    <xdr:to>
      <xdr:col>31</xdr:col>
      <xdr:colOff>45724</xdr:colOff>
      <xdr:row>23</xdr:row>
      <xdr:rowOff>0</xdr:rowOff>
    </xdr:to>
    <xdr:cxnSp macro="">
      <xdr:nvCxnSpPr>
        <xdr:cNvPr id="164" name="直線コネクタ 163">
          <a:extLst>
            <a:ext uri="{FF2B5EF4-FFF2-40B4-BE49-F238E27FC236}">
              <a16:creationId xmlns:a16="http://schemas.microsoft.com/office/drawing/2014/main" id="{3D9822DF-2F92-B55A-5AFF-DDEA8764AA04}"/>
            </a:ext>
          </a:extLst>
        </xdr:cNvPr>
        <xdr:cNvCxnSpPr/>
      </xdr:nvCxnSpPr>
      <xdr:spPr>
        <a:xfrm>
          <a:off x="6993371" y="5096925"/>
          <a:ext cx="0" cy="405163"/>
        </a:xfrm>
        <a:prstGeom prst="line">
          <a:avLst/>
        </a:prstGeom>
        <a:ln>
          <a:solidFill>
            <a:schemeClr val="bg1">
              <a:lumMod val="75000"/>
            </a:schemeClr>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31</xdr:col>
      <xdr:colOff>30116</xdr:colOff>
      <xdr:row>21</xdr:row>
      <xdr:rowOff>53578</xdr:rowOff>
    </xdr:from>
    <xdr:to>
      <xdr:col>32</xdr:col>
      <xdr:colOff>22411</xdr:colOff>
      <xdr:row>23</xdr:row>
      <xdr:rowOff>11206</xdr:rowOff>
    </xdr:to>
    <xdr:cxnSp macro="">
      <xdr:nvCxnSpPr>
        <xdr:cNvPr id="166" name="直線コネクタ 165">
          <a:extLst>
            <a:ext uri="{FF2B5EF4-FFF2-40B4-BE49-F238E27FC236}">
              <a16:creationId xmlns:a16="http://schemas.microsoft.com/office/drawing/2014/main" id="{31F00EB1-45AA-6991-B185-1F1EFBFBCA73}"/>
            </a:ext>
          </a:extLst>
        </xdr:cNvPr>
        <xdr:cNvCxnSpPr/>
      </xdr:nvCxnSpPr>
      <xdr:spPr>
        <a:xfrm flipH="1" flipV="1">
          <a:off x="6977763" y="5085019"/>
          <a:ext cx="216413" cy="428275"/>
        </a:xfrm>
        <a:prstGeom prst="line">
          <a:avLst/>
        </a:prstGeom>
        <a:ln>
          <a:solidFill>
            <a:schemeClr val="bg1">
              <a:lumMod val="75000"/>
            </a:schemeClr>
          </a:solidFill>
        </a:ln>
      </xdr:spPr>
      <xdr:style>
        <a:lnRef idx="3">
          <a:schemeClr val="dk1"/>
        </a:lnRef>
        <a:fillRef idx="0">
          <a:schemeClr val="dk1"/>
        </a:fillRef>
        <a:effectRef idx="2">
          <a:schemeClr val="dk1"/>
        </a:effectRef>
        <a:fontRef idx="minor">
          <a:schemeClr val="tx1"/>
        </a:fontRef>
      </xdr:style>
    </xdr:cxnSp>
    <xdr:clientData/>
  </xdr:twoCellAnchor>
  <xdr:twoCellAnchor>
    <xdr:from>
      <xdr:col>22</xdr:col>
      <xdr:colOff>9525</xdr:colOff>
      <xdr:row>29</xdr:row>
      <xdr:rowOff>42528</xdr:rowOff>
    </xdr:from>
    <xdr:to>
      <xdr:col>34</xdr:col>
      <xdr:colOff>130968</xdr:colOff>
      <xdr:row>29</xdr:row>
      <xdr:rowOff>42528</xdr:rowOff>
    </xdr:to>
    <xdr:cxnSp macro="">
      <xdr:nvCxnSpPr>
        <xdr:cNvPr id="168" name="直線コネクタ 167">
          <a:extLst>
            <a:ext uri="{FF2B5EF4-FFF2-40B4-BE49-F238E27FC236}">
              <a16:creationId xmlns:a16="http://schemas.microsoft.com/office/drawing/2014/main" id="{0EE075FB-0ECF-AE29-A58E-6DFF8B9FC9FA}"/>
            </a:ext>
          </a:extLst>
        </xdr:cNvPr>
        <xdr:cNvCxnSpPr/>
      </xdr:nvCxnSpPr>
      <xdr:spPr>
        <a:xfrm>
          <a:off x="5038725" y="7024353"/>
          <a:ext cx="2864643"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editAs="absolute">
    <xdr:from>
      <xdr:col>31</xdr:col>
      <xdr:colOff>57550</xdr:colOff>
      <xdr:row>30</xdr:row>
      <xdr:rowOff>14087</xdr:rowOff>
    </xdr:from>
    <xdr:to>
      <xdr:col>35</xdr:col>
      <xdr:colOff>19050</xdr:colOff>
      <xdr:row>31</xdr:row>
      <xdr:rowOff>30414</xdr:rowOff>
    </xdr:to>
    <xdr:sp macro="" textlink="">
      <xdr:nvSpPr>
        <xdr:cNvPr id="169" name="テキスト ボックス 168">
          <a:extLst>
            <a:ext uri="{FF2B5EF4-FFF2-40B4-BE49-F238E27FC236}">
              <a16:creationId xmlns:a16="http://schemas.microsoft.com/office/drawing/2014/main" id="{92E5E090-374B-77C4-ECA4-0039768602C7}"/>
            </a:ext>
          </a:extLst>
        </xdr:cNvPr>
        <xdr:cNvSpPr txBox="1"/>
      </xdr:nvSpPr>
      <xdr:spPr>
        <a:xfrm>
          <a:off x="7144150" y="7234037"/>
          <a:ext cx="875900" cy="254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５層 </a:t>
          </a:r>
          <a:r>
            <a:rPr kumimoji="1" lang="en-US" altLang="ja-JP" sz="1100"/>
            <a:t>1.06m</a:t>
          </a:r>
          <a:endParaRPr kumimoji="1" lang="ja-JP" altLang="en-US" sz="1100"/>
        </a:p>
      </xdr:txBody>
    </xdr:sp>
    <xdr:clientData/>
  </xdr:twoCellAnchor>
  <xdr:twoCellAnchor>
    <xdr:from>
      <xdr:col>27</xdr:col>
      <xdr:colOff>171450</xdr:colOff>
      <xdr:row>29</xdr:row>
      <xdr:rowOff>47625</xdr:rowOff>
    </xdr:from>
    <xdr:to>
      <xdr:col>29</xdr:col>
      <xdr:colOff>38100</xdr:colOff>
      <xdr:row>31</xdr:row>
      <xdr:rowOff>152400</xdr:rowOff>
    </xdr:to>
    <xdr:cxnSp macro="">
      <xdr:nvCxnSpPr>
        <xdr:cNvPr id="174" name="直線コネクタ 173">
          <a:extLst>
            <a:ext uri="{FF2B5EF4-FFF2-40B4-BE49-F238E27FC236}">
              <a16:creationId xmlns:a16="http://schemas.microsoft.com/office/drawing/2014/main" id="{0749C4F1-4770-9999-87D6-5EC6D954E5FA}"/>
            </a:ext>
          </a:extLst>
        </xdr:cNvPr>
        <xdr:cNvCxnSpPr/>
      </xdr:nvCxnSpPr>
      <xdr:spPr>
        <a:xfrm>
          <a:off x="6343650" y="7029450"/>
          <a:ext cx="323850" cy="58102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20</xdr:col>
      <xdr:colOff>129696</xdr:colOff>
      <xdr:row>29</xdr:row>
      <xdr:rowOff>35902</xdr:rowOff>
    </xdr:from>
    <xdr:to>
      <xdr:col>22</xdr:col>
      <xdr:colOff>14159</xdr:colOff>
      <xdr:row>31</xdr:row>
      <xdr:rowOff>153194</xdr:rowOff>
    </xdr:to>
    <xdr:cxnSp macro="">
      <xdr:nvCxnSpPr>
        <xdr:cNvPr id="176" name="直線コネクタ 175">
          <a:extLst>
            <a:ext uri="{FF2B5EF4-FFF2-40B4-BE49-F238E27FC236}">
              <a16:creationId xmlns:a16="http://schemas.microsoft.com/office/drawing/2014/main" id="{7A95F0BF-55A4-4776-73A5-AF591AC43850}"/>
            </a:ext>
          </a:extLst>
        </xdr:cNvPr>
        <xdr:cNvCxnSpPr/>
      </xdr:nvCxnSpPr>
      <xdr:spPr>
        <a:xfrm flipH="1">
          <a:off x="4701696" y="7017727"/>
          <a:ext cx="341663" cy="593542"/>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24</xdr:col>
      <xdr:colOff>131532</xdr:colOff>
      <xdr:row>53</xdr:row>
      <xdr:rowOff>138604</xdr:rowOff>
    </xdr:from>
    <xdr:to>
      <xdr:col>35</xdr:col>
      <xdr:colOff>42674</xdr:colOff>
      <xdr:row>53</xdr:row>
      <xdr:rowOff>138604</xdr:rowOff>
    </xdr:to>
    <xdr:cxnSp macro="">
      <xdr:nvCxnSpPr>
        <xdr:cNvPr id="179" name="直線コネクタ 178">
          <a:extLst>
            <a:ext uri="{FF2B5EF4-FFF2-40B4-BE49-F238E27FC236}">
              <a16:creationId xmlns:a16="http://schemas.microsoft.com/office/drawing/2014/main" id="{F9F40355-3128-45B2-A7B1-D8A271E47E9F}"/>
            </a:ext>
          </a:extLst>
        </xdr:cNvPr>
        <xdr:cNvCxnSpPr/>
      </xdr:nvCxnSpPr>
      <xdr:spPr>
        <a:xfrm>
          <a:off x="5510356" y="12745222"/>
          <a:ext cx="237643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219639</xdr:colOff>
      <xdr:row>61</xdr:row>
      <xdr:rowOff>28892</xdr:rowOff>
    </xdr:from>
    <xdr:to>
      <xdr:col>28</xdr:col>
      <xdr:colOff>27664</xdr:colOff>
      <xdr:row>61</xdr:row>
      <xdr:rowOff>28892</xdr:rowOff>
    </xdr:to>
    <xdr:cxnSp macro="">
      <xdr:nvCxnSpPr>
        <xdr:cNvPr id="180" name="直線コネクタ 179">
          <a:extLst>
            <a:ext uri="{FF2B5EF4-FFF2-40B4-BE49-F238E27FC236}">
              <a16:creationId xmlns:a16="http://schemas.microsoft.com/office/drawing/2014/main" id="{A4F110C9-ED63-417E-95EC-8A6D5E882D13}"/>
            </a:ext>
          </a:extLst>
        </xdr:cNvPr>
        <xdr:cNvCxnSpPr/>
      </xdr:nvCxnSpPr>
      <xdr:spPr>
        <a:xfrm>
          <a:off x="5706039" y="14668817"/>
          <a:ext cx="72242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126838</xdr:colOff>
      <xdr:row>61</xdr:row>
      <xdr:rowOff>36528</xdr:rowOff>
    </xdr:from>
    <xdr:to>
      <xdr:col>26</xdr:col>
      <xdr:colOff>224033</xdr:colOff>
      <xdr:row>61</xdr:row>
      <xdr:rowOff>136905</xdr:rowOff>
    </xdr:to>
    <xdr:cxnSp macro="">
      <xdr:nvCxnSpPr>
        <xdr:cNvPr id="181" name="直線コネクタ 180">
          <a:extLst>
            <a:ext uri="{FF2B5EF4-FFF2-40B4-BE49-F238E27FC236}">
              <a16:creationId xmlns:a16="http://schemas.microsoft.com/office/drawing/2014/main" id="{AB9C3C1C-A2FE-4AED-92B8-321FF103FBF6}"/>
            </a:ext>
          </a:extLst>
        </xdr:cNvPr>
        <xdr:cNvCxnSpPr/>
      </xdr:nvCxnSpPr>
      <xdr:spPr>
        <a:xfrm>
          <a:off x="6070438" y="14676453"/>
          <a:ext cx="97195" cy="10037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78112</xdr:colOff>
      <xdr:row>61</xdr:row>
      <xdr:rowOff>38372</xdr:rowOff>
    </xdr:from>
    <xdr:to>
      <xdr:col>26</xdr:col>
      <xdr:colOff>176715</xdr:colOff>
      <xdr:row>61</xdr:row>
      <xdr:rowOff>138749</xdr:rowOff>
    </xdr:to>
    <xdr:cxnSp macro="">
      <xdr:nvCxnSpPr>
        <xdr:cNvPr id="182" name="直線コネクタ 181">
          <a:extLst>
            <a:ext uri="{FF2B5EF4-FFF2-40B4-BE49-F238E27FC236}">
              <a16:creationId xmlns:a16="http://schemas.microsoft.com/office/drawing/2014/main" id="{8BAAF164-FDD7-4CD4-806A-59C4DD27BC49}"/>
            </a:ext>
          </a:extLst>
        </xdr:cNvPr>
        <xdr:cNvCxnSpPr/>
      </xdr:nvCxnSpPr>
      <xdr:spPr>
        <a:xfrm>
          <a:off x="6021712" y="14678297"/>
          <a:ext cx="98603" cy="10037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79027</xdr:colOff>
      <xdr:row>61</xdr:row>
      <xdr:rowOff>92937</xdr:rowOff>
    </xdr:from>
    <xdr:to>
      <xdr:col>26</xdr:col>
      <xdr:colOff>112091</xdr:colOff>
      <xdr:row>61</xdr:row>
      <xdr:rowOff>120861</xdr:rowOff>
    </xdr:to>
    <xdr:cxnSp macro="">
      <xdr:nvCxnSpPr>
        <xdr:cNvPr id="183" name="直線コネクタ 182">
          <a:extLst>
            <a:ext uri="{FF2B5EF4-FFF2-40B4-BE49-F238E27FC236}">
              <a16:creationId xmlns:a16="http://schemas.microsoft.com/office/drawing/2014/main" id="{2F6590F3-F06C-4808-99AB-D123B3861A34}"/>
            </a:ext>
          </a:extLst>
        </xdr:cNvPr>
        <xdr:cNvCxnSpPr/>
      </xdr:nvCxnSpPr>
      <xdr:spPr>
        <a:xfrm flipH="1">
          <a:off x="6022627" y="14732862"/>
          <a:ext cx="33064" cy="279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100719</xdr:colOff>
      <xdr:row>61</xdr:row>
      <xdr:rowOff>107333</xdr:rowOff>
    </xdr:from>
    <xdr:to>
      <xdr:col>26</xdr:col>
      <xdr:colOff>132375</xdr:colOff>
      <xdr:row>61</xdr:row>
      <xdr:rowOff>138059</xdr:rowOff>
    </xdr:to>
    <xdr:cxnSp macro="">
      <xdr:nvCxnSpPr>
        <xdr:cNvPr id="184" name="直線コネクタ 183">
          <a:extLst>
            <a:ext uri="{FF2B5EF4-FFF2-40B4-BE49-F238E27FC236}">
              <a16:creationId xmlns:a16="http://schemas.microsoft.com/office/drawing/2014/main" id="{9FCD1E7A-50EA-4E35-8735-3579A2D6D4E3}"/>
            </a:ext>
          </a:extLst>
        </xdr:cNvPr>
        <xdr:cNvCxnSpPr/>
      </xdr:nvCxnSpPr>
      <xdr:spPr>
        <a:xfrm flipH="1">
          <a:off x="6044319" y="14747258"/>
          <a:ext cx="3165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210336</xdr:colOff>
      <xdr:row>61</xdr:row>
      <xdr:rowOff>44398</xdr:rowOff>
    </xdr:from>
    <xdr:to>
      <xdr:col>26</xdr:col>
      <xdr:colOff>69999</xdr:colOff>
      <xdr:row>61</xdr:row>
      <xdr:rowOff>144775</xdr:rowOff>
    </xdr:to>
    <xdr:cxnSp macro="">
      <xdr:nvCxnSpPr>
        <xdr:cNvPr id="185" name="直線コネクタ 184">
          <a:extLst>
            <a:ext uri="{FF2B5EF4-FFF2-40B4-BE49-F238E27FC236}">
              <a16:creationId xmlns:a16="http://schemas.microsoft.com/office/drawing/2014/main" id="{0DF749A0-9058-4467-A895-FF7C939106B9}"/>
            </a:ext>
          </a:extLst>
        </xdr:cNvPr>
        <xdr:cNvCxnSpPr/>
      </xdr:nvCxnSpPr>
      <xdr:spPr>
        <a:xfrm>
          <a:off x="5925336" y="14684323"/>
          <a:ext cx="88263" cy="10037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163018</xdr:colOff>
      <xdr:row>61</xdr:row>
      <xdr:rowOff>46242</xdr:rowOff>
    </xdr:from>
    <xdr:to>
      <xdr:col>26</xdr:col>
      <xdr:colOff>25402</xdr:colOff>
      <xdr:row>61</xdr:row>
      <xdr:rowOff>146619</xdr:rowOff>
    </xdr:to>
    <xdr:cxnSp macro="">
      <xdr:nvCxnSpPr>
        <xdr:cNvPr id="186" name="直線コネクタ 185">
          <a:extLst>
            <a:ext uri="{FF2B5EF4-FFF2-40B4-BE49-F238E27FC236}">
              <a16:creationId xmlns:a16="http://schemas.microsoft.com/office/drawing/2014/main" id="{9D0FBAB0-CFC0-460B-A8DA-F33A11886FBE}"/>
            </a:ext>
          </a:extLst>
        </xdr:cNvPr>
        <xdr:cNvCxnSpPr/>
      </xdr:nvCxnSpPr>
      <xdr:spPr>
        <a:xfrm>
          <a:off x="5878018" y="14686167"/>
          <a:ext cx="90984" cy="10037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163054</xdr:colOff>
      <xdr:row>61</xdr:row>
      <xdr:rowOff>98005</xdr:rowOff>
    </xdr:from>
    <xdr:to>
      <xdr:col>25</xdr:col>
      <xdr:colOff>193780</xdr:colOff>
      <xdr:row>61</xdr:row>
      <xdr:rowOff>128731</xdr:rowOff>
    </xdr:to>
    <xdr:cxnSp macro="">
      <xdr:nvCxnSpPr>
        <xdr:cNvPr id="187" name="直線コネクタ 186">
          <a:extLst>
            <a:ext uri="{FF2B5EF4-FFF2-40B4-BE49-F238E27FC236}">
              <a16:creationId xmlns:a16="http://schemas.microsoft.com/office/drawing/2014/main" id="{790B3F4A-3B20-4202-96F4-AE01F24F1563}"/>
            </a:ext>
          </a:extLst>
        </xdr:cNvPr>
        <xdr:cNvCxnSpPr/>
      </xdr:nvCxnSpPr>
      <xdr:spPr>
        <a:xfrm flipH="1">
          <a:off x="5878054" y="14737930"/>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183338</xdr:colOff>
      <xdr:row>61</xdr:row>
      <xdr:rowOff>115203</xdr:rowOff>
    </xdr:from>
    <xdr:to>
      <xdr:col>25</xdr:col>
      <xdr:colOff>214064</xdr:colOff>
      <xdr:row>61</xdr:row>
      <xdr:rowOff>145929</xdr:rowOff>
    </xdr:to>
    <xdr:cxnSp macro="">
      <xdr:nvCxnSpPr>
        <xdr:cNvPr id="188" name="直線コネクタ 187">
          <a:extLst>
            <a:ext uri="{FF2B5EF4-FFF2-40B4-BE49-F238E27FC236}">
              <a16:creationId xmlns:a16="http://schemas.microsoft.com/office/drawing/2014/main" id="{D0D8EAFE-33C4-4381-9586-EEB44D150A5B}"/>
            </a:ext>
          </a:extLst>
        </xdr:cNvPr>
        <xdr:cNvCxnSpPr/>
      </xdr:nvCxnSpPr>
      <xdr:spPr>
        <a:xfrm flipH="1">
          <a:off x="5898338" y="14755128"/>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186431</xdr:colOff>
      <xdr:row>53</xdr:row>
      <xdr:rowOff>142898</xdr:rowOff>
    </xdr:from>
    <xdr:to>
      <xdr:col>30</xdr:col>
      <xdr:colOff>46546</xdr:colOff>
      <xdr:row>53</xdr:row>
      <xdr:rowOff>225536</xdr:rowOff>
    </xdr:to>
    <xdr:cxnSp macro="">
      <xdr:nvCxnSpPr>
        <xdr:cNvPr id="189" name="直線コネクタ 188">
          <a:extLst>
            <a:ext uri="{FF2B5EF4-FFF2-40B4-BE49-F238E27FC236}">
              <a16:creationId xmlns:a16="http://schemas.microsoft.com/office/drawing/2014/main" id="{A168BE85-0CC2-4D57-92C7-D89517C8372E}"/>
            </a:ext>
          </a:extLst>
        </xdr:cNvPr>
        <xdr:cNvCxnSpPr/>
      </xdr:nvCxnSpPr>
      <xdr:spPr>
        <a:xfrm>
          <a:off x="6815831" y="12877823"/>
          <a:ext cx="88715"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139113</xdr:colOff>
      <xdr:row>53</xdr:row>
      <xdr:rowOff>144742</xdr:rowOff>
    </xdr:from>
    <xdr:to>
      <xdr:col>29</xdr:col>
      <xdr:colOff>225107</xdr:colOff>
      <xdr:row>53</xdr:row>
      <xdr:rowOff>227380</xdr:rowOff>
    </xdr:to>
    <xdr:cxnSp macro="">
      <xdr:nvCxnSpPr>
        <xdr:cNvPr id="190" name="直線コネクタ 189">
          <a:extLst>
            <a:ext uri="{FF2B5EF4-FFF2-40B4-BE49-F238E27FC236}">
              <a16:creationId xmlns:a16="http://schemas.microsoft.com/office/drawing/2014/main" id="{F9F94B33-D7B9-4DE0-AEEC-877D5658559B}"/>
            </a:ext>
          </a:extLst>
        </xdr:cNvPr>
        <xdr:cNvCxnSpPr/>
      </xdr:nvCxnSpPr>
      <xdr:spPr>
        <a:xfrm>
          <a:off x="6768513" y="12879667"/>
          <a:ext cx="8599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139149</xdr:colOff>
      <xdr:row>53</xdr:row>
      <xdr:rowOff>185574</xdr:rowOff>
    </xdr:from>
    <xdr:to>
      <xdr:col>29</xdr:col>
      <xdr:colOff>169875</xdr:colOff>
      <xdr:row>53</xdr:row>
      <xdr:rowOff>206775</xdr:rowOff>
    </xdr:to>
    <xdr:cxnSp macro="">
      <xdr:nvCxnSpPr>
        <xdr:cNvPr id="191" name="直線コネクタ 190">
          <a:extLst>
            <a:ext uri="{FF2B5EF4-FFF2-40B4-BE49-F238E27FC236}">
              <a16:creationId xmlns:a16="http://schemas.microsoft.com/office/drawing/2014/main" id="{8A8B1170-0A55-4B22-B0B7-F735EC13A764}"/>
            </a:ext>
          </a:extLst>
        </xdr:cNvPr>
        <xdr:cNvCxnSpPr/>
      </xdr:nvCxnSpPr>
      <xdr:spPr>
        <a:xfrm flipH="1">
          <a:off x="6768549" y="12920499"/>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159433</xdr:colOff>
      <xdr:row>53</xdr:row>
      <xdr:rowOff>202772</xdr:rowOff>
    </xdr:from>
    <xdr:to>
      <xdr:col>29</xdr:col>
      <xdr:colOff>190159</xdr:colOff>
      <xdr:row>53</xdr:row>
      <xdr:rowOff>226695</xdr:rowOff>
    </xdr:to>
    <xdr:cxnSp macro="">
      <xdr:nvCxnSpPr>
        <xdr:cNvPr id="192" name="直線コネクタ 191">
          <a:extLst>
            <a:ext uri="{FF2B5EF4-FFF2-40B4-BE49-F238E27FC236}">
              <a16:creationId xmlns:a16="http://schemas.microsoft.com/office/drawing/2014/main" id="{82F0E4E5-A407-420E-A0EF-82586F6446B6}"/>
            </a:ext>
          </a:extLst>
        </xdr:cNvPr>
        <xdr:cNvCxnSpPr/>
      </xdr:nvCxnSpPr>
      <xdr:spPr>
        <a:xfrm flipH="1">
          <a:off x="6788833" y="12937697"/>
          <a:ext cx="3072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106295</xdr:colOff>
      <xdr:row>53</xdr:row>
      <xdr:rowOff>138409</xdr:rowOff>
    </xdr:from>
    <xdr:to>
      <xdr:col>30</xdr:col>
      <xdr:colOff>191255</xdr:colOff>
      <xdr:row>53</xdr:row>
      <xdr:rowOff>221047</xdr:rowOff>
    </xdr:to>
    <xdr:cxnSp macro="">
      <xdr:nvCxnSpPr>
        <xdr:cNvPr id="193" name="直線コネクタ 192">
          <a:extLst>
            <a:ext uri="{FF2B5EF4-FFF2-40B4-BE49-F238E27FC236}">
              <a16:creationId xmlns:a16="http://schemas.microsoft.com/office/drawing/2014/main" id="{8676C27C-0BF8-40C2-B915-A53D3E03E579}"/>
            </a:ext>
          </a:extLst>
        </xdr:cNvPr>
        <xdr:cNvCxnSpPr/>
      </xdr:nvCxnSpPr>
      <xdr:spPr>
        <a:xfrm>
          <a:off x="6964295" y="12873334"/>
          <a:ext cx="84960"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54495</xdr:colOff>
      <xdr:row>53</xdr:row>
      <xdr:rowOff>140253</xdr:rowOff>
    </xdr:from>
    <xdr:to>
      <xdr:col>30</xdr:col>
      <xdr:colOff>148419</xdr:colOff>
      <xdr:row>53</xdr:row>
      <xdr:rowOff>222891</xdr:rowOff>
    </xdr:to>
    <xdr:cxnSp macro="">
      <xdr:nvCxnSpPr>
        <xdr:cNvPr id="194" name="直線コネクタ 193">
          <a:extLst>
            <a:ext uri="{FF2B5EF4-FFF2-40B4-BE49-F238E27FC236}">
              <a16:creationId xmlns:a16="http://schemas.microsoft.com/office/drawing/2014/main" id="{1BBB51A6-DDEA-4688-94BF-3A0B994C86F4}"/>
            </a:ext>
          </a:extLst>
        </xdr:cNvPr>
        <xdr:cNvCxnSpPr/>
      </xdr:nvCxnSpPr>
      <xdr:spPr>
        <a:xfrm>
          <a:off x="6912495" y="12875178"/>
          <a:ext cx="9392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54531</xdr:colOff>
      <xdr:row>53</xdr:row>
      <xdr:rowOff>181080</xdr:rowOff>
    </xdr:from>
    <xdr:to>
      <xdr:col>30</xdr:col>
      <xdr:colOff>89739</xdr:colOff>
      <xdr:row>53</xdr:row>
      <xdr:rowOff>211806</xdr:rowOff>
    </xdr:to>
    <xdr:cxnSp macro="">
      <xdr:nvCxnSpPr>
        <xdr:cNvPr id="195" name="直線コネクタ 194">
          <a:extLst>
            <a:ext uri="{FF2B5EF4-FFF2-40B4-BE49-F238E27FC236}">
              <a16:creationId xmlns:a16="http://schemas.microsoft.com/office/drawing/2014/main" id="{CE5997FE-1C5F-45D8-BDD8-0EC3980CE352}"/>
            </a:ext>
          </a:extLst>
        </xdr:cNvPr>
        <xdr:cNvCxnSpPr/>
      </xdr:nvCxnSpPr>
      <xdr:spPr>
        <a:xfrm flipH="1">
          <a:off x="6912531" y="12916005"/>
          <a:ext cx="35208"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74815</xdr:colOff>
      <xdr:row>53</xdr:row>
      <xdr:rowOff>198278</xdr:rowOff>
    </xdr:from>
    <xdr:to>
      <xdr:col>30</xdr:col>
      <xdr:colOff>110023</xdr:colOff>
      <xdr:row>53</xdr:row>
      <xdr:rowOff>222201</xdr:rowOff>
    </xdr:to>
    <xdr:cxnSp macro="">
      <xdr:nvCxnSpPr>
        <xdr:cNvPr id="196" name="直線コネクタ 195">
          <a:extLst>
            <a:ext uri="{FF2B5EF4-FFF2-40B4-BE49-F238E27FC236}">
              <a16:creationId xmlns:a16="http://schemas.microsoft.com/office/drawing/2014/main" id="{03ABA4C0-39A6-41C5-AF91-E11BB8F7C6CE}"/>
            </a:ext>
          </a:extLst>
        </xdr:cNvPr>
        <xdr:cNvCxnSpPr/>
      </xdr:nvCxnSpPr>
      <xdr:spPr>
        <a:xfrm flipH="1">
          <a:off x="6932815" y="12933203"/>
          <a:ext cx="35208"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28575</xdr:colOff>
      <xdr:row>61</xdr:row>
      <xdr:rowOff>25404</xdr:rowOff>
    </xdr:from>
    <xdr:to>
      <xdr:col>28</xdr:col>
      <xdr:colOff>47214</xdr:colOff>
      <xdr:row>64</xdr:row>
      <xdr:rowOff>161925</xdr:rowOff>
    </xdr:to>
    <xdr:cxnSp macro="">
      <xdr:nvCxnSpPr>
        <xdr:cNvPr id="200" name="直線コネクタ 199">
          <a:extLst>
            <a:ext uri="{FF2B5EF4-FFF2-40B4-BE49-F238E27FC236}">
              <a16:creationId xmlns:a16="http://schemas.microsoft.com/office/drawing/2014/main" id="{F3FA0380-C166-45B5-90ED-7DC6FFC38E18}"/>
            </a:ext>
          </a:extLst>
        </xdr:cNvPr>
        <xdr:cNvCxnSpPr/>
      </xdr:nvCxnSpPr>
      <xdr:spPr>
        <a:xfrm flipH="1">
          <a:off x="5514975" y="14665329"/>
          <a:ext cx="933039" cy="850896"/>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22</xdr:col>
      <xdr:colOff>9525</xdr:colOff>
      <xdr:row>67</xdr:row>
      <xdr:rowOff>23309</xdr:rowOff>
    </xdr:from>
    <xdr:to>
      <xdr:col>29</xdr:col>
      <xdr:colOff>133350</xdr:colOff>
      <xdr:row>67</xdr:row>
      <xdr:rowOff>23309</xdr:rowOff>
    </xdr:to>
    <xdr:cxnSp macro="">
      <xdr:nvCxnSpPr>
        <xdr:cNvPr id="201" name="直線コネクタ 200">
          <a:extLst>
            <a:ext uri="{FF2B5EF4-FFF2-40B4-BE49-F238E27FC236}">
              <a16:creationId xmlns:a16="http://schemas.microsoft.com/office/drawing/2014/main" id="{D238C145-97BD-4C84-8627-370B9A5E471E}"/>
            </a:ext>
          </a:extLst>
        </xdr:cNvPr>
        <xdr:cNvCxnSpPr/>
      </xdr:nvCxnSpPr>
      <xdr:spPr>
        <a:xfrm>
          <a:off x="5038725" y="16091984"/>
          <a:ext cx="1724025"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28</xdr:col>
      <xdr:colOff>56711</xdr:colOff>
      <xdr:row>53</xdr:row>
      <xdr:rowOff>146391</xdr:rowOff>
    </xdr:from>
    <xdr:to>
      <xdr:col>28</xdr:col>
      <xdr:colOff>56711</xdr:colOff>
      <xdr:row>67</xdr:row>
      <xdr:rowOff>27046</xdr:rowOff>
    </xdr:to>
    <xdr:cxnSp macro="">
      <xdr:nvCxnSpPr>
        <xdr:cNvPr id="203" name="直線コネクタ 202">
          <a:extLst>
            <a:ext uri="{FF2B5EF4-FFF2-40B4-BE49-F238E27FC236}">
              <a16:creationId xmlns:a16="http://schemas.microsoft.com/office/drawing/2014/main" id="{4B1C737B-D25F-4E89-A2EE-4BA51581A705}"/>
            </a:ext>
          </a:extLst>
        </xdr:cNvPr>
        <xdr:cNvCxnSpPr/>
      </xdr:nvCxnSpPr>
      <xdr:spPr>
        <a:xfrm>
          <a:off x="6457511" y="12881316"/>
          <a:ext cx="0" cy="3214405"/>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28</xdr:col>
      <xdr:colOff>66675</xdr:colOff>
      <xdr:row>56</xdr:row>
      <xdr:rowOff>44730</xdr:rowOff>
    </xdr:from>
    <xdr:to>
      <xdr:col>34</xdr:col>
      <xdr:colOff>190504</xdr:colOff>
      <xdr:row>56</xdr:row>
      <xdr:rowOff>44730</xdr:rowOff>
    </xdr:to>
    <xdr:cxnSp macro="">
      <xdr:nvCxnSpPr>
        <xdr:cNvPr id="204" name="直線コネクタ 203">
          <a:extLst>
            <a:ext uri="{FF2B5EF4-FFF2-40B4-BE49-F238E27FC236}">
              <a16:creationId xmlns:a16="http://schemas.microsoft.com/office/drawing/2014/main" id="{BE98BAAC-D2C2-4820-A2B7-829DA69184E6}"/>
            </a:ext>
          </a:extLst>
        </xdr:cNvPr>
        <xdr:cNvCxnSpPr/>
      </xdr:nvCxnSpPr>
      <xdr:spPr>
        <a:xfrm>
          <a:off x="6467475" y="13494030"/>
          <a:ext cx="1495429"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28</xdr:col>
      <xdr:colOff>57150</xdr:colOff>
      <xdr:row>54</xdr:row>
      <xdr:rowOff>134945</xdr:rowOff>
    </xdr:from>
    <xdr:to>
      <xdr:col>35</xdr:col>
      <xdr:colOff>33622</xdr:colOff>
      <xdr:row>54</xdr:row>
      <xdr:rowOff>134945</xdr:rowOff>
    </xdr:to>
    <xdr:cxnSp macro="">
      <xdr:nvCxnSpPr>
        <xdr:cNvPr id="205" name="直線コネクタ 204">
          <a:extLst>
            <a:ext uri="{FF2B5EF4-FFF2-40B4-BE49-F238E27FC236}">
              <a16:creationId xmlns:a16="http://schemas.microsoft.com/office/drawing/2014/main" id="{694DC288-92DB-4DF4-BE92-BA0EBD0B8E30}"/>
            </a:ext>
          </a:extLst>
        </xdr:cNvPr>
        <xdr:cNvCxnSpPr/>
      </xdr:nvCxnSpPr>
      <xdr:spPr>
        <a:xfrm>
          <a:off x="6457950" y="13107995"/>
          <a:ext cx="1576672"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31</xdr:col>
      <xdr:colOff>40123</xdr:colOff>
      <xdr:row>56</xdr:row>
      <xdr:rowOff>47625</xdr:rowOff>
    </xdr:from>
    <xdr:to>
      <xdr:col>31</xdr:col>
      <xdr:colOff>40123</xdr:colOff>
      <xdr:row>67</xdr:row>
      <xdr:rowOff>770</xdr:rowOff>
    </xdr:to>
    <xdr:cxnSp macro="">
      <xdr:nvCxnSpPr>
        <xdr:cNvPr id="206" name="直線コネクタ 205">
          <a:extLst>
            <a:ext uri="{FF2B5EF4-FFF2-40B4-BE49-F238E27FC236}">
              <a16:creationId xmlns:a16="http://schemas.microsoft.com/office/drawing/2014/main" id="{ABF99D80-9FFB-411B-8F8B-54DB9EE3225F}"/>
            </a:ext>
          </a:extLst>
        </xdr:cNvPr>
        <xdr:cNvCxnSpPr/>
      </xdr:nvCxnSpPr>
      <xdr:spPr>
        <a:xfrm>
          <a:off x="7126723" y="13496925"/>
          <a:ext cx="0" cy="2572520"/>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31</xdr:col>
      <xdr:colOff>52163</xdr:colOff>
      <xdr:row>61</xdr:row>
      <xdr:rowOff>38100</xdr:rowOff>
    </xdr:from>
    <xdr:to>
      <xdr:col>33</xdr:col>
      <xdr:colOff>161925</xdr:colOff>
      <xdr:row>66</xdr:row>
      <xdr:rowOff>222533</xdr:rowOff>
    </xdr:to>
    <xdr:cxnSp macro="">
      <xdr:nvCxnSpPr>
        <xdr:cNvPr id="207" name="直線コネクタ 206">
          <a:extLst>
            <a:ext uri="{FF2B5EF4-FFF2-40B4-BE49-F238E27FC236}">
              <a16:creationId xmlns:a16="http://schemas.microsoft.com/office/drawing/2014/main" id="{599B6322-2C3B-4280-8697-B9B1D8AE2035}"/>
            </a:ext>
          </a:extLst>
        </xdr:cNvPr>
        <xdr:cNvCxnSpPr/>
      </xdr:nvCxnSpPr>
      <xdr:spPr>
        <a:xfrm flipH="1">
          <a:off x="7138763" y="14678025"/>
          <a:ext cx="566962" cy="1375058"/>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31</xdr:col>
      <xdr:colOff>53260</xdr:colOff>
      <xdr:row>56</xdr:row>
      <xdr:rowOff>66675</xdr:rowOff>
    </xdr:from>
    <xdr:to>
      <xdr:col>33</xdr:col>
      <xdr:colOff>152400</xdr:colOff>
      <xdr:row>61</xdr:row>
      <xdr:rowOff>47625</xdr:rowOff>
    </xdr:to>
    <xdr:cxnSp macro="">
      <xdr:nvCxnSpPr>
        <xdr:cNvPr id="208" name="直線コネクタ 207">
          <a:extLst>
            <a:ext uri="{FF2B5EF4-FFF2-40B4-BE49-F238E27FC236}">
              <a16:creationId xmlns:a16="http://schemas.microsoft.com/office/drawing/2014/main" id="{28427358-9FB8-435D-A31A-D24C4D19DB34}"/>
            </a:ext>
          </a:extLst>
        </xdr:cNvPr>
        <xdr:cNvCxnSpPr/>
      </xdr:nvCxnSpPr>
      <xdr:spPr>
        <a:xfrm flipH="1" flipV="1">
          <a:off x="7139860" y="13515975"/>
          <a:ext cx="556340" cy="117157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28</xdr:col>
      <xdr:colOff>66675</xdr:colOff>
      <xdr:row>61</xdr:row>
      <xdr:rowOff>29511</xdr:rowOff>
    </xdr:from>
    <xdr:to>
      <xdr:col>34</xdr:col>
      <xdr:colOff>145681</xdr:colOff>
      <xdr:row>61</xdr:row>
      <xdr:rowOff>29511</xdr:rowOff>
    </xdr:to>
    <xdr:cxnSp macro="">
      <xdr:nvCxnSpPr>
        <xdr:cNvPr id="211" name="直線コネクタ 210">
          <a:extLst>
            <a:ext uri="{FF2B5EF4-FFF2-40B4-BE49-F238E27FC236}">
              <a16:creationId xmlns:a16="http://schemas.microsoft.com/office/drawing/2014/main" id="{2296B416-2180-4440-A0E9-7CB0741973EA}"/>
            </a:ext>
          </a:extLst>
        </xdr:cNvPr>
        <xdr:cNvCxnSpPr/>
      </xdr:nvCxnSpPr>
      <xdr:spPr>
        <a:xfrm>
          <a:off x="6467475" y="14669436"/>
          <a:ext cx="1450606"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24</xdr:col>
      <xdr:colOff>219639</xdr:colOff>
      <xdr:row>54</xdr:row>
      <xdr:rowOff>56436</xdr:rowOff>
    </xdr:from>
    <xdr:to>
      <xdr:col>27</xdr:col>
      <xdr:colOff>87822</xdr:colOff>
      <xdr:row>54</xdr:row>
      <xdr:rowOff>56436</xdr:rowOff>
    </xdr:to>
    <xdr:cxnSp macro="">
      <xdr:nvCxnSpPr>
        <xdr:cNvPr id="212" name="直線コネクタ 211">
          <a:extLst>
            <a:ext uri="{FF2B5EF4-FFF2-40B4-BE49-F238E27FC236}">
              <a16:creationId xmlns:a16="http://schemas.microsoft.com/office/drawing/2014/main" id="{C15C33AF-2951-48E1-8C65-9AEDFB7CEACD}"/>
            </a:ext>
          </a:extLst>
        </xdr:cNvPr>
        <xdr:cNvCxnSpPr/>
      </xdr:nvCxnSpPr>
      <xdr:spPr>
        <a:xfrm>
          <a:off x="5706039" y="13029486"/>
          <a:ext cx="55398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10089</xdr:colOff>
      <xdr:row>54</xdr:row>
      <xdr:rowOff>211047</xdr:rowOff>
    </xdr:from>
    <xdr:to>
      <xdr:col>27</xdr:col>
      <xdr:colOff>77796</xdr:colOff>
      <xdr:row>54</xdr:row>
      <xdr:rowOff>211047</xdr:rowOff>
    </xdr:to>
    <xdr:cxnSp macro="">
      <xdr:nvCxnSpPr>
        <xdr:cNvPr id="213" name="直線コネクタ 212">
          <a:extLst>
            <a:ext uri="{FF2B5EF4-FFF2-40B4-BE49-F238E27FC236}">
              <a16:creationId xmlns:a16="http://schemas.microsoft.com/office/drawing/2014/main" id="{436FBB29-C201-4EE0-A8FE-8146B21419B7}"/>
            </a:ext>
          </a:extLst>
        </xdr:cNvPr>
        <xdr:cNvCxnSpPr/>
      </xdr:nvCxnSpPr>
      <xdr:spPr>
        <a:xfrm>
          <a:off x="5725089" y="13184097"/>
          <a:ext cx="52490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85817</xdr:colOff>
      <xdr:row>54</xdr:row>
      <xdr:rowOff>58530</xdr:rowOff>
    </xdr:from>
    <xdr:to>
      <xdr:col>27</xdr:col>
      <xdr:colOff>85817</xdr:colOff>
      <xdr:row>54</xdr:row>
      <xdr:rowOff>211432</xdr:rowOff>
    </xdr:to>
    <xdr:cxnSp macro="">
      <xdr:nvCxnSpPr>
        <xdr:cNvPr id="214" name="直線コネクタ 213">
          <a:extLst>
            <a:ext uri="{FF2B5EF4-FFF2-40B4-BE49-F238E27FC236}">
              <a16:creationId xmlns:a16="http://schemas.microsoft.com/office/drawing/2014/main" id="{0FC005B8-2CA9-4611-B79D-3C738DC8CFEC}"/>
            </a:ext>
          </a:extLst>
        </xdr:cNvPr>
        <xdr:cNvCxnSpPr/>
      </xdr:nvCxnSpPr>
      <xdr:spPr>
        <a:xfrm>
          <a:off x="6258017" y="13031580"/>
          <a:ext cx="0" cy="15290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113031</xdr:colOff>
      <xdr:row>54</xdr:row>
      <xdr:rowOff>51127</xdr:rowOff>
    </xdr:from>
    <xdr:to>
      <xdr:col>27</xdr:col>
      <xdr:colOff>113031</xdr:colOff>
      <xdr:row>54</xdr:row>
      <xdr:rowOff>225218</xdr:rowOff>
    </xdr:to>
    <xdr:cxnSp macro="">
      <xdr:nvCxnSpPr>
        <xdr:cNvPr id="215" name="直線コネクタ 214">
          <a:extLst>
            <a:ext uri="{FF2B5EF4-FFF2-40B4-BE49-F238E27FC236}">
              <a16:creationId xmlns:a16="http://schemas.microsoft.com/office/drawing/2014/main" id="{6ACD2B66-C59F-4DE7-9230-9B29D8B10CB9}"/>
            </a:ext>
          </a:extLst>
        </xdr:cNvPr>
        <xdr:cNvCxnSpPr/>
      </xdr:nvCxnSpPr>
      <xdr:spPr>
        <a:xfrm>
          <a:off x="6285231" y="13024177"/>
          <a:ext cx="0" cy="17409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27306</xdr:colOff>
      <xdr:row>54</xdr:row>
      <xdr:rowOff>51127</xdr:rowOff>
    </xdr:from>
    <xdr:to>
      <xdr:col>28</xdr:col>
      <xdr:colOff>27306</xdr:colOff>
      <xdr:row>54</xdr:row>
      <xdr:rowOff>225218</xdr:rowOff>
    </xdr:to>
    <xdr:cxnSp macro="">
      <xdr:nvCxnSpPr>
        <xdr:cNvPr id="216" name="直線コネクタ 215">
          <a:extLst>
            <a:ext uri="{FF2B5EF4-FFF2-40B4-BE49-F238E27FC236}">
              <a16:creationId xmlns:a16="http://schemas.microsoft.com/office/drawing/2014/main" id="{D8C4DD56-6FCA-43BA-BDF2-548C90F880E9}"/>
            </a:ext>
          </a:extLst>
        </xdr:cNvPr>
        <xdr:cNvCxnSpPr/>
      </xdr:nvCxnSpPr>
      <xdr:spPr>
        <a:xfrm>
          <a:off x="6428106" y="13024177"/>
          <a:ext cx="0" cy="17409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111961</xdr:colOff>
      <xdr:row>54</xdr:row>
      <xdr:rowOff>136771</xdr:rowOff>
    </xdr:from>
    <xdr:to>
      <xdr:col>28</xdr:col>
      <xdr:colOff>22835</xdr:colOff>
      <xdr:row>54</xdr:row>
      <xdr:rowOff>136771</xdr:rowOff>
    </xdr:to>
    <xdr:cxnSp macro="">
      <xdr:nvCxnSpPr>
        <xdr:cNvPr id="217" name="直線コネクタ 216">
          <a:extLst>
            <a:ext uri="{FF2B5EF4-FFF2-40B4-BE49-F238E27FC236}">
              <a16:creationId xmlns:a16="http://schemas.microsoft.com/office/drawing/2014/main" id="{952AF48F-B95D-4211-A7EC-5DBD5D2E4F7A}"/>
            </a:ext>
          </a:extLst>
        </xdr:cNvPr>
        <xdr:cNvCxnSpPr/>
      </xdr:nvCxnSpPr>
      <xdr:spPr>
        <a:xfrm>
          <a:off x="6284161" y="13109821"/>
          <a:ext cx="13947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217221</xdr:colOff>
      <xdr:row>63</xdr:row>
      <xdr:rowOff>156114</xdr:rowOff>
    </xdr:from>
    <xdr:to>
      <xdr:col>28</xdr:col>
      <xdr:colOff>115501</xdr:colOff>
      <xdr:row>64</xdr:row>
      <xdr:rowOff>47672</xdr:rowOff>
    </xdr:to>
    <xdr:sp macro="" textlink="">
      <xdr:nvSpPr>
        <xdr:cNvPr id="223" name="楕円 222">
          <a:extLst>
            <a:ext uri="{FF2B5EF4-FFF2-40B4-BE49-F238E27FC236}">
              <a16:creationId xmlns:a16="http://schemas.microsoft.com/office/drawing/2014/main" id="{E52F977E-9306-491F-AF94-0322A4FB26BA}"/>
            </a:ext>
          </a:extLst>
        </xdr:cNvPr>
        <xdr:cNvSpPr/>
      </xdr:nvSpPr>
      <xdr:spPr>
        <a:xfrm>
          <a:off x="6389421" y="15272289"/>
          <a:ext cx="126880" cy="129683"/>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219639</xdr:colOff>
      <xdr:row>57</xdr:row>
      <xdr:rowOff>140271</xdr:rowOff>
    </xdr:from>
    <xdr:to>
      <xdr:col>27</xdr:col>
      <xdr:colOff>87822</xdr:colOff>
      <xdr:row>57</xdr:row>
      <xdr:rowOff>140271</xdr:rowOff>
    </xdr:to>
    <xdr:cxnSp macro="">
      <xdr:nvCxnSpPr>
        <xdr:cNvPr id="224" name="直線コネクタ 223">
          <a:extLst>
            <a:ext uri="{FF2B5EF4-FFF2-40B4-BE49-F238E27FC236}">
              <a16:creationId xmlns:a16="http://schemas.microsoft.com/office/drawing/2014/main" id="{F7600D04-C115-40BF-87C5-08D689F89BB3}"/>
            </a:ext>
          </a:extLst>
        </xdr:cNvPr>
        <xdr:cNvCxnSpPr/>
      </xdr:nvCxnSpPr>
      <xdr:spPr>
        <a:xfrm>
          <a:off x="5706039" y="13827696"/>
          <a:ext cx="55398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10089</xdr:colOff>
      <xdr:row>58</xdr:row>
      <xdr:rowOff>26111</xdr:rowOff>
    </xdr:from>
    <xdr:to>
      <xdr:col>27</xdr:col>
      <xdr:colOff>77796</xdr:colOff>
      <xdr:row>58</xdr:row>
      <xdr:rowOff>26111</xdr:rowOff>
    </xdr:to>
    <xdr:cxnSp macro="">
      <xdr:nvCxnSpPr>
        <xdr:cNvPr id="225" name="直線コネクタ 224">
          <a:extLst>
            <a:ext uri="{FF2B5EF4-FFF2-40B4-BE49-F238E27FC236}">
              <a16:creationId xmlns:a16="http://schemas.microsoft.com/office/drawing/2014/main" id="{668C1C60-56D4-455D-80A3-A85ACFA0CCA8}"/>
            </a:ext>
          </a:extLst>
        </xdr:cNvPr>
        <xdr:cNvCxnSpPr/>
      </xdr:nvCxnSpPr>
      <xdr:spPr>
        <a:xfrm>
          <a:off x="5725089" y="13951661"/>
          <a:ext cx="52490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85817</xdr:colOff>
      <xdr:row>57</xdr:row>
      <xdr:rowOff>145167</xdr:rowOff>
    </xdr:from>
    <xdr:to>
      <xdr:col>27</xdr:col>
      <xdr:colOff>85817</xdr:colOff>
      <xdr:row>58</xdr:row>
      <xdr:rowOff>26496</xdr:rowOff>
    </xdr:to>
    <xdr:cxnSp macro="">
      <xdr:nvCxnSpPr>
        <xdr:cNvPr id="226" name="直線コネクタ 225">
          <a:extLst>
            <a:ext uri="{FF2B5EF4-FFF2-40B4-BE49-F238E27FC236}">
              <a16:creationId xmlns:a16="http://schemas.microsoft.com/office/drawing/2014/main" id="{E899896C-D383-4BD6-B7F1-B09922FEF9ED}"/>
            </a:ext>
          </a:extLst>
        </xdr:cNvPr>
        <xdr:cNvCxnSpPr/>
      </xdr:nvCxnSpPr>
      <xdr:spPr>
        <a:xfrm>
          <a:off x="6258017" y="13832592"/>
          <a:ext cx="0" cy="11945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113031</xdr:colOff>
      <xdr:row>57</xdr:row>
      <xdr:rowOff>134962</xdr:rowOff>
    </xdr:from>
    <xdr:to>
      <xdr:col>27</xdr:col>
      <xdr:colOff>113031</xdr:colOff>
      <xdr:row>58</xdr:row>
      <xdr:rowOff>40282</xdr:rowOff>
    </xdr:to>
    <xdr:cxnSp macro="">
      <xdr:nvCxnSpPr>
        <xdr:cNvPr id="227" name="直線コネクタ 226">
          <a:extLst>
            <a:ext uri="{FF2B5EF4-FFF2-40B4-BE49-F238E27FC236}">
              <a16:creationId xmlns:a16="http://schemas.microsoft.com/office/drawing/2014/main" id="{3F26BAB8-0DD7-463E-8389-140AF78ABC43}"/>
            </a:ext>
          </a:extLst>
        </xdr:cNvPr>
        <xdr:cNvCxnSpPr/>
      </xdr:nvCxnSpPr>
      <xdr:spPr>
        <a:xfrm>
          <a:off x="6285231" y="13822387"/>
          <a:ext cx="0" cy="14344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27306</xdr:colOff>
      <xdr:row>57</xdr:row>
      <xdr:rowOff>134962</xdr:rowOff>
    </xdr:from>
    <xdr:to>
      <xdr:col>28</xdr:col>
      <xdr:colOff>27306</xdr:colOff>
      <xdr:row>58</xdr:row>
      <xdr:rowOff>40282</xdr:rowOff>
    </xdr:to>
    <xdr:cxnSp macro="">
      <xdr:nvCxnSpPr>
        <xdr:cNvPr id="228" name="直線コネクタ 227">
          <a:extLst>
            <a:ext uri="{FF2B5EF4-FFF2-40B4-BE49-F238E27FC236}">
              <a16:creationId xmlns:a16="http://schemas.microsoft.com/office/drawing/2014/main" id="{C7BCE9AF-752E-49F6-B052-E0272A20209A}"/>
            </a:ext>
          </a:extLst>
        </xdr:cNvPr>
        <xdr:cNvCxnSpPr/>
      </xdr:nvCxnSpPr>
      <xdr:spPr>
        <a:xfrm>
          <a:off x="6428106" y="13822387"/>
          <a:ext cx="0" cy="14344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111961</xdr:colOff>
      <xdr:row>57</xdr:row>
      <xdr:rowOff>204793</xdr:rowOff>
    </xdr:from>
    <xdr:to>
      <xdr:col>28</xdr:col>
      <xdr:colOff>22835</xdr:colOff>
      <xdr:row>57</xdr:row>
      <xdr:rowOff>204793</xdr:rowOff>
    </xdr:to>
    <xdr:cxnSp macro="">
      <xdr:nvCxnSpPr>
        <xdr:cNvPr id="229" name="直線コネクタ 228">
          <a:extLst>
            <a:ext uri="{FF2B5EF4-FFF2-40B4-BE49-F238E27FC236}">
              <a16:creationId xmlns:a16="http://schemas.microsoft.com/office/drawing/2014/main" id="{D168E00C-B87E-4D8B-B00E-BE6117ADB2BD}"/>
            </a:ext>
          </a:extLst>
        </xdr:cNvPr>
        <xdr:cNvCxnSpPr/>
      </xdr:nvCxnSpPr>
      <xdr:spPr>
        <a:xfrm>
          <a:off x="6284161" y="13892218"/>
          <a:ext cx="13947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131885</xdr:colOff>
      <xdr:row>64</xdr:row>
      <xdr:rowOff>145198</xdr:rowOff>
    </xdr:from>
    <xdr:to>
      <xdr:col>34</xdr:col>
      <xdr:colOff>171454</xdr:colOff>
      <xdr:row>64</xdr:row>
      <xdr:rowOff>145198</xdr:rowOff>
    </xdr:to>
    <xdr:cxnSp macro="">
      <xdr:nvCxnSpPr>
        <xdr:cNvPr id="235" name="直線コネクタ 234">
          <a:extLst>
            <a:ext uri="{FF2B5EF4-FFF2-40B4-BE49-F238E27FC236}">
              <a16:creationId xmlns:a16="http://schemas.microsoft.com/office/drawing/2014/main" id="{74668238-633F-4DDB-9152-43FD7A2B9731}"/>
            </a:ext>
          </a:extLst>
        </xdr:cNvPr>
        <xdr:cNvCxnSpPr/>
      </xdr:nvCxnSpPr>
      <xdr:spPr>
        <a:xfrm>
          <a:off x="5355981" y="15707583"/>
          <a:ext cx="2538050"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22</xdr:col>
      <xdr:colOff>20734</xdr:colOff>
      <xdr:row>64</xdr:row>
      <xdr:rowOff>142451</xdr:rowOff>
    </xdr:from>
    <xdr:to>
      <xdr:col>23</xdr:col>
      <xdr:colOff>135262</xdr:colOff>
      <xdr:row>67</xdr:row>
      <xdr:rowOff>24419</xdr:rowOff>
    </xdr:to>
    <xdr:cxnSp macro="">
      <xdr:nvCxnSpPr>
        <xdr:cNvPr id="238" name="直線コネクタ 237">
          <a:extLst>
            <a:ext uri="{FF2B5EF4-FFF2-40B4-BE49-F238E27FC236}">
              <a16:creationId xmlns:a16="http://schemas.microsoft.com/office/drawing/2014/main" id="{1931039E-FA50-4380-8B32-2B9EB11FDE9B}"/>
            </a:ext>
          </a:extLst>
        </xdr:cNvPr>
        <xdr:cNvCxnSpPr/>
      </xdr:nvCxnSpPr>
      <xdr:spPr>
        <a:xfrm flipH="1">
          <a:off x="5049934" y="15496751"/>
          <a:ext cx="343128" cy="596343"/>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122487</xdr:colOff>
      <xdr:row>52</xdr:row>
      <xdr:rowOff>190500</xdr:rowOff>
    </xdr:from>
    <xdr:to>
      <xdr:col>29</xdr:col>
      <xdr:colOff>122487</xdr:colOff>
      <xdr:row>67</xdr:row>
      <xdr:rowOff>770</xdr:rowOff>
    </xdr:to>
    <xdr:cxnSp macro="">
      <xdr:nvCxnSpPr>
        <xdr:cNvPr id="240" name="直線コネクタ 239">
          <a:extLst>
            <a:ext uri="{FF2B5EF4-FFF2-40B4-BE49-F238E27FC236}">
              <a16:creationId xmlns:a16="http://schemas.microsoft.com/office/drawing/2014/main" id="{A59DBC5C-3986-87BF-03F7-E3EF676F6B00}"/>
            </a:ext>
          </a:extLst>
        </xdr:cNvPr>
        <xdr:cNvCxnSpPr/>
      </xdr:nvCxnSpPr>
      <xdr:spPr>
        <a:xfrm>
          <a:off x="6751887" y="12687300"/>
          <a:ext cx="0" cy="338214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28</xdr:col>
      <xdr:colOff>71157</xdr:colOff>
      <xdr:row>52</xdr:row>
      <xdr:rowOff>181958</xdr:rowOff>
    </xdr:from>
    <xdr:to>
      <xdr:col>29</xdr:col>
      <xdr:colOff>123825</xdr:colOff>
      <xdr:row>52</xdr:row>
      <xdr:rowOff>181958</xdr:rowOff>
    </xdr:to>
    <xdr:cxnSp macro="">
      <xdr:nvCxnSpPr>
        <xdr:cNvPr id="242" name="直線コネクタ 241">
          <a:extLst>
            <a:ext uri="{FF2B5EF4-FFF2-40B4-BE49-F238E27FC236}">
              <a16:creationId xmlns:a16="http://schemas.microsoft.com/office/drawing/2014/main" id="{DD150B34-2E21-985C-2B14-D83E6E2DAA8E}"/>
            </a:ext>
          </a:extLst>
        </xdr:cNvPr>
        <xdr:cNvCxnSpPr/>
      </xdr:nvCxnSpPr>
      <xdr:spPr>
        <a:xfrm>
          <a:off x="6471957" y="12678758"/>
          <a:ext cx="281268"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28</xdr:col>
      <xdr:colOff>95250</xdr:colOff>
      <xdr:row>122</xdr:row>
      <xdr:rowOff>84740</xdr:rowOff>
    </xdr:from>
    <xdr:to>
      <xdr:col>30</xdr:col>
      <xdr:colOff>89092</xdr:colOff>
      <xdr:row>125</xdr:row>
      <xdr:rowOff>114300</xdr:rowOff>
    </xdr:to>
    <xdr:cxnSp macro="">
      <xdr:nvCxnSpPr>
        <xdr:cNvPr id="247" name="直線コネクタ 246">
          <a:extLst>
            <a:ext uri="{FF2B5EF4-FFF2-40B4-BE49-F238E27FC236}">
              <a16:creationId xmlns:a16="http://schemas.microsoft.com/office/drawing/2014/main" id="{A9F839C0-EFB7-88BA-B46C-9600C4CA880C}"/>
            </a:ext>
          </a:extLst>
        </xdr:cNvPr>
        <xdr:cNvCxnSpPr/>
      </xdr:nvCxnSpPr>
      <xdr:spPr>
        <a:xfrm flipV="1">
          <a:off x="6496050" y="29440790"/>
          <a:ext cx="451042" cy="74393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29</xdr:col>
      <xdr:colOff>144174</xdr:colOff>
      <xdr:row>123</xdr:row>
      <xdr:rowOff>128279</xdr:rowOff>
    </xdr:from>
    <xdr:to>
      <xdr:col>30</xdr:col>
      <xdr:colOff>205065</xdr:colOff>
      <xdr:row>124</xdr:row>
      <xdr:rowOff>144606</xdr:rowOff>
    </xdr:to>
    <xdr:sp macro="" textlink="">
      <xdr:nvSpPr>
        <xdr:cNvPr id="315" name="テキスト ボックス 314">
          <a:extLst>
            <a:ext uri="{FF2B5EF4-FFF2-40B4-BE49-F238E27FC236}">
              <a16:creationId xmlns:a16="http://schemas.microsoft.com/office/drawing/2014/main" id="{1EB86463-8458-2495-29F7-70C7425CDA23}"/>
            </a:ext>
          </a:extLst>
        </xdr:cNvPr>
        <xdr:cNvSpPr txBox="1"/>
      </xdr:nvSpPr>
      <xdr:spPr>
        <a:xfrm>
          <a:off x="6773574" y="29722454"/>
          <a:ext cx="289491" cy="254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28</xdr:col>
      <xdr:colOff>218516</xdr:colOff>
      <xdr:row>125</xdr:row>
      <xdr:rowOff>43483</xdr:rowOff>
    </xdr:from>
    <xdr:to>
      <xdr:col>30</xdr:col>
      <xdr:colOff>51736</xdr:colOff>
      <xdr:row>126</xdr:row>
      <xdr:rowOff>70496</xdr:rowOff>
    </xdr:to>
    <xdr:sp macro="" textlink="">
      <xdr:nvSpPr>
        <xdr:cNvPr id="338" name="テキスト ボックス 337">
          <a:extLst>
            <a:ext uri="{FF2B5EF4-FFF2-40B4-BE49-F238E27FC236}">
              <a16:creationId xmlns:a16="http://schemas.microsoft.com/office/drawing/2014/main" id="{22F664E6-4834-C478-A06C-561F731B30A3}"/>
            </a:ext>
          </a:extLst>
        </xdr:cNvPr>
        <xdr:cNvSpPr txBox="1"/>
      </xdr:nvSpPr>
      <xdr:spPr>
        <a:xfrm>
          <a:off x="6619316" y="30113908"/>
          <a:ext cx="290420" cy="265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a:t>
          </a:r>
        </a:p>
      </xdr:txBody>
    </xdr:sp>
    <xdr:clientData/>
  </xdr:twoCellAnchor>
  <xdr:twoCellAnchor>
    <xdr:from>
      <xdr:col>25</xdr:col>
      <xdr:colOff>92133</xdr:colOff>
      <xdr:row>160</xdr:row>
      <xdr:rowOff>26767</xdr:rowOff>
    </xdr:from>
    <xdr:to>
      <xdr:col>26</xdr:col>
      <xdr:colOff>95104</xdr:colOff>
      <xdr:row>160</xdr:row>
      <xdr:rowOff>26767</xdr:rowOff>
    </xdr:to>
    <xdr:cxnSp macro="">
      <xdr:nvCxnSpPr>
        <xdr:cNvPr id="197" name="直線コネクタ 196">
          <a:extLst>
            <a:ext uri="{FF2B5EF4-FFF2-40B4-BE49-F238E27FC236}">
              <a16:creationId xmlns:a16="http://schemas.microsoft.com/office/drawing/2014/main" id="{B2AABBD7-920C-4080-A2A6-A180CC207A08}"/>
            </a:ext>
          </a:extLst>
        </xdr:cNvPr>
        <xdr:cNvCxnSpPr/>
      </xdr:nvCxnSpPr>
      <xdr:spPr>
        <a:xfrm>
          <a:off x="5875169" y="39460267"/>
          <a:ext cx="234292" cy="0"/>
        </a:xfrm>
        <a:prstGeom prst="line">
          <a:avLst/>
        </a:prstGeom>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25</xdr:col>
      <xdr:colOff>95943</xdr:colOff>
      <xdr:row>162</xdr:row>
      <xdr:rowOff>62850</xdr:rowOff>
    </xdr:from>
    <xdr:to>
      <xdr:col>26</xdr:col>
      <xdr:colOff>98914</xdr:colOff>
      <xdr:row>162</xdr:row>
      <xdr:rowOff>62850</xdr:rowOff>
    </xdr:to>
    <xdr:cxnSp macro="">
      <xdr:nvCxnSpPr>
        <xdr:cNvPr id="198" name="直線コネクタ 197">
          <a:extLst>
            <a:ext uri="{FF2B5EF4-FFF2-40B4-BE49-F238E27FC236}">
              <a16:creationId xmlns:a16="http://schemas.microsoft.com/office/drawing/2014/main" id="{F98BF9A2-F3F1-4093-BC53-67B076EA943B}"/>
            </a:ext>
          </a:extLst>
        </xdr:cNvPr>
        <xdr:cNvCxnSpPr/>
      </xdr:nvCxnSpPr>
      <xdr:spPr>
        <a:xfrm>
          <a:off x="5878979" y="39999814"/>
          <a:ext cx="234292" cy="0"/>
        </a:xfrm>
        <a:prstGeom prst="line">
          <a:avLst/>
        </a:prstGeom>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25</xdr:col>
      <xdr:colOff>168596</xdr:colOff>
      <xdr:row>160</xdr:row>
      <xdr:rowOff>34649</xdr:rowOff>
    </xdr:from>
    <xdr:to>
      <xdr:col>25</xdr:col>
      <xdr:colOff>168596</xdr:colOff>
      <xdr:row>162</xdr:row>
      <xdr:rowOff>64633</xdr:rowOff>
    </xdr:to>
    <xdr:cxnSp macro="">
      <xdr:nvCxnSpPr>
        <xdr:cNvPr id="199" name="直線コネクタ 198">
          <a:extLst>
            <a:ext uri="{FF2B5EF4-FFF2-40B4-BE49-F238E27FC236}">
              <a16:creationId xmlns:a16="http://schemas.microsoft.com/office/drawing/2014/main" id="{60A00CA0-D709-40E4-B096-644CF7271EDF}"/>
            </a:ext>
          </a:extLst>
        </xdr:cNvPr>
        <xdr:cNvCxnSpPr/>
      </xdr:nvCxnSpPr>
      <xdr:spPr>
        <a:xfrm>
          <a:off x="5951632" y="39468149"/>
          <a:ext cx="0" cy="533448"/>
        </a:xfrm>
        <a:prstGeom prst="line">
          <a:avLst/>
        </a:prstGeom>
        <a:ln w="9525" cap="flat" cmpd="sng" algn="ctr">
          <a:solidFill>
            <a:srgbClr val="FF0000"/>
          </a:solidFill>
          <a:prstDash val="solid"/>
          <a:round/>
          <a:headEnd type="arrow"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24</xdr:col>
      <xdr:colOff>189253</xdr:colOff>
      <xdr:row>160</xdr:row>
      <xdr:rowOff>170544</xdr:rowOff>
    </xdr:from>
    <xdr:to>
      <xdr:col>26</xdr:col>
      <xdr:colOff>128057</xdr:colOff>
      <xdr:row>161</xdr:row>
      <xdr:rowOff>189220</xdr:rowOff>
    </xdr:to>
    <xdr:sp macro="" textlink="">
      <xdr:nvSpPr>
        <xdr:cNvPr id="202" name="テキスト ボックス 201">
          <a:extLst>
            <a:ext uri="{FF2B5EF4-FFF2-40B4-BE49-F238E27FC236}">
              <a16:creationId xmlns:a16="http://schemas.microsoft.com/office/drawing/2014/main" id="{D1870FFA-3901-4922-A28B-2D082485A086}"/>
            </a:ext>
          </a:extLst>
        </xdr:cNvPr>
        <xdr:cNvSpPr txBox="1"/>
      </xdr:nvSpPr>
      <xdr:spPr>
        <a:xfrm>
          <a:off x="5740967" y="39604044"/>
          <a:ext cx="401447" cy="2636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i="1" baseline="0">
              <a:solidFill>
                <a:srgbClr val="FF0000"/>
              </a:solidFill>
              <a:latin typeface="Times New Roman" panose="02020603050405020304" pitchFamily="18" charset="0"/>
            </a:rPr>
            <a:t>x</a:t>
          </a:r>
          <a:endParaRPr kumimoji="1" lang="ja-JP" altLang="en-US" sz="1100" b="0" i="1" baseline="0">
            <a:solidFill>
              <a:srgbClr val="FF0000"/>
            </a:solidFill>
            <a:latin typeface="Times New Roman" panose="02020603050405020304" pitchFamily="18" charset="0"/>
          </a:endParaRPr>
        </a:p>
      </xdr:txBody>
    </xdr:sp>
    <xdr:clientData/>
  </xdr:twoCellAnchor>
  <xdr:twoCellAnchor>
    <xdr:from>
      <xdr:col>34</xdr:col>
      <xdr:colOff>131298</xdr:colOff>
      <xdr:row>18</xdr:row>
      <xdr:rowOff>85725</xdr:rowOff>
    </xdr:from>
    <xdr:to>
      <xdr:col>34</xdr:col>
      <xdr:colOff>131298</xdr:colOff>
      <xdr:row>19</xdr:row>
      <xdr:rowOff>76200</xdr:rowOff>
    </xdr:to>
    <xdr:cxnSp macro="">
      <xdr:nvCxnSpPr>
        <xdr:cNvPr id="46" name="直線矢印コネクタ 45">
          <a:extLst>
            <a:ext uri="{FF2B5EF4-FFF2-40B4-BE49-F238E27FC236}">
              <a16:creationId xmlns:a16="http://schemas.microsoft.com/office/drawing/2014/main" id="{131E41FE-E45F-3C31-D8BF-6B0739A851BE}"/>
            </a:ext>
          </a:extLst>
        </xdr:cNvPr>
        <xdr:cNvCxnSpPr/>
      </xdr:nvCxnSpPr>
      <xdr:spPr>
        <a:xfrm>
          <a:off x="7822736" y="4449366"/>
          <a:ext cx="0" cy="22860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131298</xdr:colOff>
      <xdr:row>19</xdr:row>
      <xdr:rowOff>85725</xdr:rowOff>
    </xdr:from>
    <xdr:to>
      <xdr:col>34</xdr:col>
      <xdr:colOff>131298</xdr:colOff>
      <xdr:row>21</xdr:row>
      <xdr:rowOff>41671</xdr:rowOff>
    </xdr:to>
    <xdr:cxnSp macro="">
      <xdr:nvCxnSpPr>
        <xdr:cNvPr id="49" name="直線矢印コネクタ 48">
          <a:extLst>
            <a:ext uri="{FF2B5EF4-FFF2-40B4-BE49-F238E27FC236}">
              <a16:creationId xmlns:a16="http://schemas.microsoft.com/office/drawing/2014/main" id="{732B00FA-9A85-8813-2DED-34FA59DC652A}"/>
            </a:ext>
          </a:extLst>
        </xdr:cNvPr>
        <xdr:cNvCxnSpPr/>
      </xdr:nvCxnSpPr>
      <xdr:spPr>
        <a:xfrm>
          <a:off x="7822736" y="4687491"/>
          <a:ext cx="0" cy="43219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131298</xdr:colOff>
      <xdr:row>21</xdr:row>
      <xdr:rowOff>47625</xdr:rowOff>
    </xdr:from>
    <xdr:to>
      <xdr:col>34</xdr:col>
      <xdr:colOff>131298</xdr:colOff>
      <xdr:row>25</xdr:row>
      <xdr:rowOff>184546</xdr:rowOff>
    </xdr:to>
    <xdr:cxnSp macro="">
      <xdr:nvCxnSpPr>
        <xdr:cNvPr id="51" name="直線矢印コネクタ 50">
          <a:extLst>
            <a:ext uri="{FF2B5EF4-FFF2-40B4-BE49-F238E27FC236}">
              <a16:creationId xmlns:a16="http://schemas.microsoft.com/office/drawing/2014/main" id="{240E4626-55D4-EC39-9096-23F88F329687}"/>
            </a:ext>
          </a:extLst>
        </xdr:cNvPr>
        <xdr:cNvCxnSpPr/>
      </xdr:nvCxnSpPr>
      <xdr:spPr>
        <a:xfrm>
          <a:off x="7822736" y="5125641"/>
          <a:ext cx="0" cy="108942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131298</xdr:colOff>
      <xdr:row>25</xdr:row>
      <xdr:rowOff>192881</xdr:rowOff>
    </xdr:from>
    <xdr:to>
      <xdr:col>34</xdr:col>
      <xdr:colOff>131298</xdr:colOff>
      <xdr:row>29</xdr:row>
      <xdr:rowOff>35718</xdr:rowOff>
    </xdr:to>
    <xdr:cxnSp macro="">
      <xdr:nvCxnSpPr>
        <xdr:cNvPr id="54" name="直線矢印コネクタ 53">
          <a:extLst>
            <a:ext uri="{FF2B5EF4-FFF2-40B4-BE49-F238E27FC236}">
              <a16:creationId xmlns:a16="http://schemas.microsoft.com/office/drawing/2014/main" id="{1D7620B9-825F-FC6A-5128-C322C25B2941}"/>
            </a:ext>
          </a:extLst>
        </xdr:cNvPr>
        <xdr:cNvCxnSpPr/>
      </xdr:nvCxnSpPr>
      <xdr:spPr>
        <a:xfrm>
          <a:off x="7822736" y="6223397"/>
          <a:ext cx="0" cy="79533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21</xdr:col>
      <xdr:colOff>124403</xdr:colOff>
      <xdr:row>18</xdr:row>
      <xdr:rowOff>35615</xdr:rowOff>
    </xdr:from>
    <xdr:to>
      <xdr:col>24</xdr:col>
      <xdr:colOff>2051</xdr:colOff>
      <xdr:row>19</xdr:row>
      <xdr:rowOff>51942</xdr:rowOff>
    </xdr:to>
    <xdr:sp macro="" textlink="">
      <xdr:nvSpPr>
        <xdr:cNvPr id="64" name="テキスト ボックス 63">
          <a:extLst>
            <a:ext uri="{FF2B5EF4-FFF2-40B4-BE49-F238E27FC236}">
              <a16:creationId xmlns:a16="http://schemas.microsoft.com/office/drawing/2014/main" id="{C1C9039A-9A17-E18A-CAC7-AC5FCCBCB283}"/>
            </a:ext>
          </a:extLst>
        </xdr:cNvPr>
        <xdr:cNvSpPr txBox="1"/>
      </xdr:nvSpPr>
      <xdr:spPr>
        <a:xfrm>
          <a:off x="4925003" y="4398065"/>
          <a:ext cx="563448" cy="254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1.00m</a:t>
          </a:r>
          <a:endParaRPr kumimoji="1" lang="ja-JP" altLang="en-US" sz="1100"/>
        </a:p>
      </xdr:txBody>
    </xdr:sp>
    <xdr:clientData/>
  </xdr:twoCellAnchor>
  <xdr:twoCellAnchor>
    <xdr:from>
      <xdr:col>23</xdr:col>
      <xdr:colOff>181477</xdr:colOff>
      <xdr:row>18</xdr:row>
      <xdr:rowOff>85725</xdr:rowOff>
    </xdr:from>
    <xdr:to>
      <xdr:col>23</xdr:col>
      <xdr:colOff>181477</xdr:colOff>
      <xdr:row>19</xdr:row>
      <xdr:rowOff>76200</xdr:rowOff>
    </xdr:to>
    <xdr:cxnSp macro="">
      <xdr:nvCxnSpPr>
        <xdr:cNvPr id="66" name="直線矢印コネクタ 65">
          <a:extLst>
            <a:ext uri="{FF2B5EF4-FFF2-40B4-BE49-F238E27FC236}">
              <a16:creationId xmlns:a16="http://schemas.microsoft.com/office/drawing/2014/main" id="{EABE00D7-FEF0-0023-E482-C3C08AA12E86}"/>
            </a:ext>
          </a:extLst>
        </xdr:cNvPr>
        <xdr:cNvCxnSpPr/>
      </xdr:nvCxnSpPr>
      <xdr:spPr>
        <a:xfrm>
          <a:off x="5439277" y="4448175"/>
          <a:ext cx="0" cy="22860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181477</xdr:colOff>
      <xdr:row>19</xdr:row>
      <xdr:rowOff>85725</xdr:rowOff>
    </xdr:from>
    <xdr:to>
      <xdr:col>23</xdr:col>
      <xdr:colOff>181477</xdr:colOff>
      <xdr:row>22</xdr:row>
      <xdr:rowOff>230605</xdr:rowOff>
    </xdr:to>
    <xdr:cxnSp macro="">
      <xdr:nvCxnSpPr>
        <xdr:cNvPr id="67" name="直線矢印コネクタ 66">
          <a:extLst>
            <a:ext uri="{FF2B5EF4-FFF2-40B4-BE49-F238E27FC236}">
              <a16:creationId xmlns:a16="http://schemas.microsoft.com/office/drawing/2014/main" id="{EBFD370B-A492-995E-D3EE-8E83069A5D06}"/>
            </a:ext>
          </a:extLst>
        </xdr:cNvPr>
        <xdr:cNvCxnSpPr/>
      </xdr:nvCxnSpPr>
      <xdr:spPr>
        <a:xfrm>
          <a:off x="5439277" y="4686300"/>
          <a:ext cx="0" cy="85925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21</xdr:col>
      <xdr:colOff>163059</xdr:colOff>
      <xdr:row>20</xdr:row>
      <xdr:rowOff>110812</xdr:rowOff>
    </xdr:from>
    <xdr:to>
      <xdr:col>24</xdr:col>
      <xdr:colOff>43723</xdr:colOff>
      <xdr:row>21</xdr:row>
      <xdr:rowOff>127140</xdr:rowOff>
    </xdr:to>
    <xdr:sp macro="" textlink="">
      <xdr:nvSpPr>
        <xdr:cNvPr id="69" name="テキスト ボックス 68">
          <a:extLst>
            <a:ext uri="{FF2B5EF4-FFF2-40B4-BE49-F238E27FC236}">
              <a16:creationId xmlns:a16="http://schemas.microsoft.com/office/drawing/2014/main" id="{3BE7962B-B856-C701-18A2-CD0409A3884B}"/>
            </a:ext>
          </a:extLst>
        </xdr:cNvPr>
        <xdr:cNvSpPr txBox="1"/>
      </xdr:nvSpPr>
      <xdr:spPr>
        <a:xfrm>
          <a:off x="4963659" y="4949512"/>
          <a:ext cx="566464" cy="254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3.00m</a:t>
          </a:r>
          <a:endParaRPr kumimoji="1" lang="ja-JP" altLang="en-US" sz="1100"/>
        </a:p>
      </xdr:txBody>
    </xdr:sp>
    <xdr:clientData/>
  </xdr:twoCellAnchor>
  <xdr:twoCellAnchor>
    <xdr:from>
      <xdr:col>21</xdr:col>
      <xdr:colOff>136897</xdr:colOff>
      <xdr:row>23</xdr:row>
      <xdr:rowOff>0</xdr:rowOff>
    </xdr:from>
    <xdr:to>
      <xdr:col>21</xdr:col>
      <xdr:colOff>136897</xdr:colOff>
      <xdr:row>28</xdr:row>
      <xdr:rowOff>85725</xdr:rowOff>
    </xdr:to>
    <xdr:cxnSp macro="">
      <xdr:nvCxnSpPr>
        <xdr:cNvPr id="81" name="直線矢印コネクタ 80">
          <a:extLst>
            <a:ext uri="{FF2B5EF4-FFF2-40B4-BE49-F238E27FC236}">
              <a16:creationId xmlns:a16="http://schemas.microsoft.com/office/drawing/2014/main" id="{D0D12512-7BB1-18ED-91E3-B482AC509ADC}"/>
            </a:ext>
          </a:extLst>
        </xdr:cNvPr>
        <xdr:cNvCxnSpPr/>
      </xdr:nvCxnSpPr>
      <xdr:spPr>
        <a:xfrm>
          <a:off x="4906724" y="5619750"/>
          <a:ext cx="0" cy="129466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185802</xdr:colOff>
      <xdr:row>25</xdr:row>
      <xdr:rowOff>172640</xdr:rowOff>
    </xdr:from>
    <xdr:to>
      <xdr:col>23</xdr:col>
      <xdr:colOff>185802</xdr:colOff>
      <xdr:row>28</xdr:row>
      <xdr:rowOff>65484</xdr:rowOff>
    </xdr:to>
    <xdr:cxnSp macro="">
      <xdr:nvCxnSpPr>
        <xdr:cNvPr id="83" name="直線矢印コネクタ 82">
          <a:extLst>
            <a:ext uri="{FF2B5EF4-FFF2-40B4-BE49-F238E27FC236}">
              <a16:creationId xmlns:a16="http://schemas.microsoft.com/office/drawing/2014/main" id="{B8F2E448-80EF-1E1E-C947-FB5399602198}"/>
            </a:ext>
          </a:extLst>
        </xdr:cNvPr>
        <xdr:cNvCxnSpPr/>
      </xdr:nvCxnSpPr>
      <xdr:spPr>
        <a:xfrm>
          <a:off x="5443602" y="6201965"/>
          <a:ext cx="0" cy="607219"/>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21</xdr:col>
      <xdr:colOff>163059</xdr:colOff>
      <xdr:row>23</xdr:row>
      <xdr:rowOff>223921</xdr:rowOff>
    </xdr:from>
    <xdr:to>
      <xdr:col>24</xdr:col>
      <xdr:colOff>43723</xdr:colOff>
      <xdr:row>25</xdr:row>
      <xdr:rowOff>2124</xdr:rowOff>
    </xdr:to>
    <xdr:sp macro="" textlink="">
      <xdr:nvSpPr>
        <xdr:cNvPr id="86" name="テキスト ボックス 85">
          <a:extLst>
            <a:ext uri="{FF2B5EF4-FFF2-40B4-BE49-F238E27FC236}">
              <a16:creationId xmlns:a16="http://schemas.microsoft.com/office/drawing/2014/main" id="{BA1A4348-DBEF-1386-391E-C7D59B08A805}"/>
            </a:ext>
          </a:extLst>
        </xdr:cNvPr>
        <xdr:cNvSpPr txBox="1"/>
      </xdr:nvSpPr>
      <xdr:spPr>
        <a:xfrm>
          <a:off x="4963659" y="5776996"/>
          <a:ext cx="566464" cy="254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3.00m</a:t>
          </a:r>
          <a:endParaRPr kumimoji="1" lang="ja-JP" altLang="en-US" sz="1100"/>
        </a:p>
      </xdr:txBody>
    </xdr:sp>
    <xdr:clientData/>
  </xdr:twoCellAnchor>
  <xdr:twoCellAnchor editAs="absolute">
    <xdr:from>
      <xdr:col>21</xdr:col>
      <xdr:colOff>163059</xdr:colOff>
      <xdr:row>26</xdr:row>
      <xdr:rowOff>110812</xdr:rowOff>
    </xdr:from>
    <xdr:to>
      <xdr:col>24</xdr:col>
      <xdr:colOff>43723</xdr:colOff>
      <xdr:row>27</xdr:row>
      <xdr:rowOff>127140</xdr:rowOff>
    </xdr:to>
    <xdr:sp macro="" textlink="">
      <xdr:nvSpPr>
        <xdr:cNvPr id="87" name="テキスト ボックス 86">
          <a:extLst>
            <a:ext uri="{FF2B5EF4-FFF2-40B4-BE49-F238E27FC236}">
              <a16:creationId xmlns:a16="http://schemas.microsoft.com/office/drawing/2014/main" id="{AF4B0F2A-5555-92BC-8035-7C53E1D12595}"/>
            </a:ext>
          </a:extLst>
        </xdr:cNvPr>
        <xdr:cNvSpPr txBox="1"/>
      </xdr:nvSpPr>
      <xdr:spPr>
        <a:xfrm>
          <a:off x="4963659" y="6378262"/>
          <a:ext cx="566464" cy="254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2.78m</a:t>
          </a:r>
          <a:endParaRPr kumimoji="1" lang="ja-JP" altLang="en-US" sz="1100"/>
        </a:p>
      </xdr:txBody>
    </xdr:sp>
    <xdr:clientData/>
  </xdr:twoCellAnchor>
  <xdr:twoCellAnchor editAs="absolute">
    <xdr:from>
      <xdr:col>31</xdr:col>
      <xdr:colOff>3353</xdr:colOff>
      <xdr:row>53</xdr:row>
      <xdr:rowOff>97846</xdr:rowOff>
    </xdr:from>
    <xdr:to>
      <xdr:col>34</xdr:col>
      <xdr:colOff>219240</xdr:colOff>
      <xdr:row>54</xdr:row>
      <xdr:rowOff>132809</xdr:rowOff>
    </xdr:to>
    <xdr:sp macro="" textlink="">
      <xdr:nvSpPr>
        <xdr:cNvPr id="96" name="テキスト ボックス 95">
          <a:extLst>
            <a:ext uri="{FF2B5EF4-FFF2-40B4-BE49-F238E27FC236}">
              <a16:creationId xmlns:a16="http://schemas.microsoft.com/office/drawing/2014/main" id="{AC30DABB-47F9-44F4-A558-E6A176E8E94A}"/>
            </a:ext>
          </a:extLst>
        </xdr:cNvPr>
        <xdr:cNvSpPr txBox="1"/>
      </xdr:nvSpPr>
      <xdr:spPr>
        <a:xfrm>
          <a:off x="7184862" y="12927607"/>
          <a:ext cx="919421" cy="275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 </a:t>
          </a:r>
          <a:r>
            <a:rPr kumimoji="1" lang="en-US" altLang="ja-JP" sz="1100"/>
            <a:t>1.00m</a:t>
          </a:r>
          <a:endParaRPr kumimoji="1" lang="ja-JP" altLang="en-US" sz="1100"/>
        </a:p>
      </xdr:txBody>
    </xdr:sp>
    <xdr:clientData/>
  </xdr:twoCellAnchor>
  <xdr:twoCellAnchor editAs="absolute">
    <xdr:from>
      <xdr:col>31</xdr:col>
      <xdr:colOff>9147</xdr:colOff>
      <xdr:row>54</xdr:row>
      <xdr:rowOff>175713</xdr:rowOff>
    </xdr:from>
    <xdr:to>
      <xdr:col>34</xdr:col>
      <xdr:colOff>213286</xdr:colOff>
      <xdr:row>55</xdr:row>
      <xdr:rowOff>192039</xdr:rowOff>
    </xdr:to>
    <xdr:sp macro="" textlink="">
      <xdr:nvSpPr>
        <xdr:cNvPr id="98" name="テキスト ボックス 97">
          <a:extLst>
            <a:ext uri="{FF2B5EF4-FFF2-40B4-BE49-F238E27FC236}">
              <a16:creationId xmlns:a16="http://schemas.microsoft.com/office/drawing/2014/main" id="{403C6C63-6616-40CF-9680-144B8E251586}"/>
            </a:ext>
          </a:extLst>
        </xdr:cNvPr>
        <xdr:cNvSpPr txBox="1"/>
      </xdr:nvSpPr>
      <xdr:spPr>
        <a:xfrm>
          <a:off x="7157910" y="13260055"/>
          <a:ext cx="895955" cy="2569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 </a:t>
          </a:r>
          <a:r>
            <a:rPr kumimoji="1" lang="en-US" altLang="ja-JP" sz="1100"/>
            <a:t>1.50m</a:t>
          </a:r>
          <a:endParaRPr kumimoji="1" lang="ja-JP" altLang="en-US" sz="1100"/>
        </a:p>
      </xdr:txBody>
    </xdr:sp>
    <xdr:clientData/>
  </xdr:twoCellAnchor>
  <xdr:twoCellAnchor editAs="absolute">
    <xdr:from>
      <xdr:col>31</xdr:col>
      <xdr:colOff>14333</xdr:colOff>
      <xdr:row>57</xdr:row>
      <xdr:rowOff>49732</xdr:rowOff>
    </xdr:from>
    <xdr:to>
      <xdr:col>34</xdr:col>
      <xdr:colOff>203260</xdr:colOff>
      <xdr:row>58</xdr:row>
      <xdr:rowOff>46496</xdr:rowOff>
    </xdr:to>
    <xdr:sp macro="" textlink="">
      <xdr:nvSpPr>
        <xdr:cNvPr id="99" name="テキスト ボックス 98">
          <a:extLst>
            <a:ext uri="{FF2B5EF4-FFF2-40B4-BE49-F238E27FC236}">
              <a16:creationId xmlns:a16="http://schemas.microsoft.com/office/drawing/2014/main" id="{B0A6BCB6-7CFA-4587-B102-B442DE4EF394}"/>
            </a:ext>
          </a:extLst>
        </xdr:cNvPr>
        <xdr:cNvSpPr txBox="1"/>
      </xdr:nvSpPr>
      <xdr:spPr>
        <a:xfrm>
          <a:off x="7163096" y="13855969"/>
          <a:ext cx="880743" cy="237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 </a:t>
          </a:r>
          <a:r>
            <a:rPr kumimoji="1" lang="en-US" altLang="ja-JP" sz="1100"/>
            <a:t>4.50m</a:t>
          </a:r>
          <a:endParaRPr kumimoji="1" lang="ja-JP" altLang="en-US" sz="1100"/>
        </a:p>
      </xdr:txBody>
    </xdr:sp>
    <xdr:clientData/>
  </xdr:twoCellAnchor>
  <xdr:twoCellAnchor editAs="absolute">
    <xdr:from>
      <xdr:col>31</xdr:col>
      <xdr:colOff>23062</xdr:colOff>
      <xdr:row>62</xdr:row>
      <xdr:rowOff>156870</xdr:rowOff>
    </xdr:from>
    <xdr:to>
      <xdr:col>35</xdr:col>
      <xdr:colOff>1074</xdr:colOff>
      <xdr:row>63</xdr:row>
      <xdr:rowOff>173197</xdr:rowOff>
    </xdr:to>
    <xdr:sp macro="" textlink="">
      <xdr:nvSpPr>
        <xdr:cNvPr id="100" name="テキスト ボックス 99">
          <a:extLst>
            <a:ext uri="{FF2B5EF4-FFF2-40B4-BE49-F238E27FC236}">
              <a16:creationId xmlns:a16="http://schemas.microsoft.com/office/drawing/2014/main" id="{C37CA044-C4D3-458A-801E-215CD206D8A9}"/>
            </a:ext>
          </a:extLst>
        </xdr:cNvPr>
        <xdr:cNvSpPr txBox="1"/>
      </xdr:nvSpPr>
      <xdr:spPr>
        <a:xfrm>
          <a:off x="7212366" y="15148392"/>
          <a:ext cx="897869" cy="256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 </a:t>
          </a:r>
          <a:r>
            <a:rPr kumimoji="1" lang="en-US" altLang="ja-JP" sz="1100"/>
            <a:t>3.00m</a:t>
          </a:r>
          <a:endParaRPr kumimoji="1" lang="ja-JP" altLang="en-US" sz="1100"/>
        </a:p>
      </xdr:txBody>
    </xdr:sp>
    <xdr:clientData/>
  </xdr:twoCellAnchor>
  <xdr:twoCellAnchor editAs="absolute">
    <xdr:from>
      <xdr:col>31</xdr:col>
      <xdr:colOff>29016</xdr:colOff>
      <xdr:row>65</xdr:row>
      <xdr:rowOff>92883</xdr:rowOff>
    </xdr:from>
    <xdr:to>
      <xdr:col>35</xdr:col>
      <xdr:colOff>5443</xdr:colOff>
      <xdr:row>66</xdr:row>
      <xdr:rowOff>109211</xdr:rowOff>
    </xdr:to>
    <xdr:sp macro="" textlink="">
      <xdr:nvSpPr>
        <xdr:cNvPr id="101" name="テキスト ボックス 100">
          <a:extLst>
            <a:ext uri="{FF2B5EF4-FFF2-40B4-BE49-F238E27FC236}">
              <a16:creationId xmlns:a16="http://schemas.microsoft.com/office/drawing/2014/main" id="{BC0317D4-DEC8-46BD-8A7B-81BDC37B68AE}"/>
            </a:ext>
          </a:extLst>
        </xdr:cNvPr>
        <xdr:cNvSpPr txBox="1"/>
      </xdr:nvSpPr>
      <xdr:spPr>
        <a:xfrm>
          <a:off x="7115616" y="15768312"/>
          <a:ext cx="890827" cy="2558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５層 </a:t>
          </a:r>
          <a:r>
            <a:rPr kumimoji="1" lang="en-US" altLang="ja-JP" sz="1100"/>
            <a:t>1.06m</a:t>
          </a:r>
          <a:endParaRPr kumimoji="1" lang="ja-JP" altLang="en-US" sz="1100"/>
        </a:p>
      </xdr:txBody>
    </xdr:sp>
    <xdr:clientData/>
  </xdr:twoCellAnchor>
  <xdr:twoCellAnchor>
    <xdr:from>
      <xdr:col>34</xdr:col>
      <xdr:colOff>102764</xdr:colOff>
      <xdr:row>53</xdr:row>
      <xdr:rowOff>158309</xdr:rowOff>
    </xdr:from>
    <xdr:to>
      <xdr:col>34</xdr:col>
      <xdr:colOff>102764</xdr:colOff>
      <xdr:row>54</xdr:row>
      <xdr:rowOff>157067</xdr:rowOff>
    </xdr:to>
    <xdr:cxnSp macro="">
      <xdr:nvCxnSpPr>
        <xdr:cNvPr id="102" name="直線矢印コネクタ 101">
          <a:extLst>
            <a:ext uri="{FF2B5EF4-FFF2-40B4-BE49-F238E27FC236}">
              <a16:creationId xmlns:a16="http://schemas.microsoft.com/office/drawing/2014/main" id="{1362799A-5DC3-4691-B2D7-3455105A3E70}"/>
            </a:ext>
          </a:extLst>
        </xdr:cNvPr>
        <xdr:cNvCxnSpPr/>
      </xdr:nvCxnSpPr>
      <xdr:spPr>
        <a:xfrm>
          <a:off x="7987807" y="12988070"/>
          <a:ext cx="0" cy="23895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102764</xdr:colOff>
      <xdr:row>54</xdr:row>
      <xdr:rowOff>166592</xdr:rowOff>
    </xdr:from>
    <xdr:to>
      <xdr:col>34</xdr:col>
      <xdr:colOff>102764</xdr:colOff>
      <xdr:row>56</xdr:row>
      <xdr:rowOff>40106</xdr:rowOff>
    </xdr:to>
    <xdr:cxnSp macro="">
      <xdr:nvCxnSpPr>
        <xdr:cNvPr id="103" name="直線矢印コネクタ 102">
          <a:extLst>
            <a:ext uri="{FF2B5EF4-FFF2-40B4-BE49-F238E27FC236}">
              <a16:creationId xmlns:a16="http://schemas.microsoft.com/office/drawing/2014/main" id="{80E395E3-C245-4164-901B-637AFF726EBB}"/>
            </a:ext>
          </a:extLst>
        </xdr:cNvPr>
        <xdr:cNvCxnSpPr/>
      </xdr:nvCxnSpPr>
      <xdr:spPr>
        <a:xfrm>
          <a:off x="7943343" y="13250934"/>
          <a:ext cx="0" cy="35477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102764</xdr:colOff>
      <xdr:row>56</xdr:row>
      <xdr:rowOff>76200</xdr:rowOff>
    </xdr:from>
    <xdr:to>
      <xdr:col>34</xdr:col>
      <xdr:colOff>102764</xdr:colOff>
      <xdr:row>61</xdr:row>
      <xdr:rowOff>26860</xdr:rowOff>
    </xdr:to>
    <xdr:cxnSp macro="">
      <xdr:nvCxnSpPr>
        <xdr:cNvPr id="104" name="直線矢印コネクタ 103">
          <a:extLst>
            <a:ext uri="{FF2B5EF4-FFF2-40B4-BE49-F238E27FC236}">
              <a16:creationId xmlns:a16="http://schemas.microsoft.com/office/drawing/2014/main" id="{945616D6-800D-453F-93B7-AF2A27224461}"/>
            </a:ext>
          </a:extLst>
        </xdr:cNvPr>
        <xdr:cNvCxnSpPr/>
      </xdr:nvCxnSpPr>
      <xdr:spPr>
        <a:xfrm>
          <a:off x="7875164" y="13525500"/>
          <a:ext cx="0" cy="114128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102764</xdr:colOff>
      <xdr:row>61</xdr:row>
      <xdr:rowOff>46081</xdr:rowOff>
    </xdr:from>
    <xdr:to>
      <xdr:col>34</xdr:col>
      <xdr:colOff>102764</xdr:colOff>
      <xdr:row>64</xdr:row>
      <xdr:rowOff>125401</xdr:rowOff>
    </xdr:to>
    <xdr:cxnSp macro="">
      <xdr:nvCxnSpPr>
        <xdr:cNvPr id="105" name="直線矢印コネクタ 104">
          <a:extLst>
            <a:ext uri="{FF2B5EF4-FFF2-40B4-BE49-F238E27FC236}">
              <a16:creationId xmlns:a16="http://schemas.microsoft.com/office/drawing/2014/main" id="{2173BD33-6047-4AC6-B181-76BB15F7D048}"/>
            </a:ext>
          </a:extLst>
        </xdr:cNvPr>
        <xdr:cNvCxnSpPr/>
      </xdr:nvCxnSpPr>
      <xdr:spPr>
        <a:xfrm>
          <a:off x="7875164" y="14763567"/>
          <a:ext cx="0" cy="79777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21</xdr:col>
      <xdr:colOff>45948</xdr:colOff>
      <xdr:row>53</xdr:row>
      <xdr:rowOff>62755</xdr:rowOff>
    </xdr:from>
    <xdr:to>
      <xdr:col>23</xdr:col>
      <xdr:colOff>153746</xdr:colOff>
      <xdr:row>54</xdr:row>
      <xdr:rowOff>97718</xdr:rowOff>
    </xdr:to>
    <xdr:sp macro="" textlink="">
      <xdr:nvSpPr>
        <xdr:cNvPr id="106" name="テキスト ボックス 105">
          <a:extLst>
            <a:ext uri="{FF2B5EF4-FFF2-40B4-BE49-F238E27FC236}">
              <a16:creationId xmlns:a16="http://schemas.microsoft.com/office/drawing/2014/main" id="{77EF7B71-142C-4810-A4FD-757A43EF6606}"/>
            </a:ext>
          </a:extLst>
        </xdr:cNvPr>
        <xdr:cNvSpPr txBox="1"/>
      </xdr:nvSpPr>
      <xdr:spPr>
        <a:xfrm>
          <a:off x="4815775" y="12965467"/>
          <a:ext cx="562067" cy="276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1.00m</a:t>
          </a:r>
          <a:endParaRPr kumimoji="1" lang="ja-JP" altLang="en-US" sz="1100"/>
        </a:p>
      </xdr:txBody>
    </xdr:sp>
    <xdr:clientData/>
  </xdr:twoCellAnchor>
  <xdr:twoCellAnchor>
    <xdr:from>
      <xdr:col>23</xdr:col>
      <xdr:colOff>104572</xdr:colOff>
      <xdr:row>53</xdr:row>
      <xdr:rowOff>123218</xdr:rowOff>
    </xdr:from>
    <xdr:to>
      <xdr:col>23</xdr:col>
      <xdr:colOff>104572</xdr:colOff>
      <xdr:row>54</xdr:row>
      <xdr:rowOff>121976</xdr:rowOff>
    </xdr:to>
    <xdr:cxnSp macro="">
      <xdr:nvCxnSpPr>
        <xdr:cNvPr id="107" name="直線矢印コネクタ 106">
          <a:extLst>
            <a:ext uri="{FF2B5EF4-FFF2-40B4-BE49-F238E27FC236}">
              <a16:creationId xmlns:a16="http://schemas.microsoft.com/office/drawing/2014/main" id="{A9B71E9A-8E75-40C3-AEB6-BB9DC6899D7C}"/>
            </a:ext>
          </a:extLst>
        </xdr:cNvPr>
        <xdr:cNvCxnSpPr/>
      </xdr:nvCxnSpPr>
      <xdr:spPr>
        <a:xfrm>
          <a:off x="5328668" y="13025930"/>
          <a:ext cx="0" cy="24054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104572</xdr:colOff>
      <xdr:row>54</xdr:row>
      <xdr:rowOff>131501</xdr:rowOff>
    </xdr:from>
    <xdr:to>
      <xdr:col>23</xdr:col>
      <xdr:colOff>104572</xdr:colOff>
      <xdr:row>57</xdr:row>
      <xdr:rowOff>190500</xdr:rowOff>
    </xdr:to>
    <xdr:cxnSp macro="">
      <xdr:nvCxnSpPr>
        <xdr:cNvPr id="108" name="直線矢印コネクタ 107">
          <a:extLst>
            <a:ext uri="{FF2B5EF4-FFF2-40B4-BE49-F238E27FC236}">
              <a16:creationId xmlns:a16="http://schemas.microsoft.com/office/drawing/2014/main" id="{19239032-D2AB-4D6F-ACE2-2D5FA752807A}"/>
            </a:ext>
          </a:extLst>
        </xdr:cNvPr>
        <xdr:cNvCxnSpPr/>
      </xdr:nvCxnSpPr>
      <xdr:spPr>
        <a:xfrm>
          <a:off x="5328668" y="13276001"/>
          <a:ext cx="0" cy="78436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21</xdr:col>
      <xdr:colOff>87620</xdr:colOff>
      <xdr:row>55</xdr:row>
      <xdr:rowOff>191680</xdr:rowOff>
    </xdr:from>
    <xdr:to>
      <xdr:col>23</xdr:col>
      <xdr:colOff>195418</xdr:colOff>
      <xdr:row>56</xdr:row>
      <xdr:rowOff>208007</xdr:rowOff>
    </xdr:to>
    <xdr:sp macro="" textlink="">
      <xdr:nvSpPr>
        <xdr:cNvPr id="109" name="テキスト ボックス 108">
          <a:extLst>
            <a:ext uri="{FF2B5EF4-FFF2-40B4-BE49-F238E27FC236}">
              <a16:creationId xmlns:a16="http://schemas.microsoft.com/office/drawing/2014/main" id="{4C30D506-0635-432C-B2C0-109234EE7366}"/>
            </a:ext>
          </a:extLst>
        </xdr:cNvPr>
        <xdr:cNvSpPr txBox="1"/>
      </xdr:nvSpPr>
      <xdr:spPr>
        <a:xfrm>
          <a:off x="4857447" y="13577968"/>
          <a:ext cx="562067" cy="258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3.00m</a:t>
          </a:r>
          <a:endParaRPr kumimoji="1" lang="ja-JP" altLang="en-US" sz="1100"/>
        </a:p>
      </xdr:txBody>
    </xdr:sp>
    <xdr:clientData/>
  </xdr:twoCellAnchor>
  <xdr:twoCellAnchor>
    <xdr:from>
      <xdr:col>23</xdr:col>
      <xdr:colOff>108897</xdr:colOff>
      <xdr:row>61</xdr:row>
      <xdr:rowOff>14954</xdr:rowOff>
    </xdr:from>
    <xdr:to>
      <xdr:col>23</xdr:col>
      <xdr:colOff>108897</xdr:colOff>
      <xdr:row>64</xdr:row>
      <xdr:rowOff>15039</xdr:rowOff>
    </xdr:to>
    <xdr:cxnSp macro="">
      <xdr:nvCxnSpPr>
        <xdr:cNvPr id="110" name="直線矢印コネクタ 109">
          <a:extLst>
            <a:ext uri="{FF2B5EF4-FFF2-40B4-BE49-F238E27FC236}">
              <a16:creationId xmlns:a16="http://schemas.microsoft.com/office/drawing/2014/main" id="{0E5EF1B6-1E5B-4FB5-86A5-8341A3324C7B}"/>
            </a:ext>
          </a:extLst>
        </xdr:cNvPr>
        <xdr:cNvCxnSpPr/>
      </xdr:nvCxnSpPr>
      <xdr:spPr>
        <a:xfrm>
          <a:off x="5332993" y="14851973"/>
          <a:ext cx="0" cy="72545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21</xdr:col>
      <xdr:colOff>87620</xdr:colOff>
      <xdr:row>59</xdr:row>
      <xdr:rowOff>31143</xdr:rowOff>
    </xdr:from>
    <xdr:to>
      <xdr:col>23</xdr:col>
      <xdr:colOff>195418</xdr:colOff>
      <xdr:row>60</xdr:row>
      <xdr:rowOff>45831</xdr:rowOff>
    </xdr:to>
    <xdr:sp macro="" textlink="">
      <xdr:nvSpPr>
        <xdr:cNvPr id="111" name="テキスト ボックス 110">
          <a:extLst>
            <a:ext uri="{FF2B5EF4-FFF2-40B4-BE49-F238E27FC236}">
              <a16:creationId xmlns:a16="http://schemas.microsoft.com/office/drawing/2014/main" id="{9C7FFCC0-1D54-4509-9790-61C1BFE1F0E9}"/>
            </a:ext>
          </a:extLst>
        </xdr:cNvPr>
        <xdr:cNvSpPr txBox="1"/>
      </xdr:nvSpPr>
      <xdr:spPr>
        <a:xfrm>
          <a:off x="4857447" y="14384585"/>
          <a:ext cx="562067" cy="256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3.00m</a:t>
          </a:r>
          <a:endParaRPr kumimoji="1" lang="ja-JP" altLang="en-US" sz="1100"/>
        </a:p>
      </xdr:txBody>
    </xdr:sp>
    <xdr:clientData/>
  </xdr:twoCellAnchor>
  <xdr:twoCellAnchor editAs="absolute">
    <xdr:from>
      <xdr:col>21</xdr:col>
      <xdr:colOff>87620</xdr:colOff>
      <xdr:row>61</xdr:row>
      <xdr:rowOff>191679</xdr:rowOff>
    </xdr:from>
    <xdr:to>
      <xdr:col>23</xdr:col>
      <xdr:colOff>195418</xdr:colOff>
      <xdr:row>62</xdr:row>
      <xdr:rowOff>208007</xdr:rowOff>
    </xdr:to>
    <xdr:sp macro="" textlink="">
      <xdr:nvSpPr>
        <xdr:cNvPr id="112" name="テキスト ボックス 111">
          <a:extLst>
            <a:ext uri="{FF2B5EF4-FFF2-40B4-BE49-F238E27FC236}">
              <a16:creationId xmlns:a16="http://schemas.microsoft.com/office/drawing/2014/main" id="{77F1B31C-642C-4176-91DC-8223974A5556}"/>
            </a:ext>
          </a:extLst>
        </xdr:cNvPr>
        <xdr:cNvSpPr txBox="1"/>
      </xdr:nvSpPr>
      <xdr:spPr>
        <a:xfrm>
          <a:off x="4857447" y="15028698"/>
          <a:ext cx="562067" cy="258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2.78m</a:t>
          </a:r>
          <a:endParaRPr kumimoji="1" lang="ja-JP" altLang="en-US" sz="1100"/>
        </a:p>
      </xdr:txBody>
    </xdr:sp>
    <xdr:clientData/>
  </xdr:twoCellAnchor>
  <xdr:twoCellAnchor>
    <xdr:from>
      <xdr:col>23</xdr:col>
      <xdr:colOff>104572</xdr:colOff>
      <xdr:row>57</xdr:row>
      <xdr:rowOff>196672</xdr:rowOff>
    </xdr:from>
    <xdr:to>
      <xdr:col>23</xdr:col>
      <xdr:colOff>104572</xdr:colOff>
      <xdr:row>61</xdr:row>
      <xdr:rowOff>15040</xdr:rowOff>
    </xdr:to>
    <xdr:cxnSp macro="">
      <xdr:nvCxnSpPr>
        <xdr:cNvPr id="120" name="直線矢印コネクタ 119">
          <a:extLst>
            <a:ext uri="{FF2B5EF4-FFF2-40B4-BE49-F238E27FC236}">
              <a16:creationId xmlns:a16="http://schemas.microsoft.com/office/drawing/2014/main" id="{D229242E-B5DE-9310-DD7A-A7FD9D3D98C6}"/>
            </a:ext>
          </a:extLst>
        </xdr:cNvPr>
        <xdr:cNvCxnSpPr/>
      </xdr:nvCxnSpPr>
      <xdr:spPr>
        <a:xfrm>
          <a:off x="5328668" y="14066537"/>
          <a:ext cx="0" cy="785522"/>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32631</xdr:colOff>
      <xdr:row>54</xdr:row>
      <xdr:rowOff>134945</xdr:rowOff>
    </xdr:from>
    <xdr:to>
      <xdr:col>24</xdr:col>
      <xdr:colOff>30219</xdr:colOff>
      <xdr:row>54</xdr:row>
      <xdr:rowOff>134945</xdr:rowOff>
    </xdr:to>
    <xdr:cxnSp macro="">
      <xdr:nvCxnSpPr>
        <xdr:cNvPr id="132" name="直線コネクタ 131">
          <a:extLst>
            <a:ext uri="{FF2B5EF4-FFF2-40B4-BE49-F238E27FC236}">
              <a16:creationId xmlns:a16="http://schemas.microsoft.com/office/drawing/2014/main" id="{29B51F2D-59F8-ECA3-7D87-73C2702C5531}"/>
            </a:ext>
          </a:extLst>
        </xdr:cNvPr>
        <xdr:cNvCxnSpPr/>
      </xdr:nvCxnSpPr>
      <xdr:spPr>
        <a:xfrm>
          <a:off x="5256727" y="13279445"/>
          <a:ext cx="224723"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32631</xdr:colOff>
      <xdr:row>53</xdr:row>
      <xdr:rowOff>130299</xdr:rowOff>
    </xdr:from>
    <xdr:to>
      <xdr:col>24</xdr:col>
      <xdr:colOff>30219</xdr:colOff>
      <xdr:row>53</xdr:row>
      <xdr:rowOff>130299</xdr:rowOff>
    </xdr:to>
    <xdr:cxnSp macro="">
      <xdr:nvCxnSpPr>
        <xdr:cNvPr id="134" name="直線コネクタ 133">
          <a:extLst>
            <a:ext uri="{FF2B5EF4-FFF2-40B4-BE49-F238E27FC236}">
              <a16:creationId xmlns:a16="http://schemas.microsoft.com/office/drawing/2014/main" id="{0E494775-208A-2374-2F12-976CA426D3C7}"/>
            </a:ext>
          </a:extLst>
        </xdr:cNvPr>
        <xdr:cNvCxnSpPr/>
      </xdr:nvCxnSpPr>
      <xdr:spPr>
        <a:xfrm>
          <a:off x="5256727" y="13033011"/>
          <a:ext cx="224723"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32631</xdr:colOff>
      <xdr:row>57</xdr:row>
      <xdr:rowOff>190701</xdr:rowOff>
    </xdr:from>
    <xdr:to>
      <xdr:col>24</xdr:col>
      <xdr:colOff>30219</xdr:colOff>
      <xdr:row>57</xdr:row>
      <xdr:rowOff>190701</xdr:rowOff>
    </xdr:to>
    <xdr:cxnSp macro="">
      <xdr:nvCxnSpPr>
        <xdr:cNvPr id="135" name="直線コネクタ 134">
          <a:extLst>
            <a:ext uri="{FF2B5EF4-FFF2-40B4-BE49-F238E27FC236}">
              <a16:creationId xmlns:a16="http://schemas.microsoft.com/office/drawing/2014/main" id="{0C1049E1-25DB-C797-E423-07D15FB149AC}"/>
            </a:ext>
          </a:extLst>
        </xdr:cNvPr>
        <xdr:cNvCxnSpPr/>
      </xdr:nvCxnSpPr>
      <xdr:spPr>
        <a:xfrm>
          <a:off x="5256727" y="14060566"/>
          <a:ext cx="224723"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32631</xdr:colOff>
      <xdr:row>61</xdr:row>
      <xdr:rowOff>23434</xdr:rowOff>
    </xdr:from>
    <xdr:to>
      <xdr:col>24</xdr:col>
      <xdr:colOff>30219</xdr:colOff>
      <xdr:row>61</xdr:row>
      <xdr:rowOff>23434</xdr:rowOff>
    </xdr:to>
    <xdr:cxnSp macro="">
      <xdr:nvCxnSpPr>
        <xdr:cNvPr id="136" name="直線コネクタ 135">
          <a:extLst>
            <a:ext uri="{FF2B5EF4-FFF2-40B4-BE49-F238E27FC236}">
              <a16:creationId xmlns:a16="http://schemas.microsoft.com/office/drawing/2014/main" id="{40FFE8E6-E954-4ACE-20FB-B149384E707D}"/>
            </a:ext>
          </a:extLst>
        </xdr:cNvPr>
        <xdr:cNvCxnSpPr/>
      </xdr:nvCxnSpPr>
      <xdr:spPr>
        <a:xfrm>
          <a:off x="5256727" y="14860453"/>
          <a:ext cx="224723"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32631</xdr:colOff>
      <xdr:row>64</xdr:row>
      <xdr:rowOff>9494</xdr:rowOff>
    </xdr:from>
    <xdr:to>
      <xdr:col>24</xdr:col>
      <xdr:colOff>30219</xdr:colOff>
      <xdr:row>64</xdr:row>
      <xdr:rowOff>9494</xdr:rowOff>
    </xdr:to>
    <xdr:cxnSp macro="">
      <xdr:nvCxnSpPr>
        <xdr:cNvPr id="137" name="直線コネクタ 136">
          <a:extLst>
            <a:ext uri="{FF2B5EF4-FFF2-40B4-BE49-F238E27FC236}">
              <a16:creationId xmlns:a16="http://schemas.microsoft.com/office/drawing/2014/main" id="{027F2EA3-745B-D5A9-A1E3-3087C04CBDC1}"/>
            </a:ext>
          </a:extLst>
        </xdr:cNvPr>
        <xdr:cNvCxnSpPr/>
      </xdr:nvCxnSpPr>
      <xdr:spPr>
        <a:xfrm>
          <a:off x="5256727" y="15571879"/>
          <a:ext cx="224723"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28</xdr:col>
      <xdr:colOff>54451</xdr:colOff>
      <xdr:row>52</xdr:row>
      <xdr:rowOff>168729</xdr:rowOff>
    </xdr:from>
    <xdr:to>
      <xdr:col>28</xdr:col>
      <xdr:colOff>54451</xdr:colOff>
      <xdr:row>53</xdr:row>
      <xdr:rowOff>133349</xdr:rowOff>
    </xdr:to>
    <xdr:cxnSp macro="">
      <xdr:nvCxnSpPr>
        <xdr:cNvPr id="50" name="直線コネクタ 49">
          <a:extLst>
            <a:ext uri="{FF2B5EF4-FFF2-40B4-BE49-F238E27FC236}">
              <a16:creationId xmlns:a16="http://schemas.microsoft.com/office/drawing/2014/main" id="{F1C6249B-E32B-32C4-E9F8-8BA9CB52D03E}"/>
            </a:ext>
          </a:extLst>
        </xdr:cNvPr>
        <xdr:cNvCxnSpPr/>
      </xdr:nvCxnSpPr>
      <xdr:spPr>
        <a:xfrm>
          <a:off x="6455251" y="12665529"/>
          <a:ext cx="0" cy="20274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editAs="absolute">
    <xdr:from>
      <xdr:col>21</xdr:col>
      <xdr:colOff>45948</xdr:colOff>
      <xdr:row>52</xdr:row>
      <xdr:rowOff>128069</xdr:rowOff>
    </xdr:from>
    <xdr:to>
      <xdr:col>23</xdr:col>
      <xdr:colOff>153746</xdr:colOff>
      <xdr:row>53</xdr:row>
      <xdr:rowOff>163032</xdr:rowOff>
    </xdr:to>
    <xdr:sp macro="" textlink="">
      <xdr:nvSpPr>
        <xdr:cNvPr id="53" name="テキスト ボックス 52">
          <a:extLst>
            <a:ext uri="{FF2B5EF4-FFF2-40B4-BE49-F238E27FC236}">
              <a16:creationId xmlns:a16="http://schemas.microsoft.com/office/drawing/2014/main" id="{1470FF87-48AE-1198-3524-688D67EA61B1}"/>
            </a:ext>
          </a:extLst>
        </xdr:cNvPr>
        <xdr:cNvSpPr txBox="1"/>
      </xdr:nvSpPr>
      <xdr:spPr>
        <a:xfrm>
          <a:off x="4815775" y="12788992"/>
          <a:ext cx="562067" cy="276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0.88m</a:t>
          </a:r>
          <a:endParaRPr kumimoji="1" lang="ja-JP" altLang="en-US" sz="1100"/>
        </a:p>
      </xdr:txBody>
    </xdr:sp>
    <xdr:clientData/>
  </xdr:twoCellAnchor>
  <xdr:twoCellAnchor>
    <xdr:from>
      <xdr:col>23</xdr:col>
      <xdr:colOff>104572</xdr:colOff>
      <xdr:row>52</xdr:row>
      <xdr:rowOff>183090</xdr:rowOff>
    </xdr:from>
    <xdr:to>
      <xdr:col>23</xdr:col>
      <xdr:colOff>104572</xdr:colOff>
      <xdr:row>53</xdr:row>
      <xdr:rowOff>146957</xdr:rowOff>
    </xdr:to>
    <xdr:cxnSp macro="">
      <xdr:nvCxnSpPr>
        <xdr:cNvPr id="55" name="直線矢印コネクタ 54">
          <a:extLst>
            <a:ext uri="{FF2B5EF4-FFF2-40B4-BE49-F238E27FC236}">
              <a16:creationId xmlns:a16="http://schemas.microsoft.com/office/drawing/2014/main" id="{9C089F0B-87E7-264B-C72C-97EEB82CD45A}"/>
            </a:ext>
          </a:extLst>
        </xdr:cNvPr>
        <xdr:cNvCxnSpPr/>
      </xdr:nvCxnSpPr>
      <xdr:spPr>
        <a:xfrm>
          <a:off x="5328668" y="12844013"/>
          <a:ext cx="0" cy="20565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32631</xdr:colOff>
      <xdr:row>52</xdr:row>
      <xdr:rowOff>190171</xdr:rowOff>
    </xdr:from>
    <xdr:to>
      <xdr:col>24</xdr:col>
      <xdr:colOff>30219</xdr:colOff>
      <xdr:row>52</xdr:row>
      <xdr:rowOff>190171</xdr:rowOff>
    </xdr:to>
    <xdr:cxnSp macro="">
      <xdr:nvCxnSpPr>
        <xdr:cNvPr id="56" name="直線コネクタ 55">
          <a:extLst>
            <a:ext uri="{FF2B5EF4-FFF2-40B4-BE49-F238E27FC236}">
              <a16:creationId xmlns:a16="http://schemas.microsoft.com/office/drawing/2014/main" id="{8704CA08-6949-71F2-7E87-454158372B2A}"/>
            </a:ext>
          </a:extLst>
        </xdr:cNvPr>
        <xdr:cNvCxnSpPr/>
      </xdr:nvCxnSpPr>
      <xdr:spPr>
        <a:xfrm>
          <a:off x="5256727" y="12851094"/>
          <a:ext cx="224723"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34</xdr:col>
      <xdr:colOff>102069</xdr:colOff>
      <xdr:row>64</xdr:row>
      <xdr:rowOff>149077</xdr:rowOff>
    </xdr:from>
    <xdr:to>
      <xdr:col>34</xdr:col>
      <xdr:colOff>102069</xdr:colOff>
      <xdr:row>67</xdr:row>
      <xdr:rowOff>10886</xdr:rowOff>
    </xdr:to>
    <xdr:cxnSp macro="">
      <xdr:nvCxnSpPr>
        <xdr:cNvPr id="47" name="直線矢印コネクタ 46">
          <a:extLst>
            <a:ext uri="{FF2B5EF4-FFF2-40B4-BE49-F238E27FC236}">
              <a16:creationId xmlns:a16="http://schemas.microsoft.com/office/drawing/2014/main" id="{105C95E2-539E-4FE1-8E51-4E185D44A4DE}"/>
            </a:ext>
          </a:extLst>
        </xdr:cNvPr>
        <xdr:cNvCxnSpPr/>
      </xdr:nvCxnSpPr>
      <xdr:spPr>
        <a:xfrm>
          <a:off x="7874469" y="15585020"/>
          <a:ext cx="0" cy="58026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43546</xdr:colOff>
      <xdr:row>67</xdr:row>
      <xdr:rowOff>16452</xdr:rowOff>
    </xdr:from>
    <xdr:to>
      <xdr:col>34</xdr:col>
      <xdr:colOff>176897</xdr:colOff>
      <xdr:row>67</xdr:row>
      <xdr:rowOff>16452</xdr:rowOff>
    </xdr:to>
    <xdr:cxnSp macro="">
      <xdr:nvCxnSpPr>
        <xdr:cNvPr id="57" name="直線コネクタ 56">
          <a:extLst>
            <a:ext uri="{FF2B5EF4-FFF2-40B4-BE49-F238E27FC236}">
              <a16:creationId xmlns:a16="http://schemas.microsoft.com/office/drawing/2014/main" id="{960AFA9E-3E10-4072-9EE6-A0641278551D}"/>
            </a:ext>
          </a:extLst>
        </xdr:cNvPr>
        <xdr:cNvCxnSpPr/>
      </xdr:nvCxnSpPr>
      <xdr:spPr>
        <a:xfrm>
          <a:off x="5040508" y="16304202"/>
          <a:ext cx="2858966"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34</xdr:col>
      <xdr:colOff>140169</xdr:colOff>
      <xdr:row>29</xdr:row>
      <xdr:rowOff>43151</xdr:rowOff>
    </xdr:from>
    <xdr:to>
      <xdr:col>34</xdr:col>
      <xdr:colOff>140169</xdr:colOff>
      <xdr:row>31</xdr:row>
      <xdr:rowOff>143085</xdr:rowOff>
    </xdr:to>
    <xdr:cxnSp macro="">
      <xdr:nvCxnSpPr>
        <xdr:cNvPr id="58" name="直線矢印コネクタ 57">
          <a:extLst>
            <a:ext uri="{FF2B5EF4-FFF2-40B4-BE49-F238E27FC236}">
              <a16:creationId xmlns:a16="http://schemas.microsoft.com/office/drawing/2014/main" id="{487A33EC-6269-4233-9B4A-814A468F4907}"/>
            </a:ext>
          </a:extLst>
        </xdr:cNvPr>
        <xdr:cNvCxnSpPr/>
      </xdr:nvCxnSpPr>
      <xdr:spPr>
        <a:xfrm>
          <a:off x="7862746" y="7113632"/>
          <a:ext cx="0" cy="58351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180975</xdr:colOff>
      <xdr:row>31</xdr:row>
      <xdr:rowOff>141325</xdr:rowOff>
    </xdr:from>
    <xdr:to>
      <xdr:col>34</xdr:col>
      <xdr:colOff>214997</xdr:colOff>
      <xdr:row>31</xdr:row>
      <xdr:rowOff>141325</xdr:rowOff>
    </xdr:to>
    <xdr:cxnSp macro="">
      <xdr:nvCxnSpPr>
        <xdr:cNvPr id="59" name="直線コネクタ 58">
          <a:extLst>
            <a:ext uri="{FF2B5EF4-FFF2-40B4-BE49-F238E27FC236}">
              <a16:creationId xmlns:a16="http://schemas.microsoft.com/office/drawing/2014/main" id="{752F36C0-FA6D-4F97-A24A-17B3BC2E279B}"/>
            </a:ext>
          </a:extLst>
        </xdr:cNvPr>
        <xdr:cNvCxnSpPr/>
      </xdr:nvCxnSpPr>
      <xdr:spPr>
        <a:xfrm>
          <a:off x="6124575" y="7599400"/>
          <a:ext cx="1862822"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24</xdr:col>
      <xdr:colOff>138858</xdr:colOff>
      <xdr:row>100</xdr:row>
      <xdr:rowOff>170975</xdr:rowOff>
    </xdr:from>
    <xdr:to>
      <xdr:col>35</xdr:col>
      <xdr:colOff>50000</xdr:colOff>
      <xdr:row>100</xdr:row>
      <xdr:rowOff>170975</xdr:rowOff>
    </xdr:to>
    <xdr:cxnSp macro="">
      <xdr:nvCxnSpPr>
        <xdr:cNvPr id="48" name="直線コネクタ 47">
          <a:extLst>
            <a:ext uri="{FF2B5EF4-FFF2-40B4-BE49-F238E27FC236}">
              <a16:creationId xmlns:a16="http://schemas.microsoft.com/office/drawing/2014/main" id="{F8F11D26-F843-4FD1-A63F-A0DC368CBB49}"/>
            </a:ext>
          </a:extLst>
        </xdr:cNvPr>
        <xdr:cNvCxnSpPr/>
      </xdr:nvCxnSpPr>
      <xdr:spPr>
        <a:xfrm>
          <a:off x="5690572" y="24759082"/>
          <a:ext cx="245567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226965</xdr:colOff>
      <xdr:row>108</xdr:row>
      <xdr:rowOff>61263</xdr:rowOff>
    </xdr:from>
    <xdr:to>
      <xdr:col>28</xdr:col>
      <xdr:colOff>34990</xdr:colOff>
      <xdr:row>108</xdr:row>
      <xdr:rowOff>61263</xdr:rowOff>
    </xdr:to>
    <xdr:cxnSp macro="">
      <xdr:nvCxnSpPr>
        <xdr:cNvPr id="52" name="直線コネクタ 51">
          <a:extLst>
            <a:ext uri="{FF2B5EF4-FFF2-40B4-BE49-F238E27FC236}">
              <a16:creationId xmlns:a16="http://schemas.microsoft.com/office/drawing/2014/main" id="{E47B640D-8854-4691-953C-4C360DE357BC}"/>
            </a:ext>
          </a:extLst>
        </xdr:cNvPr>
        <xdr:cNvCxnSpPr/>
      </xdr:nvCxnSpPr>
      <xdr:spPr>
        <a:xfrm>
          <a:off x="5778679" y="26608799"/>
          <a:ext cx="73331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134164</xdr:colOff>
      <xdr:row>108</xdr:row>
      <xdr:rowOff>68899</xdr:rowOff>
    </xdr:from>
    <xdr:to>
      <xdr:col>27</xdr:col>
      <xdr:colOff>37</xdr:colOff>
      <xdr:row>108</xdr:row>
      <xdr:rowOff>169276</xdr:rowOff>
    </xdr:to>
    <xdr:cxnSp macro="">
      <xdr:nvCxnSpPr>
        <xdr:cNvPr id="60" name="直線コネクタ 59">
          <a:extLst>
            <a:ext uri="{FF2B5EF4-FFF2-40B4-BE49-F238E27FC236}">
              <a16:creationId xmlns:a16="http://schemas.microsoft.com/office/drawing/2014/main" id="{CB74F540-6F25-407E-9B51-85EA572960DA}"/>
            </a:ext>
          </a:extLst>
        </xdr:cNvPr>
        <xdr:cNvCxnSpPr/>
      </xdr:nvCxnSpPr>
      <xdr:spPr>
        <a:xfrm>
          <a:off x="6148521" y="26616435"/>
          <a:ext cx="97195" cy="10037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85438</xdr:colOff>
      <xdr:row>108</xdr:row>
      <xdr:rowOff>70743</xdr:rowOff>
    </xdr:from>
    <xdr:to>
      <xdr:col>26</xdr:col>
      <xdr:colOff>184041</xdr:colOff>
      <xdr:row>108</xdr:row>
      <xdr:rowOff>171120</xdr:rowOff>
    </xdr:to>
    <xdr:cxnSp macro="">
      <xdr:nvCxnSpPr>
        <xdr:cNvPr id="61" name="直線コネクタ 60">
          <a:extLst>
            <a:ext uri="{FF2B5EF4-FFF2-40B4-BE49-F238E27FC236}">
              <a16:creationId xmlns:a16="http://schemas.microsoft.com/office/drawing/2014/main" id="{DDC28FB0-48B8-4C14-B9F4-719BE7B2611C}"/>
            </a:ext>
          </a:extLst>
        </xdr:cNvPr>
        <xdr:cNvCxnSpPr/>
      </xdr:nvCxnSpPr>
      <xdr:spPr>
        <a:xfrm>
          <a:off x="6099795" y="26618279"/>
          <a:ext cx="98603" cy="10037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86353</xdr:colOff>
      <xdr:row>108</xdr:row>
      <xdr:rowOff>125308</xdr:rowOff>
    </xdr:from>
    <xdr:to>
      <xdr:col>26</xdr:col>
      <xdr:colOff>119417</xdr:colOff>
      <xdr:row>108</xdr:row>
      <xdr:rowOff>153232</xdr:rowOff>
    </xdr:to>
    <xdr:cxnSp macro="">
      <xdr:nvCxnSpPr>
        <xdr:cNvPr id="62" name="直線コネクタ 61">
          <a:extLst>
            <a:ext uri="{FF2B5EF4-FFF2-40B4-BE49-F238E27FC236}">
              <a16:creationId xmlns:a16="http://schemas.microsoft.com/office/drawing/2014/main" id="{D3AE9FA7-5A16-4852-9F10-F7D099A42652}"/>
            </a:ext>
          </a:extLst>
        </xdr:cNvPr>
        <xdr:cNvCxnSpPr/>
      </xdr:nvCxnSpPr>
      <xdr:spPr>
        <a:xfrm flipH="1">
          <a:off x="6100710" y="26672844"/>
          <a:ext cx="33064" cy="279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108045</xdr:colOff>
      <xdr:row>108</xdr:row>
      <xdr:rowOff>139704</xdr:rowOff>
    </xdr:from>
    <xdr:to>
      <xdr:col>26</xdr:col>
      <xdr:colOff>139701</xdr:colOff>
      <xdr:row>108</xdr:row>
      <xdr:rowOff>170430</xdr:rowOff>
    </xdr:to>
    <xdr:cxnSp macro="">
      <xdr:nvCxnSpPr>
        <xdr:cNvPr id="63" name="直線コネクタ 62">
          <a:extLst>
            <a:ext uri="{FF2B5EF4-FFF2-40B4-BE49-F238E27FC236}">
              <a16:creationId xmlns:a16="http://schemas.microsoft.com/office/drawing/2014/main" id="{71322B35-8989-47B3-BEB2-235E214CB62F}"/>
            </a:ext>
          </a:extLst>
        </xdr:cNvPr>
        <xdr:cNvCxnSpPr/>
      </xdr:nvCxnSpPr>
      <xdr:spPr>
        <a:xfrm flipH="1">
          <a:off x="6122402" y="26687240"/>
          <a:ext cx="3165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217662</xdr:colOff>
      <xdr:row>108</xdr:row>
      <xdr:rowOff>76769</xdr:rowOff>
    </xdr:from>
    <xdr:to>
      <xdr:col>26</xdr:col>
      <xdr:colOff>77325</xdr:colOff>
      <xdr:row>108</xdr:row>
      <xdr:rowOff>177146</xdr:rowOff>
    </xdr:to>
    <xdr:cxnSp macro="">
      <xdr:nvCxnSpPr>
        <xdr:cNvPr id="65" name="直線コネクタ 64">
          <a:extLst>
            <a:ext uri="{FF2B5EF4-FFF2-40B4-BE49-F238E27FC236}">
              <a16:creationId xmlns:a16="http://schemas.microsoft.com/office/drawing/2014/main" id="{DD768848-4D82-43AE-A703-20446C62A621}"/>
            </a:ext>
          </a:extLst>
        </xdr:cNvPr>
        <xdr:cNvCxnSpPr/>
      </xdr:nvCxnSpPr>
      <xdr:spPr>
        <a:xfrm>
          <a:off x="6000698" y="26624305"/>
          <a:ext cx="90984" cy="10037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170344</xdr:colOff>
      <xdr:row>108</xdr:row>
      <xdr:rowOff>78613</xdr:rowOff>
    </xdr:from>
    <xdr:to>
      <xdr:col>26</xdr:col>
      <xdr:colOff>32728</xdr:colOff>
      <xdr:row>108</xdr:row>
      <xdr:rowOff>178990</xdr:rowOff>
    </xdr:to>
    <xdr:cxnSp macro="">
      <xdr:nvCxnSpPr>
        <xdr:cNvPr id="68" name="直線コネクタ 67">
          <a:extLst>
            <a:ext uri="{FF2B5EF4-FFF2-40B4-BE49-F238E27FC236}">
              <a16:creationId xmlns:a16="http://schemas.microsoft.com/office/drawing/2014/main" id="{8F4FCA09-FED0-4481-BECC-6368EE385F37}"/>
            </a:ext>
          </a:extLst>
        </xdr:cNvPr>
        <xdr:cNvCxnSpPr/>
      </xdr:nvCxnSpPr>
      <xdr:spPr>
        <a:xfrm>
          <a:off x="5953380" y="26626149"/>
          <a:ext cx="93705" cy="10037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170380</xdr:colOff>
      <xdr:row>108</xdr:row>
      <xdr:rowOff>130376</xdr:rowOff>
    </xdr:from>
    <xdr:to>
      <xdr:col>25</xdr:col>
      <xdr:colOff>201106</xdr:colOff>
      <xdr:row>108</xdr:row>
      <xdr:rowOff>161102</xdr:rowOff>
    </xdr:to>
    <xdr:cxnSp macro="">
      <xdr:nvCxnSpPr>
        <xdr:cNvPr id="70" name="直線コネクタ 69">
          <a:extLst>
            <a:ext uri="{FF2B5EF4-FFF2-40B4-BE49-F238E27FC236}">
              <a16:creationId xmlns:a16="http://schemas.microsoft.com/office/drawing/2014/main" id="{17E74E0A-E822-4F49-901B-47A05033C29F}"/>
            </a:ext>
          </a:extLst>
        </xdr:cNvPr>
        <xdr:cNvCxnSpPr/>
      </xdr:nvCxnSpPr>
      <xdr:spPr>
        <a:xfrm flipH="1">
          <a:off x="5953416" y="26677912"/>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190664</xdr:colOff>
      <xdr:row>108</xdr:row>
      <xdr:rowOff>138049</xdr:rowOff>
    </xdr:from>
    <xdr:to>
      <xdr:col>25</xdr:col>
      <xdr:colOff>221390</xdr:colOff>
      <xdr:row>108</xdr:row>
      <xdr:rowOff>178300</xdr:rowOff>
    </xdr:to>
    <xdr:cxnSp macro="">
      <xdr:nvCxnSpPr>
        <xdr:cNvPr id="71" name="直線コネクタ 70">
          <a:extLst>
            <a:ext uri="{FF2B5EF4-FFF2-40B4-BE49-F238E27FC236}">
              <a16:creationId xmlns:a16="http://schemas.microsoft.com/office/drawing/2014/main" id="{100845E3-AA36-423C-A29E-2EC3E16EC627}"/>
            </a:ext>
          </a:extLst>
        </xdr:cNvPr>
        <xdr:cNvCxnSpPr/>
      </xdr:nvCxnSpPr>
      <xdr:spPr>
        <a:xfrm flipH="1">
          <a:off x="5973700" y="26685585"/>
          <a:ext cx="30726" cy="402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193757</xdr:colOff>
      <xdr:row>100</xdr:row>
      <xdr:rowOff>165744</xdr:rowOff>
    </xdr:from>
    <xdr:to>
      <xdr:col>30</xdr:col>
      <xdr:colOff>53872</xdr:colOff>
      <xdr:row>101</xdr:row>
      <xdr:rowOff>3453</xdr:rowOff>
    </xdr:to>
    <xdr:cxnSp macro="">
      <xdr:nvCxnSpPr>
        <xdr:cNvPr id="72" name="直線コネクタ 71">
          <a:extLst>
            <a:ext uri="{FF2B5EF4-FFF2-40B4-BE49-F238E27FC236}">
              <a16:creationId xmlns:a16="http://schemas.microsoft.com/office/drawing/2014/main" id="{FF33E905-670F-45DC-A097-2B493FB675C4}"/>
            </a:ext>
          </a:extLst>
        </xdr:cNvPr>
        <xdr:cNvCxnSpPr/>
      </xdr:nvCxnSpPr>
      <xdr:spPr>
        <a:xfrm>
          <a:off x="6902078" y="24753851"/>
          <a:ext cx="91437"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146439</xdr:colOff>
      <xdr:row>100</xdr:row>
      <xdr:rowOff>177113</xdr:rowOff>
    </xdr:from>
    <xdr:to>
      <xdr:col>30</xdr:col>
      <xdr:colOff>1111</xdr:colOff>
      <xdr:row>101</xdr:row>
      <xdr:rowOff>14822</xdr:rowOff>
    </xdr:to>
    <xdr:cxnSp macro="">
      <xdr:nvCxnSpPr>
        <xdr:cNvPr id="73" name="直線コネクタ 72">
          <a:extLst>
            <a:ext uri="{FF2B5EF4-FFF2-40B4-BE49-F238E27FC236}">
              <a16:creationId xmlns:a16="http://schemas.microsoft.com/office/drawing/2014/main" id="{D4028D8D-6D12-4BB0-8BFF-BF38607F7471}"/>
            </a:ext>
          </a:extLst>
        </xdr:cNvPr>
        <xdr:cNvCxnSpPr/>
      </xdr:nvCxnSpPr>
      <xdr:spPr>
        <a:xfrm>
          <a:off x="6854760" y="24765220"/>
          <a:ext cx="8599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146475</xdr:colOff>
      <xdr:row>100</xdr:row>
      <xdr:rowOff>217945</xdr:rowOff>
    </xdr:from>
    <xdr:to>
      <xdr:col>29</xdr:col>
      <xdr:colOff>177201</xdr:colOff>
      <xdr:row>100</xdr:row>
      <xdr:rowOff>239146</xdr:rowOff>
    </xdr:to>
    <xdr:cxnSp macro="">
      <xdr:nvCxnSpPr>
        <xdr:cNvPr id="74" name="直線コネクタ 73">
          <a:extLst>
            <a:ext uri="{FF2B5EF4-FFF2-40B4-BE49-F238E27FC236}">
              <a16:creationId xmlns:a16="http://schemas.microsoft.com/office/drawing/2014/main" id="{065BC5D4-1A2A-4948-BED8-31A4DB2DF352}"/>
            </a:ext>
          </a:extLst>
        </xdr:cNvPr>
        <xdr:cNvCxnSpPr/>
      </xdr:nvCxnSpPr>
      <xdr:spPr>
        <a:xfrm flipH="1">
          <a:off x="6854796" y="24806052"/>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166759</xdr:colOff>
      <xdr:row>100</xdr:row>
      <xdr:rowOff>235143</xdr:rowOff>
    </xdr:from>
    <xdr:to>
      <xdr:col>29</xdr:col>
      <xdr:colOff>197485</xdr:colOff>
      <xdr:row>101</xdr:row>
      <xdr:rowOff>14137</xdr:rowOff>
    </xdr:to>
    <xdr:cxnSp macro="">
      <xdr:nvCxnSpPr>
        <xdr:cNvPr id="76" name="直線コネクタ 75">
          <a:extLst>
            <a:ext uri="{FF2B5EF4-FFF2-40B4-BE49-F238E27FC236}">
              <a16:creationId xmlns:a16="http://schemas.microsoft.com/office/drawing/2014/main" id="{B97E2D00-85DA-4FFD-B69A-F0B1FFF29D74}"/>
            </a:ext>
          </a:extLst>
        </xdr:cNvPr>
        <xdr:cNvCxnSpPr/>
      </xdr:nvCxnSpPr>
      <xdr:spPr>
        <a:xfrm flipH="1">
          <a:off x="6875080" y="24823250"/>
          <a:ext cx="3072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113621</xdr:colOff>
      <xdr:row>100</xdr:row>
      <xdr:rowOff>170780</xdr:rowOff>
    </xdr:from>
    <xdr:to>
      <xdr:col>30</xdr:col>
      <xdr:colOff>198581</xdr:colOff>
      <xdr:row>101</xdr:row>
      <xdr:rowOff>8489</xdr:rowOff>
    </xdr:to>
    <xdr:cxnSp macro="">
      <xdr:nvCxnSpPr>
        <xdr:cNvPr id="77" name="直線コネクタ 76">
          <a:extLst>
            <a:ext uri="{FF2B5EF4-FFF2-40B4-BE49-F238E27FC236}">
              <a16:creationId xmlns:a16="http://schemas.microsoft.com/office/drawing/2014/main" id="{E9EBE70D-F9D5-4A99-98AF-4F0A1F690FF7}"/>
            </a:ext>
          </a:extLst>
        </xdr:cNvPr>
        <xdr:cNvCxnSpPr/>
      </xdr:nvCxnSpPr>
      <xdr:spPr>
        <a:xfrm>
          <a:off x="7053264" y="24758887"/>
          <a:ext cx="84960"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61821</xdr:colOff>
      <xdr:row>100</xdr:row>
      <xdr:rowOff>172624</xdr:rowOff>
    </xdr:from>
    <xdr:to>
      <xdr:col>30</xdr:col>
      <xdr:colOff>155745</xdr:colOff>
      <xdr:row>101</xdr:row>
      <xdr:rowOff>10333</xdr:rowOff>
    </xdr:to>
    <xdr:cxnSp macro="">
      <xdr:nvCxnSpPr>
        <xdr:cNvPr id="78" name="直線コネクタ 77">
          <a:extLst>
            <a:ext uri="{FF2B5EF4-FFF2-40B4-BE49-F238E27FC236}">
              <a16:creationId xmlns:a16="http://schemas.microsoft.com/office/drawing/2014/main" id="{50B6C986-A95B-4D61-933A-15F8BE046231}"/>
            </a:ext>
          </a:extLst>
        </xdr:cNvPr>
        <xdr:cNvCxnSpPr/>
      </xdr:nvCxnSpPr>
      <xdr:spPr>
        <a:xfrm>
          <a:off x="7001464" y="24760731"/>
          <a:ext cx="9392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61857</xdr:colOff>
      <xdr:row>100</xdr:row>
      <xdr:rowOff>213451</xdr:rowOff>
    </xdr:from>
    <xdr:to>
      <xdr:col>30</xdr:col>
      <xdr:colOff>97065</xdr:colOff>
      <xdr:row>100</xdr:row>
      <xdr:rowOff>234652</xdr:rowOff>
    </xdr:to>
    <xdr:cxnSp macro="">
      <xdr:nvCxnSpPr>
        <xdr:cNvPr id="79" name="直線コネクタ 78">
          <a:extLst>
            <a:ext uri="{FF2B5EF4-FFF2-40B4-BE49-F238E27FC236}">
              <a16:creationId xmlns:a16="http://schemas.microsoft.com/office/drawing/2014/main" id="{E7946901-A1F5-477C-9625-0592BE5B4600}"/>
            </a:ext>
          </a:extLst>
        </xdr:cNvPr>
        <xdr:cNvCxnSpPr/>
      </xdr:nvCxnSpPr>
      <xdr:spPr>
        <a:xfrm flipH="1">
          <a:off x="7001500" y="24801558"/>
          <a:ext cx="35208"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82141</xdr:colOff>
      <xdr:row>100</xdr:row>
      <xdr:rowOff>221124</xdr:rowOff>
    </xdr:from>
    <xdr:to>
      <xdr:col>30</xdr:col>
      <xdr:colOff>117349</xdr:colOff>
      <xdr:row>101</xdr:row>
      <xdr:rowOff>9643</xdr:rowOff>
    </xdr:to>
    <xdr:cxnSp macro="">
      <xdr:nvCxnSpPr>
        <xdr:cNvPr id="80" name="直線コネクタ 79">
          <a:extLst>
            <a:ext uri="{FF2B5EF4-FFF2-40B4-BE49-F238E27FC236}">
              <a16:creationId xmlns:a16="http://schemas.microsoft.com/office/drawing/2014/main" id="{A74D6FA6-5836-432D-ACFD-8C7A82CF2F3C}"/>
            </a:ext>
          </a:extLst>
        </xdr:cNvPr>
        <xdr:cNvCxnSpPr/>
      </xdr:nvCxnSpPr>
      <xdr:spPr>
        <a:xfrm flipH="1">
          <a:off x="7021784" y="24809231"/>
          <a:ext cx="35208" cy="3344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108</xdr:row>
      <xdr:rowOff>57150</xdr:rowOff>
    </xdr:from>
    <xdr:to>
      <xdr:col>32</xdr:col>
      <xdr:colOff>9525</xdr:colOff>
      <xdr:row>111</xdr:row>
      <xdr:rowOff>190499</xdr:rowOff>
    </xdr:to>
    <xdr:cxnSp macro="">
      <xdr:nvCxnSpPr>
        <xdr:cNvPr id="82" name="直線コネクタ 81">
          <a:extLst>
            <a:ext uri="{FF2B5EF4-FFF2-40B4-BE49-F238E27FC236}">
              <a16:creationId xmlns:a16="http://schemas.microsoft.com/office/drawing/2014/main" id="{BF7BD06F-0CDA-4DE1-92C1-0E4CE624D4B6}"/>
            </a:ext>
          </a:extLst>
        </xdr:cNvPr>
        <xdr:cNvCxnSpPr/>
      </xdr:nvCxnSpPr>
      <xdr:spPr>
        <a:xfrm flipH="1">
          <a:off x="5655469" y="26000869"/>
          <a:ext cx="1593056" cy="883443"/>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22</xdr:col>
      <xdr:colOff>16851</xdr:colOff>
      <xdr:row>114</xdr:row>
      <xdr:rowOff>55680</xdr:rowOff>
    </xdr:from>
    <xdr:to>
      <xdr:col>28</xdr:col>
      <xdr:colOff>78828</xdr:colOff>
      <xdr:row>114</xdr:row>
      <xdr:rowOff>55680</xdr:rowOff>
    </xdr:to>
    <xdr:cxnSp macro="">
      <xdr:nvCxnSpPr>
        <xdr:cNvPr id="84" name="直線コネクタ 83">
          <a:extLst>
            <a:ext uri="{FF2B5EF4-FFF2-40B4-BE49-F238E27FC236}">
              <a16:creationId xmlns:a16="http://schemas.microsoft.com/office/drawing/2014/main" id="{1ADA1056-77E8-4D19-87D6-044C09939898}"/>
            </a:ext>
          </a:extLst>
        </xdr:cNvPr>
        <xdr:cNvCxnSpPr/>
      </xdr:nvCxnSpPr>
      <xdr:spPr>
        <a:xfrm>
          <a:off x="5074954" y="27165801"/>
          <a:ext cx="1441460"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28</xdr:col>
      <xdr:colOff>64037</xdr:colOff>
      <xdr:row>100</xdr:row>
      <xdr:rowOff>178762</xdr:rowOff>
    </xdr:from>
    <xdr:to>
      <xdr:col>28</xdr:col>
      <xdr:colOff>64037</xdr:colOff>
      <xdr:row>114</xdr:row>
      <xdr:rowOff>59417</xdr:rowOff>
    </xdr:to>
    <xdr:cxnSp macro="">
      <xdr:nvCxnSpPr>
        <xdr:cNvPr id="85" name="直線コネクタ 84">
          <a:extLst>
            <a:ext uri="{FF2B5EF4-FFF2-40B4-BE49-F238E27FC236}">
              <a16:creationId xmlns:a16="http://schemas.microsoft.com/office/drawing/2014/main" id="{C534685E-E632-4C86-B9C0-0AE4556DF4DF}"/>
            </a:ext>
          </a:extLst>
        </xdr:cNvPr>
        <xdr:cNvCxnSpPr/>
      </xdr:nvCxnSpPr>
      <xdr:spPr>
        <a:xfrm>
          <a:off x="6541037" y="24766869"/>
          <a:ext cx="0" cy="3309655"/>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28</xdr:col>
      <xdr:colOff>74001</xdr:colOff>
      <xdr:row>103</xdr:row>
      <xdr:rowOff>77101</xdr:rowOff>
    </xdr:from>
    <xdr:to>
      <xdr:col>34</xdr:col>
      <xdr:colOff>197830</xdr:colOff>
      <xdr:row>103</xdr:row>
      <xdr:rowOff>77101</xdr:rowOff>
    </xdr:to>
    <xdr:cxnSp macro="">
      <xdr:nvCxnSpPr>
        <xdr:cNvPr id="88" name="直線コネクタ 87">
          <a:extLst>
            <a:ext uri="{FF2B5EF4-FFF2-40B4-BE49-F238E27FC236}">
              <a16:creationId xmlns:a16="http://schemas.microsoft.com/office/drawing/2014/main" id="{904EB81D-75F8-4EBE-83D2-39F26ABD3064}"/>
            </a:ext>
          </a:extLst>
        </xdr:cNvPr>
        <xdr:cNvCxnSpPr/>
      </xdr:nvCxnSpPr>
      <xdr:spPr>
        <a:xfrm>
          <a:off x="6551001" y="25399994"/>
          <a:ext cx="1511758"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28</xdr:col>
      <xdr:colOff>64476</xdr:colOff>
      <xdr:row>101</xdr:row>
      <xdr:rowOff>167316</xdr:rowOff>
    </xdr:from>
    <xdr:to>
      <xdr:col>35</xdr:col>
      <xdr:colOff>40948</xdr:colOff>
      <xdr:row>101</xdr:row>
      <xdr:rowOff>167316</xdr:rowOff>
    </xdr:to>
    <xdr:cxnSp macro="">
      <xdr:nvCxnSpPr>
        <xdr:cNvPr id="89" name="直線コネクタ 88">
          <a:extLst>
            <a:ext uri="{FF2B5EF4-FFF2-40B4-BE49-F238E27FC236}">
              <a16:creationId xmlns:a16="http://schemas.microsoft.com/office/drawing/2014/main" id="{285CFBB1-EA6B-44DD-8397-B1FB2257C631}"/>
            </a:ext>
          </a:extLst>
        </xdr:cNvPr>
        <xdr:cNvCxnSpPr/>
      </xdr:nvCxnSpPr>
      <xdr:spPr>
        <a:xfrm>
          <a:off x="6541476" y="25000352"/>
          <a:ext cx="1595722"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29</xdr:col>
      <xdr:colOff>135113</xdr:colOff>
      <xdr:row>103</xdr:row>
      <xdr:rowOff>74197</xdr:rowOff>
    </xdr:from>
    <xdr:to>
      <xdr:col>32</xdr:col>
      <xdr:colOff>11585</xdr:colOff>
      <xdr:row>108</xdr:row>
      <xdr:rowOff>65049</xdr:rowOff>
    </xdr:to>
    <xdr:cxnSp macro="">
      <xdr:nvCxnSpPr>
        <xdr:cNvPr id="95" name="直線コネクタ 94">
          <a:extLst>
            <a:ext uri="{FF2B5EF4-FFF2-40B4-BE49-F238E27FC236}">
              <a16:creationId xmlns:a16="http://schemas.microsoft.com/office/drawing/2014/main" id="{714EC1FD-ABAC-4227-80CD-516DFA5A7BD3}"/>
            </a:ext>
          </a:extLst>
        </xdr:cNvPr>
        <xdr:cNvCxnSpPr/>
      </xdr:nvCxnSpPr>
      <xdr:spPr>
        <a:xfrm flipH="1" flipV="1">
          <a:off x="6737564" y="24611526"/>
          <a:ext cx="559484" cy="1175669"/>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28</xdr:col>
      <xdr:colOff>74001</xdr:colOff>
      <xdr:row>108</xdr:row>
      <xdr:rowOff>61882</xdr:rowOff>
    </xdr:from>
    <xdr:to>
      <xdr:col>34</xdr:col>
      <xdr:colOff>153007</xdr:colOff>
      <xdr:row>108</xdr:row>
      <xdr:rowOff>61882</xdr:rowOff>
    </xdr:to>
    <xdr:cxnSp macro="">
      <xdr:nvCxnSpPr>
        <xdr:cNvPr id="97" name="直線コネクタ 96">
          <a:extLst>
            <a:ext uri="{FF2B5EF4-FFF2-40B4-BE49-F238E27FC236}">
              <a16:creationId xmlns:a16="http://schemas.microsoft.com/office/drawing/2014/main" id="{B030927D-C5E1-4723-81E5-FAF67E7A9410}"/>
            </a:ext>
          </a:extLst>
        </xdr:cNvPr>
        <xdr:cNvCxnSpPr/>
      </xdr:nvCxnSpPr>
      <xdr:spPr>
        <a:xfrm>
          <a:off x="6551001" y="26609418"/>
          <a:ext cx="1466935"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24</xdr:col>
      <xdr:colOff>226965</xdr:colOff>
      <xdr:row>101</xdr:row>
      <xdr:rowOff>88807</xdr:rowOff>
    </xdr:from>
    <xdr:to>
      <xdr:col>27</xdr:col>
      <xdr:colOff>95148</xdr:colOff>
      <xdr:row>101</xdr:row>
      <xdr:rowOff>88807</xdr:rowOff>
    </xdr:to>
    <xdr:cxnSp macro="">
      <xdr:nvCxnSpPr>
        <xdr:cNvPr id="113" name="直線コネクタ 112">
          <a:extLst>
            <a:ext uri="{FF2B5EF4-FFF2-40B4-BE49-F238E27FC236}">
              <a16:creationId xmlns:a16="http://schemas.microsoft.com/office/drawing/2014/main" id="{DCF16AA9-9C7F-4DEC-9C58-A811BC5F2FC9}"/>
            </a:ext>
          </a:extLst>
        </xdr:cNvPr>
        <xdr:cNvCxnSpPr/>
      </xdr:nvCxnSpPr>
      <xdr:spPr>
        <a:xfrm>
          <a:off x="5778679" y="24921843"/>
          <a:ext cx="56214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17415</xdr:colOff>
      <xdr:row>101</xdr:row>
      <xdr:rowOff>233893</xdr:rowOff>
    </xdr:from>
    <xdr:to>
      <xdr:col>27</xdr:col>
      <xdr:colOff>85122</xdr:colOff>
      <xdr:row>101</xdr:row>
      <xdr:rowOff>233893</xdr:rowOff>
    </xdr:to>
    <xdr:cxnSp macro="">
      <xdr:nvCxnSpPr>
        <xdr:cNvPr id="114" name="直線コネクタ 113">
          <a:extLst>
            <a:ext uri="{FF2B5EF4-FFF2-40B4-BE49-F238E27FC236}">
              <a16:creationId xmlns:a16="http://schemas.microsoft.com/office/drawing/2014/main" id="{78C733FD-1A4C-4550-8476-ABEDC490FB7E}"/>
            </a:ext>
          </a:extLst>
        </xdr:cNvPr>
        <xdr:cNvCxnSpPr/>
      </xdr:nvCxnSpPr>
      <xdr:spPr>
        <a:xfrm>
          <a:off x="5800451" y="25066929"/>
          <a:ext cx="5303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93143</xdr:colOff>
      <xdr:row>101</xdr:row>
      <xdr:rowOff>90901</xdr:rowOff>
    </xdr:from>
    <xdr:to>
      <xdr:col>27</xdr:col>
      <xdr:colOff>93143</xdr:colOff>
      <xdr:row>101</xdr:row>
      <xdr:rowOff>234278</xdr:rowOff>
    </xdr:to>
    <xdr:cxnSp macro="">
      <xdr:nvCxnSpPr>
        <xdr:cNvPr id="115" name="直線コネクタ 114">
          <a:extLst>
            <a:ext uri="{FF2B5EF4-FFF2-40B4-BE49-F238E27FC236}">
              <a16:creationId xmlns:a16="http://schemas.microsoft.com/office/drawing/2014/main" id="{9AAC3703-0790-4370-85AA-869D65AEA8A4}"/>
            </a:ext>
          </a:extLst>
        </xdr:cNvPr>
        <xdr:cNvCxnSpPr/>
      </xdr:nvCxnSpPr>
      <xdr:spPr>
        <a:xfrm>
          <a:off x="6338822" y="24923937"/>
          <a:ext cx="0" cy="14337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120357</xdr:colOff>
      <xdr:row>101</xdr:row>
      <xdr:rowOff>83498</xdr:rowOff>
    </xdr:from>
    <xdr:to>
      <xdr:col>27</xdr:col>
      <xdr:colOff>120357</xdr:colOff>
      <xdr:row>102</xdr:row>
      <xdr:rowOff>3136</xdr:rowOff>
    </xdr:to>
    <xdr:cxnSp macro="">
      <xdr:nvCxnSpPr>
        <xdr:cNvPr id="116" name="直線コネクタ 115">
          <a:extLst>
            <a:ext uri="{FF2B5EF4-FFF2-40B4-BE49-F238E27FC236}">
              <a16:creationId xmlns:a16="http://schemas.microsoft.com/office/drawing/2014/main" id="{487EFAEC-5DDC-4E80-96AF-5C917F803CCC}"/>
            </a:ext>
          </a:extLst>
        </xdr:cNvPr>
        <xdr:cNvCxnSpPr/>
      </xdr:nvCxnSpPr>
      <xdr:spPr>
        <a:xfrm>
          <a:off x="6366036" y="24916534"/>
          <a:ext cx="0" cy="16456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34632</xdr:colOff>
      <xdr:row>101</xdr:row>
      <xdr:rowOff>83498</xdr:rowOff>
    </xdr:from>
    <xdr:to>
      <xdr:col>28</xdr:col>
      <xdr:colOff>34632</xdr:colOff>
      <xdr:row>102</xdr:row>
      <xdr:rowOff>3136</xdr:rowOff>
    </xdr:to>
    <xdr:cxnSp macro="">
      <xdr:nvCxnSpPr>
        <xdr:cNvPr id="117" name="直線コネクタ 116">
          <a:extLst>
            <a:ext uri="{FF2B5EF4-FFF2-40B4-BE49-F238E27FC236}">
              <a16:creationId xmlns:a16="http://schemas.microsoft.com/office/drawing/2014/main" id="{DCC754A5-0DDF-4CE2-8F67-9429CC664F4D}"/>
            </a:ext>
          </a:extLst>
        </xdr:cNvPr>
        <xdr:cNvCxnSpPr/>
      </xdr:nvCxnSpPr>
      <xdr:spPr>
        <a:xfrm>
          <a:off x="6511632" y="24916534"/>
          <a:ext cx="0" cy="16456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119287</xdr:colOff>
      <xdr:row>101</xdr:row>
      <xdr:rowOff>169142</xdr:rowOff>
    </xdr:from>
    <xdr:to>
      <xdr:col>28</xdr:col>
      <xdr:colOff>30161</xdr:colOff>
      <xdr:row>101</xdr:row>
      <xdr:rowOff>169142</xdr:rowOff>
    </xdr:to>
    <xdr:cxnSp macro="">
      <xdr:nvCxnSpPr>
        <xdr:cNvPr id="118" name="直線コネクタ 117">
          <a:extLst>
            <a:ext uri="{FF2B5EF4-FFF2-40B4-BE49-F238E27FC236}">
              <a16:creationId xmlns:a16="http://schemas.microsoft.com/office/drawing/2014/main" id="{31F1DE07-88AF-4C6A-B3B8-9BF265B4E69E}"/>
            </a:ext>
          </a:extLst>
        </xdr:cNvPr>
        <xdr:cNvCxnSpPr/>
      </xdr:nvCxnSpPr>
      <xdr:spPr>
        <a:xfrm>
          <a:off x="6364966" y="25002178"/>
          <a:ext cx="14219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224547</xdr:colOff>
      <xdr:row>110</xdr:row>
      <xdr:rowOff>178960</xdr:rowOff>
    </xdr:from>
    <xdr:to>
      <xdr:col>28</xdr:col>
      <xdr:colOff>122827</xdr:colOff>
      <xdr:row>111</xdr:row>
      <xdr:rowOff>70518</xdr:rowOff>
    </xdr:to>
    <xdr:sp macro="" textlink="">
      <xdr:nvSpPr>
        <xdr:cNvPr id="119" name="楕円 118">
          <a:extLst>
            <a:ext uri="{FF2B5EF4-FFF2-40B4-BE49-F238E27FC236}">
              <a16:creationId xmlns:a16="http://schemas.microsoft.com/office/drawing/2014/main" id="{11196BB1-7E72-4DD6-A8D2-5D58F1986975}"/>
            </a:ext>
          </a:extLst>
        </xdr:cNvPr>
        <xdr:cNvSpPr/>
      </xdr:nvSpPr>
      <xdr:spPr>
        <a:xfrm>
          <a:off x="6470226" y="27216353"/>
          <a:ext cx="129601" cy="136486"/>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226965</xdr:colOff>
      <xdr:row>104</xdr:row>
      <xdr:rowOff>172642</xdr:rowOff>
    </xdr:from>
    <xdr:to>
      <xdr:col>27</xdr:col>
      <xdr:colOff>95148</xdr:colOff>
      <xdr:row>104</xdr:row>
      <xdr:rowOff>172642</xdr:rowOff>
    </xdr:to>
    <xdr:cxnSp macro="">
      <xdr:nvCxnSpPr>
        <xdr:cNvPr id="121" name="直線コネクタ 120">
          <a:extLst>
            <a:ext uri="{FF2B5EF4-FFF2-40B4-BE49-F238E27FC236}">
              <a16:creationId xmlns:a16="http://schemas.microsoft.com/office/drawing/2014/main" id="{9670324E-9E92-44E8-ABA9-84C6B2230AC1}"/>
            </a:ext>
          </a:extLst>
        </xdr:cNvPr>
        <xdr:cNvCxnSpPr/>
      </xdr:nvCxnSpPr>
      <xdr:spPr>
        <a:xfrm>
          <a:off x="5778679" y="25740463"/>
          <a:ext cx="56214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17415</xdr:colOff>
      <xdr:row>105</xdr:row>
      <xdr:rowOff>58482</xdr:rowOff>
    </xdr:from>
    <xdr:to>
      <xdr:col>27</xdr:col>
      <xdr:colOff>85122</xdr:colOff>
      <xdr:row>105</xdr:row>
      <xdr:rowOff>58482</xdr:rowOff>
    </xdr:to>
    <xdr:cxnSp macro="">
      <xdr:nvCxnSpPr>
        <xdr:cNvPr id="122" name="直線コネクタ 121">
          <a:extLst>
            <a:ext uri="{FF2B5EF4-FFF2-40B4-BE49-F238E27FC236}">
              <a16:creationId xmlns:a16="http://schemas.microsoft.com/office/drawing/2014/main" id="{0F6FCB20-4A9E-4E4E-8D6C-34E09BDE6818}"/>
            </a:ext>
          </a:extLst>
        </xdr:cNvPr>
        <xdr:cNvCxnSpPr/>
      </xdr:nvCxnSpPr>
      <xdr:spPr>
        <a:xfrm>
          <a:off x="5800451" y="25871232"/>
          <a:ext cx="5303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93143</xdr:colOff>
      <xdr:row>104</xdr:row>
      <xdr:rowOff>177538</xdr:rowOff>
    </xdr:from>
    <xdr:to>
      <xdr:col>27</xdr:col>
      <xdr:colOff>93143</xdr:colOff>
      <xdr:row>105</xdr:row>
      <xdr:rowOff>58867</xdr:rowOff>
    </xdr:to>
    <xdr:cxnSp macro="">
      <xdr:nvCxnSpPr>
        <xdr:cNvPr id="123" name="直線コネクタ 122">
          <a:extLst>
            <a:ext uri="{FF2B5EF4-FFF2-40B4-BE49-F238E27FC236}">
              <a16:creationId xmlns:a16="http://schemas.microsoft.com/office/drawing/2014/main" id="{C0A1EE6E-88CE-46D3-AC57-7E19A86AA675}"/>
            </a:ext>
          </a:extLst>
        </xdr:cNvPr>
        <xdr:cNvCxnSpPr/>
      </xdr:nvCxnSpPr>
      <xdr:spPr>
        <a:xfrm>
          <a:off x="6338822" y="25745359"/>
          <a:ext cx="0" cy="12625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120357</xdr:colOff>
      <xdr:row>104</xdr:row>
      <xdr:rowOff>167333</xdr:rowOff>
    </xdr:from>
    <xdr:to>
      <xdr:col>27</xdr:col>
      <xdr:colOff>120357</xdr:colOff>
      <xdr:row>105</xdr:row>
      <xdr:rowOff>72653</xdr:rowOff>
    </xdr:to>
    <xdr:cxnSp macro="">
      <xdr:nvCxnSpPr>
        <xdr:cNvPr id="124" name="直線コネクタ 123">
          <a:extLst>
            <a:ext uri="{FF2B5EF4-FFF2-40B4-BE49-F238E27FC236}">
              <a16:creationId xmlns:a16="http://schemas.microsoft.com/office/drawing/2014/main" id="{E1345C6E-6FD7-4526-80C7-CE3890C743B3}"/>
            </a:ext>
          </a:extLst>
        </xdr:cNvPr>
        <xdr:cNvCxnSpPr/>
      </xdr:nvCxnSpPr>
      <xdr:spPr>
        <a:xfrm>
          <a:off x="6366036" y="25735154"/>
          <a:ext cx="0" cy="1502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34632</xdr:colOff>
      <xdr:row>104</xdr:row>
      <xdr:rowOff>167333</xdr:rowOff>
    </xdr:from>
    <xdr:to>
      <xdr:col>28</xdr:col>
      <xdr:colOff>34632</xdr:colOff>
      <xdr:row>105</xdr:row>
      <xdr:rowOff>72653</xdr:rowOff>
    </xdr:to>
    <xdr:cxnSp macro="">
      <xdr:nvCxnSpPr>
        <xdr:cNvPr id="125" name="直線コネクタ 124">
          <a:extLst>
            <a:ext uri="{FF2B5EF4-FFF2-40B4-BE49-F238E27FC236}">
              <a16:creationId xmlns:a16="http://schemas.microsoft.com/office/drawing/2014/main" id="{B135C06E-368B-4E0F-8A5A-A42160204602}"/>
            </a:ext>
          </a:extLst>
        </xdr:cNvPr>
        <xdr:cNvCxnSpPr/>
      </xdr:nvCxnSpPr>
      <xdr:spPr>
        <a:xfrm>
          <a:off x="6511632" y="25735154"/>
          <a:ext cx="0" cy="1502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119287</xdr:colOff>
      <xdr:row>104</xdr:row>
      <xdr:rowOff>237164</xdr:rowOff>
    </xdr:from>
    <xdr:to>
      <xdr:col>28</xdr:col>
      <xdr:colOff>30161</xdr:colOff>
      <xdr:row>104</xdr:row>
      <xdr:rowOff>237164</xdr:rowOff>
    </xdr:to>
    <xdr:cxnSp macro="">
      <xdr:nvCxnSpPr>
        <xdr:cNvPr id="126" name="直線コネクタ 125">
          <a:extLst>
            <a:ext uri="{FF2B5EF4-FFF2-40B4-BE49-F238E27FC236}">
              <a16:creationId xmlns:a16="http://schemas.microsoft.com/office/drawing/2014/main" id="{B1EFB1C4-4A7E-4247-88DD-3D5F441B6C55}"/>
            </a:ext>
          </a:extLst>
        </xdr:cNvPr>
        <xdr:cNvCxnSpPr/>
      </xdr:nvCxnSpPr>
      <xdr:spPr>
        <a:xfrm>
          <a:off x="6364966" y="25804985"/>
          <a:ext cx="14219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139211</xdr:colOff>
      <xdr:row>111</xdr:row>
      <xdr:rowOff>189475</xdr:rowOff>
    </xdr:from>
    <xdr:to>
      <xdr:col>34</xdr:col>
      <xdr:colOff>178780</xdr:colOff>
      <xdr:row>111</xdr:row>
      <xdr:rowOff>189475</xdr:rowOff>
    </xdr:to>
    <xdr:cxnSp macro="">
      <xdr:nvCxnSpPr>
        <xdr:cNvPr id="127" name="直線コネクタ 126">
          <a:extLst>
            <a:ext uri="{FF2B5EF4-FFF2-40B4-BE49-F238E27FC236}">
              <a16:creationId xmlns:a16="http://schemas.microsoft.com/office/drawing/2014/main" id="{1DB01818-8A0B-47DA-8B49-E7597261AB27}"/>
            </a:ext>
          </a:extLst>
        </xdr:cNvPr>
        <xdr:cNvCxnSpPr/>
      </xdr:nvCxnSpPr>
      <xdr:spPr>
        <a:xfrm>
          <a:off x="5342242" y="26883288"/>
          <a:ext cx="2527976"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22</xdr:col>
      <xdr:colOff>34629</xdr:colOff>
      <xdr:row>111</xdr:row>
      <xdr:rowOff>184546</xdr:rowOff>
    </xdr:from>
    <xdr:to>
      <xdr:col>24</xdr:col>
      <xdr:colOff>53578</xdr:colOff>
      <xdr:row>114</xdr:row>
      <xdr:rowOff>50221</xdr:rowOff>
    </xdr:to>
    <xdr:cxnSp macro="">
      <xdr:nvCxnSpPr>
        <xdr:cNvPr id="128" name="直線コネクタ 127">
          <a:extLst>
            <a:ext uri="{FF2B5EF4-FFF2-40B4-BE49-F238E27FC236}">
              <a16:creationId xmlns:a16="http://schemas.microsoft.com/office/drawing/2014/main" id="{5EF78C82-C5A4-442A-9CC2-A8396FA83CC0}"/>
            </a:ext>
          </a:extLst>
        </xdr:cNvPr>
        <xdr:cNvCxnSpPr/>
      </xdr:nvCxnSpPr>
      <xdr:spPr>
        <a:xfrm flipH="1">
          <a:off x="5011442" y="26878359"/>
          <a:ext cx="471386" cy="597909"/>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136382</xdr:colOff>
      <xdr:row>99</xdr:row>
      <xdr:rowOff>216302</xdr:rowOff>
    </xdr:from>
    <xdr:to>
      <xdr:col>29</xdr:col>
      <xdr:colOff>136382</xdr:colOff>
      <xdr:row>103</xdr:row>
      <xdr:rowOff>98535</xdr:rowOff>
    </xdr:to>
    <xdr:cxnSp macro="">
      <xdr:nvCxnSpPr>
        <xdr:cNvPr id="129" name="直線コネクタ 128">
          <a:extLst>
            <a:ext uri="{FF2B5EF4-FFF2-40B4-BE49-F238E27FC236}">
              <a16:creationId xmlns:a16="http://schemas.microsoft.com/office/drawing/2014/main" id="{97665A28-DFF1-472B-A5DE-23C5E0FEEB0C}"/>
            </a:ext>
          </a:extLst>
        </xdr:cNvPr>
        <xdr:cNvCxnSpPr/>
      </xdr:nvCxnSpPr>
      <xdr:spPr>
        <a:xfrm>
          <a:off x="6803882" y="23779181"/>
          <a:ext cx="0" cy="828164"/>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28</xdr:col>
      <xdr:colOff>78483</xdr:colOff>
      <xdr:row>99</xdr:row>
      <xdr:rowOff>214329</xdr:rowOff>
    </xdr:from>
    <xdr:to>
      <xdr:col>29</xdr:col>
      <xdr:colOff>131151</xdr:colOff>
      <xdr:row>99</xdr:row>
      <xdr:rowOff>214329</xdr:rowOff>
    </xdr:to>
    <xdr:cxnSp macro="">
      <xdr:nvCxnSpPr>
        <xdr:cNvPr id="130" name="直線コネクタ 129">
          <a:extLst>
            <a:ext uri="{FF2B5EF4-FFF2-40B4-BE49-F238E27FC236}">
              <a16:creationId xmlns:a16="http://schemas.microsoft.com/office/drawing/2014/main" id="{72B710E6-B026-4B4D-B0D9-725040EEEFC8}"/>
            </a:ext>
          </a:extLst>
        </xdr:cNvPr>
        <xdr:cNvCxnSpPr/>
      </xdr:nvCxnSpPr>
      <xdr:spPr>
        <a:xfrm>
          <a:off x="6555483" y="24557508"/>
          <a:ext cx="283989"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editAs="absolute">
    <xdr:from>
      <xdr:col>31</xdr:col>
      <xdr:colOff>10679</xdr:colOff>
      <xdr:row>100</xdr:row>
      <xdr:rowOff>130217</xdr:rowOff>
    </xdr:from>
    <xdr:to>
      <xdr:col>35</xdr:col>
      <xdr:colOff>348</xdr:colOff>
      <xdr:row>101</xdr:row>
      <xdr:rowOff>146130</xdr:rowOff>
    </xdr:to>
    <xdr:sp macro="" textlink="">
      <xdr:nvSpPr>
        <xdr:cNvPr id="131" name="テキスト ボックス 130">
          <a:extLst>
            <a:ext uri="{FF2B5EF4-FFF2-40B4-BE49-F238E27FC236}">
              <a16:creationId xmlns:a16="http://schemas.microsoft.com/office/drawing/2014/main" id="{C9F01E7E-11A2-49EA-AEF0-2E7C65971818}"/>
            </a:ext>
          </a:extLst>
        </xdr:cNvPr>
        <xdr:cNvSpPr txBox="1"/>
      </xdr:nvSpPr>
      <xdr:spPr>
        <a:xfrm>
          <a:off x="7181643" y="24718324"/>
          <a:ext cx="909852" cy="279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 </a:t>
          </a:r>
          <a:r>
            <a:rPr kumimoji="1" lang="en-US" altLang="ja-JP" sz="1100"/>
            <a:t>1.00m</a:t>
          </a:r>
          <a:endParaRPr kumimoji="1" lang="ja-JP" altLang="en-US" sz="1100"/>
        </a:p>
      </xdr:txBody>
    </xdr:sp>
    <xdr:clientData/>
  </xdr:twoCellAnchor>
  <xdr:twoCellAnchor editAs="absolute">
    <xdr:from>
      <xdr:col>31</xdr:col>
      <xdr:colOff>16473</xdr:colOff>
      <xdr:row>101</xdr:row>
      <xdr:rowOff>189034</xdr:rowOff>
    </xdr:from>
    <xdr:to>
      <xdr:col>34</xdr:col>
      <xdr:colOff>220612</xdr:colOff>
      <xdr:row>102</xdr:row>
      <xdr:rowOff>205360</xdr:rowOff>
    </xdr:to>
    <xdr:sp macro="" textlink="">
      <xdr:nvSpPr>
        <xdr:cNvPr id="133" name="テキスト ボックス 132">
          <a:extLst>
            <a:ext uri="{FF2B5EF4-FFF2-40B4-BE49-F238E27FC236}">
              <a16:creationId xmlns:a16="http://schemas.microsoft.com/office/drawing/2014/main" id="{A5703B9B-8095-4F98-B439-12ADCD7D147D}"/>
            </a:ext>
          </a:extLst>
        </xdr:cNvPr>
        <xdr:cNvSpPr txBox="1"/>
      </xdr:nvSpPr>
      <xdr:spPr>
        <a:xfrm>
          <a:off x="7187437" y="25041120"/>
          <a:ext cx="898104" cy="261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 </a:t>
          </a:r>
          <a:r>
            <a:rPr kumimoji="1" lang="en-US" altLang="ja-JP" sz="1100"/>
            <a:t>1.50m</a:t>
          </a:r>
          <a:endParaRPr kumimoji="1" lang="ja-JP" altLang="en-US" sz="1100"/>
        </a:p>
      </xdr:txBody>
    </xdr:sp>
    <xdr:clientData/>
  </xdr:twoCellAnchor>
  <xdr:twoCellAnchor editAs="absolute">
    <xdr:from>
      <xdr:col>31</xdr:col>
      <xdr:colOff>21659</xdr:colOff>
      <xdr:row>104</xdr:row>
      <xdr:rowOff>24953</xdr:rowOff>
    </xdr:from>
    <xdr:to>
      <xdr:col>34</xdr:col>
      <xdr:colOff>210586</xdr:colOff>
      <xdr:row>105</xdr:row>
      <xdr:rowOff>21717</xdr:rowOff>
    </xdr:to>
    <xdr:sp macro="" textlink="">
      <xdr:nvSpPr>
        <xdr:cNvPr id="138" name="テキスト ボックス 137">
          <a:extLst>
            <a:ext uri="{FF2B5EF4-FFF2-40B4-BE49-F238E27FC236}">
              <a16:creationId xmlns:a16="http://schemas.microsoft.com/office/drawing/2014/main" id="{1711CA99-BE72-4EEB-BF46-BF2D0BD6A830}"/>
            </a:ext>
          </a:extLst>
        </xdr:cNvPr>
        <xdr:cNvSpPr txBox="1"/>
      </xdr:nvSpPr>
      <xdr:spPr>
        <a:xfrm>
          <a:off x="7192623" y="25649924"/>
          <a:ext cx="882892" cy="241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 </a:t>
          </a:r>
          <a:r>
            <a:rPr kumimoji="1" lang="en-US" altLang="ja-JP" sz="1100"/>
            <a:t>4.50m</a:t>
          </a:r>
          <a:endParaRPr kumimoji="1" lang="ja-JP" altLang="en-US" sz="1100"/>
        </a:p>
      </xdr:txBody>
    </xdr:sp>
    <xdr:clientData/>
  </xdr:twoCellAnchor>
  <xdr:twoCellAnchor editAs="absolute">
    <xdr:from>
      <xdr:col>31</xdr:col>
      <xdr:colOff>30388</xdr:colOff>
      <xdr:row>109</xdr:row>
      <xdr:rowOff>65416</xdr:rowOff>
    </xdr:from>
    <xdr:to>
      <xdr:col>35</xdr:col>
      <xdr:colOff>8400</xdr:colOff>
      <xdr:row>110</xdr:row>
      <xdr:rowOff>73408</xdr:rowOff>
    </xdr:to>
    <xdr:sp macro="" textlink="">
      <xdr:nvSpPr>
        <xdr:cNvPr id="139" name="テキスト ボックス 138">
          <a:extLst>
            <a:ext uri="{FF2B5EF4-FFF2-40B4-BE49-F238E27FC236}">
              <a16:creationId xmlns:a16="http://schemas.microsoft.com/office/drawing/2014/main" id="{9E287027-81B7-4F84-AB19-598451820BFB}"/>
            </a:ext>
          </a:extLst>
        </xdr:cNvPr>
        <xdr:cNvSpPr txBox="1"/>
      </xdr:nvSpPr>
      <xdr:spPr>
        <a:xfrm>
          <a:off x="7201352" y="26972180"/>
          <a:ext cx="903298" cy="2707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 </a:t>
          </a:r>
          <a:r>
            <a:rPr kumimoji="1" lang="en-US" altLang="ja-JP" sz="1100"/>
            <a:t>3.00m</a:t>
          </a:r>
          <a:endParaRPr kumimoji="1" lang="ja-JP" altLang="en-US" sz="1100"/>
        </a:p>
      </xdr:txBody>
    </xdr:sp>
    <xdr:clientData/>
  </xdr:twoCellAnchor>
  <xdr:twoCellAnchor editAs="absolute">
    <xdr:from>
      <xdr:col>31</xdr:col>
      <xdr:colOff>36342</xdr:colOff>
      <xdr:row>111</xdr:row>
      <xdr:rowOff>231219</xdr:rowOff>
    </xdr:from>
    <xdr:to>
      <xdr:col>35</xdr:col>
      <xdr:colOff>12769</xdr:colOff>
      <xdr:row>112</xdr:row>
      <xdr:rowOff>228497</xdr:rowOff>
    </xdr:to>
    <xdr:sp macro="" textlink="">
      <xdr:nvSpPr>
        <xdr:cNvPr id="140" name="テキスト ボックス 139">
          <a:extLst>
            <a:ext uri="{FF2B5EF4-FFF2-40B4-BE49-F238E27FC236}">
              <a16:creationId xmlns:a16="http://schemas.microsoft.com/office/drawing/2014/main" id="{E17FACF4-8F6C-4D17-BFFB-B98161E31A58}"/>
            </a:ext>
          </a:extLst>
        </xdr:cNvPr>
        <xdr:cNvSpPr txBox="1"/>
      </xdr:nvSpPr>
      <xdr:spPr>
        <a:xfrm>
          <a:off x="7207306" y="27652504"/>
          <a:ext cx="901713" cy="261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５層 </a:t>
          </a:r>
          <a:r>
            <a:rPr kumimoji="1" lang="en-US" altLang="ja-JP" sz="1100"/>
            <a:t>1.06m</a:t>
          </a:r>
          <a:endParaRPr kumimoji="1" lang="ja-JP" altLang="en-US" sz="1100"/>
        </a:p>
      </xdr:txBody>
    </xdr:sp>
    <xdr:clientData/>
  </xdr:twoCellAnchor>
  <xdr:twoCellAnchor>
    <xdr:from>
      <xdr:col>34</xdr:col>
      <xdr:colOff>110090</xdr:colOff>
      <xdr:row>100</xdr:row>
      <xdr:rowOff>190680</xdr:rowOff>
    </xdr:from>
    <xdr:to>
      <xdr:col>34</xdr:col>
      <xdr:colOff>110090</xdr:colOff>
      <xdr:row>101</xdr:row>
      <xdr:rowOff>179913</xdr:rowOff>
    </xdr:to>
    <xdr:cxnSp macro="">
      <xdr:nvCxnSpPr>
        <xdr:cNvPr id="141" name="直線矢印コネクタ 140">
          <a:extLst>
            <a:ext uri="{FF2B5EF4-FFF2-40B4-BE49-F238E27FC236}">
              <a16:creationId xmlns:a16="http://schemas.microsoft.com/office/drawing/2014/main" id="{BCC4C011-430D-4C2D-A1FC-6FD633438F3F}"/>
            </a:ext>
          </a:extLst>
        </xdr:cNvPr>
        <xdr:cNvCxnSpPr/>
      </xdr:nvCxnSpPr>
      <xdr:spPr>
        <a:xfrm>
          <a:off x="7975019" y="24778787"/>
          <a:ext cx="0" cy="234162"/>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110090</xdr:colOff>
      <xdr:row>101</xdr:row>
      <xdr:rowOff>198963</xdr:rowOff>
    </xdr:from>
    <xdr:to>
      <xdr:col>34</xdr:col>
      <xdr:colOff>110090</xdr:colOff>
      <xdr:row>103</xdr:row>
      <xdr:rowOff>72477</xdr:rowOff>
    </xdr:to>
    <xdr:cxnSp macro="">
      <xdr:nvCxnSpPr>
        <xdr:cNvPr id="142" name="直線矢印コネクタ 141">
          <a:extLst>
            <a:ext uri="{FF2B5EF4-FFF2-40B4-BE49-F238E27FC236}">
              <a16:creationId xmlns:a16="http://schemas.microsoft.com/office/drawing/2014/main" id="{3F39D4F2-EEBD-4302-8C46-85E862B5C4E6}"/>
            </a:ext>
          </a:extLst>
        </xdr:cNvPr>
        <xdr:cNvCxnSpPr/>
      </xdr:nvCxnSpPr>
      <xdr:spPr>
        <a:xfrm>
          <a:off x="7975019" y="25031999"/>
          <a:ext cx="0" cy="36337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110090</xdr:colOff>
      <xdr:row>103</xdr:row>
      <xdr:rowOff>158792</xdr:rowOff>
    </xdr:from>
    <xdr:to>
      <xdr:col>34</xdr:col>
      <xdr:colOff>110090</xdr:colOff>
      <xdr:row>108</xdr:row>
      <xdr:rowOff>59231</xdr:rowOff>
    </xdr:to>
    <xdr:cxnSp macro="">
      <xdr:nvCxnSpPr>
        <xdr:cNvPr id="143" name="直線矢印コネクタ 142">
          <a:extLst>
            <a:ext uri="{FF2B5EF4-FFF2-40B4-BE49-F238E27FC236}">
              <a16:creationId xmlns:a16="http://schemas.microsoft.com/office/drawing/2014/main" id="{9689115E-BCA7-4BFC-9A98-BE3A5B7A90AF}"/>
            </a:ext>
          </a:extLst>
        </xdr:cNvPr>
        <xdr:cNvCxnSpPr/>
      </xdr:nvCxnSpPr>
      <xdr:spPr>
        <a:xfrm>
          <a:off x="7975019" y="25481685"/>
          <a:ext cx="0" cy="1125082"/>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110090</xdr:colOff>
      <xdr:row>108</xdr:row>
      <xdr:rowOff>78452</xdr:rowOff>
    </xdr:from>
    <xdr:to>
      <xdr:col>34</xdr:col>
      <xdr:colOff>110090</xdr:colOff>
      <xdr:row>111</xdr:row>
      <xdr:rowOff>157772</xdr:rowOff>
    </xdr:to>
    <xdr:cxnSp macro="">
      <xdr:nvCxnSpPr>
        <xdr:cNvPr id="144" name="直線矢印コネクタ 143">
          <a:extLst>
            <a:ext uri="{FF2B5EF4-FFF2-40B4-BE49-F238E27FC236}">
              <a16:creationId xmlns:a16="http://schemas.microsoft.com/office/drawing/2014/main" id="{B398E3E8-1DD4-4E25-B8BE-CAAF9E88F38A}"/>
            </a:ext>
          </a:extLst>
        </xdr:cNvPr>
        <xdr:cNvCxnSpPr/>
      </xdr:nvCxnSpPr>
      <xdr:spPr>
        <a:xfrm>
          <a:off x="7975019" y="26625988"/>
          <a:ext cx="0" cy="81410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21</xdr:col>
      <xdr:colOff>53274</xdr:colOff>
      <xdr:row>100</xdr:row>
      <xdr:rowOff>85601</xdr:rowOff>
    </xdr:from>
    <xdr:to>
      <xdr:col>23</xdr:col>
      <xdr:colOff>161072</xdr:colOff>
      <xdr:row>101</xdr:row>
      <xdr:rowOff>111039</xdr:rowOff>
    </xdr:to>
    <xdr:sp macro="" textlink="">
      <xdr:nvSpPr>
        <xdr:cNvPr id="145" name="テキスト ボックス 144">
          <a:extLst>
            <a:ext uri="{FF2B5EF4-FFF2-40B4-BE49-F238E27FC236}">
              <a16:creationId xmlns:a16="http://schemas.microsoft.com/office/drawing/2014/main" id="{7464DFFA-4449-4C47-A58D-A4DE12B06CF5}"/>
            </a:ext>
          </a:extLst>
        </xdr:cNvPr>
        <xdr:cNvSpPr txBox="1"/>
      </xdr:nvSpPr>
      <xdr:spPr>
        <a:xfrm>
          <a:off x="4911024" y="24673708"/>
          <a:ext cx="570441" cy="289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1.00m</a:t>
          </a:r>
          <a:endParaRPr kumimoji="1" lang="ja-JP" altLang="en-US" sz="1100"/>
        </a:p>
      </xdr:txBody>
    </xdr:sp>
    <xdr:clientData/>
  </xdr:twoCellAnchor>
  <xdr:twoCellAnchor>
    <xdr:from>
      <xdr:col>23</xdr:col>
      <xdr:colOff>111898</xdr:colOff>
      <xdr:row>100</xdr:row>
      <xdr:rowOff>155589</xdr:rowOff>
    </xdr:from>
    <xdr:to>
      <xdr:col>23</xdr:col>
      <xdr:colOff>111898</xdr:colOff>
      <xdr:row>101</xdr:row>
      <xdr:rowOff>154347</xdr:rowOff>
    </xdr:to>
    <xdr:cxnSp macro="">
      <xdr:nvCxnSpPr>
        <xdr:cNvPr id="146" name="直線矢印コネクタ 145">
          <a:extLst>
            <a:ext uri="{FF2B5EF4-FFF2-40B4-BE49-F238E27FC236}">
              <a16:creationId xmlns:a16="http://schemas.microsoft.com/office/drawing/2014/main" id="{F1DDB124-B39A-45E7-ACBC-F122F3EA9996}"/>
            </a:ext>
          </a:extLst>
        </xdr:cNvPr>
        <xdr:cNvCxnSpPr/>
      </xdr:nvCxnSpPr>
      <xdr:spPr>
        <a:xfrm>
          <a:off x="5432291" y="24743696"/>
          <a:ext cx="0" cy="243687"/>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111898</xdr:colOff>
      <xdr:row>101</xdr:row>
      <xdr:rowOff>163872</xdr:rowOff>
    </xdr:from>
    <xdr:to>
      <xdr:col>23</xdr:col>
      <xdr:colOff>111898</xdr:colOff>
      <xdr:row>104</xdr:row>
      <xdr:rowOff>222871</xdr:rowOff>
    </xdr:to>
    <xdr:cxnSp macro="">
      <xdr:nvCxnSpPr>
        <xdr:cNvPr id="154" name="直線矢印コネクタ 153">
          <a:extLst>
            <a:ext uri="{FF2B5EF4-FFF2-40B4-BE49-F238E27FC236}">
              <a16:creationId xmlns:a16="http://schemas.microsoft.com/office/drawing/2014/main" id="{50E2BA5D-E110-443A-9904-811A05A7A14A}"/>
            </a:ext>
          </a:extLst>
        </xdr:cNvPr>
        <xdr:cNvCxnSpPr/>
      </xdr:nvCxnSpPr>
      <xdr:spPr>
        <a:xfrm>
          <a:off x="5432291" y="24996908"/>
          <a:ext cx="0" cy="793784"/>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21</xdr:col>
      <xdr:colOff>94946</xdr:colOff>
      <xdr:row>102</xdr:row>
      <xdr:rowOff>205001</xdr:rowOff>
    </xdr:from>
    <xdr:to>
      <xdr:col>23</xdr:col>
      <xdr:colOff>202744</xdr:colOff>
      <xdr:row>103</xdr:row>
      <xdr:rowOff>202278</xdr:rowOff>
    </xdr:to>
    <xdr:sp macro="" textlink="">
      <xdr:nvSpPr>
        <xdr:cNvPr id="156" name="テキスト ボックス 155">
          <a:extLst>
            <a:ext uri="{FF2B5EF4-FFF2-40B4-BE49-F238E27FC236}">
              <a16:creationId xmlns:a16="http://schemas.microsoft.com/office/drawing/2014/main" id="{7EAC9211-D094-48DB-8081-A93256430A97}"/>
            </a:ext>
          </a:extLst>
        </xdr:cNvPr>
        <xdr:cNvSpPr txBox="1"/>
      </xdr:nvSpPr>
      <xdr:spPr>
        <a:xfrm>
          <a:off x="4952696" y="25302015"/>
          <a:ext cx="570441" cy="261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3.00m</a:t>
          </a:r>
          <a:endParaRPr kumimoji="1" lang="ja-JP" altLang="en-US" sz="1100"/>
        </a:p>
      </xdr:txBody>
    </xdr:sp>
    <xdr:clientData/>
  </xdr:twoCellAnchor>
  <xdr:twoCellAnchor>
    <xdr:from>
      <xdr:col>23</xdr:col>
      <xdr:colOff>116223</xdr:colOff>
      <xdr:row>108</xdr:row>
      <xdr:rowOff>47325</xdr:rowOff>
    </xdr:from>
    <xdr:to>
      <xdr:col>23</xdr:col>
      <xdr:colOff>116223</xdr:colOff>
      <xdr:row>111</xdr:row>
      <xdr:rowOff>47410</xdr:rowOff>
    </xdr:to>
    <xdr:cxnSp macro="">
      <xdr:nvCxnSpPr>
        <xdr:cNvPr id="157" name="直線矢印コネクタ 156">
          <a:extLst>
            <a:ext uri="{FF2B5EF4-FFF2-40B4-BE49-F238E27FC236}">
              <a16:creationId xmlns:a16="http://schemas.microsoft.com/office/drawing/2014/main" id="{F8F8C7CD-01EC-4CE0-8A39-FB6590C5449F}"/>
            </a:ext>
          </a:extLst>
        </xdr:cNvPr>
        <xdr:cNvCxnSpPr/>
      </xdr:nvCxnSpPr>
      <xdr:spPr>
        <a:xfrm>
          <a:off x="5436616" y="26594861"/>
          <a:ext cx="0" cy="73487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21</xdr:col>
      <xdr:colOff>94946</xdr:colOff>
      <xdr:row>105</xdr:row>
      <xdr:rowOff>244489</xdr:rowOff>
    </xdr:from>
    <xdr:to>
      <xdr:col>23</xdr:col>
      <xdr:colOff>202744</xdr:colOff>
      <xdr:row>106</xdr:row>
      <xdr:rowOff>240127</xdr:rowOff>
    </xdr:to>
    <xdr:sp macro="" textlink="">
      <xdr:nvSpPr>
        <xdr:cNvPr id="158" name="テキスト ボックス 157">
          <a:extLst>
            <a:ext uri="{FF2B5EF4-FFF2-40B4-BE49-F238E27FC236}">
              <a16:creationId xmlns:a16="http://schemas.microsoft.com/office/drawing/2014/main" id="{FBED4C07-9FD5-4DC7-91FB-7B1351B9FE04}"/>
            </a:ext>
          </a:extLst>
        </xdr:cNvPr>
        <xdr:cNvSpPr txBox="1"/>
      </xdr:nvSpPr>
      <xdr:spPr>
        <a:xfrm>
          <a:off x="4952696" y="26121193"/>
          <a:ext cx="570441" cy="259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3.00m</a:t>
          </a:r>
          <a:endParaRPr kumimoji="1" lang="ja-JP" altLang="en-US" sz="1100"/>
        </a:p>
      </xdr:txBody>
    </xdr:sp>
    <xdr:clientData/>
  </xdr:twoCellAnchor>
  <xdr:twoCellAnchor editAs="absolute">
    <xdr:from>
      <xdr:col>21</xdr:col>
      <xdr:colOff>94946</xdr:colOff>
      <xdr:row>108</xdr:row>
      <xdr:rowOff>128800</xdr:rowOff>
    </xdr:from>
    <xdr:to>
      <xdr:col>23</xdr:col>
      <xdr:colOff>202744</xdr:colOff>
      <xdr:row>109</xdr:row>
      <xdr:rowOff>126078</xdr:rowOff>
    </xdr:to>
    <xdr:sp macro="" textlink="">
      <xdr:nvSpPr>
        <xdr:cNvPr id="159" name="テキスト ボックス 158">
          <a:extLst>
            <a:ext uri="{FF2B5EF4-FFF2-40B4-BE49-F238E27FC236}">
              <a16:creationId xmlns:a16="http://schemas.microsoft.com/office/drawing/2014/main" id="{9582DFFC-FF46-4D91-9D1A-3CE73FAB754A}"/>
            </a:ext>
          </a:extLst>
        </xdr:cNvPr>
        <xdr:cNvSpPr txBox="1"/>
      </xdr:nvSpPr>
      <xdr:spPr>
        <a:xfrm>
          <a:off x="4952696" y="26771586"/>
          <a:ext cx="570441" cy="261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2.78m</a:t>
          </a:r>
          <a:endParaRPr kumimoji="1" lang="ja-JP" altLang="en-US" sz="1100"/>
        </a:p>
      </xdr:txBody>
    </xdr:sp>
    <xdr:clientData/>
  </xdr:twoCellAnchor>
  <xdr:twoCellAnchor>
    <xdr:from>
      <xdr:col>23</xdr:col>
      <xdr:colOff>111898</xdr:colOff>
      <xdr:row>104</xdr:row>
      <xdr:rowOff>229043</xdr:rowOff>
    </xdr:from>
    <xdr:to>
      <xdr:col>23</xdr:col>
      <xdr:colOff>111898</xdr:colOff>
      <xdr:row>108</xdr:row>
      <xdr:rowOff>47411</xdr:rowOff>
    </xdr:to>
    <xdr:cxnSp macro="">
      <xdr:nvCxnSpPr>
        <xdr:cNvPr id="161" name="直線矢印コネクタ 160">
          <a:extLst>
            <a:ext uri="{FF2B5EF4-FFF2-40B4-BE49-F238E27FC236}">
              <a16:creationId xmlns:a16="http://schemas.microsoft.com/office/drawing/2014/main" id="{6068D6EB-DBD9-440D-AE07-6C97A696E664}"/>
            </a:ext>
          </a:extLst>
        </xdr:cNvPr>
        <xdr:cNvCxnSpPr/>
      </xdr:nvCxnSpPr>
      <xdr:spPr>
        <a:xfrm>
          <a:off x="5432291" y="25796864"/>
          <a:ext cx="0" cy="79808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39957</xdr:colOff>
      <xdr:row>101</xdr:row>
      <xdr:rowOff>167316</xdr:rowOff>
    </xdr:from>
    <xdr:to>
      <xdr:col>24</xdr:col>
      <xdr:colOff>37545</xdr:colOff>
      <xdr:row>101</xdr:row>
      <xdr:rowOff>167316</xdr:rowOff>
    </xdr:to>
    <xdr:cxnSp macro="">
      <xdr:nvCxnSpPr>
        <xdr:cNvPr id="162" name="直線コネクタ 161">
          <a:extLst>
            <a:ext uri="{FF2B5EF4-FFF2-40B4-BE49-F238E27FC236}">
              <a16:creationId xmlns:a16="http://schemas.microsoft.com/office/drawing/2014/main" id="{15FE080E-F2E5-4C14-8BF9-624B9EAC66C7}"/>
            </a:ext>
          </a:extLst>
        </xdr:cNvPr>
        <xdr:cNvCxnSpPr/>
      </xdr:nvCxnSpPr>
      <xdr:spPr>
        <a:xfrm>
          <a:off x="5360350" y="25000352"/>
          <a:ext cx="228909"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39957</xdr:colOff>
      <xdr:row>100</xdr:row>
      <xdr:rowOff>153145</xdr:rowOff>
    </xdr:from>
    <xdr:to>
      <xdr:col>24</xdr:col>
      <xdr:colOff>37545</xdr:colOff>
      <xdr:row>100</xdr:row>
      <xdr:rowOff>153145</xdr:rowOff>
    </xdr:to>
    <xdr:cxnSp macro="">
      <xdr:nvCxnSpPr>
        <xdr:cNvPr id="163" name="直線コネクタ 162">
          <a:extLst>
            <a:ext uri="{FF2B5EF4-FFF2-40B4-BE49-F238E27FC236}">
              <a16:creationId xmlns:a16="http://schemas.microsoft.com/office/drawing/2014/main" id="{A309DDC2-A1CF-402E-BD0C-D560307A30B0}"/>
            </a:ext>
          </a:extLst>
        </xdr:cNvPr>
        <xdr:cNvCxnSpPr/>
      </xdr:nvCxnSpPr>
      <xdr:spPr>
        <a:xfrm>
          <a:off x="5360350" y="24741252"/>
          <a:ext cx="228909"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39957</xdr:colOff>
      <xdr:row>104</xdr:row>
      <xdr:rowOff>223072</xdr:rowOff>
    </xdr:from>
    <xdr:to>
      <xdr:col>24</xdr:col>
      <xdr:colOff>37545</xdr:colOff>
      <xdr:row>104</xdr:row>
      <xdr:rowOff>223072</xdr:rowOff>
    </xdr:to>
    <xdr:cxnSp macro="">
      <xdr:nvCxnSpPr>
        <xdr:cNvPr id="165" name="直線コネクタ 164">
          <a:extLst>
            <a:ext uri="{FF2B5EF4-FFF2-40B4-BE49-F238E27FC236}">
              <a16:creationId xmlns:a16="http://schemas.microsoft.com/office/drawing/2014/main" id="{4ED18AB6-5A71-49DC-9AD0-59B61B3ADD9D}"/>
            </a:ext>
          </a:extLst>
        </xdr:cNvPr>
        <xdr:cNvCxnSpPr/>
      </xdr:nvCxnSpPr>
      <xdr:spPr>
        <a:xfrm>
          <a:off x="5360350" y="25790893"/>
          <a:ext cx="228909"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39957</xdr:colOff>
      <xdr:row>108</xdr:row>
      <xdr:rowOff>55805</xdr:rowOff>
    </xdr:from>
    <xdr:to>
      <xdr:col>24</xdr:col>
      <xdr:colOff>37545</xdr:colOff>
      <xdr:row>108</xdr:row>
      <xdr:rowOff>55805</xdr:rowOff>
    </xdr:to>
    <xdr:cxnSp macro="">
      <xdr:nvCxnSpPr>
        <xdr:cNvPr id="167" name="直線コネクタ 166">
          <a:extLst>
            <a:ext uri="{FF2B5EF4-FFF2-40B4-BE49-F238E27FC236}">
              <a16:creationId xmlns:a16="http://schemas.microsoft.com/office/drawing/2014/main" id="{02A355AB-98DF-44FC-BA51-EF3F61999944}"/>
            </a:ext>
          </a:extLst>
        </xdr:cNvPr>
        <xdr:cNvCxnSpPr/>
      </xdr:nvCxnSpPr>
      <xdr:spPr>
        <a:xfrm>
          <a:off x="5360350" y="26603341"/>
          <a:ext cx="228909"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39957</xdr:colOff>
      <xdr:row>111</xdr:row>
      <xdr:rowOff>41865</xdr:rowOff>
    </xdr:from>
    <xdr:to>
      <xdr:col>24</xdr:col>
      <xdr:colOff>37545</xdr:colOff>
      <xdr:row>111</xdr:row>
      <xdr:rowOff>41865</xdr:rowOff>
    </xdr:to>
    <xdr:cxnSp macro="">
      <xdr:nvCxnSpPr>
        <xdr:cNvPr id="170" name="直線コネクタ 169">
          <a:extLst>
            <a:ext uri="{FF2B5EF4-FFF2-40B4-BE49-F238E27FC236}">
              <a16:creationId xmlns:a16="http://schemas.microsoft.com/office/drawing/2014/main" id="{6B4495DA-F6B1-4ADB-B52F-A719AFADB83D}"/>
            </a:ext>
          </a:extLst>
        </xdr:cNvPr>
        <xdr:cNvCxnSpPr/>
      </xdr:nvCxnSpPr>
      <xdr:spPr>
        <a:xfrm>
          <a:off x="5360350" y="27324186"/>
          <a:ext cx="228909"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28</xdr:col>
      <xdr:colOff>71302</xdr:colOff>
      <xdr:row>99</xdr:row>
      <xdr:rowOff>210625</xdr:rowOff>
    </xdr:from>
    <xdr:to>
      <xdr:col>28</xdr:col>
      <xdr:colOff>71302</xdr:colOff>
      <xdr:row>100</xdr:row>
      <xdr:rowOff>175245</xdr:rowOff>
    </xdr:to>
    <xdr:cxnSp macro="">
      <xdr:nvCxnSpPr>
        <xdr:cNvPr id="171" name="直線コネクタ 170">
          <a:extLst>
            <a:ext uri="{FF2B5EF4-FFF2-40B4-BE49-F238E27FC236}">
              <a16:creationId xmlns:a16="http://schemas.microsoft.com/office/drawing/2014/main" id="{D4320C08-27C7-4864-B368-B81AD7CE17C4}"/>
            </a:ext>
          </a:extLst>
        </xdr:cNvPr>
        <xdr:cNvCxnSpPr/>
      </xdr:nvCxnSpPr>
      <xdr:spPr>
        <a:xfrm>
          <a:off x="6472102" y="23918350"/>
          <a:ext cx="0" cy="20274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editAs="absolute">
    <xdr:from>
      <xdr:col>21</xdr:col>
      <xdr:colOff>53274</xdr:colOff>
      <xdr:row>99</xdr:row>
      <xdr:rowOff>160440</xdr:rowOff>
    </xdr:from>
    <xdr:to>
      <xdr:col>23</xdr:col>
      <xdr:colOff>161072</xdr:colOff>
      <xdr:row>100</xdr:row>
      <xdr:rowOff>195403</xdr:rowOff>
    </xdr:to>
    <xdr:sp macro="" textlink="">
      <xdr:nvSpPr>
        <xdr:cNvPr id="172" name="テキスト ボックス 171">
          <a:extLst>
            <a:ext uri="{FF2B5EF4-FFF2-40B4-BE49-F238E27FC236}">
              <a16:creationId xmlns:a16="http://schemas.microsoft.com/office/drawing/2014/main" id="{2485A1EF-C196-40E7-99BB-4EBF2ACE9D5A}"/>
            </a:ext>
          </a:extLst>
        </xdr:cNvPr>
        <xdr:cNvSpPr txBox="1"/>
      </xdr:nvSpPr>
      <xdr:spPr>
        <a:xfrm>
          <a:off x="4911024" y="24503619"/>
          <a:ext cx="570441" cy="279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0.88m</a:t>
          </a:r>
          <a:endParaRPr kumimoji="1" lang="ja-JP" altLang="en-US" sz="1100"/>
        </a:p>
      </xdr:txBody>
    </xdr:sp>
    <xdr:clientData/>
  </xdr:twoCellAnchor>
  <xdr:twoCellAnchor>
    <xdr:from>
      <xdr:col>23</xdr:col>
      <xdr:colOff>111898</xdr:colOff>
      <xdr:row>99</xdr:row>
      <xdr:rowOff>215461</xdr:rowOff>
    </xdr:from>
    <xdr:to>
      <xdr:col>23</xdr:col>
      <xdr:colOff>111898</xdr:colOff>
      <xdr:row>100</xdr:row>
      <xdr:rowOff>179328</xdr:rowOff>
    </xdr:to>
    <xdr:cxnSp macro="">
      <xdr:nvCxnSpPr>
        <xdr:cNvPr id="173" name="直線矢印コネクタ 172">
          <a:extLst>
            <a:ext uri="{FF2B5EF4-FFF2-40B4-BE49-F238E27FC236}">
              <a16:creationId xmlns:a16="http://schemas.microsoft.com/office/drawing/2014/main" id="{433DDAA0-F8B1-43BE-87A2-79A6EF030D25}"/>
            </a:ext>
          </a:extLst>
        </xdr:cNvPr>
        <xdr:cNvCxnSpPr/>
      </xdr:nvCxnSpPr>
      <xdr:spPr>
        <a:xfrm>
          <a:off x="5432291" y="24558640"/>
          <a:ext cx="0" cy="20879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39957</xdr:colOff>
      <xdr:row>99</xdr:row>
      <xdr:rowOff>222542</xdr:rowOff>
    </xdr:from>
    <xdr:to>
      <xdr:col>24</xdr:col>
      <xdr:colOff>37545</xdr:colOff>
      <xdr:row>99</xdr:row>
      <xdr:rowOff>222542</xdr:rowOff>
    </xdr:to>
    <xdr:cxnSp macro="">
      <xdr:nvCxnSpPr>
        <xdr:cNvPr id="175" name="直線コネクタ 174">
          <a:extLst>
            <a:ext uri="{FF2B5EF4-FFF2-40B4-BE49-F238E27FC236}">
              <a16:creationId xmlns:a16="http://schemas.microsoft.com/office/drawing/2014/main" id="{1CC789FF-2B08-4BEE-8CC4-9601AF9B1EA6}"/>
            </a:ext>
          </a:extLst>
        </xdr:cNvPr>
        <xdr:cNvCxnSpPr/>
      </xdr:nvCxnSpPr>
      <xdr:spPr>
        <a:xfrm>
          <a:off x="5360350" y="24565721"/>
          <a:ext cx="228909"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34</xdr:col>
      <xdr:colOff>109395</xdr:colOff>
      <xdr:row>111</xdr:row>
      <xdr:rowOff>181448</xdr:rowOff>
    </xdr:from>
    <xdr:to>
      <xdr:col>34</xdr:col>
      <xdr:colOff>109395</xdr:colOff>
      <xdr:row>114</xdr:row>
      <xdr:rowOff>43257</xdr:rowOff>
    </xdr:to>
    <xdr:cxnSp macro="">
      <xdr:nvCxnSpPr>
        <xdr:cNvPr id="177" name="直線矢印コネクタ 176">
          <a:extLst>
            <a:ext uri="{FF2B5EF4-FFF2-40B4-BE49-F238E27FC236}">
              <a16:creationId xmlns:a16="http://schemas.microsoft.com/office/drawing/2014/main" id="{7E1645ED-F876-4754-88FD-78B8B86E73F4}"/>
            </a:ext>
          </a:extLst>
        </xdr:cNvPr>
        <xdr:cNvCxnSpPr/>
      </xdr:nvCxnSpPr>
      <xdr:spPr>
        <a:xfrm>
          <a:off x="7974324" y="27463769"/>
          <a:ext cx="0" cy="59659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50872</xdr:colOff>
      <xdr:row>114</xdr:row>
      <xdr:rowOff>55392</xdr:rowOff>
    </xdr:from>
    <xdr:to>
      <xdr:col>34</xdr:col>
      <xdr:colOff>184223</xdr:colOff>
      <xdr:row>114</xdr:row>
      <xdr:rowOff>55392</xdr:rowOff>
    </xdr:to>
    <xdr:cxnSp macro="">
      <xdr:nvCxnSpPr>
        <xdr:cNvPr id="209" name="直線コネクタ 208">
          <a:extLst>
            <a:ext uri="{FF2B5EF4-FFF2-40B4-BE49-F238E27FC236}">
              <a16:creationId xmlns:a16="http://schemas.microsoft.com/office/drawing/2014/main" id="{FA684A70-5BFF-46D6-A715-CF338A0B361F}"/>
            </a:ext>
          </a:extLst>
        </xdr:cNvPr>
        <xdr:cNvCxnSpPr/>
      </xdr:nvCxnSpPr>
      <xdr:spPr>
        <a:xfrm>
          <a:off x="5047834" y="27839084"/>
          <a:ext cx="2858966"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24</xdr:col>
      <xdr:colOff>52289</xdr:colOff>
      <xdr:row>111</xdr:row>
      <xdr:rowOff>188986</xdr:rowOff>
    </xdr:from>
    <xdr:to>
      <xdr:col>25</xdr:col>
      <xdr:colOff>11906</xdr:colOff>
      <xdr:row>111</xdr:row>
      <xdr:rowOff>188986</xdr:rowOff>
    </xdr:to>
    <xdr:cxnSp macro="">
      <xdr:nvCxnSpPr>
        <xdr:cNvPr id="231" name="直線コネクタ 230">
          <a:extLst>
            <a:ext uri="{FF2B5EF4-FFF2-40B4-BE49-F238E27FC236}">
              <a16:creationId xmlns:a16="http://schemas.microsoft.com/office/drawing/2014/main" id="{C9ABC2B0-E964-4575-B0BB-2BFB031B032D}"/>
            </a:ext>
          </a:extLst>
        </xdr:cNvPr>
        <xdr:cNvCxnSpPr/>
      </xdr:nvCxnSpPr>
      <xdr:spPr>
        <a:xfrm>
          <a:off x="5481539" y="26882799"/>
          <a:ext cx="185836"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27</xdr:col>
      <xdr:colOff>54991</xdr:colOff>
      <xdr:row>108</xdr:row>
      <xdr:rowOff>54639</xdr:rowOff>
    </xdr:from>
    <xdr:to>
      <xdr:col>27</xdr:col>
      <xdr:colOff>54991</xdr:colOff>
      <xdr:row>110</xdr:row>
      <xdr:rowOff>29765</xdr:rowOff>
    </xdr:to>
    <xdr:cxnSp macro="">
      <xdr:nvCxnSpPr>
        <xdr:cNvPr id="245" name="直線矢印コネクタ 244">
          <a:extLst>
            <a:ext uri="{FF2B5EF4-FFF2-40B4-BE49-F238E27FC236}">
              <a16:creationId xmlns:a16="http://schemas.microsoft.com/office/drawing/2014/main" id="{AC5A8C2D-A516-4E8D-ACBE-12EA658F353E}"/>
            </a:ext>
          </a:extLst>
        </xdr:cNvPr>
        <xdr:cNvCxnSpPr/>
      </xdr:nvCxnSpPr>
      <xdr:spPr>
        <a:xfrm>
          <a:off x="6162897" y="25998358"/>
          <a:ext cx="0" cy="48709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207325</xdr:colOff>
      <xdr:row>110</xdr:row>
      <xdr:rowOff>25372</xdr:rowOff>
    </xdr:from>
    <xdr:to>
      <xdr:col>27</xdr:col>
      <xdr:colOff>204913</xdr:colOff>
      <xdr:row>110</xdr:row>
      <xdr:rowOff>25372</xdr:rowOff>
    </xdr:to>
    <xdr:cxnSp macro="">
      <xdr:nvCxnSpPr>
        <xdr:cNvPr id="357" name="直線コネクタ 356">
          <a:extLst>
            <a:ext uri="{FF2B5EF4-FFF2-40B4-BE49-F238E27FC236}">
              <a16:creationId xmlns:a16="http://schemas.microsoft.com/office/drawing/2014/main" id="{A57C2E15-4448-46C5-8F86-EC30AC8A0F4E}"/>
            </a:ext>
          </a:extLst>
        </xdr:cNvPr>
        <xdr:cNvCxnSpPr/>
      </xdr:nvCxnSpPr>
      <xdr:spPr>
        <a:xfrm>
          <a:off x="6089013" y="26481060"/>
          <a:ext cx="223806"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24</xdr:col>
      <xdr:colOff>138858</xdr:colOff>
      <xdr:row>117</xdr:row>
      <xdr:rowOff>239011</xdr:rowOff>
    </xdr:from>
    <xdr:to>
      <xdr:col>35</xdr:col>
      <xdr:colOff>50000</xdr:colOff>
      <xdr:row>117</xdr:row>
      <xdr:rowOff>239011</xdr:rowOff>
    </xdr:to>
    <xdr:cxnSp macro="">
      <xdr:nvCxnSpPr>
        <xdr:cNvPr id="90" name="直線コネクタ 89">
          <a:extLst>
            <a:ext uri="{FF2B5EF4-FFF2-40B4-BE49-F238E27FC236}">
              <a16:creationId xmlns:a16="http://schemas.microsoft.com/office/drawing/2014/main" id="{90721847-5D76-41F2-A5ED-7DEF61654DCA}"/>
            </a:ext>
          </a:extLst>
        </xdr:cNvPr>
        <xdr:cNvCxnSpPr/>
      </xdr:nvCxnSpPr>
      <xdr:spPr>
        <a:xfrm>
          <a:off x="5690572" y="29099761"/>
          <a:ext cx="245567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226965</xdr:colOff>
      <xdr:row>125</xdr:row>
      <xdr:rowOff>115692</xdr:rowOff>
    </xdr:from>
    <xdr:to>
      <xdr:col>28</xdr:col>
      <xdr:colOff>34990</xdr:colOff>
      <xdr:row>125</xdr:row>
      <xdr:rowOff>115692</xdr:rowOff>
    </xdr:to>
    <xdr:cxnSp macro="">
      <xdr:nvCxnSpPr>
        <xdr:cNvPr id="92" name="直線コネクタ 91">
          <a:extLst>
            <a:ext uri="{FF2B5EF4-FFF2-40B4-BE49-F238E27FC236}">
              <a16:creationId xmlns:a16="http://schemas.microsoft.com/office/drawing/2014/main" id="{55222241-D272-4FEC-8983-3B9731FCDC59}"/>
            </a:ext>
          </a:extLst>
        </xdr:cNvPr>
        <xdr:cNvCxnSpPr/>
      </xdr:nvCxnSpPr>
      <xdr:spPr>
        <a:xfrm>
          <a:off x="5778679" y="30949478"/>
          <a:ext cx="73331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134164</xdr:colOff>
      <xdr:row>125</xdr:row>
      <xdr:rowOff>123328</xdr:rowOff>
    </xdr:from>
    <xdr:to>
      <xdr:col>27</xdr:col>
      <xdr:colOff>37</xdr:colOff>
      <xdr:row>125</xdr:row>
      <xdr:rowOff>223705</xdr:rowOff>
    </xdr:to>
    <xdr:cxnSp macro="">
      <xdr:nvCxnSpPr>
        <xdr:cNvPr id="210" name="直線コネクタ 209">
          <a:extLst>
            <a:ext uri="{FF2B5EF4-FFF2-40B4-BE49-F238E27FC236}">
              <a16:creationId xmlns:a16="http://schemas.microsoft.com/office/drawing/2014/main" id="{8F2ADCA9-37D3-4A48-B3B6-CB2CFE950ABC}"/>
            </a:ext>
          </a:extLst>
        </xdr:cNvPr>
        <xdr:cNvCxnSpPr/>
      </xdr:nvCxnSpPr>
      <xdr:spPr>
        <a:xfrm>
          <a:off x="6148521" y="30957114"/>
          <a:ext cx="97195" cy="10037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85438</xdr:colOff>
      <xdr:row>125</xdr:row>
      <xdr:rowOff>125172</xdr:rowOff>
    </xdr:from>
    <xdr:to>
      <xdr:col>26</xdr:col>
      <xdr:colOff>184041</xdr:colOff>
      <xdr:row>125</xdr:row>
      <xdr:rowOff>225549</xdr:rowOff>
    </xdr:to>
    <xdr:cxnSp macro="">
      <xdr:nvCxnSpPr>
        <xdr:cNvPr id="220" name="直線コネクタ 219">
          <a:extLst>
            <a:ext uri="{FF2B5EF4-FFF2-40B4-BE49-F238E27FC236}">
              <a16:creationId xmlns:a16="http://schemas.microsoft.com/office/drawing/2014/main" id="{F00B1877-11D3-4B83-B087-06457AEA2B17}"/>
            </a:ext>
          </a:extLst>
        </xdr:cNvPr>
        <xdr:cNvCxnSpPr/>
      </xdr:nvCxnSpPr>
      <xdr:spPr>
        <a:xfrm>
          <a:off x="6099795" y="30958958"/>
          <a:ext cx="98603" cy="10037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86353</xdr:colOff>
      <xdr:row>125</xdr:row>
      <xdr:rowOff>179737</xdr:rowOff>
    </xdr:from>
    <xdr:to>
      <xdr:col>26</xdr:col>
      <xdr:colOff>119417</xdr:colOff>
      <xdr:row>125</xdr:row>
      <xdr:rowOff>207661</xdr:rowOff>
    </xdr:to>
    <xdr:cxnSp macro="">
      <xdr:nvCxnSpPr>
        <xdr:cNvPr id="221" name="直線コネクタ 220">
          <a:extLst>
            <a:ext uri="{FF2B5EF4-FFF2-40B4-BE49-F238E27FC236}">
              <a16:creationId xmlns:a16="http://schemas.microsoft.com/office/drawing/2014/main" id="{629B53C4-D787-4C2A-B167-B66446CD7EEE}"/>
            </a:ext>
          </a:extLst>
        </xdr:cNvPr>
        <xdr:cNvCxnSpPr/>
      </xdr:nvCxnSpPr>
      <xdr:spPr>
        <a:xfrm flipH="1">
          <a:off x="6100710" y="31013523"/>
          <a:ext cx="33064" cy="279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108045</xdr:colOff>
      <xdr:row>125</xdr:row>
      <xdr:rowOff>194133</xdr:rowOff>
    </xdr:from>
    <xdr:to>
      <xdr:col>26</xdr:col>
      <xdr:colOff>139701</xdr:colOff>
      <xdr:row>125</xdr:row>
      <xdr:rowOff>224859</xdr:rowOff>
    </xdr:to>
    <xdr:cxnSp macro="">
      <xdr:nvCxnSpPr>
        <xdr:cNvPr id="222" name="直線コネクタ 221">
          <a:extLst>
            <a:ext uri="{FF2B5EF4-FFF2-40B4-BE49-F238E27FC236}">
              <a16:creationId xmlns:a16="http://schemas.microsoft.com/office/drawing/2014/main" id="{3EA73BD2-23CF-4B36-B61B-C6F1521704CE}"/>
            </a:ext>
          </a:extLst>
        </xdr:cNvPr>
        <xdr:cNvCxnSpPr/>
      </xdr:nvCxnSpPr>
      <xdr:spPr>
        <a:xfrm flipH="1">
          <a:off x="6122402" y="31027919"/>
          <a:ext cx="3165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217662</xdr:colOff>
      <xdr:row>125</xdr:row>
      <xdr:rowOff>131198</xdr:rowOff>
    </xdr:from>
    <xdr:to>
      <xdr:col>26</xdr:col>
      <xdr:colOff>77325</xdr:colOff>
      <xdr:row>125</xdr:row>
      <xdr:rowOff>231575</xdr:rowOff>
    </xdr:to>
    <xdr:cxnSp macro="">
      <xdr:nvCxnSpPr>
        <xdr:cNvPr id="230" name="直線コネクタ 229">
          <a:extLst>
            <a:ext uri="{FF2B5EF4-FFF2-40B4-BE49-F238E27FC236}">
              <a16:creationId xmlns:a16="http://schemas.microsoft.com/office/drawing/2014/main" id="{F637383E-98A3-4F01-AC9C-1A275FC624DF}"/>
            </a:ext>
          </a:extLst>
        </xdr:cNvPr>
        <xdr:cNvCxnSpPr/>
      </xdr:nvCxnSpPr>
      <xdr:spPr>
        <a:xfrm>
          <a:off x="6000698" y="30964984"/>
          <a:ext cx="90984" cy="10037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170344</xdr:colOff>
      <xdr:row>125</xdr:row>
      <xdr:rowOff>133042</xdr:rowOff>
    </xdr:from>
    <xdr:to>
      <xdr:col>26</xdr:col>
      <xdr:colOff>32728</xdr:colOff>
      <xdr:row>125</xdr:row>
      <xdr:rowOff>233419</xdr:rowOff>
    </xdr:to>
    <xdr:cxnSp macro="">
      <xdr:nvCxnSpPr>
        <xdr:cNvPr id="233" name="直線コネクタ 232">
          <a:extLst>
            <a:ext uri="{FF2B5EF4-FFF2-40B4-BE49-F238E27FC236}">
              <a16:creationId xmlns:a16="http://schemas.microsoft.com/office/drawing/2014/main" id="{9574A3B1-8216-4F47-A314-6662EC249214}"/>
            </a:ext>
          </a:extLst>
        </xdr:cNvPr>
        <xdr:cNvCxnSpPr/>
      </xdr:nvCxnSpPr>
      <xdr:spPr>
        <a:xfrm>
          <a:off x="5953380" y="30966828"/>
          <a:ext cx="93705" cy="10037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170380</xdr:colOff>
      <xdr:row>125</xdr:row>
      <xdr:rowOff>184805</xdr:rowOff>
    </xdr:from>
    <xdr:to>
      <xdr:col>25</xdr:col>
      <xdr:colOff>201106</xdr:colOff>
      <xdr:row>125</xdr:row>
      <xdr:rowOff>215531</xdr:rowOff>
    </xdr:to>
    <xdr:cxnSp macro="">
      <xdr:nvCxnSpPr>
        <xdr:cNvPr id="234" name="直線コネクタ 233">
          <a:extLst>
            <a:ext uri="{FF2B5EF4-FFF2-40B4-BE49-F238E27FC236}">
              <a16:creationId xmlns:a16="http://schemas.microsoft.com/office/drawing/2014/main" id="{72EE651D-7FB7-4987-BF90-B39C086233A4}"/>
            </a:ext>
          </a:extLst>
        </xdr:cNvPr>
        <xdr:cNvCxnSpPr/>
      </xdr:nvCxnSpPr>
      <xdr:spPr>
        <a:xfrm flipH="1">
          <a:off x="5953416" y="31018591"/>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190664</xdr:colOff>
      <xdr:row>125</xdr:row>
      <xdr:rowOff>192478</xdr:rowOff>
    </xdr:from>
    <xdr:to>
      <xdr:col>25</xdr:col>
      <xdr:colOff>221390</xdr:colOff>
      <xdr:row>125</xdr:row>
      <xdr:rowOff>232729</xdr:rowOff>
    </xdr:to>
    <xdr:cxnSp macro="">
      <xdr:nvCxnSpPr>
        <xdr:cNvPr id="236" name="直線コネクタ 235">
          <a:extLst>
            <a:ext uri="{FF2B5EF4-FFF2-40B4-BE49-F238E27FC236}">
              <a16:creationId xmlns:a16="http://schemas.microsoft.com/office/drawing/2014/main" id="{F47E8DF0-50FE-4891-841A-F60B06A29F81}"/>
            </a:ext>
          </a:extLst>
        </xdr:cNvPr>
        <xdr:cNvCxnSpPr/>
      </xdr:nvCxnSpPr>
      <xdr:spPr>
        <a:xfrm flipH="1">
          <a:off x="5973700" y="31026264"/>
          <a:ext cx="30726" cy="402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193757</xdr:colOff>
      <xdr:row>117</xdr:row>
      <xdr:rowOff>233780</xdr:rowOff>
    </xdr:from>
    <xdr:to>
      <xdr:col>30</xdr:col>
      <xdr:colOff>53872</xdr:colOff>
      <xdr:row>118</xdr:row>
      <xdr:rowOff>71489</xdr:rowOff>
    </xdr:to>
    <xdr:cxnSp macro="">
      <xdr:nvCxnSpPr>
        <xdr:cNvPr id="356" name="直線コネクタ 355">
          <a:extLst>
            <a:ext uri="{FF2B5EF4-FFF2-40B4-BE49-F238E27FC236}">
              <a16:creationId xmlns:a16="http://schemas.microsoft.com/office/drawing/2014/main" id="{CAB6CE72-04C2-4B27-A0C5-00F7F82CDA2C}"/>
            </a:ext>
          </a:extLst>
        </xdr:cNvPr>
        <xdr:cNvCxnSpPr/>
      </xdr:nvCxnSpPr>
      <xdr:spPr>
        <a:xfrm>
          <a:off x="6902078" y="29094530"/>
          <a:ext cx="91437"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146439</xdr:colOff>
      <xdr:row>118</xdr:row>
      <xdr:rowOff>220</xdr:rowOff>
    </xdr:from>
    <xdr:to>
      <xdr:col>30</xdr:col>
      <xdr:colOff>1111</xdr:colOff>
      <xdr:row>118</xdr:row>
      <xdr:rowOff>82858</xdr:rowOff>
    </xdr:to>
    <xdr:cxnSp macro="">
      <xdr:nvCxnSpPr>
        <xdr:cNvPr id="358" name="直線コネクタ 357">
          <a:extLst>
            <a:ext uri="{FF2B5EF4-FFF2-40B4-BE49-F238E27FC236}">
              <a16:creationId xmlns:a16="http://schemas.microsoft.com/office/drawing/2014/main" id="{9964EE80-5997-4795-A3F3-AC5E916D59F1}"/>
            </a:ext>
          </a:extLst>
        </xdr:cNvPr>
        <xdr:cNvCxnSpPr/>
      </xdr:nvCxnSpPr>
      <xdr:spPr>
        <a:xfrm>
          <a:off x="6854760" y="29105899"/>
          <a:ext cx="8599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146475</xdr:colOff>
      <xdr:row>118</xdr:row>
      <xdr:rowOff>41052</xdr:rowOff>
    </xdr:from>
    <xdr:to>
      <xdr:col>29</xdr:col>
      <xdr:colOff>177201</xdr:colOff>
      <xdr:row>118</xdr:row>
      <xdr:rowOff>62253</xdr:rowOff>
    </xdr:to>
    <xdr:cxnSp macro="">
      <xdr:nvCxnSpPr>
        <xdr:cNvPr id="359" name="直線コネクタ 358">
          <a:extLst>
            <a:ext uri="{FF2B5EF4-FFF2-40B4-BE49-F238E27FC236}">
              <a16:creationId xmlns:a16="http://schemas.microsoft.com/office/drawing/2014/main" id="{ECA6AF65-E197-482E-866D-A934063E9E38}"/>
            </a:ext>
          </a:extLst>
        </xdr:cNvPr>
        <xdr:cNvCxnSpPr/>
      </xdr:nvCxnSpPr>
      <xdr:spPr>
        <a:xfrm flipH="1">
          <a:off x="6854796" y="29146731"/>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166759</xdr:colOff>
      <xdr:row>118</xdr:row>
      <xdr:rowOff>58250</xdr:rowOff>
    </xdr:from>
    <xdr:to>
      <xdr:col>29</xdr:col>
      <xdr:colOff>197485</xdr:colOff>
      <xdr:row>118</xdr:row>
      <xdr:rowOff>82173</xdr:rowOff>
    </xdr:to>
    <xdr:cxnSp macro="">
      <xdr:nvCxnSpPr>
        <xdr:cNvPr id="360" name="直線コネクタ 359">
          <a:extLst>
            <a:ext uri="{FF2B5EF4-FFF2-40B4-BE49-F238E27FC236}">
              <a16:creationId xmlns:a16="http://schemas.microsoft.com/office/drawing/2014/main" id="{83ACB0F6-3300-47A0-A95E-19497F6A25D4}"/>
            </a:ext>
          </a:extLst>
        </xdr:cNvPr>
        <xdr:cNvCxnSpPr/>
      </xdr:nvCxnSpPr>
      <xdr:spPr>
        <a:xfrm flipH="1">
          <a:off x="6875080" y="29163929"/>
          <a:ext cx="3072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113621</xdr:colOff>
      <xdr:row>117</xdr:row>
      <xdr:rowOff>238816</xdr:rowOff>
    </xdr:from>
    <xdr:to>
      <xdr:col>30</xdr:col>
      <xdr:colOff>198581</xdr:colOff>
      <xdr:row>118</xdr:row>
      <xdr:rowOff>76525</xdr:rowOff>
    </xdr:to>
    <xdr:cxnSp macro="">
      <xdr:nvCxnSpPr>
        <xdr:cNvPr id="361" name="直線コネクタ 360">
          <a:extLst>
            <a:ext uri="{FF2B5EF4-FFF2-40B4-BE49-F238E27FC236}">
              <a16:creationId xmlns:a16="http://schemas.microsoft.com/office/drawing/2014/main" id="{80BB738E-FA27-4F66-9291-2102DC83C15C}"/>
            </a:ext>
          </a:extLst>
        </xdr:cNvPr>
        <xdr:cNvCxnSpPr/>
      </xdr:nvCxnSpPr>
      <xdr:spPr>
        <a:xfrm>
          <a:off x="7053264" y="29099566"/>
          <a:ext cx="84960"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61821</xdr:colOff>
      <xdr:row>117</xdr:row>
      <xdr:rowOff>240660</xdr:rowOff>
    </xdr:from>
    <xdr:to>
      <xdr:col>30</xdr:col>
      <xdr:colOff>155745</xdr:colOff>
      <xdr:row>118</xdr:row>
      <xdr:rowOff>78369</xdr:rowOff>
    </xdr:to>
    <xdr:cxnSp macro="">
      <xdr:nvCxnSpPr>
        <xdr:cNvPr id="362" name="直線コネクタ 361">
          <a:extLst>
            <a:ext uri="{FF2B5EF4-FFF2-40B4-BE49-F238E27FC236}">
              <a16:creationId xmlns:a16="http://schemas.microsoft.com/office/drawing/2014/main" id="{6E4ADFA5-764E-4ADA-93B6-9EB4F3015888}"/>
            </a:ext>
          </a:extLst>
        </xdr:cNvPr>
        <xdr:cNvCxnSpPr/>
      </xdr:nvCxnSpPr>
      <xdr:spPr>
        <a:xfrm>
          <a:off x="7001464" y="29101410"/>
          <a:ext cx="9392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61857</xdr:colOff>
      <xdr:row>118</xdr:row>
      <xdr:rowOff>36558</xdr:rowOff>
    </xdr:from>
    <xdr:to>
      <xdr:col>30</xdr:col>
      <xdr:colOff>97065</xdr:colOff>
      <xdr:row>118</xdr:row>
      <xdr:rowOff>57759</xdr:rowOff>
    </xdr:to>
    <xdr:cxnSp macro="">
      <xdr:nvCxnSpPr>
        <xdr:cNvPr id="363" name="直線コネクタ 362">
          <a:extLst>
            <a:ext uri="{FF2B5EF4-FFF2-40B4-BE49-F238E27FC236}">
              <a16:creationId xmlns:a16="http://schemas.microsoft.com/office/drawing/2014/main" id="{802AB596-98FC-4E5E-BB21-7029C264F6FE}"/>
            </a:ext>
          </a:extLst>
        </xdr:cNvPr>
        <xdr:cNvCxnSpPr/>
      </xdr:nvCxnSpPr>
      <xdr:spPr>
        <a:xfrm flipH="1">
          <a:off x="7001500" y="29142237"/>
          <a:ext cx="35208"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82141</xdr:colOff>
      <xdr:row>118</xdr:row>
      <xdr:rowOff>44231</xdr:rowOff>
    </xdr:from>
    <xdr:to>
      <xdr:col>30</xdr:col>
      <xdr:colOff>117349</xdr:colOff>
      <xdr:row>118</xdr:row>
      <xdr:rowOff>77679</xdr:rowOff>
    </xdr:to>
    <xdr:cxnSp macro="">
      <xdr:nvCxnSpPr>
        <xdr:cNvPr id="364" name="直線コネクタ 363">
          <a:extLst>
            <a:ext uri="{FF2B5EF4-FFF2-40B4-BE49-F238E27FC236}">
              <a16:creationId xmlns:a16="http://schemas.microsoft.com/office/drawing/2014/main" id="{88EB9CF9-976D-479A-9997-8EA7F545C72C}"/>
            </a:ext>
          </a:extLst>
        </xdr:cNvPr>
        <xdr:cNvCxnSpPr/>
      </xdr:nvCxnSpPr>
      <xdr:spPr>
        <a:xfrm flipH="1">
          <a:off x="7021784" y="29149910"/>
          <a:ext cx="35208" cy="3344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85397</xdr:colOff>
      <xdr:row>125</xdr:row>
      <xdr:rowOff>111579</xdr:rowOff>
    </xdr:from>
    <xdr:to>
      <xdr:col>32</xdr:col>
      <xdr:colOff>9525</xdr:colOff>
      <xdr:row>127</xdr:row>
      <xdr:rowOff>82051</xdr:rowOff>
    </xdr:to>
    <xdr:cxnSp macro="">
      <xdr:nvCxnSpPr>
        <xdr:cNvPr id="365" name="直線コネクタ 364">
          <a:extLst>
            <a:ext uri="{FF2B5EF4-FFF2-40B4-BE49-F238E27FC236}">
              <a16:creationId xmlns:a16="http://schemas.microsoft.com/office/drawing/2014/main" id="{20B6B1A4-3A19-4834-8FA9-F464244FD378}"/>
            </a:ext>
          </a:extLst>
        </xdr:cNvPr>
        <xdr:cNvCxnSpPr/>
      </xdr:nvCxnSpPr>
      <xdr:spPr>
        <a:xfrm flipH="1">
          <a:off x="6562397" y="30945365"/>
          <a:ext cx="849414" cy="460329"/>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22</xdr:col>
      <xdr:colOff>16851</xdr:colOff>
      <xdr:row>131</xdr:row>
      <xdr:rowOff>123717</xdr:rowOff>
    </xdr:from>
    <xdr:to>
      <xdr:col>28</xdr:col>
      <xdr:colOff>78828</xdr:colOff>
      <xdr:row>131</xdr:row>
      <xdr:rowOff>123717</xdr:rowOff>
    </xdr:to>
    <xdr:cxnSp macro="">
      <xdr:nvCxnSpPr>
        <xdr:cNvPr id="366" name="直線コネクタ 365">
          <a:extLst>
            <a:ext uri="{FF2B5EF4-FFF2-40B4-BE49-F238E27FC236}">
              <a16:creationId xmlns:a16="http://schemas.microsoft.com/office/drawing/2014/main" id="{1A1B369B-A6AC-4420-B0C7-FC412B5E84B6}"/>
            </a:ext>
          </a:extLst>
        </xdr:cNvPr>
        <xdr:cNvCxnSpPr/>
      </xdr:nvCxnSpPr>
      <xdr:spPr>
        <a:xfrm>
          <a:off x="5105922" y="32427074"/>
          <a:ext cx="1449906" cy="0"/>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28</xdr:col>
      <xdr:colOff>64037</xdr:colOff>
      <xdr:row>118</xdr:row>
      <xdr:rowOff>1869</xdr:rowOff>
    </xdr:from>
    <xdr:to>
      <xdr:col>28</xdr:col>
      <xdr:colOff>64037</xdr:colOff>
      <xdr:row>131</xdr:row>
      <xdr:rowOff>127454</xdr:rowOff>
    </xdr:to>
    <xdr:cxnSp macro="">
      <xdr:nvCxnSpPr>
        <xdr:cNvPr id="367" name="直線コネクタ 366">
          <a:extLst>
            <a:ext uri="{FF2B5EF4-FFF2-40B4-BE49-F238E27FC236}">
              <a16:creationId xmlns:a16="http://schemas.microsoft.com/office/drawing/2014/main" id="{19B7357E-DFDF-4183-B5DD-5EC7DA33071D}"/>
            </a:ext>
          </a:extLst>
        </xdr:cNvPr>
        <xdr:cNvCxnSpPr/>
      </xdr:nvCxnSpPr>
      <xdr:spPr>
        <a:xfrm>
          <a:off x="6541037" y="29107548"/>
          <a:ext cx="0" cy="3323263"/>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28</xdr:col>
      <xdr:colOff>74001</xdr:colOff>
      <xdr:row>120</xdr:row>
      <xdr:rowOff>131530</xdr:rowOff>
    </xdr:from>
    <xdr:to>
      <xdr:col>34</xdr:col>
      <xdr:colOff>197830</xdr:colOff>
      <xdr:row>120</xdr:row>
      <xdr:rowOff>131530</xdr:rowOff>
    </xdr:to>
    <xdr:cxnSp macro="">
      <xdr:nvCxnSpPr>
        <xdr:cNvPr id="368" name="直線コネクタ 367">
          <a:extLst>
            <a:ext uri="{FF2B5EF4-FFF2-40B4-BE49-F238E27FC236}">
              <a16:creationId xmlns:a16="http://schemas.microsoft.com/office/drawing/2014/main" id="{C73BC6BE-27E2-4D2C-994F-6B8DEC505E26}"/>
            </a:ext>
          </a:extLst>
        </xdr:cNvPr>
        <xdr:cNvCxnSpPr/>
      </xdr:nvCxnSpPr>
      <xdr:spPr>
        <a:xfrm>
          <a:off x="6551001" y="29740673"/>
          <a:ext cx="1511758"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28</xdr:col>
      <xdr:colOff>64476</xdr:colOff>
      <xdr:row>118</xdr:row>
      <xdr:rowOff>235352</xdr:rowOff>
    </xdr:from>
    <xdr:to>
      <xdr:col>35</xdr:col>
      <xdr:colOff>40948</xdr:colOff>
      <xdr:row>118</xdr:row>
      <xdr:rowOff>235352</xdr:rowOff>
    </xdr:to>
    <xdr:cxnSp macro="">
      <xdr:nvCxnSpPr>
        <xdr:cNvPr id="369" name="直線コネクタ 368">
          <a:extLst>
            <a:ext uri="{FF2B5EF4-FFF2-40B4-BE49-F238E27FC236}">
              <a16:creationId xmlns:a16="http://schemas.microsoft.com/office/drawing/2014/main" id="{401AB16F-077D-4547-B2BB-4A6210B5CA6B}"/>
            </a:ext>
          </a:extLst>
        </xdr:cNvPr>
        <xdr:cNvCxnSpPr/>
      </xdr:nvCxnSpPr>
      <xdr:spPr>
        <a:xfrm>
          <a:off x="6541476" y="29341031"/>
          <a:ext cx="1595722"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30</xdr:col>
      <xdr:colOff>98534</xdr:colOff>
      <xdr:row>122</xdr:row>
      <xdr:rowOff>56756</xdr:rowOff>
    </xdr:from>
    <xdr:to>
      <xdr:col>32</xdr:col>
      <xdr:colOff>11585</xdr:colOff>
      <xdr:row>125</xdr:row>
      <xdr:rowOff>119478</xdr:rowOff>
    </xdr:to>
    <xdr:cxnSp macro="">
      <xdr:nvCxnSpPr>
        <xdr:cNvPr id="370" name="直線コネクタ 369">
          <a:extLst>
            <a:ext uri="{FF2B5EF4-FFF2-40B4-BE49-F238E27FC236}">
              <a16:creationId xmlns:a16="http://schemas.microsoft.com/office/drawing/2014/main" id="{6995B7CD-9230-45EC-88D4-05119854EA1A}"/>
            </a:ext>
          </a:extLst>
        </xdr:cNvPr>
        <xdr:cNvCxnSpPr/>
      </xdr:nvCxnSpPr>
      <xdr:spPr>
        <a:xfrm flipH="1" flipV="1">
          <a:off x="7038177" y="30155756"/>
          <a:ext cx="375694" cy="797508"/>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28</xdr:col>
      <xdr:colOff>74001</xdr:colOff>
      <xdr:row>125</xdr:row>
      <xdr:rowOff>116311</xdr:rowOff>
    </xdr:from>
    <xdr:to>
      <xdr:col>34</xdr:col>
      <xdr:colOff>153007</xdr:colOff>
      <xdr:row>125</xdr:row>
      <xdr:rowOff>116311</xdr:rowOff>
    </xdr:to>
    <xdr:cxnSp macro="">
      <xdr:nvCxnSpPr>
        <xdr:cNvPr id="371" name="直線コネクタ 370">
          <a:extLst>
            <a:ext uri="{FF2B5EF4-FFF2-40B4-BE49-F238E27FC236}">
              <a16:creationId xmlns:a16="http://schemas.microsoft.com/office/drawing/2014/main" id="{CB8B8B1F-B566-4B9E-BF6B-5E7CEDBF3C69}"/>
            </a:ext>
          </a:extLst>
        </xdr:cNvPr>
        <xdr:cNvCxnSpPr/>
      </xdr:nvCxnSpPr>
      <xdr:spPr>
        <a:xfrm>
          <a:off x="6551001" y="30950097"/>
          <a:ext cx="1466935"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24</xdr:col>
      <xdr:colOff>226965</xdr:colOff>
      <xdr:row>118</xdr:row>
      <xdr:rowOff>156843</xdr:rowOff>
    </xdr:from>
    <xdr:to>
      <xdr:col>27</xdr:col>
      <xdr:colOff>95148</xdr:colOff>
      <xdr:row>118</xdr:row>
      <xdr:rowOff>156843</xdr:rowOff>
    </xdr:to>
    <xdr:cxnSp macro="">
      <xdr:nvCxnSpPr>
        <xdr:cNvPr id="372" name="直線コネクタ 371">
          <a:extLst>
            <a:ext uri="{FF2B5EF4-FFF2-40B4-BE49-F238E27FC236}">
              <a16:creationId xmlns:a16="http://schemas.microsoft.com/office/drawing/2014/main" id="{33EAAF4F-241E-431B-B5F0-964CCC075061}"/>
            </a:ext>
          </a:extLst>
        </xdr:cNvPr>
        <xdr:cNvCxnSpPr/>
      </xdr:nvCxnSpPr>
      <xdr:spPr>
        <a:xfrm>
          <a:off x="5778679" y="29262522"/>
          <a:ext cx="56214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17415</xdr:colOff>
      <xdr:row>119</xdr:row>
      <xdr:rowOff>57001</xdr:rowOff>
    </xdr:from>
    <xdr:to>
      <xdr:col>27</xdr:col>
      <xdr:colOff>85122</xdr:colOff>
      <xdr:row>119</xdr:row>
      <xdr:rowOff>57001</xdr:rowOff>
    </xdr:to>
    <xdr:cxnSp macro="">
      <xdr:nvCxnSpPr>
        <xdr:cNvPr id="373" name="直線コネクタ 372">
          <a:extLst>
            <a:ext uri="{FF2B5EF4-FFF2-40B4-BE49-F238E27FC236}">
              <a16:creationId xmlns:a16="http://schemas.microsoft.com/office/drawing/2014/main" id="{4A8A7A0A-D40C-49F3-9043-B46E6DF0EA6D}"/>
            </a:ext>
          </a:extLst>
        </xdr:cNvPr>
        <xdr:cNvCxnSpPr/>
      </xdr:nvCxnSpPr>
      <xdr:spPr>
        <a:xfrm>
          <a:off x="5800451" y="29407608"/>
          <a:ext cx="5303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93143</xdr:colOff>
      <xdr:row>118</xdr:row>
      <xdr:rowOff>158937</xdr:rowOff>
    </xdr:from>
    <xdr:to>
      <xdr:col>27</xdr:col>
      <xdr:colOff>93143</xdr:colOff>
      <xdr:row>119</xdr:row>
      <xdr:rowOff>57386</xdr:rowOff>
    </xdr:to>
    <xdr:cxnSp macro="">
      <xdr:nvCxnSpPr>
        <xdr:cNvPr id="374" name="直線コネクタ 373">
          <a:extLst>
            <a:ext uri="{FF2B5EF4-FFF2-40B4-BE49-F238E27FC236}">
              <a16:creationId xmlns:a16="http://schemas.microsoft.com/office/drawing/2014/main" id="{BA95F734-D3EE-473F-B3D8-1AD44E8C72C8}"/>
            </a:ext>
          </a:extLst>
        </xdr:cNvPr>
        <xdr:cNvCxnSpPr/>
      </xdr:nvCxnSpPr>
      <xdr:spPr>
        <a:xfrm>
          <a:off x="6338822" y="29264616"/>
          <a:ext cx="0" cy="14337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120357</xdr:colOff>
      <xdr:row>118</xdr:row>
      <xdr:rowOff>151534</xdr:rowOff>
    </xdr:from>
    <xdr:to>
      <xdr:col>27</xdr:col>
      <xdr:colOff>120357</xdr:colOff>
      <xdr:row>119</xdr:row>
      <xdr:rowOff>71173</xdr:rowOff>
    </xdr:to>
    <xdr:cxnSp macro="">
      <xdr:nvCxnSpPr>
        <xdr:cNvPr id="375" name="直線コネクタ 374">
          <a:extLst>
            <a:ext uri="{FF2B5EF4-FFF2-40B4-BE49-F238E27FC236}">
              <a16:creationId xmlns:a16="http://schemas.microsoft.com/office/drawing/2014/main" id="{8771F436-0C11-4B0C-A2C3-1BC315DFA48B}"/>
            </a:ext>
          </a:extLst>
        </xdr:cNvPr>
        <xdr:cNvCxnSpPr/>
      </xdr:nvCxnSpPr>
      <xdr:spPr>
        <a:xfrm>
          <a:off x="6366036" y="29257213"/>
          <a:ext cx="0" cy="16456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34632</xdr:colOff>
      <xdr:row>118</xdr:row>
      <xdr:rowOff>151534</xdr:rowOff>
    </xdr:from>
    <xdr:to>
      <xdr:col>28</xdr:col>
      <xdr:colOff>34632</xdr:colOff>
      <xdr:row>119</xdr:row>
      <xdr:rowOff>71173</xdr:rowOff>
    </xdr:to>
    <xdr:cxnSp macro="">
      <xdr:nvCxnSpPr>
        <xdr:cNvPr id="376" name="直線コネクタ 375">
          <a:extLst>
            <a:ext uri="{FF2B5EF4-FFF2-40B4-BE49-F238E27FC236}">
              <a16:creationId xmlns:a16="http://schemas.microsoft.com/office/drawing/2014/main" id="{2604C28A-ECBD-40B1-9D16-9D32E18B2C93}"/>
            </a:ext>
          </a:extLst>
        </xdr:cNvPr>
        <xdr:cNvCxnSpPr/>
      </xdr:nvCxnSpPr>
      <xdr:spPr>
        <a:xfrm>
          <a:off x="6511632" y="29257213"/>
          <a:ext cx="0" cy="16456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119287</xdr:colOff>
      <xdr:row>118</xdr:row>
      <xdr:rowOff>237178</xdr:rowOff>
    </xdr:from>
    <xdr:to>
      <xdr:col>28</xdr:col>
      <xdr:colOff>30161</xdr:colOff>
      <xdr:row>118</xdr:row>
      <xdr:rowOff>237178</xdr:rowOff>
    </xdr:to>
    <xdr:cxnSp macro="">
      <xdr:nvCxnSpPr>
        <xdr:cNvPr id="377" name="直線コネクタ 376">
          <a:extLst>
            <a:ext uri="{FF2B5EF4-FFF2-40B4-BE49-F238E27FC236}">
              <a16:creationId xmlns:a16="http://schemas.microsoft.com/office/drawing/2014/main" id="{F6C6907C-97EF-4E1D-B45A-37A4543572DB}"/>
            </a:ext>
          </a:extLst>
        </xdr:cNvPr>
        <xdr:cNvCxnSpPr/>
      </xdr:nvCxnSpPr>
      <xdr:spPr>
        <a:xfrm>
          <a:off x="6364966" y="29342857"/>
          <a:ext cx="14219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224547</xdr:colOff>
      <xdr:row>128</xdr:row>
      <xdr:rowOff>2068</xdr:rowOff>
    </xdr:from>
    <xdr:to>
      <xdr:col>28</xdr:col>
      <xdr:colOff>122827</xdr:colOff>
      <xdr:row>128</xdr:row>
      <xdr:rowOff>138555</xdr:rowOff>
    </xdr:to>
    <xdr:sp macro="" textlink="">
      <xdr:nvSpPr>
        <xdr:cNvPr id="378" name="楕円 377">
          <a:extLst>
            <a:ext uri="{FF2B5EF4-FFF2-40B4-BE49-F238E27FC236}">
              <a16:creationId xmlns:a16="http://schemas.microsoft.com/office/drawing/2014/main" id="{EC9D2EEA-1263-408B-B460-9F915D52A176}"/>
            </a:ext>
          </a:extLst>
        </xdr:cNvPr>
        <xdr:cNvSpPr/>
      </xdr:nvSpPr>
      <xdr:spPr>
        <a:xfrm>
          <a:off x="6470226" y="31570639"/>
          <a:ext cx="129601" cy="136487"/>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226965</xdr:colOff>
      <xdr:row>121</xdr:row>
      <xdr:rowOff>227072</xdr:rowOff>
    </xdr:from>
    <xdr:to>
      <xdr:col>27</xdr:col>
      <xdr:colOff>95148</xdr:colOff>
      <xdr:row>121</xdr:row>
      <xdr:rowOff>227072</xdr:rowOff>
    </xdr:to>
    <xdr:cxnSp macro="">
      <xdr:nvCxnSpPr>
        <xdr:cNvPr id="379" name="直線コネクタ 378">
          <a:extLst>
            <a:ext uri="{FF2B5EF4-FFF2-40B4-BE49-F238E27FC236}">
              <a16:creationId xmlns:a16="http://schemas.microsoft.com/office/drawing/2014/main" id="{EDC0675E-3981-4735-820D-D6A0C075AD59}"/>
            </a:ext>
          </a:extLst>
        </xdr:cNvPr>
        <xdr:cNvCxnSpPr/>
      </xdr:nvCxnSpPr>
      <xdr:spPr>
        <a:xfrm>
          <a:off x="5778679" y="30081143"/>
          <a:ext cx="56214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17415</xdr:colOff>
      <xdr:row>122</xdr:row>
      <xdr:rowOff>112911</xdr:rowOff>
    </xdr:from>
    <xdr:to>
      <xdr:col>27</xdr:col>
      <xdr:colOff>85122</xdr:colOff>
      <xdr:row>122</xdr:row>
      <xdr:rowOff>112911</xdr:rowOff>
    </xdr:to>
    <xdr:cxnSp macro="">
      <xdr:nvCxnSpPr>
        <xdr:cNvPr id="380" name="直線コネクタ 379">
          <a:extLst>
            <a:ext uri="{FF2B5EF4-FFF2-40B4-BE49-F238E27FC236}">
              <a16:creationId xmlns:a16="http://schemas.microsoft.com/office/drawing/2014/main" id="{FE64C541-3078-42E0-A567-D565D4DC6FA7}"/>
            </a:ext>
          </a:extLst>
        </xdr:cNvPr>
        <xdr:cNvCxnSpPr/>
      </xdr:nvCxnSpPr>
      <xdr:spPr>
        <a:xfrm>
          <a:off x="5800451" y="30211911"/>
          <a:ext cx="5303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93143</xdr:colOff>
      <xdr:row>121</xdr:row>
      <xdr:rowOff>231968</xdr:rowOff>
    </xdr:from>
    <xdr:to>
      <xdr:col>27</xdr:col>
      <xdr:colOff>93143</xdr:colOff>
      <xdr:row>122</xdr:row>
      <xdr:rowOff>113296</xdr:rowOff>
    </xdr:to>
    <xdr:cxnSp macro="">
      <xdr:nvCxnSpPr>
        <xdr:cNvPr id="381" name="直線コネクタ 380">
          <a:extLst>
            <a:ext uri="{FF2B5EF4-FFF2-40B4-BE49-F238E27FC236}">
              <a16:creationId xmlns:a16="http://schemas.microsoft.com/office/drawing/2014/main" id="{30B14A20-4B90-4B35-A075-E3E3E8B1E6F1}"/>
            </a:ext>
          </a:extLst>
        </xdr:cNvPr>
        <xdr:cNvCxnSpPr/>
      </xdr:nvCxnSpPr>
      <xdr:spPr>
        <a:xfrm>
          <a:off x="6338822" y="30086039"/>
          <a:ext cx="0" cy="12625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120357</xdr:colOff>
      <xdr:row>121</xdr:row>
      <xdr:rowOff>221763</xdr:rowOff>
    </xdr:from>
    <xdr:to>
      <xdr:col>27</xdr:col>
      <xdr:colOff>120357</xdr:colOff>
      <xdr:row>122</xdr:row>
      <xdr:rowOff>127082</xdr:rowOff>
    </xdr:to>
    <xdr:cxnSp macro="">
      <xdr:nvCxnSpPr>
        <xdr:cNvPr id="382" name="直線コネクタ 381">
          <a:extLst>
            <a:ext uri="{FF2B5EF4-FFF2-40B4-BE49-F238E27FC236}">
              <a16:creationId xmlns:a16="http://schemas.microsoft.com/office/drawing/2014/main" id="{1B70461B-FFA4-4734-85CF-BF558445F336}"/>
            </a:ext>
          </a:extLst>
        </xdr:cNvPr>
        <xdr:cNvCxnSpPr/>
      </xdr:nvCxnSpPr>
      <xdr:spPr>
        <a:xfrm>
          <a:off x="6366036" y="30075834"/>
          <a:ext cx="0" cy="15024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34632</xdr:colOff>
      <xdr:row>121</xdr:row>
      <xdr:rowOff>221763</xdr:rowOff>
    </xdr:from>
    <xdr:to>
      <xdr:col>28</xdr:col>
      <xdr:colOff>34632</xdr:colOff>
      <xdr:row>122</xdr:row>
      <xdr:rowOff>127082</xdr:rowOff>
    </xdr:to>
    <xdr:cxnSp macro="">
      <xdr:nvCxnSpPr>
        <xdr:cNvPr id="383" name="直線コネクタ 382">
          <a:extLst>
            <a:ext uri="{FF2B5EF4-FFF2-40B4-BE49-F238E27FC236}">
              <a16:creationId xmlns:a16="http://schemas.microsoft.com/office/drawing/2014/main" id="{5C65A96E-4E12-4C93-97A6-6E51AA246321}"/>
            </a:ext>
          </a:extLst>
        </xdr:cNvPr>
        <xdr:cNvCxnSpPr/>
      </xdr:nvCxnSpPr>
      <xdr:spPr>
        <a:xfrm>
          <a:off x="6511632" y="30075834"/>
          <a:ext cx="0" cy="15024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119287</xdr:colOff>
      <xdr:row>122</xdr:row>
      <xdr:rowOff>46665</xdr:rowOff>
    </xdr:from>
    <xdr:to>
      <xdr:col>28</xdr:col>
      <xdr:colOff>30161</xdr:colOff>
      <xdr:row>122</xdr:row>
      <xdr:rowOff>46665</xdr:rowOff>
    </xdr:to>
    <xdr:cxnSp macro="">
      <xdr:nvCxnSpPr>
        <xdr:cNvPr id="384" name="直線コネクタ 383">
          <a:extLst>
            <a:ext uri="{FF2B5EF4-FFF2-40B4-BE49-F238E27FC236}">
              <a16:creationId xmlns:a16="http://schemas.microsoft.com/office/drawing/2014/main" id="{5A9AECFB-69C4-472F-852D-95A0B357FA0F}"/>
            </a:ext>
          </a:extLst>
        </xdr:cNvPr>
        <xdr:cNvCxnSpPr/>
      </xdr:nvCxnSpPr>
      <xdr:spPr>
        <a:xfrm>
          <a:off x="6364966" y="30145665"/>
          <a:ext cx="14219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139211</xdr:colOff>
      <xdr:row>129</xdr:row>
      <xdr:rowOff>12583</xdr:rowOff>
    </xdr:from>
    <xdr:to>
      <xdr:col>34</xdr:col>
      <xdr:colOff>178780</xdr:colOff>
      <xdr:row>129</xdr:row>
      <xdr:rowOff>12583</xdr:rowOff>
    </xdr:to>
    <xdr:cxnSp macro="">
      <xdr:nvCxnSpPr>
        <xdr:cNvPr id="385" name="直線コネクタ 384">
          <a:extLst>
            <a:ext uri="{FF2B5EF4-FFF2-40B4-BE49-F238E27FC236}">
              <a16:creationId xmlns:a16="http://schemas.microsoft.com/office/drawing/2014/main" id="{F74300FE-F880-45AB-830B-BCE584341721}"/>
            </a:ext>
          </a:extLst>
        </xdr:cNvPr>
        <xdr:cNvCxnSpPr/>
      </xdr:nvCxnSpPr>
      <xdr:spPr>
        <a:xfrm>
          <a:off x="5459604" y="31826083"/>
          <a:ext cx="2584105"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22</xdr:col>
      <xdr:colOff>34629</xdr:colOff>
      <xdr:row>129</xdr:row>
      <xdr:rowOff>7654</xdr:rowOff>
    </xdr:from>
    <xdr:to>
      <xdr:col>24</xdr:col>
      <xdr:colOff>53578</xdr:colOff>
      <xdr:row>131</xdr:row>
      <xdr:rowOff>118258</xdr:rowOff>
    </xdr:to>
    <xdr:cxnSp macro="">
      <xdr:nvCxnSpPr>
        <xdr:cNvPr id="386" name="直線コネクタ 385">
          <a:extLst>
            <a:ext uri="{FF2B5EF4-FFF2-40B4-BE49-F238E27FC236}">
              <a16:creationId xmlns:a16="http://schemas.microsoft.com/office/drawing/2014/main" id="{06924C64-CED4-4762-A1A5-4AEC003D7CC8}"/>
            </a:ext>
          </a:extLst>
        </xdr:cNvPr>
        <xdr:cNvCxnSpPr/>
      </xdr:nvCxnSpPr>
      <xdr:spPr>
        <a:xfrm flipH="1">
          <a:off x="5123700" y="31821154"/>
          <a:ext cx="481592" cy="600461"/>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29</xdr:col>
      <xdr:colOff>136382</xdr:colOff>
      <xdr:row>117</xdr:row>
      <xdr:rowOff>39410</xdr:rowOff>
    </xdr:from>
    <xdr:to>
      <xdr:col>29</xdr:col>
      <xdr:colOff>136382</xdr:colOff>
      <xdr:row>120</xdr:row>
      <xdr:rowOff>152964</xdr:rowOff>
    </xdr:to>
    <xdr:cxnSp macro="">
      <xdr:nvCxnSpPr>
        <xdr:cNvPr id="387" name="直線コネクタ 386">
          <a:extLst>
            <a:ext uri="{FF2B5EF4-FFF2-40B4-BE49-F238E27FC236}">
              <a16:creationId xmlns:a16="http://schemas.microsoft.com/office/drawing/2014/main" id="{68BFDA0F-8691-4D50-8B12-9303427C91F9}"/>
            </a:ext>
          </a:extLst>
        </xdr:cNvPr>
        <xdr:cNvCxnSpPr/>
      </xdr:nvCxnSpPr>
      <xdr:spPr>
        <a:xfrm>
          <a:off x="6844703" y="28900160"/>
          <a:ext cx="0" cy="861947"/>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28</xdr:col>
      <xdr:colOff>78483</xdr:colOff>
      <xdr:row>117</xdr:row>
      <xdr:rowOff>37437</xdr:rowOff>
    </xdr:from>
    <xdr:to>
      <xdr:col>29</xdr:col>
      <xdr:colOff>131151</xdr:colOff>
      <xdr:row>117</xdr:row>
      <xdr:rowOff>37437</xdr:rowOff>
    </xdr:to>
    <xdr:cxnSp macro="">
      <xdr:nvCxnSpPr>
        <xdr:cNvPr id="388" name="直線コネクタ 387">
          <a:extLst>
            <a:ext uri="{FF2B5EF4-FFF2-40B4-BE49-F238E27FC236}">
              <a16:creationId xmlns:a16="http://schemas.microsoft.com/office/drawing/2014/main" id="{80F7F049-D366-4A78-A9BD-24BA32F54888}"/>
            </a:ext>
          </a:extLst>
        </xdr:cNvPr>
        <xdr:cNvCxnSpPr/>
      </xdr:nvCxnSpPr>
      <xdr:spPr>
        <a:xfrm>
          <a:off x="6555483" y="28898187"/>
          <a:ext cx="283989" cy="0"/>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34</xdr:col>
      <xdr:colOff>110090</xdr:colOff>
      <xdr:row>118</xdr:row>
      <xdr:rowOff>13787</xdr:rowOff>
    </xdr:from>
    <xdr:to>
      <xdr:col>34</xdr:col>
      <xdr:colOff>110090</xdr:colOff>
      <xdr:row>119</xdr:row>
      <xdr:rowOff>3021</xdr:rowOff>
    </xdr:to>
    <xdr:cxnSp macro="">
      <xdr:nvCxnSpPr>
        <xdr:cNvPr id="389" name="直線矢印コネクタ 388">
          <a:extLst>
            <a:ext uri="{FF2B5EF4-FFF2-40B4-BE49-F238E27FC236}">
              <a16:creationId xmlns:a16="http://schemas.microsoft.com/office/drawing/2014/main" id="{4B329232-6C48-424E-AB52-1E92B1C7E447}"/>
            </a:ext>
          </a:extLst>
        </xdr:cNvPr>
        <xdr:cNvCxnSpPr/>
      </xdr:nvCxnSpPr>
      <xdr:spPr>
        <a:xfrm>
          <a:off x="7975019" y="29119466"/>
          <a:ext cx="0" cy="234162"/>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110090</xdr:colOff>
      <xdr:row>119</xdr:row>
      <xdr:rowOff>22071</xdr:rowOff>
    </xdr:from>
    <xdr:to>
      <xdr:col>34</xdr:col>
      <xdr:colOff>110090</xdr:colOff>
      <xdr:row>120</xdr:row>
      <xdr:rowOff>126906</xdr:rowOff>
    </xdr:to>
    <xdr:cxnSp macro="">
      <xdr:nvCxnSpPr>
        <xdr:cNvPr id="390" name="直線矢印コネクタ 389">
          <a:extLst>
            <a:ext uri="{FF2B5EF4-FFF2-40B4-BE49-F238E27FC236}">
              <a16:creationId xmlns:a16="http://schemas.microsoft.com/office/drawing/2014/main" id="{18A9B994-F801-4D17-A481-213193710925}"/>
            </a:ext>
          </a:extLst>
        </xdr:cNvPr>
        <xdr:cNvCxnSpPr/>
      </xdr:nvCxnSpPr>
      <xdr:spPr>
        <a:xfrm>
          <a:off x="7975019" y="29372678"/>
          <a:ext cx="0" cy="36337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110090</xdr:colOff>
      <xdr:row>120</xdr:row>
      <xdr:rowOff>213221</xdr:rowOff>
    </xdr:from>
    <xdr:to>
      <xdr:col>34</xdr:col>
      <xdr:colOff>110090</xdr:colOff>
      <xdr:row>125</xdr:row>
      <xdr:rowOff>113660</xdr:rowOff>
    </xdr:to>
    <xdr:cxnSp macro="">
      <xdr:nvCxnSpPr>
        <xdr:cNvPr id="391" name="直線矢印コネクタ 390">
          <a:extLst>
            <a:ext uri="{FF2B5EF4-FFF2-40B4-BE49-F238E27FC236}">
              <a16:creationId xmlns:a16="http://schemas.microsoft.com/office/drawing/2014/main" id="{30E0C88D-C0A1-457E-9B13-01A7BE297D04}"/>
            </a:ext>
          </a:extLst>
        </xdr:cNvPr>
        <xdr:cNvCxnSpPr/>
      </xdr:nvCxnSpPr>
      <xdr:spPr>
        <a:xfrm>
          <a:off x="7975019" y="29822364"/>
          <a:ext cx="0" cy="1125082"/>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110090</xdr:colOff>
      <xdr:row>125</xdr:row>
      <xdr:rowOff>132881</xdr:rowOff>
    </xdr:from>
    <xdr:to>
      <xdr:col>34</xdr:col>
      <xdr:colOff>110090</xdr:colOff>
      <xdr:row>128</xdr:row>
      <xdr:rowOff>225809</xdr:rowOff>
    </xdr:to>
    <xdr:cxnSp macro="">
      <xdr:nvCxnSpPr>
        <xdr:cNvPr id="392" name="直線矢印コネクタ 391">
          <a:extLst>
            <a:ext uri="{FF2B5EF4-FFF2-40B4-BE49-F238E27FC236}">
              <a16:creationId xmlns:a16="http://schemas.microsoft.com/office/drawing/2014/main" id="{B965C5DF-ABDA-4940-81BF-6CE948CE9FAD}"/>
            </a:ext>
          </a:extLst>
        </xdr:cNvPr>
        <xdr:cNvCxnSpPr/>
      </xdr:nvCxnSpPr>
      <xdr:spPr>
        <a:xfrm>
          <a:off x="7975019" y="30966667"/>
          <a:ext cx="0" cy="82771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116223</xdr:colOff>
      <xdr:row>125</xdr:row>
      <xdr:rowOff>101754</xdr:rowOff>
    </xdr:from>
    <xdr:to>
      <xdr:col>23</xdr:col>
      <xdr:colOff>116223</xdr:colOff>
      <xdr:row>128</xdr:row>
      <xdr:rowOff>115447</xdr:rowOff>
    </xdr:to>
    <xdr:cxnSp macro="">
      <xdr:nvCxnSpPr>
        <xdr:cNvPr id="395" name="直線矢印コネクタ 394">
          <a:extLst>
            <a:ext uri="{FF2B5EF4-FFF2-40B4-BE49-F238E27FC236}">
              <a16:creationId xmlns:a16="http://schemas.microsoft.com/office/drawing/2014/main" id="{E85B6AFE-896A-4E36-B0DE-6399988527E7}"/>
            </a:ext>
          </a:extLst>
        </xdr:cNvPr>
        <xdr:cNvCxnSpPr/>
      </xdr:nvCxnSpPr>
      <xdr:spPr>
        <a:xfrm>
          <a:off x="5436616" y="30935540"/>
          <a:ext cx="0" cy="748478"/>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111898</xdr:colOff>
      <xdr:row>122</xdr:row>
      <xdr:rowOff>38544</xdr:rowOff>
    </xdr:from>
    <xdr:to>
      <xdr:col>23</xdr:col>
      <xdr:colOff>111898</xdr:colOff>
      <xdr:row>125</xdr:row>
      <xdr:rowOff>101840</xdr:rowOff>
    </xdr:to>
    <xdr:cxnSp macro="">
      <xdr:nvCxnSpPr>
        <xdr:cNvPr id="396" name="直線矢印コネクタ 395">
          <a:extLst>
            <a:ext uri="{FF2B5EF4-FFF2-40B4-BE49-F238E27FC236}">
              <a16:creationId xmlns:a16="http://schemas.microsoft.com/office/drawing/2014/main" id="{568AAA52-9FDD-44BA-9521-29EF8CDFB223}"/>
            </a:ext>
          </a:extLst>
        </xdr:cNvPr>
        <xdr:cNvCxnSpPr/>
      </xdr:nvCxnSpPr>
      <xdr:spPr>
        <a:xfrm>
          <a:off x="5432291" y="30137544"/>
          <a:ext cx="0" cy="798082"/>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39957</xdr:colOff>
      <xdr:row>122</xdr:row>
      <xdr:rowOff>32573</xdr:rowOff>
    </xdr:from>
    <xdr:to>
      <xdr:col>24</xdr:col>
      <xdr:colOff>37545</xdr:colOff>
      <xdr:row>122</xdr:row>
      <xdr:rowOff>32573</xdr:rowOff>
    </xdr:to>
    <xdr:cxnSp macro="">
      <xdr:nvCxnSpPr>
        <xdr:cNvPr id="399" name="直線コネクタ 398">
          <a:extLst>
            <a:ext uri="{FF2B5EF4-FFF2-40B4-BE49-F238E27FC236}">
              <a16:creationId xmlns:a16="http://schemas.microsoft.com/office/drawing/2014/main" id="{65C559C7-E180-4084-A39D-EC6F0FE0E5FB}"/>
            </a:ext>
          </a:extLst>
        </xdr:cNvPr>
        <xdr:cNvCxnSpPr/>
      </xdr:nvCxnSpPr>
      <xdr:spPr>
        <a:xfrm>
          <a:off x="5360350" y="30131573"/>
          <a:ext cx="228909"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39957</xdr:colOff>
      <xdr:row>125</xdr:row>
      <xdr:rowOff>110234</xdr:rowOff>
    </xdr:from>
    <xdr:to>
      <xdr:col>24</xdr:col>
      <xdr:colOff>37545</xdr:colOff>
      <xdr:row>125</xdr:row>
      <xdr:rowOff>110234</xdr:rowOff>
    </xdr:to>
    <xdr:cxnSp macro="">
      <xdr:nvCxnSpPr>
        <xdr:cNvPr id="400" name="直線コネクタ 399">
          <a:extLst>
            <a:ext uri="{FF2B5EF4-FFF2-40B4-BE49-F238E27FC236}">
              <a16:creationId xmlns:a16="http://schemas.microsoft.com/office/drawing/2014/main" id="{EB9B2266-54EF-4123-89B2-233F8B3A9BA5}"/>
            </a:ext>
          </a:extLst>
        </xdr:cNvPr>
        <xdr:cNvCxnSpPr/>
      </xdr:nvCxnSpPr>
      <xdr:spPr>
        <a:xfrm>
          <a:off x="5360350" y="30944020"/>
          <a:ext cx="228909"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39957</xdr:colOff>
      <xdr:row>128</xdr:row>
      <xdr:rowOff>109902</xdr:rowOff>
    </xdr:from>
    <xdr:to>
      <xdr:col>24</xdr:col>
      <xdr:colOff>37545</xdr:colOff>
      <xdr:row>128</xdr:row>
      <xdr:rowOff>109902</xdr:rowOff>
    </xdr:to>
    <xdr:cxnSp macro="">
      <xdr:nvCxnSpPr>
        <xdr:cNvPr id="401" name="直線コネクタ 400">
          <a:extLst>
            <a:ext uri="{FF2B5EF4-FFF2-40B4-BE49-F238E27FC236}">
              <a16:creationId xmlns:a16="http://schemas.microsoft.com/office/drawing/2014/main" id="{F6B45118-B320-4A13-B734-2C0336D67344}"/>
            </a:ext>
          </a:extLst>
        </xdr:cNvPr>
        <xdr:cNvCxnSpPr/>
      </xdr:nvCxnSpPr>
      <xdr:spPr>
        <a:xfrm>
          <a:off x="5360350" y="31678473"/>
          <a:ext cx="228909"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28</xdr:col>
      <xdr:colOff>71302</xdr:colOff>
      <xdr:row>117</xdr:row>
      <xdr:rowOff>33733</xdr:rowOff>
    </xdr:from>
    <xdr:to>
      <xdr:col>28</xdr:col>
      <xdr:colOff>71302</xdr:colOff>
      <xdr:row>117</xdr:row>
      <xdr:rowOff>243281</xdr:rowOff>
    </xdr:to>
    <xdr:cxnSp macro="">
      <xdr:nvCxnSpPr>
        <xdr:cNvPr id="402" name="直線コネクタ 401">
          <a:extLst>
            <a:ext uri="{FF2B5EF4-FFF2-40B4-BE49-F238E27FC236}">
              <a16:creationId xmlns:a16="http://schemas.microsoft.com/office/drawing/2014/main" id="{E72047FF-F0FC-4710-A265-8B31CBB9ED32}"/>
            </a:ext>
          </a:extLst>
        </xdr:cNvPr>
        <xdr:cNvCxnSpPr/>
      </xdr:nvCxnSpPr>
      <xdr:spPr>
        <a:xfrm>
          <a:off x="6548302" y="28894483"/>
          <a:ext cx="0" cy="209548"/>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34</xdr:col>
      <xdr:colOff>109395</xdr:colOff>
      <xdr:row>129</xdr:row>
      <xdr:rowOff>4556</xdr:rowOff>
    </xdr:from>
    <xdr:to>
      <xdr:col>34</xdr:col>
      <xdr:colOff>109395</xdr:colOff>
      <xdr:row>131</xdr:row>
      <xdr:rowOff>111294</xdr:rowOff>
    </xdr:to>
    <xdr:cxnSp macro="">
      <xdr:nvCxnSpPr>
        <xdr:cNvPr id="405" name="直線矢印コネクタ 404">
          <a:extLst>
            <a:ext uri="{FF2B5EF4-FFF2-40B4-BE49-F238E27FC236}">
              <a16:creationId xmlns:a16="http://schemas.microsoft.com/office/drawing/2014/main" id="{2C8F84BD-CEA3-4605-A5CD-48D6B79670E1}"/>
            </a:ext>
          </a:extLst>
        </xdr:cNvPr>
        <xdr:cNvCxnSpPr/>
      </xdr:nvCxnSpPr>
      <xdr:spPr>
        <a:xfrm>
          <a:off x="7974324" y="31818056"/>
          <a:ext cx="0" cy="59659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50872</xdr:colOff>
      <xdr:row>131</xdr:row>
      <xdr:rowOff>123428</xdr:rowOff>
    </xdr:from>
    <xdr:to>
      <xdr:col>34</xdr:col>
      <xdr:colOff>184223</xdr:colOff>
      <xdr:row>131</xdr:row>
      <xdr:rowOff>123428</xdr:rowOff>
    </xdr:to>
    <xdr:cxnSp macro="">
      <xdr:nvCxnSpPr>
        <xdr:cNvPr id="406" name="直線コネクタ 405">
          <a:extLst>
            <a:ext uri="{FF2B5EF4-FFF2-40B4-BE49-F238E27FC236}">
              <a16:creationId xmlns:a16="http://schemas.microsoft.com/office/drawing/2014/main" id="{7951D507-186D-4627-8F5A-C26800F2D548}"/>
            </a:ext>
          </a:extLst>
        </xdr:cNvPr>
        <xdr:cNvCxnSpPr/>
      </xdr:nvCxnSpPr>
      <xdr:spPr>
        <a:xfrm>
          <a:off x="5139943" y="32426785"/>
          <a:ext cx="2909209"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24</xdr:col>
      <xdr:colOff>52289</xdr:colOff>
      <xdr:row>129</xdr:row>
      <xdr:rowOff>12094</xdr:rowOff>
    </xdr:from>
    <xdr:to>
      <xdr:col>25</xdr:col>
      <xdr:colOff>11906</xdr:colOff>
      <xdr:row>129</xdr:row>
      <xdr:rowOff>12094</xdr:rowOff>
    </xdr:to>
    <xdr:cxnSp macro="">
      <xdr:nvCxnSpPr>
        <xdr:cNvPr id="407" name="直線コネクタ 406">
          <a:extLst>
            <a:ext uri="{FF2B5EF4-FFF2-40B4-BE49-F238E27FC236}">
              <a16:creationId xmlns:a16="http://schemas.microsoft.com/office/drawing/2014/main" id="{44360362-6ECB-48B1-9679-E8999F54AA97}"/>
            </a:ext>
          </a:extLst>
        </xdr:cNvPr>
        <xdr:cNvCxnSpPr/>
      </xdr:nvCxnSpPr>
      <xdr:spPr>
        <a:xfrm>
          <a:off x="5604003" y="31825594"/>
          <a:ext cx="190939" cy="0"/>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54991</xdr:colOff>
      <xdr:row>125</xdr:row>
      <xdr:rowOff>109068</xdr:rowOff>
    </xdr:from>
    <xdr:to>
      <xdr:col>27</xdr:col>
      <xdr:colOff>54991</xdr:colOff>
      <xdr:row>127</xdr:row>
      <xdr:rowOff>97801</xdr:rowOff>
    </xdr:to>
    <xdr:cxnSp macro="">
      <xdr:nvCxnSpPr>
        <xdr:cNvPr id="408" name="直線矢印コネクタ 407">
          <a:extLst>
            <a:ext uri="{FF2B5EF4-FFF2-40B4-BE49-F238E27FC236}">
              <a16:creationId xmlns:a16="http://schemas.microsoft.com/office/drawing/2014/main" id="{14C32126-C2F0-47D6-8E7A-8AF130E217AC}"/>
            </a:ext>
          </a:extLst>
        </xdr:cNvPr>
        <xdr:cNvCxnSpPr/>
      </xdr:nvCxnSpPr>
      <xdr:spPr>
        <a:xfrm>
          <a:off x="6300670" y="30942854"/>
          <a:ext cx="0" cy="47859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207325</xdr:colOff>
      <xdr:row>127</xdr:row>
      <xdr:rowOff>93408</xdr:rowOff>
    </xdr:from>
    <xdr:to>
      <xdr:col>27</xdr:col>
      <xdr:colOff>204913</xdr:colOff>
      <xdr:row>127</xdr:row>
      <xdr:rowOff>93408</xdr:rowOff>
    </xdr:to>
    <xdr:cxnSp macro="">
      <xdr:nvCxnSpPr>
        <xdr:cNvPr id="409" name="直線コネクタ 408">
          <a:extLst>
            <a:ext uri="{FF2B5EF4-FFF2-40B4-BE49-F238E27FC236}">
              <a16:creationId xmlns:a16="http://schemas.microsoft.com/office/drawing/2014/main" id="{640CCEB4-9B4A-4748-8BE5-2CBAA296D744}"/>
            </a:ext>
          </a:extLst>
        </xdr:cNvPr>
        <xdr:cNvCxnSpPr/>
      </xdr:nvCxnSpPr>
      <xdr:spPr>
        <a:xfrm>
          <a:off x="6221682" y="31417051"/>
          <a:ext cx="228910"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31</xdr:col>
      <xdr:colOff>17256</xdr:colOff>
      <xdr:row>117</xdr:row>
      <xdr:rowOff>191565</xdr:rowOff>
    </xdr:from>
    <xdr:to>
      <xdr:col>35</xdr:col>
      <xdr:colOff>6926</xdr:colOff>
      <xdr:row>118</xdr:row>
      <xdr:rowOff>219170</xdr:rowOff>
    </xdr:to>
    <xdr:sp macro="" textlink="">
      <xdr:nvSpPr>
        <xdr:cNvPr id="410" name="テキスト ボックス 409">
          <a:extLst>
            <a:ext uri="{FF2B5EF4-FFF2-40B4-BE49-F238E27FC236}">
              <a16:creationId xmlns:a16="http://schemas.microsoft.com/office/drawing/2014/main" id="{BE0AC52F-F18B-4E18-9B70-E401FA110E43}"/>
            </a:ext>
          </a:extLst>
        </xdr:cNvPr>
        <xdr:cNvSpPr txBox="1"/>
      </xdr:nvSpPr>
      <xdr:spPr>
        <a:xfrm>
          <a:off x="7188220" y="29052315"/>
          <a:ext cx="914956" cy="272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 </a:t>
          </a:r>
          <a:r>
            <a:rPr kumimoji="1" lang="en-US" altLang="ja-JP" sz="1100"/>
            <a:t>1.00m</a:t>
          </a:r>
          <a:endParaRPr kumimoji="1" lang="ja-JP" altLang="en-US" sz="1100"/>
        </a:p>
      </xdr:txBody>
    </xdr:sp>
    <xdr:clientData/>
  </xdr:twoCellAnchor>
  <xdr:twoCellAnchor editAs="oneCell">
    <xdr:from>
      <xdr:col>31</xdr:col>
      <xdr:colOff>15255</xdr:colOff>
      <xdr:row>119</xdr:row>
      <xdr:rowOff>17146</xdr:rowOff>
    </xdr:from>
    <xdr:to>
      <xdr:col>34</xdr:col>
      <xdr:colOff>219394</xdr:colOff>
      <xdr:row>120</xdr:row>
      <xdr:rowOff>20618</xdr:rowOff>
    </xdr:to>
    <xdr:sp macro="" textlink="">
      <xdr:nvSpPr>
        <xdr:cNvPr id="411" name="テキスト ボックス 410">
          <a:extLst>
            <a:ext uri="{FF2B5EF4-FFF2-40B4-BE49-F238E27FC236}">
              <a16:creationId xmlns:a16="http://schemas.microsoft.com/office/drawing/2014/main" id="{E826D167-5010-4689-A40E-CC365D5A8710}"/>
            </a:ext>
          </a:extLst>
        </xdr:cNvPr>
        <xdr:cNvSpPr txBox="1"/>
      </xdr:nvSpPr>
      <xdr:spPr>
        <a:xfrm>
          <a:off x="7186219" y="29367753"/>
          <a:ext cx="898104" cy="262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 </a:t>
          </a:r>
          <a:r>
            <a:rPr kumimoji="1" lang="en-US" altLang="ja-JP" sz="1100"/>
            <a:t>1.50m</a:t>
          </a:r>
          <a:endParaRPr kumimoji="1" lang="ja-JP" altLang="en-US" sz="1100"/>
        </a:p>
      </xdr:txBody>
    </xdr:sp>
    <xdr:clientData/>
  </xdr:twoCellAnchor>
  <xdr:twoCellAnchor editAs="oneCell">
    <xdr:from>
      <xdr:col>31</xdr:col>
      <xdr:colOff>20441</xdr:colOff>
      <xdr:row>121</xdr:row>
      <xdr:rowOff>120354</xdr:rowOff>
    </xdr:from>
    <xdr:to>
      <xdr:col>34</xdr:col>
      <xdr:colOff>209368</xdr:colOff>
      <xdr:row>122</xdr:row>
      <xdr:rowOff>112022</xdr:rowOff>
    </xdr:to>
    <xdr:sp macro="" textlink="">
      <xdr:nvSpPr>
        <xdr:cNvPr id="412" name="テキスト ボックス 411">
          <a:extLst>
            <a:ext uri="{FF2B5EF4-FFF2-40B4-BE49-F238E27FC236}">
              <a16:creationId xmlns:a16="http://schemas.microsoft.com/office/drawing/2014/main" id="{430E9C9C-4019-47EB-B3BB-6278BC66D068}"/>
            </a:ext>
          </a:extLst>
        </xdr:cNvPr>
        <xdr:cNvSpPr txBox="1"/>
      </xdr:nvSpPr>
      <xdr:spPr>
        <a:xfrm>
          <a:off x="7191405" y="29974425"/>
          <a:ext cx="882892" cy="236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 </a:t>
          </a:r>
          <a:r>
            <a:rPr kumimoji="1" lang="en-US" altLang="ja-JP" sz="1100"/>
            <a:t>4.50m</a:t>
          </a:r>
          <a:endParaRPr kumimoji="1" lang="ja-JP" altLang="en-US" sz="1100"/>
        </a:p>
      </xdr:txBody>
    </xdr:sp>
    <xdr:clientData/>
  </xdr:twoCellAnchor>
  <xdr:twoCellAnchor editAs="oneCell">
    <xdr:from>
      <xdr:col>31</xdr:col>
      <xdr:colOff>29170</xdr:colOff>
      <xdr:row>126</xdr:row>
      <xdr:rowOff>224872</xdr:rowOff>
    </xdr:from>
    <xdr:to>
      <xdr:col>35</xdr:col>
      <xdr:colOff>14978</xdr:colOff>
      <xdr:row>128</xdr:row>
      <xdr:rowOff>4500</xdr:rowOff>
    </xdr:to>
    <xdr:sp macro="" textlink="">
      <xdr:nvSpPr>
        <xdr:cNvPr id="413" name="テキスト ボックス 412">
          <a:extLst>
            <a:ext uri="{FF2B5EF4-FFF2-40B4-BE49-F238E27FC236}">
              <a16:creationId xmlns:a16="http://schemas.microsoft.com/office/drawing/2014/main" id="{F59FC512-C320-401B-8306-2E2F5DE3287E}"/>
            </a:ext>
          </a:extLst>
        </xdr:cNvPr>
        <xdr:cNvSpPr txBox="1"/>
      </xdr:nvSpPr>
      <xdr:spPr>
        <a:xfrm>
          <a:off x="7200134" y="31303586"/>
          <a:ext cx="911094" cy="269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 </a:t>
          </a:r>
          <a:r>
            <a:rPr kumimoji="1" lang="en-US" altLang="ja-JP" sz="1100"/>
            <a:t>3.00m</a:t>
          </a:r>
          <a:endParaRPr kumimoji="1" lang="ja-JP" altLang="en-US" sz="1100"/>
        </a:p>
      </xdr:txBody>
    </xdr:sp>
    <xdr:clientData/>
  </xdr:twoCellAnchor>
  <xdr:twoCellAnchor editAs="oneCell">
    <xdr:from>
      <xdr:col>31</xdr:col>
      <xdr:colOff>35124</xdr:colOff>
      <xdr:row>129</xdr:row>
      <xdr:rowOff>162170</xdr:rowOff>
    </xdr:from>
    <xdr:to>
      <xdr:col>35</xdr:col>
      <xdr:colOff>11551</xdr:colOff>
      <xdr:row>130</xdr:row>
      <xdr:rowOff>167908</xdr:rowOff>
    </xdr:to>
    <xdr:sp macro="" textlink="">
      <xdr:nvSpPr>
        <xdr:cNvPr id="414" name="テキスト ボックス 413">
          <a:extLst>
            <a:ext uri="{FF2B5EF4-FFF2-40B4-BE49-F238E27FC236}">
              <a16:creationId xmlns:a16="http://schemas.microsoft.com/office/drawing/2014/main" id="{AFE69EDE-6052-4E89-8956-23D09463BF43}"/>
            </a:ext>
          </a:extLst>
        </xdr:cNvPr>
        <xdr:cNvSpPr txBox="1"/>
      </xdr:nvSpPr>
      <xdr:spPr>
        <a:xfrm>
          <a:off x="7206088" y="31975670"/>
          <a:ext cx="901713" cy="250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５層 </a:t>
          </a:r>
          <a:r>
            <a:rPr kumimoji="1" lang="en-US" altLang="ja-JP" sz="1100"/>
            <a:t>1.06m</a:t>
          </a:r>
          <a:endParaRPr kumimoji="1" lang="ja-JP" altLang="en-US" sz="1100"/>
        </a:p>
      </xdr:txBody>
    </xdr:sp>
    <xdr:clientData/>
  </xdr:twoCellAnchor>
  <xdr:twoCellAnchor editAs="oneCell">
    <xdr:from>
      <xdr:col>21</xdr:col>
      <xdr:colOff>93728</xdr:colOff>
      <xdr:row>123</xdr:row>
      <xdr:rowOff>102705</xdr:rowOff>
    </xdr:from>
    <xdr:to>
      <xdr:col>23</xdr:col>
      <xdr:colOff>201526</xdr:colOff>
      <xdr:row>124</xdr:row>
      <xdr:rowOff>120001</xdr:rowOff>
    </xdr:to>
    <xdr:sp macro="" textlink="">
      <xdr:nvSpPr>
        <xdr:cNvPr id="417" name="テキスト ボックス 416">
          <a:extLst>
            <a:ext uri="{FF2B5EF4-FFF2-40B4-BE49-F238E27FC236}">
              <a16:creationId xmlns:a16="http://schemas.microsoft.com/office/drawing/2014/main" id="{C262DE21-03B9-4605-ABA7-65C48C605042}"/>
            </a:ext>
          </a:extLst>
        </xdr:cNvPr>
        <xdr:cNvSpPr txBox="1"/>
      </xdr:nvSpPr>
      <xdr:spPr>
        <a:xfrm>
          <a:off x="4951478" y="30446634"/>
          <a:ext cx="570441" cy="262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3.00m</a:t>
          </a:r>
          <a:endParaRPr kumimoji="1" lang="ja-JP" altLang="en-US" sz="1100"/>
        </a:p>
      </xdr:txBody>
    </xdr:sp>
    <xdr:clientData/>
  </xdr:twoCellAnchor>
  <xdr:twoCellAnchor editAs="oneCell">
    <xdr:from>
      <xdr:col>21</xdr:col>
      <xdr:colOff>93728</xdr:colOff>
      <xdr:row>126</xdr:row>
      <xdr:rowOff>24626</xdr:rowOff>
    </xdr:from>
    <xdr:to>
      <xdr:col>23</xdr:col>
      <xdr:colOff>201526</xdr:colOff>
      <xdr:row>127</xdr:row>
      <xdr:rowOff>35732</xdr:rowOff>
    </xdr:to>
    <xdr:sp macro="" textlink="">
      <xdr:nvSpPr>
        <xdr:cNvPr id="418" name="テキスト ボックス 417">
          <a:extLst>
            <a:ext uri="{FF2B5EF4-FFF2-40B4-BE49-F238E27FC236}">
              <a16:creationId xmlns:a16="http://schemas.microsoft.com/office/drawing/2014/main" id="{93FB8736-AB1F-4729-81FB-3AA2FA6C36BC}"/>
            </a:ext>
          </a:extLst>
        </xdr:cNvPr>
        <xdr:cNvSpPr txBox="1"/>
      </xdr:nvSpPr>
      <xdr:spPr>
        <a:xfrm>
          <a:off x="4951478" y="31103340"/>
          <a:ext cx="570441" cy="256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2.78m</a:t>
          </a:r>
          <a:endParaRPr kumimoji="1" lang="ja-JP" altLang="en-US" sz="1100"/>
        </a:p>
      </xdr:txBody>
    </xdr:sp>
    <xdr:clientData/>
  </xdr:twoCellAnchor>
  <xdr:twoCellAnchor editAs="oneCell">
    <xdr:from>
      <xdr:col>25</xdr:col>
      <xdr:colOff>39299</xdr:colOff>
      <xdr:row>126</xdr:row>
      <xdr:rowOff>108044</xdr:rowOff>
    </xdr:from>
    <xdr:to>
      <xdr:col>27</xdr:col>
      <xdr:colOff>147097</xdr:colOff>
      <xdr:row>127</xdr:row>
      <xdr:rowOff>122107</xdr:rowOff>
    </xdr:to>
    <xdr:sp macro="" textlink="">
      <xdr:nvSpPr>
        <xdr:cNvPr id="420" name="テキスト ボックス 419">
          <a:extLst>
            <a:ext uri="{FF2B5EF4-FFF2-40B4-BE49-F238E27FC236}">
              <a16:creationId xmlns:a16="http://schemas.microsoft.com/office/drawing/2014/main" id="{216B4A27-5479-A75D-0DD9-14D06DF11FFC}"/>
            </a:ext>
          </a:extLst>
        </xdr:cNvPr>
        <xdr:cNvSpPr txBox="1"/>
      </xdr:nvSpPr>
      <xdr:spPr>
        <a:xfrm>
          <a:off x="5822335" y="31186758"/>
          <a:ext cx="570441" cy="258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1.77m</a:t>
          </a:r>
          <a:endParaRPr kumimoji="1" lang="ja-JP" altLang="en-US" sz="1100"/>
        </a:p>
      </xdr:txBody>
    </xdr:sp>
    <xdr:clientData/>
  </xdr:twoCellAnchor>
  <xdr:twoCellAnchor>
    <xdr:from>
      <xdr:col>28</xdr:col>
      <xdr:colOff>73513</xdr:colOff>
      <xdr:row>122</xdr:row>
      <xdr:rowOff>65012</xdr:rowOff>
    </xdr:from>
    <xdr:to>
      <xdr:col>30</xdr:col>
      <xdr:colOff>107674</xdr:colOff>
      <xdr:row>122</xdr:row>
      <xdr:rowOff>65012</xdr:rowOff>
    </xdr:to>
    <xdr:cxnSp macro="">
      <xdr:nvCxnSpPr>
        <xdr:cNvPr id="422" name="直線コネクタ 421">
          <a:extLst>
            <a:ext uri="{FF2B5EF4-FFF2-40B4-BE49-F238E27FC236}">
              <a16:creationId xmlns:a16="http://schemas.microsoft.com/office/drawing/2014/main" id="{0202B70F-ADF4-47A3-A8BD-6BB3A8B66CC8}"/>
            </a:ext>
          </a:extLst>
        </xdr:cNvPr>
        <xdr:cNvCxnSpPr/>
      </xdr:nvCxnSpPr>
      <xdr:spPr>
        <a:xfrm>
          <a:off x="6550513" y="30164012"/>
          <a:ext cx="496804"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24</xdr:col>
      <xdr:colOff>223345</xdr:colOff>
      <xdr:row>127</xdr:row>
      <xdr:rowOff>100881</xdr:rowOff>
    </xdr:from>
    <xdr:to>
      <xdr:col>28</xdr:col>
      <xdr:colOff>41472</xdr:colOff>
      <xdr:row>129</xdr:row>
      <xdr:rowOff>12333</xdr:rowOff>
    </xdr:to>
    <xdr:cxnSp macro="">
      <xdr:nvCxnSpPr>
        <xdr:cNvPr id="433" name="直線コネクタ 432">
          <a:extLst>
            <a:ext uri="{FF2B5EF4-FFF2-40B4-BE49-F238E27FC236}">
              <a16:creationId xmlns:a16="http://schemas.microsoft.com/office/drawing/2014/main" id="{5C687A83-B507-4725-8702-CE163930F607}"/>
            </a:ext>
          </a:extLst>
        </xdr:cNvPr>
        <xdr:cNvCxnSpPr/>
      </xdr:nvCxnSpPr>
      <xdr:spPr>
        <a:xfrm flipH="1">
          <a:off x="5775059" y="31424524"/>
          <a:ext cx="743413" cy="401309"/>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29</xdr:col>
      <xdr:colOff>135113</xdr:colOff>
      <xdr:row>120</xdr:row>
      <xdr:rowOff>128626</xdr:rowOff>
    </xdr:from>
    <xdr:to>
      <xdr:col>30</xdr:col>
      <xdr:colOff>103501</xdr:colOff>
      <xdr:row>122</xdr:row>
      <xdr:rowOff>67567</xdr:rowOff>
    </xdr:to>
    <xdr:cxnSp macro="">
      <xdr:nvCxnSpPr>
        <xdr:cNvPr id="442" name="直線コネクタ 441">
          <a:extLst>
            <a:ext uri="{FF2B5EF4-FFF2-40B4-BE49-F238E27FC236}">
              <a16:creationId xmlns:a16="http://schemas.microsoft.com/office/drawing/2014/main" id="{B725F9A3-84DD-E70B-56F3-0966E4698FF3}"/>
            </a:ext>
          </a:extLst>
        </xdr:cNvPr>
        <xdr:cNvCxnSpPr/>
      </xdr:nvCxnSpPr>
      <xdr:spPr>
        <a:xfrm flipH="1" flipV="1">
          <a:off x="6843434" y="29737769"/>
          <a:ext cx="199710" cy="428798"/>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74083</xdr:colOff>
      <xdr:row>121</xdr:row>
      <xdr:rowOff>210605</xdr:rowOff>
    </xdr:from>
    <xdr:to>
      <xdr:col>29</xdr:col>
      <xdr:colOff>16335</xdr:colOff>
      <xdr:row>122</xdr:row>
      <xdr:rowOff>221773</xdr:rowOff>
    </xdr:to>
    <xdr:sp macro="" textlink="">
      <xdr:nvSpPr>
        <xdr:cNvPr id="445" name="テキスト ボックス 444">
          <a:extLst>
            <a:ext uri="{FF2B5EF4-FFF2-40B4-BE49-F238E27FC236}">
              <a16:creationId xmlns:a16="http://schemas.microsoft.com/office/drawing/2014/main" id="{9C98D59D-9530-4A74-BACC-9AB8441B122E}"/>
            </a:ext>
          </a:extLst>
        </xdr:cNvPr>
        <xdr:cNvSpPr txBox="1"/>
      </xdr:nvSpPr>
      <xdr:spPr>
        <a:xfrm>
          <a:off x="6319762" y="30064676"/>
          <a:ext cx="404894" cy="2560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a:t>
          </a:r>
          <a:endParaRPr kumimoji="1" lang="ja-JP" altLang="en-US" sz="1100">
            <a:solidFill>
              <a:srgbClr val="FF0000"/>
            </a:solidFill>
          </a:endParaRPr>
        </a:p>
      </xdr:txBody>
    </xdr:sp>
    <xdr:clientData/>
  </xdr:twoCellAnchor>
  <xdr:twoCellAnchor>
    <xdr:from>
      <xdr:col>27</xdr:col>
      <xdr:colOff>41426</xdr:colOff>
      <xdr:row>127</xdr:row>
      <xdr:rowOff>78001</xdr:rowOff>
    </xdr:from>
    <xdr:to>
      <xdr:col>28</xdr:col>
      <xdr:colOff>208614</xdr:colOff>
      <xdr:row>128</xdr:row>
      <xdr:rowOff>84802</xdr:rowOff>
    </xdr:to>
    <xdr:sp macro="" textlink="">
      <xdr:nvSpPr>
        <xdr:cNvPr id="446" name="テキスト ボックス 445">
          <a:extLst>
            <a:ext uri="{FF2B5EF4-FFF2-40B4-BE49-F238E27FC236}">
              <a16:creationId xmlns:a16="http://schemas.microsoft.com/office/drawing/2014/main" id="{B0DFB36F-AE16-404B-85A7-19A1EAA9F768}"/>
            </a:ext>
          </a:extLst>
        </xdr:cNvPr>
        <xdr:cNvSpPr txBox="1"/>
      </xdr:nvSpPr>
      <xdr:spPr>
        <a:xfrm>
          <a:off x="6287105" y="31401644"/>
          <a:ext cx="398509" cy="251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B</a:t>
          </a:r>
          <a:endParaRPr kumimoji="1" lang="ja-JP" altLang="en-US" sz="1100">
            <a:solidFill>
              <a:srgbClr val="FF0000"/>
            </a:solidFill>
          </a:endParaRPr>
        </a:p>
      </xdr:txBody>
    </xdr:sp>
    <xdr:clientData/>
  </xdr:twoCellAnchor>
  <xdr:twoCellAnchor>
    <xdr:from>
      <xdr:col>27</xdr:col>
      <xdr:colOff>187930</xdr:colOff>
      <xdr:row>160</xdr:row>
      <xdr:rowOff>56315</xdr:rowOff>
    </xdr:from>
    <xdr:to>
      <xdr:col>29</xdr:col>
      <xdr:colOff>22602</xdr:colOff>
      <xdr:row>161</xdr:row>
      <xdr:rowOff>72642</xdr:rowOff>
    </xdr:to>
    <xdr:sp macro="" textlink="">
      <xdr:nvSpPr>
        <xdr:cNvPr id="448" name="テキスト ボックス 447">
          <a:extLst>
            <a:ext uri="{FF2B5EF4-FFF2-40B4-BE49-F238E27FC236}">
              <a16:creationId xmlns:a16="http://schemas.microsoft.com/office/drawing/2014/main" id="{4473724E-E3CB-4043-F28D-2220CD4C6B55}"/>
            </a:ext>
          </a:extLst>
        </xdr:cNvPr>
        <xdr:cNvSpPr txBox="1"/>
      </xdr:nvSpPr>
      <xdr:spPr>
        <a:xfrm>
          <a:off x="6433609" y="39489815"/>
          <a:ext cx="297314" cy="261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27</xdr:col>
      <xdr:colOff>166688</xdr:colOff>
      <xdr:row>160</xdr:row>
      <xdr:rowOff>57527</xdr:rowOff>
    </xdr:from>
    <xdr:to>
      <xdr:col>29</xdr:col>
      <xdr:colOff>184343</xdr:colOff>
      <xdr:row>162</xdr:row>
      <xdr:rowOff>72291</xdr:rowOff>
    </xdr:to>
    <xdr:cxnSp macro="">
      <xdr:nvCxnSpPr>
        <xdr:cNvPr id="449" name="直線コネクタ 448">
          <a:extLst>
            <a:ext uri="{FF2B5EF4-FFF2-40B4-BE49-F238E27FC236}">
              <a16:creationId xmlns:a16="http://schemas.microsoft.com/office/drawing/2014/main" id="{91B5E5EB-414C-208D-8D1A-5263E45747D7}"/>
            </a:ext>
          </a:extLst>
        </xdr:cNvPr>
        <xdr:cNvCxnSpPr/>
      </xdr:nvCxnSpPr>
      <xdr:spPr>
        <a:xfrm flipV="1">
          <a:off x="6412367" y="39491027"/>
          <a:ext cx="480297" cy="518228"/>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29</xdr:col>
      <xdr:colOff>8103</xdr:colOff>
      <xdr:row>161</xdr:row>
      <xdr:rowOff>56844</xdr:rowOff>
    </xdr:from>
    <xdr:to>
      <xdr:col>30</xdr:col>
      <xdr:colOff>68994</xdr:colOff>
      <xdr:row>162</xdr:row>
      <xdr:rowOff>62115</xdr:rowOff>
    </xdr:to>
    <xdr:sp macro="" textlink="">
      <xdr:nvSpPr>
        <xdr:cNvPr id="450" name="テキスト ボックス 449">
          <a:extLst>
            <a:ext uri="{FF2B5EF4-FFF2-40B4-BE49-F238E27FC236}">
              <a16:creationId xmlns:a16="http://schemas.microsoft.com/office/drawing/2014/main" id="{4197A4D3-AC90-4E54-259B-59442D935586}"/>
            </a:ext>
          </a:extLst>
        </xdr:cNvPr>
        <xdr:cNvSpPr txBox="1"/>
      </xdr:nvSpPr>
      <xdr:spPr>
        <a:xfrm>
          <a:off x="6716424" y="39735273"/>
          <a:ext cx="292213" cy="263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24</xdr:col>
      <xdr:colOff>2787</xdr:colOff>
      <xdr:row>155</xdr:row>
      <xdr:rowOff>198191</xdr:rowOff>
    </xdr:from>
    <xdr:to>
      <xdr:col>34</xdr:col>
      <xdr:colOff>145250</xdr:colOff>
      <xdr:row>155</xdr:row>
      <xdr:rowOff>198191</xdr:rowOff>
    </xdr:to>
    <xdr:cxnSp macro="">
      <xdr:nvCxnSpPr>
        <xdr:cNvPr id="452" name="直線コネクタ 451">
          <a:extLst>
            <a:ext uri="{FF2B5EF4-FFF2-40B4-BE49-F238E27FC236}">
              <a16:creationId xmlns:a16="http://schemas.microsoft.com/office/drawing/2014/main" id="{67045D20-1D9B-F3E7-AE13-965D131A9D7B}"/>
            </a:ext>
          </a:extLst>
        </xdr:cNvPr>
        <xdr:cNvCxnSpPr/>
      </xdr:nvCxnSpPr>
      <xdr:spPr>
        <a:xfrm>
          <a:off x="5554501" y="38407048"/>
          <a:ext cx="245567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90894</xdr:colOff>
      <xdr:row>163</xdr:row>
      <xdr:rowOff>74872</xdr:rowOff>
    </xdr:from>
    <xdr:to>
      <xdr:col>27</xdr:col>
      <xdr:colOff>130240</xdr:colOff>
      <xdr:row>163</xdr:row>
      <xdr:rowOff>74872</xdr:rowOff>
    </xdr:to>
    <xdr:cxnSp macro="">
      <xdr:nvCxnSpPr>
        <xdr:cNvPr id="453" name="直線コネクタ 452">
          <a:extLst>
            <a:ext uri="{FF2B5EF4-FFF2-40B4-BE49-F238E27FC236}">
              <a16:creationId xmlns:a16="http://schemas.microsoft.com/office/drawing/2014/main" id="{1B9CAF07-E891-3268-F58D-19CA05A042A1}"/>
            </a:ext>
          </a:extLst>
        </xdr:cNvPr>
        <xdr:cNvCxnSpPr/>
      </xdr:nvCxnSpPr>
      <xdr:spPr>
        <a:xfrm>
          <a:off x="5642608" y="40256765"/>
          <a:ext cx="73331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229414</xdr:colOff>
      <xdr:row>163</xdr:row>
      <xdr:rowOff>82508</xdr:rowOff>
    </xdr:from>
    <xdr:to>
      <xdr:col>26</xdr:col>
      <xdr:colOff>95288</xdr:colOff>
      <xdr:row>163</xdr:row>
      <xdr:rowOff>182885</xdr:rowOff>
    </xdr:to>
    <xdr:cxnSp macro="">
      <xdr:nvCxnSpPr>
        <xdr:cNvPr id="454" name="直線コネクタ 453">
          <a:extLst>
            <a:ext uri="{FF2B5EF4-FFF2-40B4-BE49-F238E27FC236}">
              <a16:creationId xmlns:a16="http://schemas.microsoft.com/office/drawing/2014/main" id="{37D0C195-8686-A3D5-200E-458FABCA2326}"/>
            </a:ext>
          </a:extLst>
        </xdr:cNvPr>
        <xdr:cNvCxnSpPr/>
      </xdr:nvCxnSpPr>
      <xdr:spPr>
        <a:xfrm>
          <a:off x="6012450" y="40264401"/>
          <a:ext cx="97195" cy="10037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180688</xdr:colOff>
      <xdr:row>163</xdr:row>
      <xdr:rowOff>84352</xdr:rowOff>
    </xdr:from>
    <xdr:to>
      <xdr:col>26</xdr:col>
      <xdr:colOff>47970</xdr:colOff>
      <xdr:row>163</xdr:row>
      <xdr:rowOff>184729</xdr:rowOff>
    </xdr:to>
    <xdr:cxnSp macro="">
      <xdr:nvCxnSpPr>
        <xdr:cNvPr id="455" name="直線コネクタ 454">
          <a:extLst>
            <a:ext uri="{FF2B5EF4-FFF2-40B4-BE49-F238E27FC236}">
              <a16:creationId xmlns:a16="http://schemas.microsoft.com/office/drawing/2014/main" id="{B57EB6C5-D32F-5CB9-FD9F-ABB37B4AC30E}"/>
            </a:ext>
          </a:extLst>
        </xdr:cNvPr>
        <xdr:cNvCxnSpPr/>
      </xdr:nvCxnSpPr>
      <xdr:spPr>
        <a:xfrm>
          <a:off x="5963724" y="40266245"/>
          <a:ext cx="98603" cy="10037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181603</xdr:colOff>
      <xdr:row>163</xdr:row>
      <xdr:rowOff>138917</xdr:rowOff>
    </xdr:from>
    <xdr:to>
      <xdr:col>25</xdr:col>
      <xdr:colOff>214667</xdr:colOff>
      <xdr:row>163</xdr:row>
      <xdr:rowOff>166841</xdr:rowOff>
    </xdr:to>
    <xdr:cxnSp macro="">
      <xdr:nvCxnSpPr>
        <xdr:cNvPr id="456" name="直線コネクタ 455">
          <a:extLst>
            <a:ext uri="{FF2B5EF4-FFF2-40B4-BE49-F238E27FC236}">
              <a16:creationId xmlns:a16="http://schemas.microsoft.com/office/drawing/2014/main" id="{DFCD5B86-56B5-E5C0-FD98-8423C973E27B}"/>
            </a:ext>
          </a:extLst>
        </xdr:cNvPr>
        <xdr:cNvCxnSpPr/>
      </xdr:nvCxnSpPr>
      <xdr:spPr>
        <a:xfrm flipH="1">
          <a:off x="5964639" y="40320810"/>
          <a:ext cx="33064" cy="279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203295</xdr:colOff>
      <xdr:row>163</xdr:row>
      <xdr:rowOff>153313</xdr:rowOff>
    </xdr:from>
    <xdr:to>
      <xdr:col>26</xdr:col>
      <xdr:colOff>3630</xdr:colOff>
      <xdr:row>163</xdr:row>
      <xdr:rowOff>184039</xdr:rowOff>
    </xdr:to>
    <xdr:cxnSp macro="">
      <xdr:nvCxnSpPr>
        <xdr:cNvPr id="457" name="直線コネクタ 456">
          <a:extLst>
            <a:ext uri="{FF2B5EF4-FFF2-40B4-BE49-F238E27FC236}">
              <a16:creationId xmlns:a16="http://schemas.microsoft.com/office/drawing/2014/main" id="{4B42EC6A-2C9D-FBB6-0EE9-9CA65DA67456}"/>
            </a:ext>
          </a:extLst>
        </xdr:cNvPr>
        <xdr:cNvCxnSpPr/>
      </xdr:nvCxnSpPr>
      <xdr:spPr>
        <a:xfrm flipH="1">
          <a:off x="5986331" y="40335206"/>
          <a:ext cx="3165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81591</xdr:colOff>
      <xdr:row>163</xdr:row>
      <xdr:rowOff>90378</xdr:rowOff>
    </xdr:from>
    <xdr:to>
      <xdr:col>25</xdr:col>
      <xdr:colOff>172575</xdr:colOff>
      <xdr:row>163</xdr:row>
      <xdr:rowOff>190755</xdr:rowOff>
    </xdr:to>
    <xdr:cxnSp macro="">
      <xdr:nvCxnSpPr>
        <xdr:cNvPr id="458" name="直線コネクタ 457">
          <a:extLst>
            <a:ext uri="{FF2B5EF4-FFF2-40B4-BE49-F238E27FC236}">
              <a16:creationId xmlns:a16="http://schemas.microsoft.com/office/drawing/2014/main" id="{792B863F-94B1-6D95-1982-A58F76DB68DF}"/>
            </a:ext>
          </a:extLst>
        </xdr:cNvPr>
        <xdr:cNvCxnSpPr/>
      </xdr:nvCxnSpPr>
      <xdr:spPr>
        <a:xfrm>
          <a:off x="5864627" y="40272271"/>
          <a:ext cx="90984" cy="10037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34273</xdr:colOff>
      <xdr:row>163</xdr:row>
      <xdr:rowOff>92222</xdr:rowOff>
    </xdr:from>
    <xdr:to>
      <xdr:col>25</xdr:col>
      <xdr:colOff>127978</xdr:colOff>
      <xdr:row>163</xdr:row>
      <xdr:rowOff>192599</xdr:rowOff>
    </xdr:to>
    <xdr:cxnSp macro="">
      <xdr:nvCxnSpPr>
        <xdr:cNvPr id="459" name="直線コネクタ 458">
          <a:extLst>
            <a:ext uri="{FF2B5EF4-FFF2-40B4-BE49-F238E27FC236}">
              <a16:creationId xmlns:a16="http://schemas.microsoft.com/office/drawing/2014/main" id="{B368B04C-7222-7EBC-1F9E-3DF960FF5802}"/>
            </a:ext>
          </a:extLst>
        </xdr:cNvPr>
        <xdr:cNvCxnSpPr/>
      </xdr:nvCxnSpPr>
      <xdr:spPr>
        <a:xfrm>
          <a:off x="5817309" y="40274115"/>
          <a:ext cx="93705" cy="10037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34309</xdr:colOff>
      <xdr:row>163</xdr:row>
      <xdr:rowOff>143985</xdr:rowOff>
    </xdr:from>
    <xdr:to>
      <xdr:col>25</xdr:col>
      <xdr:colOff>65035</xdr:colOff>
      <xdr:row>163</xdr:row>
      <xdr:rowOff>174711</xdr:rowOff>
    </xdr:to>
    <xdr:cxnSp macro="">
      <xdr:nvCxnSpPr>
        <xdr:cNvPr id="460" name="直線コネクタ 459">
          <a:extLst>
            <a:ext uri="{FF2B5EF4-FFF2-40B4-BE49-F238E27FC236}">
              <a16:creationId xmlns:a16="http://schemas.microsoft.com/office/drawing/2014/main" id="{4874060E-3E65-57E6-7252-D4F8731BC775}"/>
            </a:ext>
          </a:extLst>
        </xdr:cNvPr>
        <xdr:cNvCxnSpPr/>
      </xdr:nvCxnSpPr>
      <xdr:spPr>
        <a:xfrm flipH="1">
          <a:off x="5817345" y="40325878"/>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54593</xdr:colOff>
      <xdr:row>163</xdr:row>
      <xdr:rowOff>151658</xdr:rowOff>
    </xdr:from>
    <xdr:to>
      <xdr:col>25</xdr:col>
      <xdr:colOff>85319</xdr:colOff>
      <xdr:row>163</xdr:row>
      <xdr:rowOff>191909</xdr:rowOff>
    </xdr:to>
    <xdr:cxnSp macro="">
      <xdr:nvCxnSpPr>
        <xdr:cNvPr id="461" name="直線コネクタ 460">
          <a:extLst>
            <a:ext uri="{FF2B5EF4-FFF2-40B4-BE49-F238E27FC236}">
              <a16:creationId xmlns:a16="http://schemas.microsoft.com/office/drawing/2014/main" id="{10E577CE-39A1-E2D4-78F0-FBA99723EA35}"/>
            </a:ext>
          </a:extLst>
        </xdr:cNvPr>
        <xdr:cNvCxnSpPr/>
      </xdr:nvCxnSpPr>
      <xdr:spPr>
        <a:xfrm flipH="1">
          <a:off x="5837629" y="40333551"/>
          <a:ext cx="30726" cy="402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57686</xdr:colOff>
      <xdr:row>155</xdr:row>
      <xdr:rowOff>192960</xdr:rowOff>
    </xdr:from>
    <xdr:to>
      <xdr:col>29</xdr:col>
      <xdr:colOff>149123</xdr:colOff>
      <xdr:row>156</xdr:row>
      <xdr:rowOff>30669</xdr:rowOff>
    </xdr:to>
    <xdr:cxnSp macro="">
      <xdr:nvCxnSpPr>
        <xdr:cNvPr id="462" name="直線コネクタ 461">
          <a:extLst>
            <a:ext uri="{FF2B5EF4-FFF2-40B4-BE49-F238E27FC236}">
              <a16:creationId xmlns:a16="http://schemas.microsoft.com/office/drawing/2014/main" id="{0A14E4C7-8787-41CA-91A1-F77BE87E96B8}"/>
            </a:ext>
          </a:extLst>
        </xdr:cNvPr>
        <xdr:cNvCxnSpPr/>
      </xdr:nvCxnSpPr>
      <xdr:spPr>
        <a:xfrm>
          <a:off x="6766007" y="38401817"/>
          <a:ext cx="91437"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10368</xdr:colOff>
      <xdr:row>155</xdr:row>
      <xdr:rowOff>204329</xdr:rowOff>
    </xdr:from>
    <xdr:to>
      <xdr:col>29</xdr:col>
      <xdr:colOff>96362</xdr:colOff>
      <xdr:row>156</xdr:row>
      <xdr:rowOff>42038</xdr:rowOff>
    </xdr:to>
    <xdr:cxnSp macro="">
      <xdr:nvCxnSpPr>
        <xdr:cNvPr id="463" name="直線コネクタ 462">
          <a:extLst>
            <a:ext uri="{FF2B5EF4-FFF2-40B4-BE49-F238E27FC236}">
              <a16:creationId xmlns:a16="http://schemas.microsoft.com/office/drawing/2014/main" id="{235A9F62-B84E-4E5B-4044-203F65723774}"/>
            </a:ext>
          </a:extLst>
        </xdr:cNvPr>
        <xdr:cNvCxnSpPr/>
      </xdr:nvCxnSpPr>
      <xdr:spPr>
        <a:xfrm>
          <a:off x="6718689" y="38413186"/>
          <a:ext cx="8599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10404</xdr:colOff>
      <xdr:row>156</xdr:row>
      <xdr:rowOff>232</xdr:rowOff>
    </xdr:from>
    <xdr:to>
      <xdr:col>29</xdr:col>
      <xdr:colOff>41130</xdr:colOff>
      <xdr:row>156</xdr:row>
      <xdr:rowOff>21433</xdr:rowOff>
    </xdr:to>
    <xdr:cxnSp macro="">
      <xdr:nvCxnSpPr>
        <xdr:cNvPr id="464" name="直線コネクタ 463">
          <a:extLst>
            <a:ext uri="{FF2B5EF4-FFF2-40B4-BE49-F238E27FC236}">
              <a16:creationId xmlns:a16="http://schemas.microsoft.com/office/drawing/2014/main" id="{DC9D182D-88C4-04F4-856A-7903D2E69F2B}"/>
            </a:ext>
          </a:extLst>
        </xdr:cNvPr>
        <xdr:cNvCxnSpPr/>
      </xdr:nvCxnSpPr>
      <xdr:spPr>
        <a:xfrm flipH="1">
          <a:off x="6718725" y="38454018"/>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30688</xdr:colOff>
      <xdr:row>156</xdr:row>
      <xdr:rowOff>17430</xdr:rowOff>
    </xdr:from>
    <xdr:to>
      <xdr:col>29</xdr:col>
      <xdr:colOff>61414</xdr:colOff>
      <xdr:row>156</xdr:row>
      <xdr:rowOff>41353</xdr:rowOff>
    </xdr:to>
    <xdr:cxnSp macro="">
      <xdr:nvCxnSpPr>
        <xdr:cNvPr id="465" name="直線コネクタ 464">
          <a:extLst>
            <a:ext uri="{FF2B5EF4-FFF2-40B4-BE49-F238E27FC236}">
              <a16:creationId xmlns:a16="http://schemas.microsoft.com/office/drawing/2014/main" id="{6671C20C-CC0D-1602-C7CD-5B46AFC6EAC9}"/>
            </a:ext>
          </a:extLst>
        </xdr:cNvPr>
        <xdr:cNvCxnSpPr/>
      </xdr:nvCxnSpPr>
      <xdr:spPr>
        <a:xfrm flipH="1">
          <a:off x="6739009" y="38471216"/>
          <a:ext cx="3072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208872</xdr:colOff>
      <xdr:row>155</xdr:row>
      <xdr:rowOff>197996</xdr:rowOff>
    </xdr:from>
    <xdr:to>
      <xdr:col>30</xdr:col>
      <xdr:colOff>62510</xdr:colOff>
      <xdr:row>156</xdr:row>
      <xdr:rowOff>35705</xdr:rowOff>
    </xdr:to>
    <xdr:cxnSp macro="">
      <xdr:nvCxnSpPr>
        <xdr:cNvPr id="466" name="直線コネクタ 465">
          <a:extLst>
            <a:ext uri="{FF2B5EF4-FFF2-40B4-BE49-F238E27FC236}">
              <a16:creationId xmlns:a16="http://schemas.microsoft.com/office/drawing/2014/main" id="{DC7758D9-DEB0-EF89-D52A-3EA2BA4FAA32}"/>
            </a:ext>
          </a:extLst>
        </xdr:cNvPr>
        <xdr:cNvCxnSpPr/>
      </xdr:nvCxnSpPr>
      <xdr:spPr>
        <a:xfrm>
          <a:off x="6917193" y="38406853"/>
          <a:ext cx="84960"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157072</xdr:colOff>
      <xdr:row>155</xdr:row>
      <xdr:rowOff>199840</xdr:rowOff>
    </xdr:from>
    <xdr:to>
      <xdr:col>30</xdr:col>
      <xdr:colOff>19674</xdr:colOff>
      <xdr:row>156</xdr:row>
      <xdr:rowOff>37549</xdr:rowOff>
    </xdr:to>
    <xdr:cxnSp macro="">
      <xdr:nvCxnSpPr>
        <xdr:cNvPr id="467" name="直線コネクタ 466">
          <a:extLst>
            <a:ext uri="{FF2B5EF4-FFF2-40B4-BE49-F238E27FC236}">
              <a16:creationId xmlns:a16="http://schemas.microsoft.com/office/drawing/2014/main" id="{9092B5DB-17D2-EACE-888D-AADDE186D64C}"/>
            </a:ext>
          </a:extLst>
        </xdr:cNvPr>
        <xdr:cNvCxnSpPr/>
      </xdr:nvCxnSpPr>
      <xdr:spPr>
        <a:xfrm>
          <a:off x="6865393" y="38408697"/>
          <a:ext cx="9392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157108</xdr:colOff>
      <xdr:row>155</xdr:row>
      <xdr:rowOff>240667</xdr:rowOff>
    </xdr:from>
    <xdr:to>
      <xdr:col>29</xdr:col>
      <xdr:colOff>192316</xdr:colOff>
      <xdr:row>156</xdr:row>
      <xdr:rowOff>16939</xdr:rowOff>
    </xdr:to>
    <xdr:cxnSp macro="">
      <xdr:nvCxnSpPr>
        <xdr:cNvPr id="468" name="直線コネクタ 467">
          <a:extLst>
            <a:ext uri="{FF2B5EF4-FFF2-40B4-BE49-F238E27FC236}">
              <a16:creationId xmlns:a16="http://schemas.microsoft.com/office/drawing/2014/main" id="{0B305617-B42B-BF51-7987-45F78F79DAA9}"/>
            </a:ext>
          </a:extLst>
        </xdr:cNvPr>
        <xdr:cNvCxnSpPr/>
      </xdr:nvCxnSpPr>
      <xdr:spPr>
        <a:xfrm flipH="1">
          <a:off x="6865429" y="38449524"/>
          <a:ext cx="35208"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177392</xdr:colOff>
      <xdr:row>156</xdr:row>
      <xdr:rowOff>3411</xdr:rowOff>
    </xdr:from>
    <xdr:to>
      <xdr:col>29</xdr:col>
      <xdr:colOff>212600</xdr:colOff>
      <xdr:row>156</xdr:row>
      <xdr:rowOff>36859</xdr:rowOff>
    </xdr:to>
    <xdr:cxnSp macro="">
      <xdr:nvCxnSpPr>
        <xdr:cNvPr id="469" name="直線コネクタ 468">
          <a:extLst>
            <a:ext uri="{FF2B5EF4-FFF2-40B4-BE49-F238E27FC236}">
              <a16:creationId xmlns:a16="http://schemas.microsoft.com/office/drawing/2014/main" id="{22D2D362-6C16-B1B4-E3C8-E2CE99501B20}"/>
            </a:ext>
          </a:extLst>
        </xdr:cNvPr>
        <xdr:cNvCxnSpPr/>
      </xdr:nvCxnSpPr>
      <xdr:spPr>
        <a:xfrm flipH="1">
          <a:off x="6885713" y="38457197"/>
          <a:ext cx="35208" cy="3344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180647</xdr:colOff>
      <xdr:row>163</xdr:row>
      <xdr:rowOff>70759</xdr:rowOff>
    </xdr:from>
    <xdr:to>
      <xdr:col>31</xdr:col>
      <xdr:colOff>104776</xdr:colOff>
      <xdr:row>165</xdr:row>
      <xdr:rowOff>41231</xdr:rowOff>
    </xdr:to>
    <xdr:cxnSp macro="">
      <xdr:nvCxnSpPr>
        <xdr:cNvPr id="470" name="直線コネクタ 469">
          <a:extLst>
            <a:ext uri="{FF2B5EF4-FFF2-40B4-BE49-F238E27FC236}">
              <a16:creationId xmlns:a16="http://schemas.microsoft.com/office/drawing/2014/main" id="{3A032779-2F7C-36EE-4AB5-97059F5A2AD0}"/>
            </a:ext>
          </a:extLst>
        </xdr:cNvPr>
        <xdr:cNvCxnSpPr/>
      </xdr:nvCxnSpPr>
      <xdr:spPr>
        <a:xfrm flipH="1">
          <a:off x="6426326" y="40252652"/>
          <a:ext cx="849414" cy="460329"/>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21</xdr:col>
      <xdr:colOff>112101</xdr:colOff>
      <xdr:row>169</xdr:row>
      <xdr:rowOff>82897</xdr:rowOff>
    </xdr:from>
    <xdr:to>
      <xdr:col>27</xdr:col>
      <xdr:colOff>174078</xdr:colOff>
      <xdr:row>169</xdr:row>
      <xdr:rowOff>82897</xdr:rowOff>
    </xdr:to>
    <xdr:cxnSp macro="">
      <xdr:nvCxnSpPr>
        <xdr:cNvPr id="471" name="直線コネクタ 470">
          <a:extLst>
            <a:ext uri="{FF2B5EF4-FFF2-40B4-BE49-F238E27FC236}">
              <a16:creationId xmlns:a16="http://schemas.microsoft.com/office/drawing/2014/main" id="{5C230FBD-D003-9265-E258-84258E14887C}"/>
            </a:ext>
          </a:extLst>
        </xdr:cNvPr>
        <xdr:cNvCxnSpPr/>
      </xdr:nvCxnSpPr>
      <xdr:spPr>
        <a:xfrm>
          <a:off x="4969851" y="41734361"/>
          <a:ext cx="1449906" cy="0"/>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159287</xdr:colOff>
      <xdr:row>155</xdr:row>
      <xdr:rowOff>205978</xdr:rowOff>
    </xdr:from>
    <xdr:to>
      <xdr:col>27</xdr:col>
      <xdr:colOff>159287</xdr:colOff>
      <xdr:row>169</xdr:row>
      <xdr:rowOff>86634</xdr:rowOff>
    </xdr:to>
    <xdr:cxnSp macro="">
      <xdr:nvCxnSpPr>
        <xdr:cNvPr id="472" name="直線コネクタ 471">
          <a:extLst>
            <a:ext uri="{FF2B5EF4-FFF2-40B4-BE49-F238E27FC236}">
              <a16:creationId xmlns:a16="http://schemas.microsoft.com/office/drawing/2014/main" id="{9F5CA534-29B3-0D24-63C0-89FF89516982}"/>
            </a:ext>
          </a:extLst>
        </xdr:cNvPr>
        <xdr:cNvCxnSpPr/>
      </xdr:nvCxnSpPr>
      <xdr:spPr>
        <a:xfrm>
          <a:off x="6404966" y="38414835"/>
          <a:ext cx="0" cy="3323263"/>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27</xdr:col>
      <xdr:colOff>169251</xdr:colOff>
      <xdr:row>158</xdr:row>
      <xdr:rowOff>104317</xdr:rowOff>
    </xdr:from>
    <xdr:to>
      <xdr:col>34</xdr:col>
      <xdr:colOff>61759</xdr:colOff>
      <xdr:row>158</xdr:row>
      <xdr:rowOff>104317</xdr:rowOff>
    </xdr:to>
    <xdr:cxnSp macro="">
      <xdr:nvCxnSpPr>
        <xdr:cNvPr id="473" name="直線コネクタ 472">
          <a:extLst>
            <a:ext uri="{FF2B5EF4-FFF2-40B4-BE49-F238E27FC236}">
              <a16:creationId xmlns:a16="http://schemas.microsoft.com/office/drawing/2014/main" id="{92358E2D-9D5B-9DFC-6D74-07B675239701}"/>
            </a:ext>
          </a:extLst>
        </xdr:cNvPr>
        <xdr:cNvCxnSpPr/>
      </xdr:nvCxnSpPr>
      <xdr:spPr>
        <a:xfrm>
          <a:off x="6414930" y="39047960"/>
          <a:ext cx="1511758"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27</xdr:col>
      <xdr:colOff>159726</xdr:colOff>
      <xdr:row>156</xdr:row>
      <xdr:rowOff>194532</xdr:rowOff>
    </xdr:from>
    <xdr:to>
      <xdr:col>34</xdr:col>
      <xdr:colOff>136198</xdr:colOff>
      <xdr:row>156</xdr:row>
      <xdr:rowOff>194532</xdr:rowOff>
    </xdr:to>
    <xdr:cxnSp macro="">
      <xdr:nvCxnSpPr>
        <xdr:cNvPr id="474" name="直線コネクタ 473">
          <a:extLst>
            <a:ext uri="{FF2B5EF4-FFF2-40B4-BE49-F238E27FC236}">
              <a16:creationId xmlns:a16="http://schemas.microsoft.com/office/drawing/2014/main" id="{AEE9BF4B-C87E-2A6B-9B4D-916780F8B26D}"/>
            </a:ext>
          </a:extLst>
        </xdr:cNvPr>
        <xdr:cNvCxnSpPr/>
      </xdr:nvCxnSpPr>
      <xdr:spPr>
        <a:xfrm>
          <a:off x="6405405" y="38648318"/>
          <a:ext cx="1595722"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29</xdr:col>
      <xdr:colOff>193785</xdr:colOff>
      <xdr:row>160</xdr:row>
      <xdr:rowOff>29543</xdr:rowOff>
    </xdr:from>
    <xdr:to>
      <xdr:col>31</xdr:col>
      <xdr:colOff>106836</xdr:colOff>
      <xdr:row>163</xdr:row>
      <xdr:rowOff>78658</xdr:rowOff>
    </xdr:to>
    <xdr:cxnSp macro="">
      <xdr:nvCxnSpPr>
        <xdr:cNvPr id="475" name="直線コネクタ 474">
          <a:extLst>
            <a:ext uri="{FF2B5EF4-FFF2-40B4-BE49-F238E27FC236}">
              <a16:creationId xmlns:a16="http://schemas.microsoft.com/office/drawing/2014/main" id="{EBB93555-8E70-722D-66DC-9A0033B38DF3}"/>
            </a:ext>
          </a:extLst>
        </xdr:cNvPr>
        <xdr:cNvCxnSpPr/>
      </xdr:nvCxnSpPr>
      <xdr:spPr>
        <a:xfrm flipH="1" flipV="1">
          <a:off x="6902106" y="39463043"/>
          <a:ext cx="375694" cy="797508"/>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27</xdr:col>
      <xdr:colOff>169251</xdr:colOff>
      <xdr:row>163</xdr:row>
      <xdr:rowOff>75491</xdr:rowOff>
    </xdr:from>
    <xdr:to>
      <xdr:col>34</xdr:col>
      <xdr:colOff>16936</xdr:colOff>
      <xdr:row>163</xdr:row>
      <xdr:rowOff>75491</xdr:rowOff>
    </xdr:to>
    <xdr:cxnSp macro="">
      <xdr:nvCxnSpPr>
        <xdr:cNvPr id="476" name="直線コネクタ 475">
          <a:extLst>
            <a:ext uri="{FF2B5EF4-FFF2-40B4-BE49-F238E27FC236}">
              <a16:creationId xmlns:a16="http://schemas.microsoft.com/office/drawing/2014/main" id="{91C5021F-094E-8095-0E7D-9D49ED50F084}"/>
            </a:ext>
          </a:extLst>
        </xdr:cNvPr>
        <xdr:cNvCxnSpPr/>
      </xdr:nvCxnSpPr>
      <xdr:spPr>
        <a:xfrm>
          <a:off x="6414930" y="40257384"/>
          <a:ext cx="1466935"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24</xdr:col>
      <xdr:colOff>90894</xdr:colOff>
      <xdr:row>156</xdr:row>
      <xdr:rowOff>116023</xdr:rowOff>
    </xdr:from>
    <xdr:to>
      <xdr:col>26</xdr:col>
      <xdr:colOff>190399</xdr:colOff>
      <xdr:row>156</xdr:row>
      <xdr:rowOff>116023</xdr:rowOff>
    </xdr:to>
    <xdr:cxnSp macro="">
      <xdr:nvCxnSpPr>
        <xdr:cNvPr id="477" name="直線コネクタ 476">
          <a:extLst>
            <a:ext uri="{FF2B5EF4-FFF2-40B4-BE49-F238E27FC236}">
              <a16:creationId xmlns:a16="http://schemas.microsoft.com/office/drawing/2014/main" id="{47D67982-59A3-8844-F5C2-5F5685DCB44A}"/>
            </a:ext>
          </a:extLst>
        </xdr:cNvPr>
        <xdr:cNvCxnSpPr/>
      </xdr:nvCxnSpPr>
      <xdr:spPr>
        <a:xfrm>
          <a:off x="5642608" y="38569809"/>
          <a:ext cx="56214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112666</xdr:colOff>
      <xdr:row>157</xdr:row>
      <xdr:rowOff>16181</xdr:rowOff>
    </xdr:from>
    <xdr:to>
      <xdr:col>26</xdr:col>
      <xdr:colOff>180373</xdr:colOff>
      <xdr:row>157</xdr:row>
      <xdr:rowOff>16181</xdr:rowOff>
    </xdr:to>
    <xdr:cxnSp macro="">
      <xdr:nvCxnSpPr>
        <xdr:cNvPr id="478" name="直線コネクタ 477">
          <a:extLst>
            <a:ext uri="{FF2B5EF4-FFF2-40B4-BE49-F238E27FC236}">
              <a16:creationId xmlns:a16="http://schemas.microsoft.com/office/drawing/2014/main" id="{684CB28D-A88E-240E-365F-62F0A4E347B4}"/>
            </a:ext>
          </a:extLst>
        </xdr:cNvPr>
        <xdr:cNvCxnSpPr/>
      </xdr:nvCxnSpPr>
      <xdr:spPr>
        <a:xfrm>
          <a:off x="5664380" y="38714895"/>
          <a:ext cx="5303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188394</xdr:colOff>
      <xdr:row>156</xdr:row>
      <xdr:rowOff>118117</xdr:rowOff>
    </xdr:from>
    <xdr:to>
      <xdr:col>26</xdr:col>
      <xdr:colOff>188394</xdr:colOff>
      <xdr:row>157</xdr:row>
      <xdr:rowOff>16566</xdr:rowOff>
    </xdr:to>
    <xdr:cxnSp macro="">
      <xdr:nvCxnSpPr>
        <xdr:cNvPr id="479" name="直線コネクタ 478">
          <a:extLst>
            <a:ext uri="{FF2B5EF4-FFF2-40B4-BE49-F238E27FC236}">
              <a16:creationId xmlns:a16="http://schemas.microsoft.com/office/drawing/2014/main" id="{3EF59ED4-C113-4995-6990-681AEE1F1C25}"/>
            </a:ext>
          </a:extLst>
        </xdr:cNvPr>
        <xdr:cNvCxnSpPr/>
      </xdr:nvCxnSpPr>
      <xdr:spPr>
        <a:xfrm>
          <a:off x="6202751" y="38571903"/>
          <a:ext cx="0" cy="14337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215608</xdr:colOff>
      <xdr:row>156</xdr:row>
      <xdr:rowOff>110714</xdr:rowOff>
    </xdr:from>
    <xdr:to>
      <xdr:col>26</xdr:col>
      <xdr:colOff>215608</xdr:colOff>
      <xdr:row>157</xdr:row>
      <xdr:rowOff>30353</xdr:rowOff>
    </xdr:to>
    <xdr:cxnSp macro="">
      <xdr:nvCxnSpPr>
        <xdr:cNvPr id="480" name="直線コネクタ 479">
          <a:extLst>
            <a:ext uri="{FF2B5EF4-FFF2-40B4-BE49-F238E27FC236}">
              <a16:creationId xmlns:a16="http://schemas.microsoft.com/office/drawing/2014/main" id="{0411A25E-F7B7-A222-95B2-ABCB2D9EA712}"/>
            </a:ext>
          </a:extLst>
        </xdr:cNvPr>
        <xdr:cNvCxnSpPr/>
      </xdr:nvCxnSpPr>
      <xdr:spPr>
        <a:xfrm>
          <a:off x="6229965" y="38564500"/>
          <a:ext cx="0" cy="16456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129882</xdr:colOff>
      <xdr:row>156</xdr:row>
      <xdr:rowOff>110714</xdr:rowOff>
    </xdr:from>
    <xdr:to>
      <xdr:col>27</xdr:col>
      <xdr:colOff>129882</xdr:colOff>
      <xdr:row>157</xdr:row>
      <xdr:rowOff>30353</xdr:rowOff>
    </xdr:to>
    <xdr:cxnSp macro="">
      <xdr:nvCxnSpPr>
        <xdr:cNvPr id="481" name="直線コネクタ 480">
          <a:extLst>
            <a:ext uri="{FF2B5EF4-FFF2-40B4-BE49-F238E27FC236}">
              <a16:creationId xmlns:a16="http://schemas.microsoft.com/office/drawing/2014/main" id="{65B80C93-6BDD-5E00-2F93-C1675B98A059}"/>
            </a:ext>
          </a:extLst>
        </xdr:cNvPr>
        <xdr:cNvCxnSpPr/>
      </xdr:nvCxnSpPr>
      <xdr:spPr>
        <a:xfrm>
          <a:off x="6375561" y="38564500"/>
          <a:ext cx="0" cy="16456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214538</xdr:colOff>
      <xdr:row>156</xdr:row>
      <xdr:rowOff>196358</xdr:rowOff>
    </xdr:from>
    <xdr:to>
      <xdr:col>27</xdr:col>
      <xdr:colOff>125411</xdr:colOff>
      <xdr:row>156</xdr:row>
      <xdr:rowOff>196358</xdr:rowOff>
    </xdr:to>
    <xdr:cxnSp macro="">
      <xdr:nvCxnSpPr>
        <xdr:cNvPr id="482" name="直線コネクタ 481">
          <a:extLst>
            <a:ext uri="{FF2B5EF4-FFF2-40B4-BE49-F238E27FC236}">
              <a16:creationId xmlns:a16="http://schemas.microsoft.com/office/drawing/2014/main" id="{2F4F887C-FE7E-C5E3-C8B7-29B1759D4412}"/>
            </a:ext>
          </a:extLst>
        </xdr:cNvPr>
        <xdr:cNvCxnSpPr/>
      </xdr:nvCxnSpPr>
      <xdr:spPr>
        <a:xfrm>
          <a:off x="6228895" y="38650144"/>
          <a:ext cx="14219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88476</xdr:colOff>
      <xdr:row>165</xdr:row>
      <xdr:rowOff>206176</xdr:rowOff>
    </xdr:from>
    <xdr:to>
      <xdr:col>27</xdr:col>
      <xdr:colOff>218077</xdr:colOff>
      <xdr:row>166</xdr:row>
      <xdr:rowOff>97734</xdr:rowOff>
    </xdr:to>
    <xdr:sp macro="" textlink="">
      <xdr:nvSpPr>
        <xdr:cNvPr id="483" name="楕円 482">
          <a:extLst>
            <a:ext uri="{FF2B5EF4-FFF2-40B4-BE49-F238E27FC236}">
              <a16:creationId xmlns:a16="http://schemas.microsoft.com/office/drawing/2014/main" id="{C6C4970C-0D56-91AF-7F09-8B8EC3B38DF4}"/>
            </a:ext>
          </a:extLst>
        </xdr:cNvPr>
        <xdr:cNvSpPr/>
      </xdr:nvSpPr>
      <xdr:spPr>
        <a:xfrm>
          <a:off x="6334155" y="40877926"/>
          <a:ext cx="129601" cy="136487"/>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90894</xdr:colOff>
      <xdr:row>159</xdr:row>
      <xdr:rowOff>199859</xdr:rowOff>
    </xdr:from>
    <xdr:to>
      <xdr:col>26</xdr:col>
      <xdr:colOff>190399</xdr:colOff>
      <xdr:row>159</xdr:row>
      <xdr:rowOff>199859</xdr:rowOff>
    </xdr:to>
    <xdr:cxnSp macro="">
      <xdr:nvCxnSpPr>
        <xdr:cNvPr id="484" name="直線コネクタ 483">
          <a:extLst>
            <a:ext uri="{FF2B5EF4-FFF2-40B4-BE49-F238E27FC236}">
              <a16:creationId xmlns:a16="http://schemas.microsoft.com/office/drawing/2014/main" id="{8164B3C9-799E-9228-F53D-05FB32CF04C6}"/>
            </a:ext>
          </a:extLst>
        </xdr:cNvPr>
        <xdr:cNvCxnSpPr/>
      </xdr:nvCxnSpPr>
      <xdr:spPr>
        <a:xfrm>
          <a:off x="5642608" y="39388430"/>
          <a:ext cx="56214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112666</xdr:colOff>
      <xdr:row>160</xdr:row>
      <xdr:rowOff>85698</xdr:rowOff>
    </xdr:from>
    <xdr:to>
      <xdr:col>26</xdr:col>
      <xdr:colOff>180373</xdr:colOff>
      <xdr:row>160</xdr:row>
      <xdr:rowOff>85698</xdr:rowOff>
    </xdr:to>
    <xdr:cxnSp macro="">
      <xdr:nvCxnSpPr>
        <xdr:cNvPr id="485" name="直線コネクタ 484">
          <a:extLst>
            <a:ext uri="{FF2B5EF4-FFF2-40B4-BE49-F238E27FC236}">
              <a16:creationId xmlns:a16="http://schemas.microsoft.com/office/drawing/2014/main" id="{E1D28F20-6952-577A-3B89-28DC025E025F}"/>
            </a:ext>
          </a:extLst>
        </xdr:cNvPr>
        <xdr:cNvCxnSpPr/>
      </xdr:nvCxnSpPr>
      <xdr:spPr>
        <a:xfrm>
          <a:off x="5664380" y="39519198"/>
          <a:ext cx="5303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188394</xdr:colOff>
      <xdr:row>159</xdr:row>
      <xdr:rowOff>204755</xdr:rowOff>
    </xdr:from>
    <xdr:to>
      <xdr:col>26</xdr:col>
      <xdr:colOff>188394</xdr:colOff>
      <xdr:row>160</xdr:row>
      <xdr:rowOff>86083</xdr:rowOff>
    </xdr:to>
    <xdr:cxnSp macro="">
      <xdr:nvCxnSpPr>
        <xdr:cNvPr id="486" name="直線コネクタ 485">
          <a:extLst>
            <a:ext uri="{FF2B5EF4-FFF2-40B4-BE49-F238E27FC236}">
              <a16:creationId xmlns:a16="http://schemas.microsoft.com/office/drawing/2014/main" id="{425599DA-6805-82A8-21C0-2FD6E66E25AB}"/>
            </a:ext>
          </a:extLst>
        </xdr:cNvPr>
        <xdr:cNvCxnSpPr/>
      </xdr:nvCxnSpPr>
      <xdr:spPr>
        <a:xfrm>
          <a:off x="6202751" y="39393326"/>
          <a:ext cx="0" cy="12625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215608</xdr:colOff>
      <xdr:row>159</xdr:row>
      <xdr:rowOff>194550</xdr:rowOff>
    </xdr:from>
    <xdr:to>
      <xdr:col>26</xdr:col>
      <xdr:colOff>215608</xdr:colOff>
      <xdr:row>160</xdr:row>
      <xdr:rowOff>99869</xdr:rowOff>
    </xdr:to>
    <xdr:cxnSp macro="">
      <xdr:nvCxnSpPr>
        <xdr:cNvPr id="487" name="直線コネクタ 486">
          <a:extLst>
            <a:ext uri="{FF2B5EF4-FFF2-40B4-BE49-F238E27FC236}">
              <a16:creationId xmlns:a16="http://schemas.microsoft.com/office/drawing/2014/main" id="{3B57ECF5-6F0E-8496-4C5A-493502C53410}"/>
            </a:ext>
          </a:extLst>
        </xdr:cNvPr>
        <xdr:cNvCxnSpPr/>
      </xdr:nvCxnSpPr>
      <xdr:spPr>
        <a:xfrm>
          <a:off x="6229965" y="39383121"/>
          <a:ext cx="0" cy="15024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129882</xdr:colOff>
      <xdr:row>159</xdr:row>
      <xdr:rowOff>194550</xdr:rowOff>
    </xdr:from>
    <xdr:to>
      <xdr:col>27</xdr:col>
      <xdr:colOff>129882</xdr:colOff>
      <xdr:row>160</xdr:row>
      <xdr:rowOff>99869</xdr:rowOff>
    </xdr:to>
    <xdr:cxnSp macro="">
      <xdr:nvCxnSpPr>
        <xdr:cNvPr id="488" name="直線コネクタ 487">
          <a:extLst>
            <a:ext uri="{FF2B5EF4-FFF2-40B4-BE49-F238E27FC236}">
              <a16:creationId xmlns:a16="http://schemas.microsoft.com/office/drawing/2014/main" id="{99659112-804F-DDEC-F129-E1D1B1EB03D1}"/>
            </a:ext>
          </a:extLst>
        </xdr:cNvPr>
        <xdr:cNvCxnSpPr/>
      </xdr:nvCxnSpPr>
      <xdr:spPr>
        <a:xfrm>
          <a:off x="6375561" y="39383121"/>
          <a:ext cx="0" cy="15024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214538</xdr:colOff>
      <xdr:row>160</xdr:row>
      <xdr:rowOff>19452</xdr:rowOff>
    </xdr:from>
    <xdr:to>
      <xdr:col>27</xdr:col>
      <xdr:colOff>125411</xdr:colOff>
      <xdr:row>160</xdr:row>
      <xdr:rowOff>19452</xdr:rowOff>
    </xdr:to>
    <xdr:cxnSp macro="">
      <xdr:nvCxnSpPr>
        <xdr:cNvPr id="489" name="直線コネクタ 488">
          <a:extLst>
            <a:ext uri="{FF2B5EF4-FFF2-40B4-BE49-F238E27FC236}">
              <a16:creationId xmlns:a16="http://schemas.microsoft.com/office/drawing/2014/main" id="{D4AE8C98-331E-4AF9-7913-CCCCF59BBFD0}"/>
            </a:ext>
          </a:extLst>
        </xdr:cNvPr>
        <xdr:cNvCxnSpPr/>
      </xdr:nvCxnSpPr>
      <xdr:spPr>
        <a:xfrm>
          <a:off x="6228895" y="39452952"/>
          <a:ext cx="14219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3140</xdr:colOff>
      <xdr:row>166</xdr:row>
      <xdr:rowOff>207166</xdr:rowOff>
    </xdr:from>
    <xdr:to>
      <xdr:col>34</xdr:col>
      <xdr:colOff>42709</xdr:colOff>
      <xdr:row>166</xdr:row>
      <xdr:rowOff>207166</xdr:rowOff>
    </xdr:to>
    <xdr:cxnSp macro="">
      <xdr:nvCxnSpPr>
        <xdr:cNvPr id="490" name="直線コネクタ 489">
          <a:extLst>
            <a:ext uri="{FF2B5EF4-FFF2-40B4-BE49-F238E27FC236}">
              <a16:creationId xmlns:a16="http://schemas.microsoft.com/office/drawing/2014/main" id="{FE92583B-58B0-8ABD-8A2B-1FEB87828B5D}"/>
            </a:ext>
          </a:extLst>
        </xdr:cNvPr>
        <xdr:cNvCxnSpPr/>
      </xdr:nvCxnSpPr>
      <xdr:spPr>
        <a:xfrm>
          <a:off x="5323533" y="41123845"/>
          <a:ext cx="2584105"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21</xdr:col>
      <xdr:colOff>129879</xdr:colOff>
      <xdr:row>166</xdr:row>
      <xdr:rowOff>211762</xdr:rowOff>
    </xdr:from>
    <xdr:to>
      <xdr:col>23</xdr:col>
      <xdr:colOff>148828</xdr:colOff>
      <xdr:row>169</xdr:row>
      <xdr:rowOff>77438</xdr:rowOff>
    </xdr:to>
    <xdr:cxnSp macro="">
      <xdr:nvCxnSpPr>
        <xdr:cNvPr id="491" name="直線コネクタ 490">
          <a:extLst>
            <a:ext uri="{FF2B5EF4-FFF2-40B4-BE49-F238E27FC236}">
              <a16:creationId xmlns:a16="http://schemas.microsoft.com/office/drawing/2014/main" id="{B50BD5F3-AD0E-06F7-AF3F-29E314B9984A}"/>
            </a:ext>
          </a:extLst>
        </xdr:cNvPr>
        <xdr:cNvCxnSpPr/>
      </xdr:nvCxnSpPr>
      <xdr:spPr>
        <a:xfrm flipH="1">
          <a:off x="4987629" y="41128441"/>
          <a:ext cx="481592" cy="600461"/>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29</xdr:col>
      <xdr:colOff>311</xdr:colOff>
      <xdr:row>154</xdr:row>
      <xdr:rowOff>243518</xdr:rowOff>
    </xdr:from>
    <xdr:to>
      <xdr:col>29</xdr:col>
      <xdr:colOff>311</xdr:colOff>
      <xdr:row>158</xdr:row>
      <xdr:rowOff>125751</xdr:rowOff>
    </xdr:to>
    <xdr:cxnSp macro="">
      <xdr:nvCxnSpPr>
        <xdr:cNvPr id="492" name="直線コネクタ 491">
          <a:extLst>
            <a:ext uri="{FF2B5EF4-FFF2-40B4-BE49-F238E27FC236}">
              <a16:creationId xmlns:a16="http://schemas.microsoft.com/office/drawing/2014/main" id="{CEED5D9E-E0F6-F562-FF79-5360A157DCF9}"/>
            </a:ext>
          </a:extLst>
        </xdr:cNvPr>
        <xdr:cNvCxnSpPr/>
      </xdr:nvCxnSpPr>
      <xdr:spPr>
        <a:xfrm>
          <a:off x="6708632" y="38207447"/>
          <a:ext cx="0" cy="861947"/>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173733</xdr:colOff>
      <xdr:row>154</xdr:row>
      <xdr:rowOff>241545</xdr:rowOff>
    </xdr:from>
    <xdr:to>
      <xdr:col>28</xdr:col>
      <xdr:colOff>226401</xdr:colOff>
      <xdr:row>154</xdr:row>
      <xdr:rowOff>241545</xdr:rowOff>
    </xdr:to>
    <xdr:cxnSp macro="">
      <xdr:nvCxnSpPr>
        <xdr:cNvPr id="493" name="直線コネクタ 492">
          <a:extLst>
            <a:ext uri="{FF2B5EF4-FFF2-40B4-BE49-F238E27FC236}">
              <a16:creationId xmlns:a16="http://schemas.microsoft.com/office/drawing/2014/main" id="{99A0CDD7-C760-7A07-A865-FE7FBBEBE5E1}"/>
            </a:ext>
          </a:extLst>
        </xdr:cNvPr>
        <xdr:cNvCxnSpPr/>
      </xdr:nvCxnSpPr>
      <xdr:spPr>
        <a:xfrm>
          <a:off x="6419412" y="38205474"/>
          <a:ext cx="283989" cy="0"/>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33</xdr:col>
      <xdr:colOff>205341</xdr:colOff>
      <xdr:row>155</xdr:row>
      <xdr:rowOff>217896</xdr:rowOff>
    </xdr:from>
    <xdr:to>
      <xdr:col>33</xdr:col>
      <xdr:colOff>205341</xdr:colOff>
      <xdr:row>156</xdr:row>
      <xdr:rowOff>207129</xdr:rowOff>
    </xdr:to>
    <xdr:cxnSp macro="">
      <xdr:nvCxnSpPr>
        <xdr:cNvPr id="494" name="直線矢印コネクタ 493">
          <a:extLst>
            <a:ext uri="{FF2B5EF4-FFF2-40B4-BE49-F238E27FC236}">
              <a16:creationId xmlns:a16="http://schemas.microsoft.com/office/drawing/2014/main" id="{6A95D008-0CE9-0E8E-806A-2338D4A488A8}"/>
            </a:ext>
          </a:extLst>
        </xdr:cNvPr>
        <xdr:cNvCxnSpPr/>
      </xdr:nvCxnSpPr>
      <xdr:spPr>
        <a:xfrm>
          <a:off x="7838948" y="38426753"/>
          <a:ext cx="0" cy="234162"/>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205341</xdr:colOff>
      <xdr:row>156</xdr:row>
      <xdr:rowOff>226179</xdr:rowOff>
    </xdr:from>
    <xdr:to>
      <xdr:col>33</xdr:col>
      <xdr:colOff>205341</xdr:colOff>
      <xdr:row>158</xdr:row>
      <xdr:rowOff>99693</xdr:rowOff>
    </xdr:to>
    <xdr:cxnSp macro="">
      <xdr:nvCxnSpPr>
        <xdr:cNvPr id="495" name="直線矢印コネクタ 494">
          <a:extLst>
            <a:ext uri="{FF2B5EF4-FFF2-40B4-BE49-F238E27FC236}">
              <a16:creationId xmlns:a16="http://schemas.microsoft.com/office/drawing/2014/main" id="{41C3DE82-2EE0-AB96-B4E9-F91EEACEBFDB}"/>
            </a:ext>
          </a:extLst>
        </xdr:cNvPr>
        <xdr:cNvCxnSpPr/>
      </xdr:nvCxnSpPr>
      <xdr:spPr>
        <a:xfrm>
          <a:off x="7838948" y="38679965"/>
          <a:ext cx="0" cy="36337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205341</xdr:colOff>
      <xdr:row>158</xdr:row>
      <xdr:rowOff>186008</xdr:rowOff>
    </xdr:from>
    <xdr:to>
      <xdr:col>33</xdr:col>
      <xdr:colOff>205341</xdr:colOff>
      <xdr:row>163</xdr:row>
      <xdr:rowOff>72840</xdr:rowOff>
    </xdr:to>
    <xdr:cxnSp macro="">
      <xdr:nvCxnSpPr>
        <xdr:cNvPr id="496" name="直線矢印コネクタ 495">
          <a:extLst>
            <a:ext uri="{FF2B5EF4-FFF2-40B4-BE49-F238E27FC236}">
              <a16:creationId xmlns:a16="http://schemas.microsoft.com/office/drawing/2014/main" id="{5F8D431E-006E-C760-A093-3AF7BB069876}"/>
            </a:ext>
          </a:extLst>
        </xdr:cNvPr>
        <xdr:cNvCxnSpPr/>
      </xdr:nvCxnSpPr>
      <xdr:spPr>
        <a:xfrm>
          <a:off x="7838948" y="39129651"/>
          <a:ext cx="0" cy="1125082"/>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205341</xdr:colOff>
      <xdr:row>163</xdr:row>
      <xdr:rowOff>92061</xdr:rowOff>
    </xdr:from>
    <xdr:to>
      <xdr:col>33</xdr:col>
      <xdr:colOff>205341</xdr:colOff>
      <xdr:row>166</xdr:row>
      <xdr:rowOff>184988</xdr:rowOff>
    </xdr:to>
    <xdr:cxnSp macro="">
      <xdr:nvCxnSpPr>
        <xdr:cNvPr id="497" name="直線矢印コネクタ 496">
          <a:extLst>
            <a:ext uri="{FF2B5EF4-FFF2-40B4-BE49-F238E27FC236}">
              <a16:creationId xmlns:a16="http://schemas.microsoft.com/office/drawing/2014/main" id="{23DBB24A-C979-0AE9-7D19-6D979812DE80}"/>
            </a:ext>
          </a:extLst>
        </xdr:cNvPr>
        <xdr:cNvCxnSpPr/>
      </xdr:nvCxnSpPr>
      <xdr:spPr>
        <a:xfrm>
          <a:off x="7838948" y="40273954"/>
          <a:ext cx="0" cy="82771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207149</xdr:colOff>
      <xdr:row>160</xdr:row>
      <xdr:rowOff>11331</xdr:rowOff>
    </xdr:from>
    <xdr:to>
      <xdr:col>22</xdr:col>
      <xdr:colOff>207149</xdr:colOff>
      <xdr:row>163</xdr:row>
      <xdr:rowOff>61020</xdr:rowOff>
    </xdr:to>
    <xdr:cxnSp macro="">
      <xdr:nvCxnSpPr>
        <xdr:cNvPr id="499" name="直線矢印コネクタ 498">
          <a:extLst>
            <a:ext uri="{FF2B5EF4-FFF2-40B4-BE49-F238E27FC236}">
              <a16:creationId xmlns:a16="http://schemas.microsoft.com/office/drawing/2014/main" id="{1366F951-C062-1922-D1E8-38CC136131C3}"/>
            </a:ext>
          </a:extLst>
        </xdr:cNvPr>
        <xdr:cNvCxnSpPr/>
      </xdr:nvCxnSpPr>
      <xdr:spPr>
        <a:xfrm>
          <a:off x="5296220" y="39444831"/>
          <a:ext cx="0" cy="798082"/>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135208</xdr:colOff>
      <xdr:row>160</xdr:row>
      <xdr:rowOff>5360</xdr:rowOff>
    </xdr:from>
    <xdr:to>
      <xdr:col>23</xdr:col>
      <xdr:colOff>132795</xdr:colOff>
      <xdr:row>160</xdr:row>
      <xdr:rowOff>5360</xdr:rowOff>
    </xdr:to>
    <xdr:cxnSp macro="">
      <xdr:nvCxnSpPr>
        <xdr:cNvPr id="500" name="直線コネクタ 499">
          <a:extLst>
            <a:ext uri="{FF2B5EF4-FFF2-40B4-BE49-F238E27FC236}">
              <a16:creationId xmlns:a16="http://schemas.microsoft.com/office/drawing/2014/main" id="{30D8962F-08EA-2930-E6B7-4ABC942EF3AD}"/>
            </a:ext>
          </a:extLst>
        </xdr:cNvPr>
        <xdr:cNvCxnSpPr/>
      </xdr:nvCxnSpPr>
      <xdr:spPr>
        <a:xfrm>
          <a:off x="5224279" y="39438860"/>
          <a:ext cx="228909"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22</xdr:col>
      <xdr:colOff>135208</xdr:colOff>
      <xdr:row>163</xdr:row>
      <xdr:rowOff>69414</xdr:rowOff>
    </xdr:from>
    <xdr:to>
      <xdr:col>23</xdr:col>
      <xdr:colOff>132795</xdr:colOff>
      <xdr:row>163</xdr:row>
      <xdr:rowOff>69414</xdr:rowOff>
    </xdr:to>
    <xdr:cxnSp macro="">
      <xdr:nvCxnSpPr>
        <xdr:cNvPr id="501" name="直線コネクタ 500">
          <a:extLst>
            <a:ext uri="{FF2B5EF4-FFF2-40B4-BE49-F238E27FC236}">
              <a16:creationId xmlns:a16="http://schemas.microsoft.com/office/drawing/2014/main" id="{07B4B7AD-11B2-4AD7-19BD-CCF2FC7AC236}"/>
            </a:ext>
          </a:extLst>
        </xdr:cNvPr>
        <xdr:cNvCxnSpPr/>
      </xdr:nvCxnSpPr>
      <xdr:spPr>
        <a:xfrm>
          <a:off x="5224279" y="40251307"/>
          <a:ext cx="228909"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166552</xdr:colOff>
      <xdr:row>154</xdr:row>
      <xdr:rowOff>237841</xdr:rowOff>
    </xdr:from>
    <xdr:to>
      <xdr:col>27</xdr:col>
      <xdr:colOff>166552</xdr:colOff>
      <xdr:row>155</xdr:row>
      <xdr:rowOff>192936</xdr:rowOff>
    </xdr:to>
    <xdr:cxnSp macro="">
      <xdr:nvCxnSpPr>
        <xdr:cNvPr id="503" name="直線コネクタ 502">
          <a:extLst>
            <a:ext uri="{FF2B5EF4-FFF2-40B4-BE49-F238E27FC236}">
              <a16:creationId xmlns:a16="http://schemas.microsoft.com/office/drawing/2014/main" id="{8B78AB62-ACB7-0FF9-E0F8-95AF8EB78BD5}"/>
            </a:ext>
          </a:extLst>
        </xdr:cNvPr>
        <xdr:cNvCxnSpPr/>
      </xdr:nvCxnSpPr>
      <xdr:spPr>
        <a:xfrm>
          <a:off x="6412231" y="38201770"/>
          <a:ext cx="0" cy="200023"/>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33</xdr:col>
      <xdr:colOff>204646</xdr:colOff>
      <xdr:row>166</xdr:row>
      <xdr:rowOff>208664</xdr:rowOff>
    </xdr:from>
    <xdr:to>
      <xdr:col>33</xdr:col>
      <xdr:colOff>204646</xdr:colOff>
      <xdr:row>169</xdr:row>
      <xdr:rowOff>70474</xdr:rowOff>
    </xdr:to>
    <xdr:cxnSp macro="">
      <xdr:nvCxnSpPr>
        <xdr:cNvPr id="504" name="直線矢印コネクタ 503">
          <a:extLst>
            <a:ext uri="{FF2B5EF4-FFF2-40B4-BE49-F238E27FC236}">
              <a16:creationId xmlns:a16="http://schemas.microsoft.com/office/drawing/2014/main" id="{FB5B5ACE-AF23-17B1-BDB5-4641032CAEC3}"/>
            </a:ext>
          </a:extLst>
        </xdr:cNvPr>
        <xdr:cNvCxnSpPr/>
      </xdr:nvCxnSpPr>
      <xdr:spPr>
        <a:xfrm>
          <a:off x="7838253" y="41125343"/>
          <a:ext cx="0" cy="59659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146122</xdr:colOff>
      <xdr:row>169</xdr:row>
      <xdr:rowOff>82608</xdr:rowOff>
    </xdr:from>
    <xdr:to>
      <xdr:col>34</xdr:col>
      <xdr:colOff>48152</xdr:colOff>
      <xdr:row>169</xdr:row>
      <xdr:rowOff>82608</xdr:rowOff>
    </xdr:to>
    <xdr:cxnSp macro="">
      <xdr:nvCxnSpPr>
        <xdr:cNvPr id="505" name="直線コネクタ 504">
          <a:extLst>
            <a:ext uri="{FF2B5EF4-FFF2-40B4-BE49-F238E27FC236}">
              <a16:creationId xmlns:a16="http://schemas.microsoft.com/office/drawing/2014/main" id="{AB7C09A3-ACF4-6EA7-6128-63819AAF5C1C}"/>
            </a:ext>
          </a:extLst>
        </xdr:cNvPr>
        <xdr:cNvCxnSpPr/>
      </xdr:nvCxnSpPr>
      <xdr:spPr>
        <a:xfrm>
          <a:off x="5003872" y="41734072"/>
          <a:ext cx="2909209"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23</xdr:col>
      <xdr:colOff>147539</xdr:colOff>
      <xdr:row>166</xdr:row>
      <xdr:rowOff>206677</xdr:rowOff>
    </xdr:from>
    <xdr:to>
      <xdr:col>24</xdr:col>
      <xdr:colOff>107157</xdr:colOff>
      <xdr:row>166</xdr:row>
      <xdr:rowOff>206677</xdr:rowOff>
    </xdr:to>
    <xdr:cxnSp macro="">
      <xdr:nvCxnSpPr>
        <xdr:cNvPr id="506" name="直線コネクタ 505">
          <a:extLst>
            <a:ext uri="{FF2B5EF4-FFF2-40B4-BE49-F238E27FC236}">
              <a16:creationId xmlns:a16="http://schemas.microsoft.com/office/drawing/2014/main" id="{6C168CF4-EB59-3A27-8813-9013F0A817B3}"/>
            </a:ext>
          </a:extLst>
        </xdr:cNvPr>
        <xdr:cNvCxnSpPr/>
      </xdr:nvCxnSpPr>
      <xdr:spPr>
        <a:xfrm>
          <a:off x="5467932" y="41123356"/>
          <a:ext cx="190939" cy="0"/>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30</xdr:col>
      <xdr:colOff>112506</xdr:colOff>
      <xdr:row>155</xdr:row>
      <xdr:rowOff>150745</xdr:rowOff>
    </xdr:from>
    <xdr:to>
      <xdr:col>34</xdr:col>
      <xdr:colOff>102176</xdr:colOff>
      <xdr:row>156</xdr:row>
      <xdr:rowOff>178350</xdr:rowOff>
    </xdr:to>
    <xdr:sp macro="" textlink="">
      <xdr:nvSpPr>
        <xdr:cNvPr id="509" name="テキスト ボックス 508">
          <a:extLst>
            <a:ext uri="{FF2B5EF4-FFF2-40B4-BE49-F238E27FC236}">
              <a16:creationId xmlns:a16="http://schemas.microsoft.com/office/drawing/2014/main" id="{A7BCDC8A-DAC7-FF2F-0496-CE91F76F9596}"/>
            </a:ext>
          </a:extLst>
        </xdr:cNvPr>
        <xdr:cNvSpPr txBox="1"/>
      </xdr:nvSpPr>
      <xdr:spPr>
        <a:xfrm>
          <a:off x="7052149" y="38359602"/>
          <a:ext cx="914956" cy="272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 </a:t>
          </a:r>
          <a:r>
            <a:rPr kumimoji="1" lang="en-US" altLang="ja-JP" sz="1100"/>
            <a:t>1.00m</a:t>
          </a:r>
          <a:endParaRPr kumimoji="1" lang="ja-JP" altLang="en-US" sz="1100"/>
        </a:p>
      </xdr:txBody>
    </xdr:sp>
    <xdr:clientData/>
  </xdr:twoCellAnchor>
  <xdr:twoCellAnchor editAs="oneCell">
    <xdr:from>
      <xdr:col>30</xdr:col>
      <xdr:colOff>110505</xdr:colOff>
      <xdr:row>156</xdr:row>
      <xdr:rowOff>221254</xdr:rowOff>
    </xdr:from>
    <xdr:to>
      <xdr:col>34</xdr:col>
      <xdr:colOff>83323</xdr:colOff>
      <xdr:row>158</xdr:row>
      <xdr:rowOff>209</xdr:rowOff>
    </xdr:to>
    <xdr:sp macro="" textlink="">
      <xdr:nvSpPr>
        <xdr:cNvPr id="510" name="テキスト ボックス 509">
          <a:extLst>
            <a:ext uri="{FF2B5EF4-FFF2-40B4-BE49-F238E27FC236}">
              <a16:creationId xmlns:a16="http://schemas.microsoft.com/office/drawing/2014/main" id="{3A486F18-D0CD-9D88-B924-860930AC5B85}"/>
            </a:ext>
          </a:extLst>
        </xdr:cNvPr>
        <xdr:cNvSpPr txBox="1"/>
      </xdr:nvSpPr>
      <xdr:spPr>
        <a:xfrm>
          <a:off x="7050148" y="38675040"/>
          <a:ext cx="898104" cy="2620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 </a:t>
          </a:r>
          <a:r>
            <a:rPr kumimoji="1" lang="en-US" altLang="ja-JP" sz="1100"/>
            <a:t>1.50m</a:t>
          </a:r>
          <a:endParaRPr kumimoji="1" lang="ja-JP" altLang="en-US" sz="1100"/>
        </a:p>
      </xdr:txBody>
    </xdr:sp>
    <xdr:clientData/>
  </xdr:twoCellAnchor>
  <xdr:twoCellAnchor editAs="oneCell">
    <xdr:from>
      <xdr:col>30</xdr:col>
      <xdr:colOff>115691</xdr:colOff>
      <xdr:row>159</xdr:row>
      <xdr:rowOff>93141</xdr:rowOff>
    </xdr:from>
    <xdr:to>
      <xdr:col>34</xdr:col>
      <xdr:colOff>73297</xdr:colOff>
      <xdr:row>160</xdr:row>
      <xdr:rowOff>84809</xdr:rowOff>
    </xdr:to>
    <xdr:sp macro="" textlink="">
      <xdr:nvSpPr>
        <xdr:cNvPr id="511" name="テキスト ボックス 510">
          <a:extLst>
            <a:ext uri="{FF2B5EF4-FFF2-40B4-BE49-F238E27FC236}">
              <a16:creationId xmlns:a16="http://schemas.microsoft.com/office/drawing/2014/main" id="{EB8007C3-DB98-B046-4A28-414553B59E80}"/>
            </a:ext>
          </a:extLst>
        </xdr:cNvPr>
        <xdr:cNvSpPr txBox="1"/>
      </xdr:nvSpPr>
      <xdr:spPr>
        <a:xfrm>
          <a:off x="7055334" y="39281712"/>
          <a:ext cx="882892" cy="236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 </a:t>
          </a:r>
          <a:r>
            <a:rPr kumimoji="1" lang="en-US" altLang="ja-JP" sz="1100"/>
            <a:t>4.50m</a:t>
          </a:r>
          <a:endParaRPr kumimoji="1" lang="ja-JP" altLang="en-US" sz="1100"/>
        </a:p>
      </xdr:txBody>
    </xdr:sp>
    <xdr:clientData/>
  </xdr:twoCellAnchor>
  <xdr:twoCellAnchor editAs="oneCell">
    <xdr:from>
      <xdr:col>30</xdr:col>
      <xdr:colOff>124420</xdr:colOff>
      <xdr:row>164</xdr:row>
      <xdr:rowOff>184052</xdr:rowOff>
    </xdr:from>
    <xdr:to>
      <xdr:col>34</xdr:col>
      <xdr:colOff>110228</xdr:colOff>
      <xdr:row>165</xdr:row>
      <xdr:rowOff>208608</xdr:rowOff>
    </xdr:to>
    <xdr:sp macro="" textlink="">
      <xdr:nvSpPr>
        <xdr:cNvPr id="512" name="テキスト ボックス 511">
          <a:extLst>
            <a:ext uri="{FF2B5EF4-FFF2-40B4-BE49-F238E27FC236}">
              <a16:creationId xmlns:a16="http://schemas.microsoft.com/office/drawing/2014/main" id="{5457CCA5-DE43-4542-B06B-DE3DB38C65EE}"/>
            </a:ext>
          </a:extLst>
        </xdr:cNvPr>
        <xdr:cNvSpPr txBox="1"/>
      </xdr:nvSpPr>
      <xdr:spPr>
        <a:xfrm>
          <a:off x="7064063" y="40610873"/>
          <a:ext cx="911094" cy="269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 </a:t>
          </a:r>
          <a:r>
            <a:rPr kumimoji="1" lang="en-US" altLang="ja-JP" sz="1100"/>
            <a:t>3.00m</a:t>
          </a:r>
          <a:endParaRPr kumimoji="1" lang="ja-JP" altLang="en-US" sz="1100"/>
        </a:p>
      </xdr:txBody>
    </xdr:sp>
    <xdr:clientData/>
  </xdr:twoCellAnchor>
  <xdr:twoCellAnchor editAs="oneCell">
    <xdr:from>
      <xdr:col>30</xdr:col>
      <xdr:colOff>130374</xdr:colOff>
      <xdr:row>167</xdr:row>
      <xdr:rowOff>111825</xdr:rowOff>
    </xdr:from>
    <xdr:to>
      <xdr:col>34</xdr:col>
      <xdr:colOff>106801</xdr:colOff>
      <xdr:row>168</xdr:row>
      <xdr:rowOff>127088</xdr:rowOff>
    </xdr:to>
    <xdr:sp macro="" textlink="">
      <xdr:nvSpPr>
        <xdr:cNvPr id="513" name="テキスト ボックス 512">
          <a:extLst>
            <a:ext uri="{FF2B5EF4-FFF2-40B4-BE49-F238E27FC236}">
              <a16:creationId xmlns:a16="http://schemas.microsoft.com/office/drawing/2014/main" id="{C8D67D68-165A-9014-0F25-07B8D8ABFA1E}"/>
            </a:ext>
          </a:extLst>
        </xdr:cNvPr>
        <xdr:cNvSpPr txBox="1"/>
      </xdr:nvSpPr>
      <xdr:spPr>
        <a:xfrm>
          <a:off x="7070017" y="41273432"/>
          <a:ext cx="901713" cy="2601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５層 </a:t>
          </a:r>
          <a:r>
            <a:rPr kumimoji="1" lang="en-US" altLang="ja-JP" sz="1100"/>
            <a:t>1.06m</a:t>
          </a:r>
          <a:endParaRPr kumimoji="1" lang="ja-JP" altLang="en-US" sz="1100"/>
        </a:p>
      </xdr:txBody>
    </xdr:sp>
    <xdr:clientData/>
  </xdr:twoCellAnchor>
  <xdr:twoCellAnchor editAs="oneCell">
    <xdr:from>
      <xdr:col>20</xdr:col>
      <xdr:colOff>188978</xdr:colOff>
      <xdr:row>161</xdr:row>
      <xdr:rowOff>75492</xdr:rowOff>
    </xdr:from>
    <xdr:to>
      <xdr:col>23</xdr:col>
      <xdr:colOff>65455</xdr:colOff>
      <xdr:row>162</xdr:row>
      <xdr:rowOff>79181</xdr:rowOff>
    </xdr:to>
    <xdr:sp macro="" textlink="">
      <xdr:nvSpPr>
        <xdr:cNvPr id="514" name="テキスト ボックス 513">
          <a:extLst>
            <a:ext uri="{FF2B5EF4-FFF2-40B4-BE49-F238E27FC236}">
              <a16:creationId xmlns:a16="http://schemas.microsoft.com/office/drawing/2014/main" id="{C2556216-F382-1A4A-F4A4-3F9E6C6FA5F7}"/>
            </a:ext>
          </a:extLst>
        </xdr:cNvPr>
        <xdr:cNvSpPr txBox="1"/>
      </xdr:nvSpPr>
      <xdr:spPr>
        <a:xfrm>
          <a:off x="4815407" y="39753921"/>
          <a:ext cx="570441" cy="262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3.00m</a:t>
          </a:r>
          <a:endParaRPr kumimoji="1" lang="ja-JP" altLang="en-US" sz="1100"/>
        </a:p>
      </xdr:txBody>
    </xdr:sp>
    <xdr:clientData/>
  </xdr:twoCellAnchor>
  <xdr:twoCellAnchor>
    <xdr:from>
      <xdr:col>27</xdr:col>
      <xdr:colOff>168763</xdr:colOff>
      <xdr:row>160</xdr:row>
      <xdr:rowOff>37799</xdr:rowOff>
    </xdr:from>
    <xdr:to>
      <xdr:col>29</xdr:col>
      <xdr:colOff>202925</xdr:colOff>
      <xdr:row>160</xdr:row>
      <xdr:rowOff>37799</xdr:rowOff>
    </xdr:to>
    <xdr:cxnSp macro="">
      <xdr:nvCxnSpPr>
        <xdr:cNvPr id="517" name="直線コネクタ 516">
          <a:extLst>
            <a:ext uri="{FF2B5EF4-FFF2-40B4-BE49-F238E27FC236}">
              <a16:creationId xmlns:a16="http://schemas.microsoft.com/office/drawing/2014/main" id="{D6FF4613-7F4E-C738-1568-40076079AF36}"/>
            </a:ext>
          </a:extLst>
        </xdr:cNvPr>
        <xdr:cNvCxnSpPr/>
      </xdr:nvCxnSpPr>
      <xdr:spPr>
        <a:xfrm>
          <a:off x="6414442" y="39471299"/>
          <a:ext cx="496804"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24</xdr:col>
      <xdr:colOff>87274</xdr:colOff>
      <xdr:row>165</xdr:row>
      <xdr:rowOff>60061</xdr:rowOff>
    </xdr:from>
    <xdr:to>
      <xdr:col>27</xdr:col>
      <xdr:colOff>136722</xdr:colOff>
      <xdr:row>166</xdr:row>
      <xdr:rowOff>206916</xdr:rowOff>
    </xdr:to>
    <xdr:cxnSp macro="">
      <xdr:nvCxnSpPr>
        <xdr:cNvPr id="518" name="直線コネクタ 517">
          <a:extLst>
            <a:ext uri="{FF2B5EF4-FFF2-40B4-BE49-F238E27FC236}">
              <a16:creationId xmlns:a16="http://schemas.microsoft.com/office/drawing/2014/main" id="{0F6D69AD-6D52-CEF0-2D81-394B3E1AC797}"/>
            </a:ext>
          </a:extLst>
        </xdr:cNvPr>
        <xdr:cNvCxnSpPr/>
      </xdr:nvCxnSpPr>
      <xdr:spPr>
        <a:xfrm flipH="1">
          <a:off x="5638988" y="40731811"/>
          <a:ext cx="743413" cy="391784"/>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28</xdr:col>
      <xdr:colOff>230363</xdr:colOff>
      <xdr:row>158</xdr:row>
      <xdr:rowOff>101413</xdr:rowOff>
    </xdr:from>
    <xdr:to>
      <xdr:col>29</xdr:col>
      <xdr:colOff>198752</xdr:colOff>
      <xdr:row>160</xdr:row>
      <xdr:rowOff>40354</xdr:rowOff>
    </xdr:to>
    <xdr:cxnSp macro="">
      <xdr:nvCxnSpPr>
        <xdr:cNvPr id="519" name="直線コネクタ 518">
          <a:extLst>
            <a:ext uri="{FF2B5EF4-FFF2-40B4-BE49-F238E27FC236}">
              <a16:creationId xmlns:a16="http://schemas.microsoft.com/office/drawing/2014/main" id="{32FCFF02-2E11-298C-B845-B034A7A43632}"/>
            </a:ext>
          </a:extLst>
        </xdr:cNvPr>
        <xdr:cNvCxnSpPr/>
      </xdr:nvCxnSpPr>
      <xdr:spPr>
        <a:xfrm flipH="1" flipV="1">
          <a:off x="6707363" y="39045056"/>
          <a:ext cx="199710" cy="428798"/>
        </a:xfrm>
        <a:prstGeom prst="line">
          <a:avLst/>
        </a:prstGeom>
        <a:ln w="9525" cap="flat" cmpd="sng" algn="ctr">
          <a:solidFill>
            <a:schemeClr val="accent3"/>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26</xdr:col>
      <xdr:colOff>169334</xdr:colOff>
      <xdr:row>159</xdr:row>
      <xdr:rowOff>183392</xdr:rowOff>
    </xdr:from>
    <xdr:to>
      <xdr:col>28</xdr:col>
      <xdr:colOff>111585</xdr:colOff>
      <xdr:row>160</xdr:row>
      <xdr:rowOff>194560</xdr:rowOff>
    </xdr:to>
    <xdr:sp macro="" textlink="">
      <xdr:nvSpPr>
        <xdr:cNvPr id="520" name="テキスト ボックス 519">
          <a:extLst>
            <a:ext uri="{FF2B5EF4-FFF2-40B4-BE49-F238E27FC236}">
              <a16:creationId xmlns:a16="http://schemas.microsoft.com/office/drawing/2014/main" id="{F5D52384-E696-A482-E2F9-4C39E1C0A3C2}"/>
            </a:ext>
          </a:extLst>
        </xdr:cNvPr>
        <xdr:cNvSpPr txBox="1"/>
      </xdr:nvSpPr>
      <xdr:spPr>
        <a:xfrm>
          <a:off x="6183691" y="39371963"/>
          <a:ext cx="404894" cy="2560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a:t>
          </a:r>
          <a:endParaRPr kumimoji="1" lang="ja-JP" altLang="en-US" sz="1100">
            <a:solidFill>
              <a:srgbClr val="FF0000"/>
            </a:solidFill>
          </a:endParaRPr>
        </a:p>
      </xdr:txBody>
    </xdr:sp>
    <xdr:clientData/>
  </xdr:twoCellAnchor>
  <xdr:twoCellAnchor>
    <xdr:from>
      <xdr:col>26</xdr:col>
      <xdr:colOff>136677</xdr:colOff>
      <xdr:row>165</xdr:row>
      <xdr:rowOff>37181</xdr:rowOff>
    </xdr:from>
    <xdr:to>
      <xdr:col>28</xdr:col>
      <xdr:colOff>72543</xdr:colOff>
      <xdr:row>166</xdr:row>
      <xdr:rowOff>43981</xdr:rowOff>
    </xdr:to>
    <xdr:sp macro="" textlink="">
      <xdr:nvSpPr>
        <xdr:cNvPr id="521" name="テキスト ボックス 520">
          <a:extLst>
            <a:ext uri="{FF2B5EF4-FFF2-40B4-BE49-F238E27FC236}">
              <a16:creationId xmlns:a16="http://schemas.microsoft.com/office/drawing/2014/main" id="{92A063F6-8B42-4E83-21B8-58CBFF0E28F2}"/>
            </a:ext>
          </a:extLst>
        </xdr:cNvPr>
        <xdr:cNvSpPr txBox="1"/>
      </xdr:nvSpPr>
      <xdr:spPr>
        <a:xfrm>
          <a:off x="6151034" y="40708931"/>
          <a:ext cx="398509" cy="251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B</a:t>
          </a:r>
          <a:endParaRPr kumimoji="1" lang="ja-JP" altLang="en-US" sz="1100">
            <a:solidFill>
              <a:srgbClr val="FF0000"/>
            </a:solidFill>
          </a:endParaRPr>
        </a:p>
      </xdr:txBody>
    </xdr:sp>
    <xdr:clientData/>
  </xdr:twoCellAnchor>
  <xdr:twoCellAnchor>
    <xdr:from>
      <xdr:col>27</xdr:col>
      <xdr:colOff>162618</xdr:colOff>
      <xdr:row>162</xdr:row>
      <xdr:rowOff>62850</xdr:rowOff>
    </xdr:from>
    <xdr:to>
      <xdr:col>30</xdr:col>
      <xdr:colOff>200025</xdr:colOff>
      <xdr:row>162</xdr:row>
      <xdr:rowOff>62850</xdr:rowOff>
    </xdr:to>
    <xdr:cxnSp macro="">
      <xdr:nvCxnSpPr>
        <xdr:cNvPr id="525" name="直線コネクタ 524">
          <a:extLst>
            <a:ext uri="{FF2B5EF4-FFF2-40B4-BE49-F238E27FC236}">
              <a16:creationId xmlns:a16="http://schemas.microsoft.com/office/drawing/2014/main" id="{DA6FA659-58C7-74DC-AC8B-5E225D9864D3}"/>
            </a:ext>
          </a:extLst>
        </xdr:cNvPr>
        <xdr:cNvCxnSpPr/>
      </xdr:nvCxnSpPr>
      <xdr:spPr>
        <a:xfrm>
          <a:off x="6408297" y="39999814"/>
          <a:ext cx="731371" cy="0"/>
        </a:xfrm>
        <a:prstGeom prst="line">
          <a:avLst/>
        </a:prstGeom>
        <a:ln w="9525"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absolute">
    <xdr:from>
      <xdr:col>31</xdr:col>
      <xdr:colOff>52893</xdr:colOff>
      <xdr:row>22</xdr:row>
      <xdr:rowOff>90487</xdr:rowOff>
    </xdr:from>
    <xdr:to>
      <xdr:col>35</xdr:col>
      <xdr:colOff>11906</xdr:colOff>
      <xdr:row>23</xdr:row>
      <xdr:rowOff>87252</xdr:rowOff>
    </xdr:to>
    <xdr:sp macro="" textlink="">
      <xdr:nvSpPr>
        <xdr:cNvPr id="44" name="テキスト ボックス 43">
          <a:extLst>
            <a:ext uri="{FF2B5EF4-FFF2-40B4-BE49-F238E27FC236}">
              <a16:creationId xmlns:a16="http://schemas.microsoft.com/office/drawing/2014/main" id="{D39945AA-80D0-4A20-AAB8-DD16AB530050}"/>
            </a:ext>
          </a:extLst>
        </xdr:cNvPr>
        <xdr:cNvSpPr txBox="1"/>
      </xdr:nvSpPr>
      <xdr:spPr>
        <a:xfrm>
          <a:off x="7065674" y="5406628"/>
          <a:ext cx="863888" cy="234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 </a:t>
          </a:r>
          <a:r>
            <a:rPr kumimoji="1" lang="en-US" altLang="ja-JP" sz="1100"/>
            <a:t>4.50m</a:t>
          </a: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33126</xdr:colOff>
      <xdr:row>5</xdr:row>
      <xdr:rowOff>122594</xdr:rowOff>
    </xdr:from>
    <xdr:to>
      <xdr:col>33</xdr:col>
      <xdr:colOff>132164</xdr:colOff>
      <xdr:row>5</xdr:row>
      <xdr:rowOff>122594</xdr:rowOff>
    </xdr:to>
    <xdr:cxnSp macro="">
      <xdr:nvCxnSpPr>
        <xdr:cNvPr id="2" name="直線コネクタ 1">
          <a:extLst>
            <a:ext uri="{FF2B5EF4-FFF2-40B4-BE49-F238E27FC236}">
              <a16:creationId xmlns:a16="http://schemas.microsoft.com/office/drawing/2014/main" id="{F79DBEA6-16B7-4BC3-B029-8FE21300C774}"/>
            </a:ext>
          </a:extLst>
        </xdr:cNvPr>
        <xdr:cNvCxnSpPr/>
      </xdr:nvCxnSpPr>
      <xdr:spPr>
        <a:xfrm>
          <a:off x="6294778" y="1323572"/>
          <a:ext cx="149051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208706</xdr:colOff>
      <xdr:row>13</xdr:row>
      <xdr:rowOff>12882</xdr:rowOff>
    </xdr:from>
    <xdr:to>
      <xdr:col>27</xdr:col>
      <xdr:colOff>14630</xdr:colOff>
      <xdr:row>13</xdr:row>
      <xdr:rowOff>12882</xdr:rowOff>
    </xdr:to>
    <xdr:cxnSp macro="">
      <xdr:nvCxnSpPr>
        <xdr:cNvPr id="3" name="直線コネクタ 2">
          <a:extLst>
            <a:ext uri="{FF2B5EF4-FFF2-40B4-BE49-F238E27FC236}">
              <a16:creationId xmlns:a16="http://schemas.microsoft.com/office/drawing/2014/main" id="{BF21BB92-54DE-43C5-B9B6-45F8AE842299}"/>
            </a:ext>
          </a:extLst>
        </xdr:cNvPr>
        <xdr:cNvCxnSpPr/>
      </xdr:nvCxnSpPr>
      <xdr:spPr>
        <a:xfrm>
          <a:off x="5411737" y="3346632"/>
          <a:ext cx="71079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151687</xdr:colOff>
      <xdr:row>5</xdr:row>
      <xdr:rowOff>126888</xdr:rowOff>
    </xdr:from>
    <xdr:to>
      <xdr:col>29</xdr:col>
      <xdr:colOff>11801</xdr:colOff>
      <xdr:row>5</xdr:row>
      <xdr:rowOff>209526</xdr:rowOff>
    </xdr:to>
    <xdr:cxnSp macro="">
      <xdr:nvCxnSpPr>
        <xdr:cNvPr id="12" name="直線コネクタ 11">
          <a:extLst>
            <a:ext uri="{FF2B5EF4-FFF2-40B4-BE49-F238E27FC236}">
              <a16:creationId xmlns:a16="http://schemas.microsoft.com/office/drawing/2014/main" id="{4901D7A6-936B-4872-83FD-55B1DCDB2141}"/>
            </a:ext>
          </a:extLst>
        </xdr:cNvPr>
        <xdr:cNvCxnSpPr/>
      </xdr:nvCxnSpPr>
      <xdr:spPr>
        <a:xfrm>
          <a:off x="6426981" y="1538829"/>
          <a:ext cx="84232"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104369</xdr:colOff>
      <xdr:row>5</xdr:row>
      <xdr:rowOff>128732</xdr:rowOff>
    </xdr:from>
    <xdr:to>
      <xdr:col>28</xdr:col>
      <xdr:colOff>190363</xdr:colOff>
      <xdr:row>5</xdr:row>
      <xdr:rowOff>211370</xdr:rowOff>
    </xdr:to>
    <xdr:cxnSp macro="">
      <xdr:nvCxnSpPr>
        <xdr:cNvPr id="13" name="直線コネクタ 12">
          <a:extLst>
            <a:ext uri="{FF2B5EF4-FFF2-40B4-BE49-F238E27FC236}">
              <a16:creationId xmlns:a16="http://schemas.microsoft.com/office/drawing/2014/main" id="{22948DBA-BB01-4072-B2FC-BFCBD0922B3E}"/>
            </a:ext>
          </a:extLst>
        </xdr:cNvPr>
        <xdr:cNvCxnSpPr/>
      </xdr:nvCxnSpPr>
      <xdr:spPr>
        <a:xfrm>
          <a:off x="6379663" y="1540673"/>
          <a:ext cx="8599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104405</xdr:colOff>
      <xdr:row>5</xdr:row>
      <xdr:rowOff>169564</xdr:rowOff>
    </xdr:from>
    <xdr:to>
      <xdr:col>28</xdr:col>
      <xdr:colOff>135131</xdr:colOff>
      <xdr:row>5</xdr:row>
      <xdr:rowOff>190765</xdr:rowOff>
    </xdr:to>
    <xdr:cxnSp macro="">
      <xdr:nvCxnSpPr>
        <xdr:cNvPr id="14" name="直線コネクタ 13">
          <a:extLst>
            <a:ext uri="{FF2B5EF4-FFF2-40B4-BE49-F238E27FC236}">
              <a16:creationId xmlns:a16="http://schemas.microsoft.com/office/drawing/2014/main" id="{8C3AC6B6-2B19-45A5-ABF5-D115407CA40D}"/>
            </a:ext>
          </a:extLst>
        </xdr:cNvPr>
        <xdr:cNvCxnSpPr/>
      </xdr:nvCxnSpPr>
      <xdr:spPr>
        <a:xfrm flipH="1">
          <a:off x="6379699" y="1581505"/>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124689</xdr:colOff>
      <xdr:row>5</xdr:row>
      <xdr:rowOff>186762</xdr:rowOff>
    </xdr:from>
    <xdr:to>
      <xdr:col>28</xdr:col>
      <xdr:colOff>155415</xdr:colOff>
      <xdr:row>5</xdr:row>
      <xdr:rowOff>210685</xdr:rowOff>
    </xdr:to>
    <xdr:cxnSp macro="">
      <xdr:nvCxnSpPr>
        <xdr:cNvPr id="15" name="直線コネクタ 14">
          <a:extLst>
            <a:ext uri="{FF2B5EF4-FFF2-40B4-BE49-F238E27FC236}">
              <a16:creationId xmlns:a16="http://schemas.microsoft.com/office/drawing/2014/main" id="{EEF899D8-66DE-4768-8BB0-7BB710074829}"/>
            </a:ext>
          </a:extLst>
        </xdr:cNvPr>
        <xdr:cNvCxnSpPr/>
      </xdr:nvCxnSpPr>
      <xdr:spPr>
        <a:xfrm flipH="1">
          <a:off x="6399983" y="1598703"/>
          <a:ext cx="3072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71550</xdr:colOff>
      <xdr:row>5</xdr:row>
      <xdr:rowOff>122399</xdr:rowOff>
    </xdr:from>
    <xdr:to>
      <xdr:col>29</xdr:col>
      <xdr:colOff>156510</xdr:colOff>
      <xdr:row>5</xdr:row>
      <xdr:rowOff>205037</xdr:rowOff>
    </xdr:to>
    <xdr:cxnSp macro="">
      <xdr:nvCxnSpPr>
        <xdr:cNvPr id="16" name="直線コネクタ 15">
          <a:extLst>
            <a:ext uri="{FF2B5EF4-FFF2-40B4-BE49-F238E27FC236}">
              <a16:creationId xmlns:a16="http://schemas.microsoft.com/office/drawing/2014/main" id="{60B74E52-A857-4C82-B51A-6DCA053AD633}"/>
            </a:ext>
          </a:extLst>
        </xdr:cNvPr>
        <xdr:cNvCxnSpPr/>
      </xdr:nvCxnSpPr>
      <xdr:spPr>
        <a:xfrm>
          <a:off x="6570962" y="1534340"/>
          <a:ext cx="84960"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19750</xdr:colOff>
      <xdr:row>5</xdr:row>
      <xdr:rowOff>124243</xdr:rowOff>
    </xdr:from>
    <xdr:to>
      <xdr:col>29</xdr:col>
      <xdr:colOff>113674</xdr:colOff>
      <xdr:row>5</xdr:row>
      <xdr:rowOff>206881</xdr:rowOff>
    </xdr:to>
    <xdr:cxnSp macro="">
      <xdr:nvCxnSpPr>
        <xdr:cNvPr id="17" name="直線コネクタ 16">
          <a:extLst>
            <a:ext uri="{FF2B5EF4-FFF2-40B4-BE49-F238E27FC236}">
              <a16:creationId xmlns:a16="http://schemas.microsoft.com/office/drawing/2014/main" id="{32011EE8-6433-4B53-93F7-DDA328886AE5}"/>
            </a:ext>
          </a:extLst>
        </xdr:cNvPr>
        <xdr:cNvCxnSpPr/>
      </xdr:nvCxnSpPr>
      <xdr:spPr>
        <a:xfrm>
          <a:off x="6519162" y="1536184"/>
          <a:ext cx="9392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19786</xdr:colOff>
      <xdr:row>5</xdr:row>
      <xdr:rowOff>165070</xdr:rowOff>
    </xdr:from>
    <xdr:to>
      <xdr:col>29</xdr:col>
      <xdr:colOff>54994</xdr:colOff>
      <xdr:row>5</xdr:row>
      <xdr:rowOff>195796</xdr:rowOff>
    </xdr:to>
    <xdr:cxnSp macro="">
      <xdr:nvCxnSpPr>
        <xdr:cNvPr id="18" name="直線コネクタ 17">
          <a:extLst>
            <a:ext uri="{FF2B5EF4-FFF2-40B4-BE49-F238E27FC236}">
              <a16:creationId xmlns:a16="http://schemas.microsoft.com/office/drawing/2014/main" id="{89918C6C-739B-4C3E-B4B0-09FC39255069}"/>
            </a:ext>
          </a:extLst>
        </xdr:cNvPr>
        <xdr:cNvCxnSpPr/>
      </xdr:nvCxnSpPr>
      <xdr:spPr>
        <a:xfrm flipH="1">
          <a:off x="6519198" y="1577011"/>
          <a:ext cx="35208"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40070</xdr:colOff>
      <xdr:row>5</xdr:row>
      <xdr:rowOff>182268</xdr:rowOff>
    </xdr:from>
    <xdr:to>
      <xdr:col>29</xdr:col>
      <xdr:colOff>75278</xdr:colOff>
      <xdr:row>5</xdr:row>
      <xdr:rowOff>206191</xdr:rowOff>
    </xdr:to>
    <xdr:cxnSp macro="">
      <xdr:nvCxnSpPr>
        <xdr:cNvPr id="19" name="直線コネクタ 18">
          <a:extLst>
            <a:ext uri="{FF2B5EF4-FFF2-40B4-BE49-F238E27FC236}">
              <a16:creationId xmlns:a16="http://schemas.microsoft.com/office/drawing/2014/main" id="{B43A6F8E-54FC-4D88-9F68-4D6BFCD4BB65}"/>
            </a:ext>
          </a:extLst>
        </xdr:cNvPr>
        <xdr:cNvCxnSpPr/>
      </xdr:nvCxnSpPr>
      <xdr:spPr>
        <a:xfrm flipH="1">
          <a:off x="6539482" y="1594209"/>
          <a:ext cx="35208"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21967</xdr:colOff>
      <xdr:row>5</xdr:row>
      <xdr:rowOff>130381</xdr:rowOff>
    </xdr:from>
    <xdr:to>
      <xdr:col>27</xdr:col>
      <xdr:colOff>21967</xdr:colOff>
      <xdr:row>19</xdr:row>
      <xdr:rowOff>11035</xdr:rowOff>
    </xdr:to>
    <xdr:cxnSp macro="">
      <xdr:nvCxnSpPr>
        <xdr:cNvPr id="22" name="直線コネクタ 21">
          <a:extLst>
            <a:ext uri="{FF2B5EF4-FFF2-40B4-BE49-F238E27FC236}">
              <a16:creationId xmlns:a16="http://schemas.microsoft.com/office/drawing/2014/main" id="{E9704EB1-F407-491B-B6E1-20086489BD0F}"/>
            </a:ext>
          </a:extLst>
        </xdr:cNvPr>
        <xdr:cNvCxnSpPr/>
      </xdr:nvCxnSpPr>
      <xdr:spPr>
        <a:xfrm>
          <a:off x="6073143" y="1542322"/>
          <a:ext cx="0" cy="3175184"/>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27</xdr:col>
      <xdr:colOff>31931</xdr:colOff>
      <xdr:row>8</xdr:row>
      <xdr:rowOff>28719</xdr:rowOff>
    </xdr:from>
    <xdr:to>
      <xdr:col>33</xdr:col>
      <xdr:colOff>155760</xdr:colOff>
      <xdr:row>8</xdr:row>
      <xdr:rowOff>28719</xdr:rowOff>
    </xdr:to>
    <xdr:cxnSp macro="">
      <xdr:nvCxnSpPr>
        <xdr:cNvPr id="23" name="直線コネクタ 22">
          <a:extLst>
            <a:ext uri="{FF2B5EF4-FFF2-40B4-BE49-F238E27FC236}">
              <a16:creationId xmlns:a16="http://schemas.microsoft.com/office/drawing/2014/main" id="{4D098C82-2F93-48A2-ADFA-591E414D9DD7}"/>
            </a:ext>
          </a:extLst>
        </xdr:cNvPr>
        <xdr:cNvCxnSpPr/>
      </xdr:nvCxnSpPr>
      <xdr:spPr>
        <a:xfrm>
          <a:off x="6083107" y="2146631"/>
          <a:ext cx="1468535"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27</xdr:col>
      <xdr:colOff>22406</xdr:colOff>
      <xdr:row>6</xdr:row>
      <xdr:rowOff>118934</xdr:rowOff>
    </xdr:from>
    <xdr:to>
      <xdr:col>33</xdr:col>
      <xdr:colOff>222996</xdr:colOff>
      <xdr:row>6</xdr:row>
      <xdr:rowOff>118934</xdr:rowOff>
    </xdr:to>
    <xdr:cxnSp macro="">
      <xdr:nvCxnSpPr>
        <xdr:cNvPr id="24" name="直線コネクタ 23">
          <a:extLst>
            <a:ext uri="{FF2B5EF4-FFF2-40B4-BE49-F238E27FC236}">
              <a16:creationId xmlns:a16="http://schemas.microsoft.com/office/drawing/2014/main" id="{883FFDA9-4B62-4074-9D5A-597FD11D878B}"/>
            </a:ext>
          </a:extLst>
        </xdr:cNvPr>
        <xdr:cNvCxnSpPr/>
      </xdr:nvCxnSpPr>
      <xdr:spPr>
        <a:xfrm>
          <a:off x="6073582" y="1766199"/>
          <a:ext cx="1545296"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30</xdr:col>
      <xdr:colOff>61624</xdr:colOff>
      <xdr:row>13</xdr:row>
      <xdr:rowOff>28144</xdr:rowOff>
    </xdr:from>
    <xdr:to>
      <xdr:col>30</xdr:col>
      <xdr:colOff>202406</xdr:colOff>
      <xdr:row>14</xdr:row>
      <xdr:rowOff>133654</xdr:rowOff>
    </xdr:to>
    <xdr:cxnSp macro="">
      <xdr:nvCxnSpPr>
        <xdr:cNvPr id="26" name="直線コネクタ 25">
          <a:extLst>
            <a:ext uri="{FF2B5EF4-FFF2-40B4-BE49-F238E27FC236}">
              <a16:creationId xmlns:a16="http://schemas.microsoft.com/office/drawing/2014/main" id="{B1A42A1F-D70A-4845-98D4-3031B28FA5AD}"/>
            </a:ext>
          </a:extLst>
        </xdr:cNvPr>
        <xdr:cNvCxnSpPr/>
      </xdr:nvCxnSpPr>
      <xdr:spPr>
        <a:xfrm flipH="1">
          <a:off x="6848187" y="3361894"/>
          <a:ext cx="140782" cy="343635"/>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28</xdr:col>
      <xdr:colOff>94191</xdr:colOff>
      <xdr:row>8</xdr:row>
      <xdr:rowOff>44823</xdr:rowOff>
    </xdr:from>
    <xdr:to>
      <xdr:col>30</xdr:col>
      <xdr:colOff>196093</xdr:colOff>
      <xdr:row>13</xdr:row>
      <xdr:rowOff>31615</xdr:rowOff>
    </xdr:to>
    <xdr:cxnSp macro="">
      <xdr:nvCxnSpPr>
        <xdr:cNvPr id="27" name="直線コネクタ 26">
          <a:extLst>
            <a:ext uri="{FF2B5EF4-FFF2-40B4-BE49-F238E27FC236}">
              <a16:creationId xmlns:a16="http://schemas.microsoft.com/office/drawing/2014/main" id="{1264CA4F-0834-4D26-AC55-04D453D180FE}"/>
            </a:ext>
          </a:extLst>
        </xdr:cNvPr>
        <xdr:cNvCxnSpPr/>
      </xdr:nvCxnSpPr>
      <xdr:spPr>
        <a:xfrm flipH="1" flipV="1">
          <a:off x="6369485" y="2162735"/>
          <a:ext cx="550137" cy="1163409"/>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31931</xdr:colOff>
      <xdr:row>13</xdr:row>
      <xdr:rowOff>13501</xdr:rowOff>
    </xdr:from>
    <xdr:to>
      <xdr:col>33</xdr:col>
      <xdr:colOff>110937</xdr:colOff>
      <xdr:row>13</xdr:row>
      <xdr:rowOff>13501</xdr:rowOff>
    </xdr:to>
    <xdr:cxnSp macro="">
      <xdr:nvCxnSpPr>
        <xdr:cNvPr id="28" name="直線コネクタ 27">
          <a:extLst>
            <a:ext uri="{FF2B5EF4-FFF2-40B4-BE49-F238E27FC236}">
              <a16:creationId xmlns:a16="http://schemas.microsoft.com/office/drawing/2014/main" id="{57D80F55-56CA-42C7-9497-E1E4E9C03E85}"/>
            </a:ext>
          </a:extLst>
        </xdr:cNvPr>
        <xdr:cNvCxnSpPr/>
      </xdr:nvCxnSpPr>
      <xdr:spPr>
        <a:xfrm>
          <a:off x="6083107" y="3308030"/>
          <a:ext cx="1423712"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23</xdr:col>
      <xdr:colOff>184895</xdr:colOff>
      <xdr:row>6</xdr:row>
      <xdr:rowOff>40425</xdr:rowOff>
    </xdr:from>
    <xdr:to>
      <xdr:col>26</xdr:col>
      <xdr:colOff>53077</xdr:colOff>
      <xdr:row>6</xdr:row>
      <xdr:rowOff>40425</xdr:rowOff>
    </xdr:to>
    <xdr:cxnSp macro="">
      <xdr:nvCxnSpPr>
        <xdr:cNvPr id="29" name="直線コネクタ 28">
          <a:extLst>
            <a:ext uri="{FF2B5EF4-FFF2-40B4-BE49-F238E27FC236}">
              <a16:creationId xmlns:a16="http://schemas.microsoft.com/office/drawing/2014/main" id="{AEEE7A7C-160F-4FBB-B74F-A8DF639C44E8}"/>
            </a:ext>
          </a:extLst>
        </xdr:cNvPr>
        <xdr:cNvCxnSpPr/>
      </xdr:nvCxnSpPr>
      <xdr:spPr>
        <a:xfrm>
          <a:off x="5339601" y="1687690"/>
          <a:ext cx="54053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199462</xdr:colOff>
      <xdr:row>6</xdr:row>
      <xdr:rowOff>195036</xdr:rowOff>
    </xdr:from>
    <xdr:to>
      <xdr:col>26</xdr:col>
      <xdr:colOff>43051</xdr:colOff>
      <xdr:row>6</xdr:row>
      <xdr:rowOff>195036</xdr:rowOff>
    </xdr:to>
    <xdr:cxnSp macro="">
      <xdr:nvCxnSpPr>
        <xdr:cNvPr id="30" name="直線コネクタ 29">
          <a:extLst>
            <a:ext uri="{FF2B5EF4-FFF2-40B4-BE49-F238E27FC236}">
              <a16:creationId xmlns:a16="http://schemas.microsoft.com/office/drawing/2014/main" id="{B1727ECD-DAF5-4AC8-BE5D-97360837C7D6}"/>
            </a:ext>
          </a:extLst>
        </xdr:cNvPr>
        <xdr:cNvCxnSpPr/>
      </xdr:nvCxnSpPr>
      <xdr:spPr>
        <a:xfrm>
          <a:off x="5354168" y="1842301"/>
          <a:ext cx="5159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51072</xdr:colOff>
      <xdr:row>6</xdr:row>
      <xdr:rowOff>42519</xdr:rowOff>
    </xdr:from>
    <xdr:to>
      <xdr:col>26</xdr:col>
      <xdr:colOff>51072</xdr:colOff>
      <xdr:row>6</xdr:row>
      <xdr:rowOff>195421</xdr:rowOff>
    </xdr:to>
    <xdr:cxnSp macro="">
      <xdr:nvCxnSpPr>
        <xdr:cNvPr id="31" name="直線コネクタ 30">
          <a:extLst>
            <a:ext uri="{FF2B5EF4-FFF2-40B4-BE49-F238E27FC236}">
              <a16:creationId xmlns:a16="http://schemas.microsoft.com/office/drawing/2014/main" id="{DD042897-6AFB-48C0-B217-DFA76BBEA925}"/>
            </a:ext>
          </a:extLst>
        </xdr:cNvPr>
        <xdr:cNvCxnSpPr/>
      </xdr:nvCxnSpPr>
      <xdr:spPr>
        <a:xfrm>
          <a:off x="5878131" y="1689784"/>
          <a:ext cx="0" cy="15290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78286</xdr:colOff>
      <xdr:row>6</xdr:row>
      <xdr:rowOff>35116</xdr:rowOff>
    </xdr:from>
    <xdr:to>
      <xdr:col>26</xdr:col>
      <xdr:colOff>78286</xdr:colOff>
      <xdr:row>6</xdr:row>
      <xdr:rowOff>209207</xdr:rowOff>
    </xdr:to>
    <xdr:cxnSp macro="">
      <xdr:nvCxnSpPr>
        <xdr:cNvPr id="32" name="直線コネクタ 31">
          <a:extLst>
            <a:ext uri="{FF2B5EF4-FFF2-40B4-BE49-F238E27FC236}">
              <a16:creationId xmlns:a16="http://schemas.microsoft.com/office/drawing/2014/main" id="{D0E0A1ED-18C3-4CFE-89BF-C748BFC7D31C}"/>
            </a:ext>
          </a:extLst>
        </xdr:cNvPr>
        <xdr:cNvCxnSpPr/>
      </xdr:nvCxnSpPr>
      <xdr:spPr>
        <a:xfrm>
          <a:off x="5905345" y="1682381"/>
          <a:ext cx="0" cy="17409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216679</xdr:colOff>
      <xdr:row>6</xdr:row>
      <xdr:rowOff>35116</xdr:rowOff>
    </xdr:from>
    <xdr:to>
      <xdr:col>26</xdr:col>
      <xdr:colOff>216679</xdr:colOff>
      <xdr:row>6</xdr:row>
      <xdr:rowOff>209207</xdr:rowOff>
    </xdr:to>
    <xdr:cxnSp macro="">
      <xdr:nvCxnSpPr>
        <xdr:cNvPr id="33" name="直線コネクタ 32">
          <a:extLst>
            <a:ext uri="{FF2B5EF4-FFF2-40B4-BE49-F238E27FC236}">
              <a16:creationId xmlns:a16="http://schemas.microsoft.com/office/drawing/2014/main" id="{14D502D5-8E31-47BD-B666-A8B7A437F481}"/>
            </a:ext>
          </a:extLst>
        </xdr:cNvPr>
        <xdr:cNvCxnSpPr/>
      </xdr:nvCxnSpPr>
      <xdr:spPr>
        <a:xfrm>
          <a:off x="6043738" y="1682381"/>
          <a:ext cx="0" cy="17409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77216</xdr:colOff>
      <xdr:row>6</xdr:row>
      <xdr:rowOff>120760</xdr:rowOff>
    </xdr:from>
    <xdr:to>
      <xdr:col>26</xdr:col>
      <xdr:colOff>212208</xdr:colOff>
      <xdr:row>6</xdr:row>
      <xdr:rowOff>120760</xdr:rowOff>
    </xdr:to>
    <xdr:cxnSp macro="">
      <xdr:nvCxnSpPr>
        <xdr:cNvPr id="34" name="直線コネクタ 33">
          <a:extLst>
            <a:ext uri="{FF2B5EF4-FFF2-40B4-BE49-F238E27FC236}">
              <a16:creationId xmlns:a16="http://schemas.microsoft.com/office/drawing/2014/main" id="{4A5DDE59-5A04-4036-AD8F-0D26F799EB0A}"/>
            </a:ext>
          </a:extLst>
        </xdr:cNvPr>
        <xdr:cNvCxnSpPr/>
      </xdr:nvCxnSpPr>
      <xdr:spPr>
        <a:xfrm>
          <a:off x="5904275" y="1768025"/>
          <a:ext cx="13499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182476</xdr:colOff>
      <xdr:row>15</xdr:row>
      <xdr:rowOff>140104</xdr:rowOff>
    </xdr:from>
    <xdr:to>
      <xdr:col>27</xdr:col>
      <xdr:colOff>80757</xdr:colOff>
      <xdr:row>16</xdr:row>
      <xdr:rowOff>31661</xdr:rowOff>
    </xdr:to>
    <xdr:sp macro="" textlink="">
      <xdr:nvSpPr>
        <xdr:cNvPr id="35" name="楕円 34">
          <a:extLst>
            <a:ext uri="{FF2B5EF4-FFF2-40B4-BE49-F238E27FC236}">
              <a16:creationId xmlns:a16="http://schemas.microsoft.com/office/drawing/2014/main" id="{96CB4D04-DF54-4682-883F-B1428C382BC4}"/>
            </a:ext>
          </a:extLst>
        </xdr:cNvPr>
        <xdr:cNvSpPr/>
      </xdr:nvSpPr>
      <xdr:spPr>
        <a:xfrm>
          <a:off x="6009535" y="3905280"/>
          <a:ext cx="122398" cy="126881"/>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184895</xdr:colOff>
      <xdr:row>9</xdr:row>
      <xdr:rowOff>124261</xdr:rowOff>
    </xdr:from>
    <xdr:to>
      <xdr:col>26</xdr:col>
      <xdr:colOff>53077</xdr:colOff>
      <xdr:row>9</xdr:row>
      <xdr:rowOff>124261</xdr:rowOff>
    </xdr:to>
    <xdr:cxnSp macro="">
      <xdr:nvCxnSpPr>
        <xdr:cNvPr id="36" name="直線コネクタ 35">
          <a:extLst>
            <a:ext uri="{FF2B5EF4-FFF2-40B4-BE49-F238E27FC236}">
              <a16:creationId xmlns:a16="http://schemas.microsoft.com/office/drawing/2014/main" id="{6675AFF3-5941-479E-9CB4-2CAAC9635849}"/>
            </a:ext>
          </a:extLst>
        </xdr:cNvPr>
        <xdr:cNvCxnSpPr/>
      </xdr:nvCxnSpPr>
      <xdr:spPr>
        <a:xfrm>
          <a:off x="5339601" y="2477496"/>
          <a:ext cx="54053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199462</xdr:colOff>
      <xdr:row>10</xdr:row>
      <xdr:rowOff>10100</xdr:rowOff>
    </xdr:from>
    <xdr:to>
      <xdr:col>26</xdr:col>
      <xdr:colOff>43051</xdr:colOff>
      <xdr:row>10</xdr:row>
      <xdr:rowOff>10100</xdr:rowOff>
    </xdr:to>
    <xdr:cxnSp macro="">
      <xdr:nvCxnSpPr>
        <xdr:cNvPr id="37" name="直線コネクタ 36">
          <a:extLst>
            <a:ext uri="{FF2B5EF4-FFF2-40B4-BE49-F238E27FC236}">
              <a16:creationId xmlns:a16="http://schemas.microsoft.com/office/drawing/2014/main" id="{D04D59D5-7F7F-4C24-A938-E2958A420E52}"/>
            </a:ext>
          </a:extLst>
        </xdr:cNvPr>
        <xdr:cNvCxnSpPr/>
      </xdr:nvCxnSpPr>
      <xdr:spPr>
        <a:xfrm>
          <a:off x="5354168" y="2598659"/>
          <a:ext cx="5159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51072</xdr:colOff>
      <xdr:row>9</xdr:row>
      <xdr:rowOff>129157</xdr:rowOff>
    </xdr:from>
    <xdr:to>
      <xdr:col>26</xdr:col>
      <xdr:colOff>51072</xdr:colOff>
      <xdr:row>10</xdr:row>
      <xdr:rowOff>10485</xdr:rowOff>
    </xdr:to>
    <xdr:cxnSp macro="">
      <xdr:nvCxnSpPr>
        <xdr:cNvPr id="38" name="直線コネクタ 37">
          <a:extLst>
            <a:ext uri="{FF2B5EF4-FFF2-40B4-BE49-F238E27FC236}">
              <a16:creationId xmlns:a16="http://schemas.microsoft.com/office/drawing/2014/main" id="{B519840C-C081-4847-A54B-46B6790F5177}"/>
            </a:ext>
          </a:extLst>
        </xdr:cNvPr>
        <xdr:cNvCxnSpPr/>
      </xdr:nvCxnSpPr>
      <xdr:spPr>
        <a:xfrm>
          <a:off x="5878131" y="2482392"/>
          <a:ext cx="0" cy="1166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78286</xdr:colOff>
      <xdr:row>9</xdr:row>
      <xdr:rowOff>118952</xdr:rowOff>
    </xdr:from>
    <xdr:to>
      <xdr:col>26</xdr:col>
      <xdr:colOff>78286</xdr:colOff>
      <xdr:row>10</xdr:row>
      <xdr:rowOff>24271</xdr:rowOff>
    </xdr:to>
    <xdr:cxnSp macro="">
      <xdr:nvCxnSpPr>
        <xdr:cNvPr id="39" name="直線コネクタ 38">
          <a:extLst>
            <a:ext uri="{FF2B5EF4-FFF2-40B4-BE49-F238E27FC236}">
              <a16:creationId xmlns:a16="http://schemas.microsoft.com/office/drawing/2014/main" id="{91B1D7E1-EB53-4BFC-8799-FD3FA5242DBB}"/>
            </a:ext>
          </a:extLst>
        </xdr:cNvPr>
        <xdr:cNvCxnSpPr/>
      </xdr:nvCxnSpPr>
      <xdr:spPr>
        <a:xfrm>
          <a:off x="5905345" y="2472187"/>
          <a:ext cx="0" cy="1406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216679</xdr:colOff>
      <xdr:row>9</xdr:row>
      <xdr:rowOff>118952</xdr:rowOff>
    </xdr:from>
    <xdr:to>
      <xdr:col>26</xdr:col>
      <xdr:colOff>216679</xdr:colOff>
      <xdr:row>10</xdr:row>
      <xdr:rowOff>24271</xdr:rowOff>
    </xdr:to>
    <xdr:cxnSp macro="">
      <xdr:nvCxnSpPr>
        <xdr:cNvPr id="40" name="直線コネクタ 39">
          <a:extLst>
            <a:ext uri="{FF2B5EF4-FFF2-40B4-BE49-F238E27FC236}">
              <a16:creationId xmlns:a16="http://schemas.microsoft.com/office/drawing/2014/main" id="{09D52C39-F0D5-4C12-9988-D5A6790D692B}"/>
            </a:ext>
          </a:extLst>
        </xdr:cNvPr>
        <xdr:cNvCxnSpPr/>
      </xdr:nvCxnSpPr>
      <xdr:spPr>
        <a:xfrm>
          <a:off x="6043738" y="2472187"/>
          <a:ext cx="0" cy="1406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77216</xdr:colOff>
      <xdr:row>9</xdr:row>
      <xdr:rowOff>188783</xdr:rowOff>
    </xdr:from>
    <xdr:to>
      <xdr:col>26</xdr:col>
      <xdr:colOff>212208</xdr:colOff>
      <xdr:row>9</xdr:row>
      <xdr:rowOff>188783</xdr:rowOff>
    </xdr:to>
    <xdr:cxnSp macro="">
      <xdr:nvCxnSpPr>
        <xdr:cNvPr id="41" name="直線コネクタ 40">
          <a:extLst>
            <a:ext uri="{FF2B5EF4-FFF2-40B4-BE49-F238E27FC236}">
              <a16:creationId xmlns:a16="http://schemas.microsoft.com/office/drawing/2014/main" id="{F96D1F0E-BFE7-4668-9C1E-153248DB72C9}"/>
            </a:ext>
          </a:extLst>
        </xdr:cNvPr>
        <xdr:cNvCxnSpPr/>
      </xdr:nvCxnSpPr>
      <xdr:spPr>
        <a:xfrm>
          <a:off x="5904275" y="2542018"/>
          <a:ext cx="13499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97141</xdr:colOff>
      <xdr:row>16</xdr:row>
      <xdr:rowOff>129187</xdr:rowOff>
    </xdr:from>
    <xdr:to>
      <xdr:col>33</xdr:col>
      <xdr:colOff>136710</xdr:colOff>
      <xdr:row>16</xdr:row>
      <xdr:rowOff>129187</xdr:rowOff>
    </xdr:to>
    <xdr:cxnSp macro="">
      <xdr:nvCxnSpPr>
        <xdr:cNvPr id="42" name="直線コネクタ 41">
          <a:extLst>
            <a:ext uri="{FF2B5EF4-FFF2-40B4-BE49-F238E27FC236}">
              <a16:creationId xmlns:a16="http://schemas.microsoft.com/office/drawing/2014/main" id="{8F530536-B46D-4DF0-8259-1AC288FC3A44}"/>
            </a:ext>
          </a:extLst>
        </xdr:cNvPr>
        <xdr:cNvCxnSpPr/>
      </xdr:nvCxnSpPr>
      <xdr:spPr>
        <a:xfrm>
          <a:off x="5027729" y="4129687"/>
          <a:ext cx="2504863"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28</xdr:col>
      <xdr:colOff>87743</xdr:colOff>
      <xdr:row>6</xdr:row>
      <xdr:rowOff>123264</xdr:rowOff>
    </xdr:from>
    <xdr:to>
      <xdr:col>28</xdr:col>
      <xdr:colOff>87743</xdr:colOff>
      <xdr:row>8</xdr:row>
      <xdr:rowOff>44823</xdr:rowOff>
    </xdr:to>
    <xdr:cxnSp macro="">
      <xdr:nvCxnSpPr>
        <xdr:cNvPr id="44" name="直線コネクタ 43">
          <a:extLst>
            <a:ext uri="{FF2B5EF4-FFF2-40B4-BE49-F238E27FC236}">
              <a16:creationId xmlns:a16="http://schemas.microsoft.com/office/drawing/2014/main" id="{9656CDA7-6697-4928-A58A-DC3BE60856BC}"/>
            </a:ext>
          </a:extLst>
        </xdr:cNvPr>
        <xdr:cNvCxnSpPr/>
      </xdr:nvCxnSpPr>
      <xdr:spPr>
        <a:xfrm>
          <a:off x="6363037" y="1770529"/>
          <a:ext cx="0" cy="392206"/>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29</xdr:col>
      <xdr:colOff>192726</xdr:colOff>
      <xdr:row>5</xdr:row>
      <xdr:rowOff>81836</xdr:rowOff>
    </xdr:from>
    <xdr:to>
      <xdr:col>33</xdr:col>
      <xdr:colOff>184496</xdr:colOff>
      <xdr:row>6</xdr:row>
      <xdr:rowOff>128434</xdr:rowOff>
    </xdr:to>
    <xdr:sp macro="" textlink="">
      <xdr:nvSpPr>
        <xdr:cNvPr id="46" name="テキスト ボックス 45">
          <a:extLst>
            <a:ext uri="{FF2B5EF4-FFF2-40B4-BE49-F238E27FC236}">
              <a16:creationId xmlns:a16="http://schemas.microsoft.com/office/drawing/2014/main" id="{97359BD3-5509-45E5-B18F-9BE6CA9CD57C}"/>
            </a:ext>
          </a:extLst>
        </xdr:cNvPr>
        <xdr:cNvSpPr txBox="1"/>
      </xdr:nvSpPr>
      <xdr:spPr>
        <a:xfrm>
          <a:off x="6692138" y="1493777"/>
          <a:ext cx="888240" cy="270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 </a:t>
          </a:r>
          <a:r>
            <a:rPr kumimoji="1" lang="en-US" altLang="ja-JP" sz="1100"/>
            <a:t>1.00m</a:t>
          </a:r>
          <a:endParaRPr kumimoji="1" lang="ja-JP" altLang="en-US" sz="1100"/>
        </a:p>
      </xdr:txBody>
    </xdr:sp>
    <xdr:clientData/>
  </xdr:twoCellAnchor>
  <xdr:twoCellAnchor editAs="oneCell">
    <xdr:from>
      <xdr:col>29</xdr:col>
      <xdr:colOff>198520</xdr:colOff>
      <xdr:row>6</xdr:row>
      <xdr:rowOff>159702</xdr:rowOff>
    </xdr:from>
    <xdr:to>
      <xdr:col>33</xdr:col>
      <xdr:colOff>178542</xdr:colOff>
      <xdr:row>7</xdr:row>
      <xdr:rowOff>150170</xdr:rowOff>
    </xdr:to>
    <xdr:sp macro="" textlink="">
      <xdr:nvSpPr>
        <xdr:cNvPr id="47" name="テキスト ボックス 46">
          <a:extLst>
            <a:ext uri="{FF2B5EF4-FFF2-40B4-BE49-F238E27FC236}">
              <a16:creationId xmlns:a16="http://schemas.microsoft.com/office/drawing/2014/main" id="{4BBCD485-93A7-421C-9B6A-B0895BB5904F}"/>
            </a:ext>
          </a:extLst>
        </xdr:cNvPr>
        <xdr:cNvSpPr txBox="1"/>
      </xdr:nvSpPr>
      <xdr:spPr>
        <a:xfrm>
          <a:off x="6697932" y="1806967"/>
          <a:ext cx="876492" cy="251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 </a:t>
          </a:r>
          <a:r>
            <a:rPr kumimoji="1" lang="en-US" altLang="ja-JP" sz="1100"/>
            <a:t>1.50m</a:t>
          </a:r>
          <a:endParaRPr kumimoji="1" lang="ja-JP" altLang="en-US" sz="1100"/>
        </a:p>
      </xdr:txBody>
    </xdr:sp>
    <xdr:clientData/>
  </xdr:twoCellAnchor>
  <xdr:twoCellAnchor editAs="oneCell">
    <xdr:from>
      <xdr:col>29</xdr:col>
      <xdr:colOff>203706</xdr:colOff>
      <xdr:row>9</xdr:row>
      <xdr:rowOff>33722</xdr:rowOff>
    </xdr:from>
    <xdr:to>
      <xdr:col>33</xdr:col>
      <xdr:colOff>168516</xdr:colOff>
      <xdr:row>10</xdr:row>
      <xdr:rowOff>30485</xdr:rowOff>
    </xdr:to>
    <xdr:sp macro="" textlink="">
      <xdr:nvSpPr>
        <xdr:cNvPr id="48" name="テキスト ボックス 47">
          <a:extLst>
            <a:ext uri="{FF2B5EF4-FFF2-40B4-BE49-F238E27FC236}">
              <a16:creationId xmlns:a16="http://schemas.microsoft.com/office/drawing/2014/main" id="{4F3FFFBB-71C6-49C5-91E0-4BDE47ABE406}"/>
            </a:ext>
          </a:extLst>
        </xdr:cNvPr>
        <xdr:cNvSpPr txBox="1"/>
      </xdr:nvSpPr>
      <xdr:spPr>
        <a:xfrm>
          <a:off x="6703118" y="2386957"/>
          <a:ext cx="861280" cy="232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 </a:t>
          </a:r>
          <a:r>
            <a:rPr kumimoji="1" lang="en-US" altLang="ja-JP" sz="1100"/>
            <a:t>4.50m</a:t>
          </a:r>
          <a:endParaRPr kumimoji="1" lang="ja-JP" altLang="en-US" sz="1100"/>
        </a:p>
      </xdr:txBody>
    </xdr:sp>
    <xdr:clientData/>
  </xdr:twoCellAnchor>
  <xdr:twoCellAnchor editAs="oneCell">
    <xdr:from>
      <xdr:col>29</xdr:col>
      <xdr:colOff>212435</xdr:colOff>
      <xdr:row>14</xdr:row>
      <xdr:rowOff>140859</xdr:rowOff>
    </xdr:from>
    <xdr:to>
      <xdr:col>33</xdr:col>
      <xdr:colOff>190448</xdr:colOff>
      <xdr:row>15</xdr:row>
      <xdr:rowOff>157186</xdr:rowOff>
    </xdr:to>
    <xdr:sp macro="" textlink="">
      <xdr:nvSpPr>
        <xdr:cNvPr id="49" name="テキスト ボックス 48">
          <a:extLst>
            <a:ext uri="{FF2B5EF4-FFF2-40B4-BE49-F238E27FC236}">
              <a16:creationId xmlns:a16="http://schemas.microsoft.com/office/drawing/2014/main" id="{92DB9102-E92F-43F8-80EC-85E8BCEFEC1C}"/>
            </a:ext>
          </a:extLst>
        </xdr:cNvPr>
        <xdr:cNvSpPr txBox="1"/>
      </xdr:nvSpPr>
      <xdr:spPr>
        <a:xfrm>
          <a:off x="6772779" y="3712734"/>
          <a:ext cx="882888" cy="254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 </a:t>
          </a:r>
          <a:r>
            <a:rPr kumimoji="1" lang="en-US" altLang="ja-JP" sz="1100"/>
            <a:t>3.00m</a:t>
          </a:r>
          <a:endParaRPr kumimoji="1" lang="ja-JP" altLang="en-US" sz="1100"/>
        </a:p>
      </xdr:txBody>
    </xdr:sp>
    <xdr:clientData/>
  </xdr:twoCellAnchor>
  <xdr:twoCellAnchor>
    <xdr:from>
      <xdr:col>33</xdr:col>
      <xdr:colOff>68020</xdr:colOff>
      <xdr:row>5</xdr:row>
      <xdr:rowOff>125733</xdr:rowOff>
    </xdr:from>
    <xdr:to>
      <xdr:col>33</xdr:col>
      <xdr:colOff>68020</xdr:colOff>
      <xdr:row>6</xdr:row>
      <xdr:rowOff>124490</xdr:rowOff>
    </xdr:to>
    <xdr:cxnSp macro="">
      <xdr:nvCxnSpPr>
        <xdr:cNvPr id="51" name="直線矢印コネクタ 50">
          <a:extLst>
            <a:ext uri="{FF2B5EF4-FFF2-40B4-BE49-F238E27FC236}">
              <a16:creationId xmlns:a16="http://schemas.microsoft.com/office/drawing/2014/main" id="{B43DD079-081B-426D-A731-39B358E7D4EA}"/>
            </a:ext>
          </a:extLst>
        </xdr:cNvPr>
        <xdr:cNvCxnSpPr/>
      </xdr:nvCxnSpPr>
      <xdr:spPr>
        <a:xfrm>
          <a:off x="7721150" y="1326711"/>
          <a:ext cx="0" cy="26380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68020</xdr:colOff>
      <xdr:row>6</xdr:row>
      <xdr:rowOff>150581</xdr:rowOff>
    </xdr:from>
    <xdr:to>
      <xdr:col>33</xdr:col>
      <xdr:colOff>68020</xdr:colOff>
      <xdr:row>8</xdr:row>
      <xdr:rowOff>24095</xdr:rowOff>
    </xdr:to>
    <xdr:cxnSp macro="">
      <xdr:nvCxnSpPr>
        <xdr:cNvPr id="52" name="直線矢印コネクタ 51">
          <a:extLst>
            <a:ext uri="{FF2B5EF4-FFF2-40B4-BE49-F238E27FC236}">
              <a16:creationId xmlns:a16="http://schemas.microsoft.com/office/drawing/2014/main" id="{903B77FB-8F20-40E3-8168-9A1B7241D4D9}"/>
            </a:ext>
          </a:extLst>
        </xdr:cNvPr>
        <xdr:cNvCxnSpPr/>
      </xdr:nvCxnSpPr>
      <xdr:spPr>
        <a:xfrm>
          <a:off x="7463902" y="1797846"/>
          <a:ext cx="0" cy="34416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68020</xdr:colOff>
      <xdr:row>8</xdr:row>
      <xdr:rowOff>60189</xdr:rowOff>
    </xdr:from>
    <xdr:to>
      <xdr:col>33</xdr:col>
      <xdr:colOff>68020</xdr:colOff>
      <xdr:row>13</xdr:row>
      <xdr:rowOff>10850</xdr:rowOff>
    </xdr:to>
    <xdr:cxnSp macro="">
      <xdr:nvCxnSpPr>
        <xdr:cNvPr id="53" name="直線矢印コネクタ 52">
          <a:extLst>
            <a:ext uri="{FF2B5EF4-FFF2-40B4-BE49-F238E27FC236}">
              <a16:creationId xmlns:a16="http://schemas.microsoft.com/office/drawing/2014/main" id="{7375FFFE-1C18-43AB-9A56-95DDEC05C528}"/>
            </a:ext>
          </a:extLst>
        </xdr:cNvPr>
        <xdr:cNvCxnSpPr/>
      </xdr:nvCxnSpPr>
      <xdr:spPr>
        <a:xfrm>
          <a:off x="7463902" y="2178101"/>
          <a:ext cx="0" cy="1127278"/>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68020</xdr:colOff>
      <xdr:row>13</xdr:row>
      <xdr:rowOff>30071</xdr:rowOff>
    </xdr:from>
    <xdr:to>
      <xdr:col>33</xdr:col>
      <xdr:colOff>68020</xdr:colOff>
      <xdr:row>16</xdr:row>
      <xdr:rowOff>109390</xdr:rowOff>
    </xdr:to>
    <xdr:cxnSp macro="">
      <xdr:nvCxnSpPr>
        <xdr:cNvPr id="54" name="直線矢印コネクタ 53">
          <a:extLst>
            <a:ext uri="{FF2B5EF4-FFF2-40B4-BE49-F238E27FC236}">
              <a16:creationId xmlns:a16="http://schemas.microsoft.com/office/drawing/2014/main" id="{6DDA09BC-9BDA-4BE1-92E2-E22A06C5C124}"/>
            </a:ext>
          </a:extLst>
        </xdr:cNvPr>
        <xdr:cNvCxnSpPr/>
      </xdr:nvCxnSpPr>
      <xdr:spPr>
        <a:xfrm>
          <a:off x="7463902" y="3324600"/>
          <a:ext cx="0" cy="78529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18</xdr:col>
      <xdr:colOff>70738</xdr:colOff>
      <xdr:row>5</xdr:row>
      <xdr:rowOff>46745</xdr:rowOff>
    </xdr:from>
    <xdr:to>
      <xdr:col>20</xdr:col>
      <xdr:colOff>178537</xdr:colOff>
      <xdr:row>6</xdr:row>
      <xdr:rowOff>93343</xdr:rowOff>
    </xdr:to>
    <xdr:sp macro="" textlink="">
      <xdr:nvSpPr>
        <xdr:cNvPr id="55" name="テキスト ボックス 54">
          <a:extLst>
            <a:ext uri="{FF2B5EF4-FFF2-40B4-BE49-F238E27FC236}">
              <a16:creationId xmlns:a16="http://schemas.microsoft.com/office/drawing/2014/main" id="{59322B3E-A93B-4979-8F9C-B798F06D9A19}"/>
            </a:ext>
          </a:extLst>
        </xdr:cNvPr>
        <xdr:cNvSpPr txBox="1"/>
      </xdr:nvSpPr>
      <xdr:spPr>
        <a:xfrm>
          <a:off x="4142676" y="1475495"/>
          <a:ext cx="560236" cy="273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1.00m</a:t>
          </a:r>
          <a:endParaRPr kumimoji="1" lang="ja-JP" altLang="en-US" sz="1100"/>
        </a:p>
      </xdr:txBody>
    </xdr:sp>
    <xdr:clientData/>
  </xdr:twoCellAnchor>
  <xdr:twoCellAnchor>
    <xdr:from>
      <xdr:col>20</xdr:col>
      <xdr:colOff>129363</xdr:colOff>
      <xdr:row>5</xdr:row>
      <xdr:rowOff>107208</xdr:rowOff>
    </xdr:from>
    <xdr:to>
      <xdr:col>20</xdr:col>
      <xdr:colOff>129363</xdr:colOff>
      <xdr:row>6</xdr:row>
      <xdr:rowOff>105965</xdr:rowOff>
    </xdr:to>
    <xdr:cxnSp macro="">
      <xdr:nvCxnSpPr>
        <xdr:cNvPr id="56" name="直線矢印コネクタ 55">
          <a:extLst>
            <a:ext uri="{FF2B5EF4-FFF2-40B4-BE49-F238E27FC236}">
              <a16:creationId xmlns:a16="http://schemas.microsoft.com/office/drawing/2014/main" id="{014801B2-ED95-4167-A224-31A31A31373A}"/>
            </a:ext>
          </a:extLst>
        </xdr:cNvPr>
        <xdr:cNvCxnSpPr/>
      </xdr:nvCxnSpPr>
      <xdr:spPr>
        <a:xfrm>
          <a:off x="4653738" y="1535958"/>
          <a:ext cx="0" cy="236882"/>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129363</xdr:colOff>
      <xdr:row>6</xdr:row>
      <xdr:rowOff>115490</xdr:rowOff>
    </xdr:from>
    <xdr:to>
      <xdr:col>20</xdr:col>
      <xdr:colOff>129363</xdr:colOff>
      <xdr:row>9</xdr:row>
      <xdr:rowOff>174490</xdr:rowOff>
    </xdr:to>
    <xdr:cxnSp macro="">
      <xdr:nvCxnSpPr>
        <xdr:cNvPr id="57" name="直線矢印コネクタ 56">
          <a:extLst>
            <a:ext uri="{FF2B5EF4-FFF2-40B4-BE49-F238E27FC236}">
              <a16:creationId xmlns:a16="http://schemas.microsoft.com/office/drawing/2014/main" id="{B0D27A39-97B3-4E61-8412-41B92CD8554E}"/>
            </a:ext>
          </a:extLst>
        </xdr:cNvPr>
        <xdr:cNvCxnSpPr/>
      </xdr:nvCxnSpPr>
      <xdr:spPr>
        <a:xfrm>
          <a:off x="4653738" y="1782365"/>
          <a:ext cx="0" cy="77337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18</xdr:col>
      <xdr:colOff>112410</xdr:colOff>
      <xdr:row>7</xdr:row>
      <xdr:rowOff>175670</xdr:rowOff>
    </xdr:from>
    <xdr:to>
      <xdr:col>20</xdr:col>
      <xdr:colOff>220209</xdr:colOff>
      <xdr:row>8</xdr:row>
      <xdr:rowOff>169584</xdr:rowOff>
    </xdr:to>
    <xdr:sp macro="" textlink="">
      <xdr:nvSpPr>
        <xdr:cNvPr id="58" name="テキスト ボックス 57">
          <a:extLst>
            <a:ext uri="{FF2B5EF4-FFF2-40B4-BE49-F238E27FC236}">
              <a16:creationId xmlns:a16="http://schemas.microsoft.com/office/drawing/2014/main" id="{39874D3D-3BE3-4941-9086-F42AE92495EB}"/>
            </a:ext>
          </a:extLst>
        </xdr:cNvPr>
        <xdr:cNvSpPr txBox="1"/>
      </xdr:nvSpPr>
      <xdr:spPr>
        <a:xfrm>
          <a:off x="4184348" y="2080670"/>
          <a:ext cx="560236" cy="254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3.00m</a:t>
          </a:r>
          <a:endParaRPr kumimoji="1" lang="ja-JP" altLang="en-US" sz="1100"/>
        </a:p>
      </xdr:txBody>
    </xdr:sp>
    <xdr:clientData/>
  </xdr:twoCellAnchor>
  <xdr:twoCellAnchor>
    <xdr:from>
      <xdr:col>20</xdr:col>
      <xdr:colOff>133688</xdr:colOff>
      <xdr:row>12</xdr:row>
      <xdr:rowOff>234267</xdr:rowOff>
    </xdr:from>
    <xdr:to>
      <xdr:col>20</xdr:col>
      <xdr:colOff>133688</xdr:colOff>
      <xdr:row>15</xdr:row>
      <xdr:rowOff>234352</xdr:rowOff>
    </xdr:to>
    <xdr:cxnSp macro="">
      <xdr:nvCxnSpPr>
        <xdr:cNvPr id="59" name="直線矢印コネクタ 58">
          <a:extLst>
            <a:ext uri="{FF2B5EF4-FFF2-40B4-BE49-F238E27FC236}">
              <a16:creationId xmlns:a16="http://schemas.microsoft.com/office/drawing/2014/main" id="{560D46C0-8720-4FF5-9E8B-99268E48150A}"/>
            </a:ext>
          </a:extLst>
        </xdr:cNvPr>
        <xdr:cNvCxnSpPr/>
      </xdr:nvCxnSpPr>
      <xdr:spPr>
        <a:xfrm>
          <a:off x="4658063" y="3329892"/>
          <a:ext cx="0" cy="71446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18</xdr:col>
      <xdr:colOff>112410</xdr:colOff>
      <xdr:row>11</xdr:row>
      <xdr:rowOff>15133</xdr:rowOff>
    </xdr:from>
    <xdr:to>
      <xdr:col>20</xdr:col>
      <xdr:colOff>220209</xdr:colOff>
      <xdr:row>12</xdr:row>
      <xdr:rowOff>29820</xdr:rowOff>
    </xdr:to>
    <xdr:sp macro="" textlink="">
      <xdr:nvSpPr>
        <xdr:cNvPr id="60" name="テキスト ボックス 59">
          <a:extLst>
            <a:ext uri="{FF2B5EF4-FFF2-40B4-BE49-F238E27FC236}">
              <a16:creationId xmlns:a16="http://schemas.microsoft.com/office/drawing/2014/main" id="{D677FBF4-C22C-498D-9A7C-DA4A63342588}"/>
            </a:ext>
          </a:extLst>
        </xdr:cNvPr>
        <xdr:cNvSpPr txBox="1"/>
      </xdr:nvSpPr>
      <xdr:spPr>
        <a:xfrm>
          <a:off x="4184348" y="2872633"/>
          <a:ext cx="560236" cy="252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3.00m</a:t>
          </a:r>
          <a:endParaRPr kumimoji="1" lang="ja-JP" altLang="en-US" sz="1100"/>
        </a:p>
      </xdr:txBody>
    </xdr:sp>
    <xdr:clientData/>
  </xdr:twoCellAnchor>
  <xdr:twoCellAnchor editAs="oneCell">
    <xdr:from>
      <xdr:col>18</xdr:col>
      <xdr:colOff>112410</xdr:colOff>
      <xdr:row>13</xdr:row>
      <xdr:rowOff>175669</xdr:rowOff>
    </xdr:from>
    <xdr:to>
      <xdr:col>20</xdr:col>
      <xdr:colOff>220209</xdr:colOff>
      <xdr:row>14</xdr:row>
      <xdr:rowOff>191997</xdr:rowOff>
    </xdr:to>
    <xdr:sp macro="" textlink="">
      <xdr:nvSpPr>
        <xdr:cNvPr id="61" name="テキスト ボックス 60">
          <a:extLst>
            <a:ext uri="{FF2B5EF4-FFF2-40B4-BE49-F238E27FC236}">
              <a16:creationId xmlns:a16="http://schemas.microsoft.com/office/drawing/2014/main" id="{AC32286E-9F2A-4231-B7CF-48373D9952B1}"/>
            </a:ext>
          </a:extLst>
        </xdr:cNvPr>
        <xdr:cNvSpPr txBox="1"/>
      </xdr:nvSpPr>
      <xdr:spPr>
        <a:xfrm>
          <a:off x="4184348" y="3509419"/>
          <a:ext cx="560236" cy="2544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2.78m</a:t>
          </a:r>
          <a:endParaRPr kumimoji="1" lang="ja-JP" altLang="en-US" sz="1100"/>
        </a:p>
      </xdr:txBody>
    </xdr:sp>
    <xdr:clientData/>
  </xdr:twoCellAnchor>
  <xdr:twoCellAnchor>
    <xdr:from>
      <xdr:col>20</xdr:col>
      <xdr:colOff>129363</xdr:colOff>
      <xdr:row>9</xdr:row>
      <xdr:rowOff>180662</xdr:rowOff>
    </xdr:from>
    <xdr:to>
      <xdr:col>20</xdr:col>
      <xdr:colOff>129363</xdr:colOff>
      <xdr:row>12</xdr:row>
      <xdr:rowOff>234353</xdr:rowOff>
    </xdr:to>
    <xdr:cxnSp macro="">
      <xdr:nvCxnSpPr>
        <xdr:cNvPr id="62" name="直線矢印コネクタ 61">
          <a:extLst>
            <a:ext uri="{FF2B5EF4-FFF2-40B4-BE49-F238E27FC236}">
              <a16:creationId xmlns:a16="http://schemas.microsoft.com/office/drawing/2014/main" id="{5B5BA3E1-39E9-45BF-8DC7-C1C77481809B}"/>
            </a:ext>
          </a:extLst>
        </xdr:cNvPr>
        <xdr:cNvCxnSpPr/>
      </xdr:nvCxnSpPr>
      <xdr:spPr>
        <a:xfrm>
          <a:off x="4653738" y="2561912"/>
          <a:ext cx="0" cy="76806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55320</xdr:colOff>
      <xdr:row>6</xdr:row>
      <xdr:rowOff>118934</xdr:rowOff>
    </xdr:from>
    <xdr:to>
      <xdr:col>21</xdr:col>
      <xdr:colOff>52909</xdr:colOff>
      <xdr:row>6</xdr:row>
      <xdr:rowOff>118934</xdr:rowOff>
    </xdr:to>
    <xdr:cxnSp macro="">
      <xdr:nvCxnSpPr>
        <xdr:cNvPr id="63" name="直線コネクタ 62">
          <a:extLst>
            <a:ext uri="{FF2B5EF4-FFF2-40B4-BE49-F238E27FC236}">
              <a16:creationId xmlns:a16="http://schemas.microsoft.com/office/drawing/2014/main" id="{A44120DB-F710-42F7-9D83-D191C5FAAC0A}"/>
            </a:ext>
          </a:extLst>
        </xdr:cNvPr>
        <xdr:cNvCxnSpPr/>
      </xdr:nvCxnSpPr>
      <xdr:spPr>
        <a:xfrm>
          <a:off x="4579695" y="1785809"/>
          <a:ext cx="223808"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55320</xdr:colOff>
      <xdr:row>5</xdr:row>
      <xdr:rowOff>114289</xdr:rowOff>
    </xdr:from>
    <xdr:to>
      <xdr:col>21</xdr:col>
      <xdr:colOff>52909</xdr:colOff>
      <xdr:row>5</xdr:row>
      <xdr:rowOff>114289</xdr:rowOff>
    </xdr:to>
    <xdr:cxnSp macro="">
      <xdr:nvCxnSpPr>
        <xdr:cNvPr id="64" name="直線コネクタ 63">
          <a:extLst>
            <a:ext uri="{FF2B5EF4-FFF2-40B4-BE49-F238E27FC236}">
              <a16:creationId xmlns:a16="http://schemas.microsoft.com/office/drawing/2014/main" id="{1F883066-A049-4ACD-9212-4875F0EC8B88}"/>
            </a:ext>
          </a:extLst>
        </xdr:cNvPr>
        <xdr:cNvCxnSpPr/>
      </xdr:nvCxnSpPr>
      <xdr:spPr>
        <a:xfrm>
          <a:off x="4579695" y="1543039"/>
          <a:ext cx="223808"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55320</xdr:colOff>
      <xdr:row>9</xdr:row>
      <xdr:rowOff>174691</xdr:rowOff>
    </xdr:from>
    <xdr:to>
      <xdr:col>21</xdr:col>
      <xdr:colOff>52909</xdr:colOff>
      <xdr:row>9</xdr:row>
      <xdr:rowOff>174691</xdr:rowOff>
    </xdr:to>
    <xdr:cxnSp macro="">
      <xdr:nvCxnSpPr>
        <xdr:cNvPr id="65" name="直線コネクタ 64">
          <a:extLst>
            <a:ext uri="{FF2B5EF4-FFF2-40B4-BE49-F238E27FC236}">
              <a16:creationId xmlns:a16="http://schemas.microsoft.com/office/drawing/2014/main" id="{117309D6-E1A4-4E06-95F4-E0901AFF0F6F}"/>
            </a:ext>
          </a:extLst>
        </xdr:cNvPr>
        <xdr:cNvCxnSpPr/>
      </xdr:nvCxnSpPr>
      <xdr:spPr>
        <a:xfrm>
          <a:off x="4579695" y="2555941"/>
          <a:ext cx="223808"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55320</xdr:colOff>
      <xdr:row>13</xdr:row>
      <xdr:rowOff>7424</xdr:rowOff>
    </xdr:from>
    <xdr:to>
      <xdr:col>21</xdr:col>
      <xdr:colOff>52909</xdr:colOff>
      <xdr:row>13</xdr:row>
      <xdr:rowOff>7424</xdr:rowOff>
    </xdr:to>
    <xdr:cxnSp macro="">
      <xdr:nvCxnSpPr>
        <xdr:cNvPr id="66" name="直線コネクタ 65">
          <a:extLst>
            <a:ext uri="{FF2B5EF4-FFF2-40B4-BE49-F238E27FC236}">
              <a16:creationId xmlns:a16="http://schemas.microsoft.com/office/drawing/2014/main" id="{A922EC03-847C-430A-9754-231CB9E7FBBF}"/>
            </a:ext>
          </a:extLst>
        </xdr:cNvPr>
        <xdr:cNvCxnSpPr/>
      </xdr:nvCxnSpPr>
      <xdr:spPr>
        <a:xfrm>
          <a:off x="4579695" y="3341174"/>
          <a:ext cx="223808"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55320</xdr:colOff>
      <xdr:row>15</xdr:row>
      <xdr:rowOff>228807</xdr:rowOff>
    </xdr:from>
    <xdr:to>
      <xdr:col>21</xdr:col>
      <xdr:colOff>52909</xdr:colOff>
      <xdr:row>15</xdr:row>
      <xdr:rowOff>228807</xdr:rowOff>
    </xdr:to>
    <xdr:cxnSp macro="">
      <xdr:nvCxnSpPr>
        <xdr:cNvPr id="67" name="直線コネクタ 66">
          <a:extLst>
            <a:ext uri="{FF2B5EF4-FFF2-40B4-BE49-F238E27FC236}">
              <a16:creationId xmlns:a16="http://schemas.microsoft.com/office/drawing/2014/main" id="{B77A9DC6-7E3F-4217-9246-184AC3798629}"/>
            </a:ext>
          </a:extLst>
        </xdr:cNvPr>
        <xdr:cNvCxnSpPr/>
      </xdr:nvCxnSpPr>
      <xdr:spPr>
        <a:xfrm>
          <a:off x="4579695" y="4038807"/>
          <a:ext cx="223808"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26</xdr:col>
      <xdr:colOff>221469</xdr:colOff>
      <xdr:row>14</xdr:row>
      <xdr:rowOff>123272</xdr:rowOff>
    </xdr:from>
    <xdr:to>
      <xdr:col>30</xdr:col>
      <xdr:colOff>95250</xdr:colOff>
      <xdr:row>14</xdr:row>
      <xdr:rowOff>123272</xdr:rowOff>
    </xdr:to>
    <xdr:cxnSp macro="">
      <xdr:nvCxnSpPr>
        <xdr:cNvPr id="154" name="直線コネクタ 153">
          <a:extLst>
            <a:ext uri="{FF2B5EF4-FFF2-40B4-BE49-F238E27FC236}">
              <a16:creationId xmlns:a16="http://schemas.microsoft.com/office/drawing/2014/main" id="{7121FD1F-407E-BC76-A4A6-01F2D77145BB}"/>
            </a:ext>
          </a:extLst>
        </xdr:cNvPr>
        <xdr:cNvCxnSpPr/>
      </xdr:nvCxnSpPr>
      <xdr:spPr>
        <a:xfrm>
          <a:off x="6187583" y="3504647"/>
          <a:ext cx="791644" cy="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205131</xdr:colOff>
      <xdr:row>13</xdr:row>
      <xdr:rowOff>8048</xdr:rowOff>
    </xdr:from>
    <xdr:to>
      <xdr:col>23</xdr:col>
      <xdr:colOff>205131</xdr:colOff>
      <xdr:row>14</xdr:row>
      <xdr:rowOff>130968</xdr:rowOff>
    </xdr:to>
    <xdr:cxnSp macro="">
      <xdr:nvCxnSpPr>
        <xdr:cNvPr id="160" name="直線矢印コネクタ 159">
          <a:extLst>
            <a:ext uri="{FF2B5EF4-FFF2-40B4-BE49-F238E27FC236}">
              <a16:creationId xmlns:a16="http://schemas.microsoft.com/office/drawing/2014/main" id="{7AE8434D-AD19-FA32-CC71-8F2FA5848006}"/>
            </a:ext>
          </a:extLst>
        </xdr:cNvPr>
        <xdr:cNvCxnSpPr/>
      </xdr:nvCxnSpPr>
      <xdr:spPr>
        <a:xfrm>
          <a:off x="5408162" y="3341798"/>
          <a:ext cx="0" cy="36104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150577</xdr:colOff>
      <xdr:row>14</xdr:row>
      <xdr:rowOff>133557</xdr:rowOff>
    </xdr:from>
    <xdr:to>
      <xdr:col>24</xdr:col>
      <xdr:colOff>148166</xdr:colOff>
      <xdr:row>14</xdr:row>
      <xdr:rowOff>133557</xdr:rowOff>
    </xdr:to>
    <xdr:cxnSp macro="">
      <xdr:nvCxnSpPr>
        <xdr:cNvPr id="163" name="直線コネクタ 162">
          <a:extLst>
            <a:ext uri="{FF2B5EF4-FFF2-40B4-BE49-F238E27FC236}">
              <a16:creationId xmlns:a16="http://schemas.microsoft.com/office/drawing/2014/main" id="{AE513008-80A6-E503-A56D-62C37B78D57F}"/>
            </a:ext>
          </a:extLst>
        </xdr:cNvPr>
        <xdr:cNvCxnSpPr/>
      </xdr:nvCxnSpPr>
      <xdr:spPr>
        <a:xfrm>
          <a:off x="5353608" y="3705432"/>
          <a:ext cx="223808"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26</xdr:col>
      <xdr:colOff>75930</xdr:colOff>
      <xdr:row>5</xdr:row>
      <xdr:rowOff>208275</xdr:rowOff>
    </xdr:from>
    <xdr:to>
      <xdr:col>27</xdr:col>
      <xdr:colOff>114574</xdr:colOff>
      <xdr:row>7</xdr:row>
      <xdr:rowOff>39266</xdr:rowOff>
    </xdr:to>
    <xdr:sp macro="" textlink="">
      <xdr:nvSpPr>
        <xdr:cNvPr id="164" name="テキスト ボックス 163">
          <a:extLst>
            <a:ext uri="{FF2B5EF4-FFF2-40B4-BE49-F238E27FC236}">
              <a16:creationId xmlns:a16="http://schemas.microsoft.com/office/drawing/2014/main" id="{CAA90D5F-92B7-E80C-6D41-6C69F18D4D74}"/>
            </a:ext>
          </a:extLst>
        </xdr:cNvPr>
        <xdr:cNvSpPr txBox="1"/>
      </xdr:nvSpPr>
      <xdr:spPr>
        <a:xfrm rot="5400000">
          <a:off x="5949924" y="3383031"/>
          <a:ext cx="328791" cy="265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endParaRPr kumimoji="1" lang="en-US" altLang="ja-JP" sz="1100" b="1"/>
        </a:p>
      </xdr:txBody>
    </xdr:sp>
    <xdr:clientData/>
  </xdr:twoCellAnchor>
  <xdr:twoCellAnchor editAs="oneCell">
    <xdr:from>
      <xdr:col>21</xdr:col>
      <xdr:colOff>184550</xdr:colOff>
      <xdr:row>13</xdr:row>
      <xdr:rowOff>62561</xdr:rowOff>
    </xdr:from>
    <xdr:to>
      <xdr:col>24</xdr:col>
      <xdr:colOff>95199</xdr:colOff>
      <xdr:row>14</xdr:row>
      <xdr:rowOff>89299</xdr:rowOff>
    </xdr:to>
    <xdr:sp macro="" textlink="">
      <xdr:nvSpPr>
        <xdr:cNvPr id="166" name="テキスト ボックス 165">
          <a:extLst>
            <a:ext uri="{FF2B5EF4-FFF2-40B4-BE49-F238E27FC236}">
              <a16:creationId xmlns:a16="http://schemas.microsoft.com/office/drawing/2014/main" id="{273E2323-2C36-69D4-8CDD-6B1F60C72C59}"/>
            </a:ext>
          </a:extLst>
        </xdr:cNvPr>
        <xdr:cNvSpPr txBox="1"/>
      </xdr:nvSpPr>
      <xdr:spPr>
        <a:xfrm>
          <a:off x="4935144" y="3396311"/>
          <a:ext cx="589305" cy="264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1.39m</a:t>
          </a:r>
        </a:p>
      </xdr:txBody>
    </xdr:sp>
    <xdr:clientData/>
  </xdr:twoCellAnchor>
  <xdr:twoCellAnchor editAs="oneCell">
    <xdr:from>
      <xdr:col>26</xdr:col>
      <xdr:colOff>75930</xdr:colOff>
      <xdr:row>13</xdr:row>
      <xdr:rowOff>202321</xdr:rowOff>
    </xdr:from>
    <xdr:to>
      <xdr:col>27</xdr:col>
      <xdr:colOff>114574</xdr:colOff>
      <xdr:row>15</xdr:row>
      <xdr:rowOff>47535</xdr:rowOff>
    </xdr:to>
    <xdr:sp macro="" textlink="">
      <xdr:nvSpPr>
        <xdr:cNvPr id="168" name="テキスト ボックス 167">
          <a:extLst>
            <a:ext uri="{FF2B5EF4-FFF2-40B4-BE49-F238E27FC236}">
              <a16:creationId xmlns:a16="http://schemas.microsoft.com/office/drawing/2014/main" id="{78ED36EE-9CDE-6324-9A4F-C2268E1D2EEB}"/>
            </a:ext>
          </a:extLst>
        </xdr:cNvPr>
        <xdr:cNvSpPr txBox="1"/>
      </xdr:nvSpPr>
      <xdr:spPr>
        <a:xfrm rot="5400000">
          <a:off x="5949924" y="5311385"/>
          <a:ext cx="328791" cy="265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endParaRPr kumimoji="1" lang="en-US" altLang="ja-JP" sz="1100" b="1"/>
        </a:p>
      </xdr:txBody>
    </xdr:sp>
    <xdr:clientData/>
  </xdr:twoCellAnchor>
  <xdr:twoCellAnchor>
    <xdr:from>
      <xdr:col>26</xdr:col>
      <xdr:colOff>43296</xdr:colOff>
      <xdr:row>14</xdr:row>
      <xdr:rowOff>121651</xdr:rowOff>
    </xdr:from>
    <xdr:to>
      <xdr:col>26</xdr:col>
      <xdr:colOff>128683</xdr:colOff>
      <xdr:row>14</xdr:row>
      <xdr:rowOff>121651</xdr:rowOff>
    </xdr:to>
    <xdr:cxnSp macro="">
      <xdr:nvCxnSpPr>
        <xdr:cNvPr id="169" name="直線コネクタ 168">
          <a:extLst>
            <a:ext uri="{FF2B5EF4-FFF2-40B4-BE49-F238E27FC236}">
              <a16:creationId xmlns:a16="http://schemas.microsoft.com/office/drawing/2014/main" id="{4BE86FA9-F231-9374-0146-EC5D87252319}"/>
            </a:ext>
          </a:extLst>
        </xdr:cNvPr>
        <xdr:cNvCxnSpPr/>
      </xdr:nvCxnSpPr>
      <xdr:spPr>
        <a:xfrm>
          <a:off x="6009410" y="3693526"/>
          <a:ext cx="8538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12988</xdr:colOff>
      <xdr:row>14</xdr:row>
      <xdr:rowOff>64943</xdr:rowOff>
    </xdr:from>
    <xdr:to>
      <xdr:col>26</xdr:col>
      <xdr:colOff>42092</xdr:colOff>
      <xdr:row>14</xdr:row>
      <xdr:rowOff>121651</xdr:rowOff>
    </xdr:to>
    <xdr:cxnSp macro="">
      <xdr:nvCxnSpPr>
        <xdr:cNvPr id="171" name="直線コネクタ 170">
          <a:extLst>
            <a:ext uri="{FF2B5EF4-FFF2-40B4-BE49-F238E27FC236}">
              <a16:creationId xmlns:a16="http://schemas.microsoft.com/office/drawing/2014/main" id="{299BEED6-113A-9851-FCBF-00D54667517D}"/>
            </a:ext>
          </a:extLst>
        </xdr:cNvPr>
        <xdr:cNvCxnSpPr/>
      </xdr:nvCxnSpPr>
      <xdr:spPr>
        <a:xfrm>
          <a:off x="5979102" y="3636818"/>
          <a:ext cx="29104" cy="56708"/>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213219</xdr:colOff>
      <xdr:row>14</xdr:row>
      <xdr:rowOff>71034</xdr:rowOff>
    </xdr:from>
    <xdr:to>
      <xdr:col>26</xdr:col>
      <xdr:colOff>12915</xdr:colOff>
      <xdr:row>14</xdr:row>
      <xdr:rowOff>199142</xdr:rowOff>
    </xdr:to>
    <xdr:cxnSp macro="">
      <xdr:nvCxnSpPr>
        <xdr:cNvPr id="173" name="直線コネクタ 172">
          <a:extLst>
            <a:ext uri="{FF2B5EF4-FFF2-40B4-BE49-F238E27FC236}">
              <a16:creationId xmlns:a16="http://schemas.microsoft.com/office/drawing/2014/main" id="{1ECC529D-71B0-DCD0-9C3C-0AA88CFF9C75}"/>
            </a:ext>
          </a:extLst>
        </xdr:cNvPr>
        <xdr:cNvCxnSpPr/>
      </xdr:nvCxnSpPr>
      <xdr:spPr>
        <a:xfrm flipH="1">
          <a:off x="5944363" y="3655017"/>
          <a:ext cx="28942" cy="128108"/>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142185</xdr:colOff>
      <xdr:row>14</xdr:row>
      <xdr:rowOff>67805</xdr:rowOff>
    </xdr:from>
    <xdr:to>
      <xdr:col>25</xdr:col>
      <xdr:colOff>171127</xdr:colOff>
      <xdr:row>14</xdr:row>
      <xdr:rowOff>195913</xdr:rowOff>
    </xdr:to>
    <xdr:cxnSp macro="">
      <xdr:nvCxnSpPr>
        <xdr:cNvPr id="175" name="直線コネクタ 174">
          <a:extLst>
            <a:ext uri="{FF2B5EF4-FFF2-40B4-BE49-F238E27FC236}">
              <a16:creationId xmlns:a16="http://schemas.microsoft.com/office/drawing/2014/main" id="{B5025B14-315F-3709-FE84-61A81AC05D52}"/>
            </a:ext>
          </a:extLst>
        </xdr:cNvPr>
        <xdr:cNvCxnSpPr/>
      </xdr:nvCxnSpPr>
      <xdr:spPr>
        <a:xfrm flipH="1">
          <a:off x="5873329" y="3651788"/>
          <a:ext cx="28942" cy="128108"/>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74380</xdr:colOff>
      <xdr:row>14</xdr:row>
      <xdr:rowOff>67805</xdr:rowOff>
    </xdr:from>
    <xdr:to>
      <xdr:col>25</xdr:col>
      <xdr:colOff>103322</xdr:colOff>
      <xdr:row>14</xdr:row>
      <xdr:rowOff>195913</xdr:rowOff>
    </xdr:to>
    <xdr:cxnSp macro="">
      <xdr:nvCxnSpPr>
        <xdr:cNvPr id="176" name="直線コネクタ 175">
          <a:extLst>
            <a:ext uri="{FF2B5EF4-FFF2-40B4-BE49-F238E27FC236}">
              <a16:creationId xmlns:a16="http://schemas.microsoft.com/office/drawing/2014/main" id="{221E8037-D83D-D51E-9583-304A8F0AF710}"/>
            </a:ext>
          </a:extLst>
        </xdr:cNvPr>
        <xdr:cNvCxnSpPr/>
      </xdr:nvCxnSpPr>
      <xdr:spPr>
        <a:xfrm flipH="1">
          <a:off x="5805524" y="3651788"/>
          <a:ext cx="28942" cy="128108"/>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174356</xdr:colOff>
      <xdr:row>14</xdr:row>
      <xdr:rowOff>67805</xdr:rowOff>
    </xdr:from>
    <xdr:to>
      <xdr:col>25</xdr:col>
      <xdr:colOff>216448</xdr:colOff>
      <xdr:row>14</xdr:row>
      <xdr:rowOff>195913</xdr:rowOff>
    </xdr:to>
    <xdr:cxnSp macro="">
      <xdr:nvCxnSpPr>
        <xdr:cNvPr id="177" name="直線コネクタ 176">
          <a:extLst>
            <a:ext uri="{FF2B5EF4-FFF2-40B4-BE49-F238E27FC236}">
              <a16:creationId xmlns:a16="http://schemas.microsoft.com/office/drawing/2014/main" id="{71417F5D-F27F-C0E9-8E23-D943939AB728}"/>
            </a:ext>
          </a:extLst>
        </xdr:cNvPr>
        <xdr:cNvCxnSpPr/>
      </xdr:nvCxnSpPr>
      <xdr:spPr>
        <a:xfrm>
          <a:off x="5905500" y="3651788"/>
          <a:ext cx="42092" cy="128108"/>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103322</xdr:colOff>
      <xdr:row>14</xdr:row>
      <xdr:rowOff>67805</xdr:rowOff>
    </xdr:from>
    <xdr:to>
      <xdr:col>25</xdr:col>
      <xdr:colOff>145414</xdr:colOff>
      <xdr:row>14</xdr:row>
      <xdr:rowOff>195913</xdr:rowOff>
    </xdr:to>
    <xdr:cxnSp macro="">
      <xdr:nvCxnSpPr>
        <xdr:cNvPr id="179" name="直線コネクタ 178">
          <a:extLst>
            <a:ext uri="{FF2B5EF4-FFF2-40B4-BE49-F238E27FC236}">
              <a16:creationId xmlns:a16="http://schemas.microsoft.com/office/drawing/2014/main" id="{2655CBFD-030D-188F-4B65-38AC0FA05173}"/>
            </a:ext>
          </a:extLst>
        </xdr:cNvPr>
        <xdr:cNvCxnSpPr/>
      </xdr:nvCxnSpPr>
      <xdr:spPr>
        <a:xfrm>
          <a:off x="5834466" y="3651788"/>
          <a:ext cx="42092" cy="128108"/>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35517</xdr:colOff>
      <xdr:row>14</xdr:row>
      <xdr:rowOff>67805</xdr:rowOff>
    </xdr:from>
    <xdr:to>
      <xdr:col>25</xdr:col>
      <xdr:colOff>77609</xdr:colOff>
      <xdr:row>14</xdr:row>
      <xdr:rowOff>195913</xdr:rowOff>
    </xdr:to>
    <xdr:cxnSp macro="">
      <xdr:nvCxnSpPr>
        <xdr:cNvPr id="180" name="直線コネクタ 179">
          <a:extLst>
            <a:ext uri="{FF2B5EF4-FFF2-40B4-BE49-F238E27FC236}">
              <a16:creationId xmlns:a16="http://schemas.microsoft.com/office/drawing/2014/main" id="{252235D9-CFC0-8A1A-B9C1-C25A5771963F}"/>
            </a:ext>
          </a:extLst>
        </xdr:cNvPr>
        <xdr:cNvCxnSpPr/>
      </xdr:nvCxnSpPr>
      <xdr:spPr>
        <a:xfrm>
          <a:off x="5766661" y="3651788"/>
          <a:ext cx="42092" cy="128108"/>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29</xdr:col>
      <xdr:colOff>212435</xdr:colOff>
      <xdr:row>17</xdr:row>
      <xdr:rowOff>82244</xdr:rowOff>
    </xdr:from>
    <xdr:to>
      <xdr:col>33</xdr:col>
      <xdr:colOff>190448</xdr:colOff>
      <xdr:row>18</xdr:row>
      <xdr:rowOff>98571</xdr:rowOff>
    </xdr:to>
    <xdr:sp macro="" textlink="">
      <xdr:nvSpPr>
        <xdr:cNvPr id="182" name="テキスト ボックス 181">
          <a:extLst>
            <a:ext uri="{FF2B5EF4-FFF2-40B4-BE49-F238E27FC236}">
              <a16:creationId xmlns:a16="http://schemas.microsoft.com/office/drawing/2014/main" id="{FFEA5FF5-1CE2-B25A-D59A-921A574E10E1}"/>
            </a:ext>
          </a:extLst>
        </xdr:cNvPr>
        <xdr:cNvSpPr txBox="1"/>
      </xdr:nvSpPr>
      <xdr:spPr>
        <a:xfrm>
          <a:off x="6799339" y="4229282"/>
          <a:ext cx="886551" cy="258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５層 </a:t>
          </a:r>
          <a:r>
            <a:rPr kumimoji="1" lang="en-US" altLang="ja-JP" sz="1100"/>
            <a:t>1.06m</a:t>
          </a:r>
          <a:endParaRPr kumimoji="1" lang="ja-JP" altLang="en-US" sz="1100"/>
        </a:p>
      </xdr:txBody>
    </xdr:sp>
    <xdr:clientData/>
  </xdr:twoCellAnchor>
  <xdr:twoCellAnchor>
    <xdr:from>
      <xdr:col>27</xdr:col>
      <xdr:colOff>24843</xdr:colOff>
      <xdr:row>50</xdr:row>
      <xdr:rowOff>46392</xdr:rowOff>
    </xdr:from>
    <xdr:to>
      <xdr:col>33</xdr:col>
      <xdr:colOff>132164</xdr:colOff>
      <xdr:row>50</xdr:row>
      <xdr:rowOff>46392</xdr:rowOff>
    </xdr:to>
    <xdr:cxnSp macro="">
      <xdr:nvCxnSpPr>
        <xdr:cNvPr id="183" name="直線コネクタ 182">
          <a:extLst>
            <a:ext uri="{FF2B5EF4-FFF2-40B4-BE49-F238E27FC236}">
              <a16:creationId xmlns:a16="http://schemas.microsoft.com/office/drawing/2014/main" id="{9854C810-1E5D-4348-9898-C71400711589}"/>
            </a:ext>
          </a:extLst>
        </xdr:cNvPr>
        <xdr:cNvCxnSpPr/>
      </xdr:nvCxnSpPr>
      <xdr:spPr>
        <a:xfrm>
          <a:off x="6076019" y="10266157"/>
          <a:ext cx="145202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208706</xdr:colOff>
      <xdr:row>57</xdr:row>
      <xdr:rowOff>221310</xdr:rowOff>
    </xdr:from>
    <xdr:to>
      <xdr:col>27</xdr:col>
      <xdr:colOff>14630</xdr:colOff>
      <xdr:row>57</xdr:row>
      <xdr:rowOff>221310</xdr:rowOff>
    </xdr:to>
    <xdr:cxnSp macro="">
      <xdr:nvCxnSpPr>
        <xdr:cNvPr id="184" name="直線コネクタ 183">
          <a:extLst>
            <a:ext uri="{FF2B5EF4-FFF2-40B4-BE49-F238E27FC236}">
              <a16:creationId xmlns:a16="http://schemas.microsoft.com/office/drawing/2014/main" id="{6300893E-A9D6-6B0A-E875-F053D6CFE35C}"/>
            </a:ext>
          </a:extLst>
        </xdr:cNvPr>
        <xdr:cNvCxnSpPr/>
      </xdr:nvCxnSpPr>
      <xdr:spPr>
        <a:xfrm>
          <a:off x="5363412" y="12088339"/>
          <a:ext cx="70239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151687</xdr:colOff>
      <xdr:row>50</xdr:row>
      <xdr:rowOff>47884</xdr:rowOff>
    </xdr:from>
    <xdr:to>
      <xdr:col>29</xdr:col>
      <xdr:colOff>11801</xdr:colOff>
      <xdr:row>50</xdr:row>
      <xdr:rowOff>130522</xdr:rowOff>
    </xdr:to>
    <xdr:cxnSp macro="">
      <xdr:nvCxnSpPr>
        <xdr:cNvPr id="185" name="直線コネクタ 184">
          <a:extLst>
            <a:ext uri="{FF2B5EF4-FFF2-40B4-BE49-F238E27FC236}">
              <a16:creationId xmlns:a16="http://schemas.microsoft.com/office/drawing/2014/main" id="{4D8F6040-BE63-FAE8-257C-48F001D109A9}"/>
            </a:ext>
          </a:extLst>
        </xdr:cNvPr>
        <xdr:cNvCxnSpPr/>
      </xdr:nvCxnSpPr>
      <xdr:spPr>
        <a:xfrm>
          <a:off x="6426981" y="10267649"/>
          <a:ext cx="84232"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104369</xdr:colOff>
      <xdr:row>50</xdr:row>
      <xdr:rowOff>49728</xdr:rowOff>
    </xdr:from>
    <xdr:to>
      <xdr:col>28</xdr:col>
      <xdr:colOff>190363</xdr:colOff>
      <xdr:row>50</xdr:row>
      <xdr:rowOff>132366</xdr:rowOff>
    </xdr:to>
    <xdr:cxnSp macro="">
      <xdr:nvCxnSpPr>
        <xdr:cNvPr id="186" name="直線コネクタ 185">
          <a:extLst>
            <a:ext uri="{FF2B5EF4-FFF2-40B4-BE49-F238E27FC236}">
              <a16:creationId xmlns:a16="http://schemas.microsoft.com/office/drawing/2014/main" id="{3B49D972-EBED-F4CE-4D43-391AC7D6CAF8}"/>
            </a:ext>
          </a:extLst>
        </xdr:cNvPr>
        <xdr:cNvCxnSpPr/>
      </xdr:nvCxnSpPr>
      <xdr:spPr>
        <a:xfrm>
          <a:off x="6379663" y="10269493"/>
          <a:ext cx="8599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104405</xdr:colOff>
      <xdr:row>50</xdr:row>
      <xdr:rowOff>90560</xdr:rowOff>
    </xdr:from>
    <xdr:to>
      <xdr:col>28</xdr:col>
      <xdr:colOff>135131</xdr:colOff>
      <xdr:row>50</xdr:row>
      <xdr:rowOff>111761</xdr:rowOff>
    </xdr:to>
    <xdr:cxnSp macro="">
      <xdr:nvCxnSpPr>
        <xdr:cNvPr id="187" name="直線コネクタ 186">
          <a:extLst>
            <a:ext uri="{FF2B5EF4-FFF2-40B4-BE49-F238E27FC236}">
              <a16:creationId xmlns:a16="http://schemas.microsoft.com/office/drawing/2014/main" id="{C6FBDF87-85DE-5DAA-227C-9C4C55C33E82}"/>
            </a:ext>
          </a:extLst>
        </xdr:cNvPr>
        <xdr:cNvCxnSpPr/>
      </xdr:nvCxnSpPr>
      <xdr:spPr>
        <a:xfrm flipH="1">
          <a:off x="6379699" y="10310325"/>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124689</xdr:colOff>
      <xdr:row>50</xdr:row>
      <xdr:rowOff>107758</xdr:rowOff>
    </xdr:from>
    <xdr:to>
      <xdr:col>28</xdr:col>
      <xdr:colOff>155415</xdr:colOff>
      <xdr:row>50</xdr:row>
      <xdr:rowOff>131681</xdr:rowOff>
    </xdr:to>
    <xdr:cxnSp macro="">
      <xdr:nvCxnSpPr>
        <xdr:cNvPr id="188" name="直線コネクタ 187">
          <a:extLst>
            <a:ext uri="{FF2B5EF4-FFF2-40B4-BE49-F238E27FC236}">
              <a16:creationId xmlns:a16="http://schemas.microsoft.com/office/drawing/2014/main" id="{D0D53E1E-A554-FF91-08CE-7C0B0A3A3E3A}"/>
            </a:ext>
          </a:extLst>
        </xdr:cNvPr>
        <xdr:cNvCxnSpPr/>
      </xdr:nvCxnSpPr>
      <xdr:spPr>
        <a:xfrm flipH="1">
          <a:off x="6399983" y="10327523"/>
          <a:ext cx="3072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71550</xdr:colOff>
      <xdr:row>50</xdr:row>
      <xdr:rowOff>46197</xdr:rowOff>
    </xdr:from>
    <xdr:to>
      <xdr:col>29</xdr:col>
      <xdr:colOff>156510</xdr:colOff>
      <xdr:row>50</xdr:row>
      <xdr:rowOff>126033</xdr:rowOff>
    </xdr:to>
    <xdr:cxnSp macro="">
      <xdr:nvCxnSpPr>
        <xdr:cNvPr id="189" name="直線コネクタ 188">
          <a:extLst>
            <a:ext uri="{FF2B5EF4-FFF2-40B4-BE49-F238E27FC236}">
              <a16:creationId xmlns:a16="http://schemas.microsoft.com/office/drawing/2014/main" id="{7E366F5B-8050-EE5E-779E-05D13A61C0DD}"/>
            </a:ext>
          </a:extLst>
        </xdr:cNvPr>
        <xdr:cNvCxnSpPr/>
      </xdr:nvCxnSpPr>
      <xdr:spPr>
        <a:xfrm>
          <a:off x="6570962" y="10265962"/>
          <a:ext cx="84960" cy="798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19750</xdr:colOff>
      <xdr:row>50</xdr:row>
      <xdr:rowOff>45239</xdr:rowOff>
    </xdr:from>
    <xdr:to>
      <xdr:col>29</xdr:col>
      <xdr:colOff>113674</xdr:colOff>
      <xdr:row>50</xdr:row>
      <xdr:rowOff>127877</xdr:rowOff>
    </xdr:to>
    <xdr:cxnSp macro="">
      <xdr:nvCxnSpPr>
        <xdr:cNvPr id="190" name="直線コネクタ 189">
          <a:extLst>
            <a:ext uri="{FF2B5EF4-FFF2-40B4-BE49-F238E27FC236}">
              <a16:creationId xmlns:a16="http://schemas.microsoft.com/office/drawing/2014/main" id="{1CDF4F6F-E083-E0FA-6C2B-B2F005889664}"/>
            </a:ext>
          </a:extLst>
        </xdr:cNvPr>
        <xdr:cNvCxnSpPr/>
      </xdr:nvCxnSpPr>
      <xdr:spPr>
        <a:xfrm>
          <a:off x="6519162" y="10265004"/>
          <a:ext cx="9392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19786</xdr:colOff>
      <xdr:row>50</xdr:row>
      <xdr:rowOff>86066</xdr:rowOff>
    </xdr:from>
    <xdr:to>
      <xdr:col>29</xdr:col>
      <xdr:colOff>54994</xdr:colOff>
      <xdr:row>50</xdr:row>
      <xdr:rowOff>116792</xdr:rowOff>
    </xdr:to>
    <xdr:cxnSp macro="">
      <xdr:nvCxnSpPr>
        <xdr:cNvPr id="191" name="直線コネクタ 190">
          <a:extLst>
            <a:ext uri="{FF2B5EF4-FFF2-40B4-BE49-F238E27FC236}">
              <a16:creationId xmlns:a16="http://schemas.microsoft.com/office/drawing/2014/main" id="{7121B949-26A8-C882-B30E-AE0E8F186082}"/>
            </a:ext>
          </a:extLst>
        </xdr:cNvPr>
        <xdr:cNvCxnSpPr/>
      </xdr:nvCxnSpPr>
      <xdr:spPr>
        <a:xfrm flipH="1">
          <a:off x="6519198" y="10305831"/>
          <a:ext cx="35208"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40070</xdr:colOff>
      <xdr:row>50</xdr:row>
      <xdr:rowOff>103264</xdr:rowOff>
    </xdr:from>
    <xdr:to>
      <xdr:col>29</xdr:col>
      <xdr:colOff>75278</xdr:colOff>
      <xdr:row>50</xdr:row>
      <xdr:rowOff>127187</xdr:rowOff>
    </xdr:to>
    <xdr:cxnSp macro="">
      <xdr:nvCxnSpPr>
        <xdr:cNvPr id="192" name="直線コネクタ 191">
          <a:extLst>
            <a:ext uri="{FF2B5EF4-FFF2-40B4-BE49-F238E27FC236}">
              <a16:creationId xmlns:a16="http://schemas.microsoft.com/office/drawing/2014/main" id="{39F5D30E-0F8C-801D-102D-2457F8D44A03}"/>
            </a:ext>
          </a:extLst>
        </xdr:cNvPr>
        <xdr:cNvCxnSpPr/>
      </xdr:nvCxnSpPr>
      <xdr:spPr>
        <a:xfrm flipH="1">
          <a:off x="6539482" y="10323029"/>
          <a:ext cx="35208"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22412</xdr:colOff>
      <xdr:row>59</xdr:row>
      <xdr:rowOff>72844</xdr:rowOff>
    </xdr:from>
    <xdr:to>
      <xdr:col>29</xdr:col>
      <xdr:colOff>52047</xdr:colOff>
      <xdr:row>59</xdr:row>
      <xdr:rowOff>72844</xdr:rowOff>
    </xdr:to>
    <xdr:cxnSp macro="">
      <xdr:nvCxnSpPr>
        <xdr:cNvPr id="193" name="直線コネクタ 192">
          <a:extLst>
            <a:ext uri="{FF2B5EF4-FFF2-40B4-BE49-F238E27FC236}">
              <a16:creationId xmlns:a16="http://schemas.microsoft.com/office/drawing/2014/main" id="{B6BB793A-722E-D62C-28F6-A2741875C19A}"/>
            </a:ext>
          </a:extLst>
        </xdr:cNvPr>
        <xdr:cNvCxnSpPr/>
      </xdr:nvCxnSpPr>
      <xdr:spPr>
        <a:xfrm>
          <a:off x="6073588" y="12432932"/>
          <a:ext cx="477871"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27</xdr:col>
      <xdr:colOff>21967</xdr:colOff>
      <xdr:row>50</xdr:row>
      <xdr:rowOff>51377</xdr:rowOff>
    </xdr:from>
    <xdr:to>
      <xdr:col>27</xdr:col>
      <xdr:colOff>21967</xdr:colOff>
      <xdr:row>63</xdr:row>
      <xdr:rowOff>198732</xdr:rowOff>
    </xdr:to>
    <xdr:cxnSp macro="">
      <xdr:nvCxnSpPr>
        <xdr:cNvPr id="194" name="直線コネクタ 193">
          <a:extLst>
            <a:ext uri="{FF2B5EF4-FFF2-40B4-BE49-F238E27FC236}">
              <a16:creationId xmlns:a16="http://schemas.microsoft.com/office/drawing/2014/main" id="{B6D7F142-CE36-4DFA-D3DB-5E77031EC170}"/>
            </a:ext>
          </a:extLst>
        </xdr:cNvPr>
        <xdr:cNvCxnSpPr/>
      </xdr:nvCxnSpPr>
      <xdr:spPr>
        <a:xfrm>
          <a:off x="6073143" y="10271142"/>
          <a:ext cx="0" cy="3228972"/>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27</xdr:col>
      <xdr:colOff>31931</xdr:colOff>
      <xdr:row>53</xdr:row>
      <xdr:rowOff>142</xdr:rowOff>
    </xdr:from>
    <xdr:to>
      <xdr:col>33</xdr:col>
      <xdr:colOff>155760</xdr:colOff>
      <xdr:row>53</xdr:row>
      <xdr:rowOff>142</xdr:rowOff>
    </xdr:to>
    <xdr:cxnSp macro="">
      <xdr:nvCxnSpPr>
        <xdr:cNvPr id="195" name="直線コネクタ 194">
          <a:extLst>
            <a:ext uri="{FF2B5EF4-FFF2-40B4-BE49-F238E27FC236}">
              <a16:creationId xmlns:a16="http://schemas.microsoft.com/office/drawing/2014/main" id="{2D59E743-8E81-312C-3832-AD29A965A542}"/>
            </a:ext>
          </a:extLst>
        </xdr:cNvPr>
        <xdr:cNvCxnSpPr/>
      </xdr:nvCxnSpPr>
      <xdr:spPr>
        <a:xfrm>
          <a:off x="6083107" y="10925877"/>
          <a:ext cx="1468535"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27</xdr:col>
      <xdr:colOff>22406</xdr:colOff>
      <xdr:row>51</xdr:row>
      <xdr:rowOff>68506</xdr:rowOff>
    </xdr:from>
    <xdr:to>
      <xdr:col>33</xdr:col>
      <xdr:colOff>222996</xdr:colOff>
      <xdr:row>51</xdr:row>
      <xdr:rowOff>68506</xdr:rowOff>
    </xdr:to>
    <xdr:cxnSp macro="">
      <xdr:nvCxnSpPr>
        <xdr:cNvPr id="196" name="直線コネクタ 195">
          <a:extLst>
            <a:ext uri="{FF2B5EF4-FFF2-40B4-BE49-F238E27FC236}">
              <a16:creationId xmlns:a16="http://schemas.microsoft.com/office/drawing/2014/main" id="{26FAAA6D-D825-1B3C-6F2F-F717EA625379}"/>
            </a:ext>
          </a:extLst>
        </xdr:cNvPr>
        <xdr:cNvCxnSpPr/>
      </xdr:nvCxnSpPr>
      <xdr:spPr>
        <a:xfrm>
          <a:off x="6073582" y="10523594"/>
          <a:ext cx="1545296"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30</xdr:col>
      <xdr:colOff>61624</xdr:colOff>
      <xdr:row>57</xdr:row>
      <xdr:rowOff>236572</xdr:rowOff>
    </xdr:from>
    <xdr:to>
      <xdr:col>30</xdr:col>
      <xdr:colOff>202406</xdr:colOff>
      <xdr:row>59</xdr:row>
      <xdr:rowOff>83226</xdr:rowOff>
    </xdr:to>
    <xdr:cxnSp macro="">
      <xdr:nvCxnSpPr>
        <xdr:cNvPr id="197" name="直線コネクタ 196">
          <a:extLst>
            <a:ext uri="{FF2B5EF4-FFF2-40B4-BE49-F238E27FC236}">
              <a16:creationId xmlns:a16="http://schemas.microsoft.com/office/drawing/2014/main" id="{BE163F2B-757E-60CB-19C3-34FE17C003C3}"/>
            </a:ext>
          </a:extLst>
        </xdr:cNvPr>
        <xdr:cNvCxnSpPr/>
      </xdr:nvCxnSpPr>
      <xdr:spPr>
        <a:xfrm flipH="1">
          <a:off x="6785153" y="12103601"/>
          <a:ext cx="140782" cy="339713"/>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28</xdr:col>
      <xdr:colOff>94191</xdr:colOff>
      <xdr:row>53</xdr:row>
      <xdr:rowOff>16246</xdr:rowOff>
    </xdr:from>
    <xdr:to>
      <xdr:col>30</xdr:col>
      <xdr:colOff>196093</xdr:colOff>
      <xdr:row>57</xdr:row>
      <xdr:rowOff>240043</xdr:rowOff>
    </xdr:to>
    <xdr:cxnSp macro="">
      <xdr:nvCxnSpPr>
        <xdr:cNvPr id="198" name="直線コネクタ 197">
          <a:extLst>
            <a:ext uri="{FF2B5EF4-FFF2-40B4-BE49-F238E27FC236}">
              <a16:creationId xmlns:a16="http://schemas.microsoft.com/office/drawing/2014/main" id="{BB456326-E73D-F206-5381-52E5A098650B}"/>
            </a:ext>
          </a:extLst>
        </xdr:cNvPr>
        <xdr:cNvCxnSpPr/>
      </xdr:nvCxnSpPr>
      <xdr:spPr>
        <a:xfrm flipH="1" flipV="1">
          <a:off x="6369485" y="10941981"/>
          <a:ext cx="550137" cy="1165091"/>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31931</xdr:colOff>
      <xdr:row>57</xdr:row>
      <xdr:rowOff>221929</xdr:rowOff>
    </xdr:from>
    <xdr:to>
      <xdr:col>33</xdr:col>
      <xdr:colOff>110937</xdr:colOff>
      <xdr:row>57</xdr:row>
      <xdr:rowOff>221929</xdr:rowOff>
    </xdr:to>
    <xdr:cxnSp macro="">
      <xdr:nvCxnSpPr>
        <xdr:cNvPr id="199" name="直線コネクタ 198">
          <a:extLst>
            <a:ext uri="{FF2B5EF4-FFF2-40B4-BE49-F238E27FC236}">
              <a16:creationId xmlns:a16="http://schemas.microsoft.com/office/drawing/2014/main" id="{B306DAE0-DA92-6202-D75D-6DD5EDD64573}"/>
            </a:ext>
          </a:extLst>
        </xdr:cNvPr>
        <xdr:cNvCxnSpPr/>
      </xdr:nvCxnSpPr>
      <xdr:spPr>
        <a:xfrm>
          <a:off x="6083107" y="12088958"/>
          <a:ext cx="1423712"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23</xdr:col>
      <xdr:colOff>184895</xdr:colOff>
      <xdr:row>50</xdr:row>
      <xdr:rowOff>228121</xdr:rowOff>
    </xdr:from>
    <xdr:to>
      <xdr:col>26</xdr:col>
      <xdr:colOff>53077</xdr:colOff>
      <xdr:row>50</xdr:row>
      <xdr:rowOff>228121</xdr:rowOff>
    </xdr:to>
    <xdr:cxnSp macro="">
      <xdr:nvCxnSpPr>
        <xdr:cNvPr id="200" name="直線コネクタ 199">
          <a:extLst>
            <a:ext uri="{FF2B5EF4-FFF2-40B4-BE49-F238E27FC236}">
              <a16:creationId xmlns:a16="http://schemas.microsoft.com/office/drawing/2014/main" id="{D774D862-F643-AF3F-A6BA-A9F4FEA554B0}"/>
            </a:ext>
          </a:extLst>
        </xdr:cNvPr>
        <xdr:cNvCxnSpPr/>
      </xdr:nvCxnSpPr>
      <xdr:spPr>
        <a:xfrm>
          <a:off x="5339601" y="10447886"/>
          <a:ext cx="54053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199462</xdr:colOff>
      <xdr:row>51</xdr:row>
      <xdr:rowOff>144608</xdr:rowOff>
    </xdr:from>
    <xdr:to>
      <xdr:col>26</xdr:col>
      <xdr:colOff>43051</xdr:colOff>
      <xdr:row>51</xdr:row>
      <xdr:rowOff>144608</xdr:rowOff>
    </xdr:to>
    <xdr:cxnSp macro="">
      <xdr:nvCxnSpPr>
        <xdr:cNvPr id="201" name="直線コネクタ 200">
          <a:extLst>
            <a:ext uri="{FF2B5EF4-FFF2-40B4-BE49-F238E27FC236}">
              <a16:creationId xmlns:a16="http://schemas.microsoft.com/office/drawing/2014/main" id="{0233D2B0-D6C6-ABAC-3CD8-5922109CBACC}"/>
            </a:ext>
          </a:extLst>
        </xdr:cNvPr>
        <xdr:cNvCxnSpPr/>
      </xdr:nvCxnSpPr>
      <xdr:spPr>
        <a:xfrm>
          <a:off x="5354168" y="10599696"/>
          <a:ext cx="5159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51072</xdr:colOff>
      <xdr:row>50</xdr:row>
      <xdr:rowOff>230215</xdr:rowOff>
    </xdr:from>
    <xdr:to>
      <xdr:col>26</xdr:col>
      <xdr:colOff>51072</xdr:colOff>
      <xdr:row>51</xdr:row>
      <xdr:rowOff>144993</xdr:rowOff>
    </xdr:to>
    <xdr:cxnSp macro="">
      <xdr:nvCxnSpPr>
        <xdr:cNvPr id="202" name="直線コネクタ 201">
          <a:extLst>
            <a:ext uri="{FF2B5EF4-FFF2-40B4-BE49-F238E27FC236}">
              <a16:creationId xmlns:a16="http://schemas.microsoft.com/office/drawing/2014/main" id="{8AC8A868-D15E-A24C-E6FB-B7C010237561}"/>
            </a:ext>
          </a:extLst>
        </xdr:cNvPr>
        <xdr:cNvCxnSpPr/>
      </xdr:nvCxnSpPr>
      <xdr:spPr>
        <a:xfrm>
          <a:off x="5878131" y="10449980"/>
          <a:ext cx="0" cy="1501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78286</xdr:colOff>
      <xdr:row>50</xdr:row>
      <xdr:rowOff>222812</xdr:rowOff>
    </xdr:from>
    <xdr:to>
      <xdr:col>26</xdr:col>
      <xdr:colOff>78286</xdr:colOff>
      <xdr:row>51</xdr:row>
      <xdr:rowOff>158779</xdr:rowOff>
    </xdr:to>
    <xdr:cxnSp macro="">
      <xdr:nvCxnSpPr>
        <xdr:cNvPr id="203" name="直線コネクタ 202">
          <a:extLst>
            <a:ext uri="{FF2B5EF4-FFF2-40B4-BE49-F238E27FC236}">
              <a16:creationId xmlns:a16="http://schemas.microsoft.com/office/drawing/2014/main" id="{E9B3512D-E7D3-CAEA-18E2-BEB0CA6E5F1E}"/>
            </a:ext>
          </a:extLst>
        </xdr:cNvPr>
        <xdr:cNvCxnSpPr/>
      </xdr:nvCxnSpPr>
      <xdr:spPr>
        <a:xfrm>
          <a:off x="5905345" y="10442577"/>
          <a:ext cx="0" cy="17129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216679</xdr:colOff>
      <xdr:row>50</xdr:row>
      <xdr:rowOff>222812</xdr:rowOff>
    </xdr:from>
    <xdr:to>
      <xdr:col>26</xdr:col>
      <xdr:colOff>216679</xdr:colOff>
      <xdr:row>51</xdr:row>
      <xdr:rowOff>158779</xdr:rowOff>
    </xdr:to>
    <xdr:cxnSp macro="">
      <xdr:nvCxnSpPr>
        <xdr:cNvPr id="204" name="直線コネクタ 203">
          <a:extLst>
            <a:ext uri="{FF2B5EF4-FFF2-40B4-BE49-F238E27FC236}">
              <a16:creationId xmlns:a16="http://schemas.microsoft.com/office/drawing/2014/main" id="{7F5E3D48-DDA6-1318-5DA8-FB9F1EDEB16E}"/>
            </a:ext>
          </a:extLst>
        </xdr:cNvPr>
        <xdr:cNvCxnSpPr/>
      </xdr:nvCxnSpPr>
      <xdr:spPr>
        <a:xfrm>
          <a:off x="6043738" y="10442577"/>
          <a:ext cx="0" cy="17129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77216</xdr:colOff>
      <xdr:row>51</xdr:row>
      <xdr:rowOff>70332</xdr:rowOff>
    </xdr:from>
    <xdr:to>
      <xdr:col>26</xdr:col>
      <xdr:colOff>212208</xdr:colOff>
      <xdr:row>51</xdr:row>
      <xdr:rowOff>70332</xdr:rowOff>
    </xdr:to>
    <xdr:cxnSp macro="">
      <xdr:nvCxnSpPr>
        <xdr:cNvPr id="205" name="直線コネクタ 204">
          <a:extLst>
            <a:ext uri="{FF2B5EF4-FFF2-40B4-BE49-F238E27FC236}">
              <a16:creationId xmlns:a16="http://schemas.microsoft.com/office/drawing/2014/main" id="{0305B8C5-6C07-1B47-803E-860C451289B0}"/>
            </a:ext>
          </a:extLst>
        </xdr:cNvPr>
        <xdr:cNvCxnSpPr/>
      </xdr:nvCxnSpPr>
      <xdr:spPr>
        <a:xfrm>
          <a:off x="5904275" y="10525420"/>
          <a:ext cx="13499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182476</xdr:colOff>
      <xdr:row>60</xdr:row>
      <xdr:rowOff>89675</xdr:rowOff>
    </xdr:from>
    <xdr:to>
      <xdr:col>27</xdr:col>
      <xdr:colOff>80757</xdr:colOff>
      <xdr:row>60</xdr:row>
      <xdr:rowOff>219357</xdr:rowOff>
    </xdr:to>
    <xdr:sp macro="" textlink="">
      <xdr:nvSpPr>
        <xdr:cNvPr id="206" name="楕円 205">
          <a:extLst>
            <a:ext uri="{FF2B5EF4-FFF2-40B4-BE49-F238E27FC236}">
              <a16:creationId xmlns:a16="http://schemas.microsoft.com/office/drawing/2014/main" id="{A9B56E83-6A02-EAA6-8C22-4DF70092F948}"/>
            </a:ext>
          </a:extLst>
        </xdr:cNvPr>
        <xdr:cNvSpPr/>
      </xdr:nvSpPr>
      <xdr:spPr>
        <a:xfrm>
          <a:off x="6009535" y="12685087"/>
          <a:ext cx="122398" cy="129682"/>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184895</xdr:colOff>
      <xdr:row>54</xdr:row>
      <xdr:rowOff>92882</xdr:rowOff>
    </xdr:from>
    <xdr:to>
      <xdr:col>26</xdr:col>
      <xdr:colOff>53077</xdr:colOff>
      <xdr:row>54</xdr:row>
      <xdr:rowOff>92882</xdr:rowOff>
    </xdr:to>
    <xdr:cxnSp macro="">
      <xdr:nvCxnSpPr>
        <xdr:cNvPr id="207" name="直線コネクタ 206">
          <a:extLst>
            <a:ext uri="{FF2B5EF4-FFF2-40B4-BE49-F238E27FC236}">
              <a16:creationId xmlns:a16="http://schemas.microsoft.com/office/drawing/2014/main" id="{259699FF-D373-9AF7-D36D-90D6E6907948}"/>
            </a:ext>
          </a:extLst>
        </xdr:cNvPr>
        <xdr:cNvCxnSpPr/>
      </xdr:nvCxnSpPr>
      <xdr:spPr>
        <a:xfrm>
          <a:off x="5339601" y="11253941"/>
          <a:ext cx="54053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199462</xdr:colOff>
      <xdr:row>54</xdr:row>
      <xdr:rowOff>216846</xdr:rowOff>
    </xdr:from>
    <xdr:to>
      <xdr:col>26</xdr:col>
      <xdr:colOff>43051</xdr:colOff>
      <xdr:row>54</xdr:row>
      <xdr:rowOff>216846</xdr:rowOff>
    </xdr:to>
    <xdr:cxnSp macro="">
      <xdr:nvCxnSpPr>
        <xdr:cNvPr id="208" name="直線コネクタ 207">
          <a:extLst>
            <a:ext uri="{FF2B5EF4-FFF2-40B4-BE49-F238E27FC236}">
              <a16:creationId xmlns:a16="http://schemas.microsoft.com/office/drawing/2014/main" id="{019F9898-35AE-465D-A697-32D4BFD4350F}"/>
            </a:ext>
          </a:extLst>
        </xdr:cNvPr>
        <xdr:cNvCxnSpPr/>
      </xdr:nvCxnSpPr>
      <xdr:spPr>
        <a:xfrm>
          <a:off x="5354168" y="11377905"/>
          <a:ext cx="51594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51072</xdr:colOff>
      <xdr:row>54</xdr:row>
      <xdr:rowOff>97778</xdr:rowOff>
    </xdr:from>
    <xdr:to>
      <xdr:col>26</xdr:col>
      <xdr:colOff>51072</xdr:colOff>
      <xdr:row>54</xdr:row>
      <xdr:rowOff>217231</xdr:rowOff>
    </xdr:to>
    <xdr:cxnSp macro="">
      <xdr:nvCxnSpPr>
        <xdr:cNvPr id="209" name="直線コネクタ 208">
          <a:extLst>
            <a:ext uri="{FF2B5EF4-FFF2-40B4-BE49-F238E27FC236}">
              <a16:creationId xmlns:a16="http://schemas.microsoft.com/office/drawing/2014/main" id="{E13E9DC9-6724-4B35-2450-C77EACFB98BE}"/>
            </a:ext>
          </a:extLst>
        </xdr:cNvPr>
        <xdr:cNvCxnSpPr/>
      </xdr:nvCxnSpPr>
      <xdr:spPr>
        <a:xfrm>
          <a:off x="5878131" y="11258837"/>
          <a:ext cx="0" cy="11945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78286</xdr:colOff>
      <xdr:row>54</xdr:row>
      <xdr:rowOff>87573</xdr:rowOff>
    </xdr:from>
    <xdr:to>
      <xdr:col>26</xdr:col>
      <xdr:colOff>78286</xdr:colOff>
      <xdr:row>54</xdr:row>
      <xdr:rowOff>231017</xdr:rowOff>
    </xdr:to>
    <xdr:cxnSp macro="">
      <xdr:nvCxnSpPr>
        <xdr:cNvPr id="210" name="直線コネクタ 209">
          <a:extLst>
            <a:ext uri="{FF2B5EF4-FFF2-40B4-BE49-F238E27FC236}">
              <a16:creationId xmlns:a16="http://schemas.microsoft.com/office/drawing/2014/main" id="{0BE99536-E39C-36C6-21DB-1D301B6CB2FE}"/>
            </a:ext>
          </a:extLst>
        </xdr:cNvPr>
        <xdr:cNvCxnSpPr/>
      </xdr:nvCxnSpPr>
      <xdr:spPr>
        <a:xfrm>
          <a:off x="5905345" y="11248632"/>
          <a:ext cx="0" cy="14344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216679</xdr:colOff>
      <xdr:row>54</xdr:row>
      <xdr:rowOff>87573</xdr:rowOff>
    </xdr:from>
    <xdr:to>
      <xdr:col>26</xdr:col>
      <xdr:colOff>216679</xdr:colOff>
      <xdr:row>54</xdr:row>
      <xdr:rowOff>231017</xdr:rowOff>
    </xdr:to>
    <xdr:cxnSp macro="">
      <xdr:nvCxnSpPr>
        <xdr:cNvPr id="211" name="直線コネクタ 210">
          <a:extLst>
            <a:ext uri="{FF2B5EF4-FFF2-40B4-BE49-F238E27FC236}">
              <a16:creationId xmlns:a16="http://schemas.microsoft.com/office/drawing/2014/main" id="{31A0C468-581C-583C-7EDB-94C1CD7FA21A}"/>
            </a:ext>
          </a:extLst>
        </xdr:cNvPr>
        <xdr:cNvCxnSpPr/>
      </xdr:nvCxnSpPr>
      <xdr:spPr>
        <a:xfrm>
          <a:off x="6043738" y="11248632"/>
          <a:ext cx="0" cy="14344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77216</xdr:colOff>
      <xdr:row>54</xdr:row>
      <xdr:rowOff>157404</xdr:rowOff>
    </xdr:from>
    <xdr:to>
      <xdr:col>26</xdr:col>
      <xdr:colOff>212208</xdr:colOff>
      <xdr:row>54</xdr:row>
      <xdr:rowOff>157404</xdr:rowOff>
    </xdr:to>
    <xdr:cxnSp macro="">
      <xdr:nvCxnSpPr>
        <xdr:cNvPr id="212" name="直線コネクタ 211">
          <a:extLst>
            <a:ext uri="{FF2B5EF4-FFF2-40B4-BE49-F238E27FC236}">
              <a16:creationId xmlns:a16="http://schemas.microsoft.com/office/drawing/2014/main" id="{5A50E11A-B40F-6998-ED12-5110637B2AF6}"/>
            </a:ext>
          </a:extLst>
        </xdr:cNvPr>
        <xdr:cNvCxnSpPr/>
      </xdr:nvCxnSpPr>
      <xdr:spPr>
        <a:xfrm>
          <a:off x="5904275" y="11318463"/>
          <a:ext cx="13499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97141</xdr:colOff>
      <xdr:row>61</xdr:row>
      <xdr:rowOff>78759</xdr:rowOff>
    </xdr:from>
    <xdr:to>
      <xdr:col>33</xdr:col>
      <xdr:colOff>136710</xdr:colOff>
      <xdr:row>61</xdr:row>
      <xdr:rowOff>78759</xdr:rowOff>
    </xdr:to>
    <xdr:cxnSp macro="">
      <xdr:nvCxnSpPr>
        <xdr:cNvPr id="213" name="直線コネクタ 212">
          <a:extLst>
            <a:ext uri="{FF2B5EF4-FFF2-40B4-BE49-F238E27FC236}">
              <a16:creationId xmlns:a16="http://schemas.microsoft.com/office/drawing/2014/main" id="{21295D74-9BFC-E351-73DC-E7C5DF19ED03}"/>
            </a:ext>
          </a:extLst>
        </xdr:cNvPr>
        <xdr:cNvCxnSpPr/>
      </xdr:nvCxnSpPr>
      <xdr:spPr>
        <a:xfrm>
          <a:off x="5027729" y="12909494"/>
          <a:ext cx="2504863"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28</xdr:col>
      <xdr:colOff>87743</xdr:colOff>
      <xdr:row>51</xdr:row>
      <xdr:rowOff>72836</xdr:rowOff>
    </xdr:from>
    <xdr:to>
      <xdr:col>28</xdr:col>
      <xdr:colOff>87743</xdr:colOff>
      <xdr:row>53</xdr:row>
      <xdr:rowOff>16246</xdr:rowOff>
    </xdr:to>
    <xdr:cxnSp macro="">
      <xdr:nvCxnSpPr>
        <xdr:cNvPr id="214" name="直線コネクタ 213">
          <a:extLst>
            <a:ext uri="{FF2B5EF4-FFF2-40B4-BE49-F238E27FC236}">
              <a16:creationId xmlns:a16="http://schemas.microsoft.com/office/drawing/2014/main" id="{09665B57-4CA2-80D4-A19E-341936F873EE}"/>
            </a:ext>
          </a:extLst>
        </xdr:cNvPr>
        <xdr:cNvCxnSpPr/>
      </xdr:nvCxnSpPr>
      <xdr:spPr>
        <a:xfrm>
          <a:off x="6363037" y="10527924"/>
          <a:ext cx="0" cy="41405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32841</xdr:colOff>
      <xdr:row>51</xdr:row>
      <xdr:rowOff>70700</xdr:rowOff>
    </xdr:from>
    <xdr:to>
      <xdr:col>29</xdr:col>
      <xdr:colOff>35718</xdr:colOff>
      <xdr:row>51</xdr:row>
      <xdr:rowOff>70700</xdr:rowOff>
    </xdr:to>
    <xdr:cxnSp macro="">
      <xdr:nvCxnSpPr>
        <xdr:cNvPr id="215" name="直線コネクタ 214">
          <a:extLst>
            <a:ext uri="{FF2B5EF4-FFF2-40B4-BE49-F238E27FC236}">
              <a16:creationId xmlns:a16="http://schemas.microsoft.com/office/drawing/2014/main" id="{FE9EA456-155C-6A90-9877-0FC6CA228813}"/>
            </a:ext>
          </a:extLst>
        </xdr:cNvPr>
        <xdr:cNvCxnSpPr/>
      </xdr:nvCxnSpPr>
      <xdr:spPr>
        <a:xfrm>
          <a:off x="6084017" y="10525788"/>
          <a:ext cx="451113"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editAs="oneCell">
    <xdr:from>
      <xdr:col>29</xdr:col>
      <xdr:colOff>192726</xdr:colOff>
      <xdr:row>50</xdr:row>
      <xdr:rowOff>5634</xdr:rowOff>
    </xdr:from>
    <xdr:to>
      <xdr:col>33</xdr:col>
      <xdr:colOff>184496</xdr:colOff>
      <xdr:row>51</xdr:row>
      <xdr:rowOff>47189</xdr:rowOff>
    </xdr:to>
    <xdr:sp macro="" textlink="">
      <xdr:nvSpPr>
        <xdr:cNvPr id="216" name="テキスト ボックス 215">
          <a:extLst>
            <a:ext uri="{FF2B5EF4-FFF2-40B4-BE49-F238E27FC236}">
              <a16:creationId xmlns:a16="http://schemas.microsoft.com/office/drawing/2014/main" id="{632FE5CF-0835-D382-B706-1655EC80779E}"/>
            </a:ext>
          </a:extLst>
        </xdr:cNvPr>
        <xdr:cNvSpPr txBox="1"/>
      </xdr:nvSpPr>
      <xdr:spPr>
        <a:xfrm>
          <a:off x="6692138" y="10225399"/>
          <a:ext cx="888240" cy="276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 </a:t>
          </a:r>
          <a:r>
            <a:rPr kumimoji="1" lang="en-US" altLang="ja-JP" sz="1100"/>
            <a:t>1.00m</a:t>
          </a:r>
          <a:endParaRPr kumimoji="1" lang="ja-JP" altLang="en-US" sz="1100"/>
        </a:p>
      </xdr:txBody>
    </xdr:sp>
    <xdr:clientData/>
  </xdr:twoCellAnchor>
  <xdr:twoCellAnchor editAs="oneCell">
    <xdr:from>
      <xdr:col>29</xdr:col>
      <xdr:colOff>198520</xdr:colOff>
      <xdr:row>51</xdr:row>
      <xdr:rowOff>109274</xdr:rowOff>
    </xdr:from>
    <xdr:to>
      <xdr:col>33</xdr:col>
      <xdr:colOff>178542</xdr:colOff>
      <xdr:row>52</xdr:row>
      <xdr:rowOff>129998</xdr:rowOff>
    </xdr:to>
    <xdr:sp macro="" textlink="">
      <xdr:nvSpPr>
        <xdr:cNvPr id="217" name="テキスト ボックス 216">
          <a:extLst>
            <a:ext uri="{FF2B5EF4-FFF2-40B4-BE49-F238E27FC236}">
              <a16:creationId xmlns:a16="http://schemas.microsoft.com/office/drawing/2014/main" id="{44B38D9B-892E-AB76-6988-B4F719FEC8AE}"/>
            </a:ext>
          </a:extLst>
        </xdr:cNvPr>
        <xdr:cNvSpPr txBox="1"/>
      </xdr:nvSpPr>
      <xdr:spPr>
        <a:xfrm>
          <a:off x="6697932" y="10564362"/>
          <a:ext cx="876492" cy="256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 </a:t>
          </a:r>
          <a:r>
            <a:rPr kumimoji="1" lang="en-US" altLang="ja-JP" sz="1100"/>
            <a:t>1.50m</a:t>
          </a:r>
          <a:endParaRPr kumimoji="1" lang="ja-JP" altLang="en-US" sz="1100"/>
        </a:p>
      </xdr:txBody>
    </xdr:sp>
    <xdr:clientData/>
  </xdr:twoCellAnchor>
  <xdr:twoCellAnchor editAs="oneCell">
    <xdr:from>
      <xdr:col>29</xdr:col>
      <xdr:colOff>203706</xdr:colOff>
      <xdr:row>54</xdr:row>
      <xdr:rowOff>5145</xdr:rowOff>
    </xdr:from>
    <xdr:to>
      <xdr:col>33</xdr:col>
      <xdr:colOff>168516</xdr:colOff>
      <xdr:row>55</xdr:row>
      <xdr:rowOff>1908</xdr:rowOff>
    </xdr:to>
    <xdr:sp macro="" textlink="">
      <xdr:nvSpPr>
        <xdr:cNvPr id="218" name="テキスト ボックス 217">
          <a:extLst>
            <a:ext uri="{FF2B5EF4-FFF2-40B4-BE49-F238E27FC236}">
              <a16:creationId xmlns:a16="http://schemas.microsoft.com/office/drawing/2014/main" id="{8E2E891E-4174-2278-93A1-A70C2AC114A8}"/>
            </a:ext>
          </a:extLst>
        </xdr:cNvPr>
        <xdr:cNvSpPr txBox="1"/>
      </xdr:nvSpPr>
      <xdr:spPr>
        <a:xfrm>
          <a:off x="6703118" y="11166204"/>
          <a:ext cx="861280" cy="2320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 </a:t>
          </a:r>
          <a:r>
            <a:rPr kumimoji="1" lang="en-US" altLang="ja-JP" sz="1100"/>
            <a:t>4.50m</a:t>
          </a:r>
          <a:endParaRPr kumimoji="1" lang="ja-JP" altLang="en-US" sz="1100"/>
        </a:p>
      </xdr:txBody>
    </xdr:sp>
    <xdr:clientData/>
  </xdr:twoCellAnchor>
  <xdr:twoCellAnchor editAs="oneCell">
    <xdr:from>
      <xdr:col>29</xdr:col>
      <xdr:colOff>212435</xdr:colOff>
      <xdr:row>59</xdr:row>
      <xdr:rowOff>90431</xdr:rowOff>
    </xdr:from>
    <xdr:to>
      <xdr:col>33</xdr:col>
      <xdr:colOff>190448</xdr:colOff>
      <xdr:row>60</xdr:row>
      <xdr:rowOff>106758</xdr:rowOff>
    </xdr:to>
    <xdr:sp macro="" textlink="">
      <xdr:nvSpPr>
        <xdr:cNvPr id="219" name="テキスト ボックス 218">
          <a:extLst>
            <a:ext uri="{FF2B5EF4-FFF2-40B4-BE49-F238E27FC236}">
              <a16:creationId xmlns:a16="http://schemas.microsoft.com/office/drawing/2014/main" id="{12CE1278-181A-FE12-2421-FFA3DEAC1334}"/>
            </a:ext>
          </a:extLst>
        </xdr:cNvPr>
        <xdr:cNvSpPr txBox="1"/>
      </xdr:nvSpPr>
      <xdr:spPr>
        <a:xfrm>
          <a:off x="6711847" y="12450519"/>
          <a:ext cx="874483" cy="251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４層 </a:t>
          </a:r>
          <a:r>
            <a:rPr kumimoji="1" lang="en-US" altLang="ja-JP" sz="1100"/>
            <a:t>3.00m</a:t>
          </a:r>
          <a:endParaRPr kumimoji="1" lang="ja-JP" altLang="en-US" sz="1100"/>
        </a:p>
      </xdr:txBody>
    </xdr:sp>
    <xdr:clientData/>
  </xdr:twoCellAnchor>
  <xdr:twoCellAnchor>
    <xdr:from>
      <xdr:col>33</xdr:col>
      <xdr:colOff>68020</xdr:colOff>
      <xdr:row>50</xdr:row>
      <xdr:rowOff>46729</xdr:rowOff>
    </xdr:from>
    <xdr:to>
      <xdr:col>33</xdr:col>
      <xdr:colOff>68020</xdr:colOff>
      <xdr:row>51</xdr:row>
      <xdr:rowOff>74062</xdr:rowOff>
    </xdr:to>
    <xdr:cxnSp macro="">
      <xdr:nvCxnSpPr>
        <xdr:cNvPr id="220" name="直線矢印コネクタ 219">
          <a:extLst>
            <a:ext uri="{FF2B5EF4-FFF2-40B4-BE49-F238E27FC236}">
              <a16:creationId xmlns:a16="http://schemas.microsoft.com/office/drawing/2014/main" id="{12343666-72B3-E4FD-DE15-92E803F97FA1}"/>
            </a:ext>
          </a:extLst>
        </xdr:cNvPr>
        <xdr:cNvCxnSpPr/>
      </xdr:nvCxnSpPr>
      <xdr:spPr>
        <a:xfrm>
          <a:off x="7463902" y="10266494"/>
          <a:ext cx="0" cy="26265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68020</xdr:colOff>
      <xdr:row>51</xdr:row>
      <xdr:rowOff>100153</xdr:rowOff>
    </xdr:from>
    <xdr:to>
      <xdr:col>33</xdr:col>
      <xdr:colOff>68020</xdr:colOff>
      <xdr:row>52</xdr:row>
      <xdr:rowOff>230841</xdr:rowOff>
    </xdr:to>
    <xdr:cxnSp macro="">
      <xdr:nvCxnSpPr>
        <xdr:cNvPr id="221" name="直線矢印コネクタ 220">
          <a:extLst>
            <a:ext uri="{FF2B5EF4-FFF2-40B4-BE49-F238E27FC236}">
              <a16:creationId xmlns:a16="http://schemas.microsoft.com/office/drawing/2014/main" id="{CC5E9C28-88B7-7ED5-79C6-51F99CCB1061}"/>
            </a:ext>
          </a:extLst>
        </xdr:cNvPr>
        <xdr:cNvCxnSpPr/>
      </xdr:nvCxnSpPr>
      <xdr:spPr>
        <a:xfrm>
          <a:off x="7463902" y="10555241"/>
          <a:ext cx="0" cy="366012"/>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68020</xdr:colOff>
      <xdr:row>53</xdr:row>
      <xdr:rowOff>31612</xdr:rowOff>
    </xdr:from>
    <xdr:to>
      <xdr:col>33</xdr:col>
      <xdr:colOff>68020</xdr:colOff>
      <xdr:row>57</xdr:row>
      <xdr:rowOff>219278</xdr:rowOff>
    </xdr:to>
    <xdr:cxnSp macro="">
      <xdr:nvCxnSpPr>
        <xdr:cNvPr id="222" name="直線矢印コネクタ 221">
          <a:extLst>
            <a:ext uri="{FF2B5EF4-FFF2-40B4-BE49-F238E27FC236}">
              <a16:creationId xmlns:a16="http://schemas.microsoft.com/office/drawing/2014/main" id="{6A928C77-9D74-F6D2-F47B-C24C4C63993B}"/>
            </a:ext>
          </a:extLst>
        </xdr:cNvPr>
        <xdr:cNvCxnSpPr/>
      </xdr:nvCxnSpPr>
      <xdr:spPr>
        <a:xfrm>
          <a:off x="7463902" y="10957347"/>
          <a:ext cx="0" cy="112896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68020</xdr:colOff>
      <xdr:row>57</xdr:row>
      <xdr:rowOff>238499</xdr:rowOff>
    </xdr:from>
    <xdr:to>
      <xdr:col>33</xdr:col>
      <xdr:colOff>68020</xdr:colOff>
      <xdr:row>61</xdr:row>
      <xdr:rowOff>58962</xdr:rowOff>
    </xdr:to>
    <xdr:cxnSp macro="">
      <xdr:nvCxnSpPr>
        <xdr:cNvPr id="223" name="直線矢印コネクタ 222">
          <a:extLst>
            <a:ext uri="{FF2B5EF4-FFF2-40B4-BE49-F238E27FC236}">
              <a16:creationId xmlns:a16="http://schemas.microsoft.com/office/drawing/2014/main" id="{6B973331-8903-00BC-699C-10B43B4B5E28}"/>
            </a:ext>
          </a:extLst>
        </xdr:cNvPr>
        <xdr:cNvCxnSpPr/>
      </xdr:nvCxnSpPr>
      <xdr:spPr>
        <a:xfrm>
          <a:off x="7463902" y="12105528"/>
          <a:ext cx="0" cy="784169"/>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196038</xdr:colOff>
      <xdr:row>51</xdr:row>
      <xdr:rowOff>65062</xdr:rowOff>
    </xdr:from>
    <xdr:to>
      <xdr:col>23</xdr:col>
      <xdr:colOff>196038</xdr:colOff>
      <xdr:row>54</xdr:row>
      <xdr:rowOff>143111</xdr:rowOff>
    </xdr:to>
    <xdr:cxnSp macro="">
      <xdr:nvCxnSpPr>
        <xdr:cNvPr id="226" name="直線矢印コネクタ 225">
          <a:extLst>
            <a:ext uri="{FF2B5EF4-FFF2-40B4-BE49-F238E27FC236}">
              <a16:creationId xmlns:a16="http://schemas.microsoft.com/office/drawing/2014/main" id="{52DE9A54-ED4A-5FA3-5740-A364255CFEA7}"/>
            </a:ext>
          </a:extLst>
        </xdr:cNvPr>
        <xdr:cNvCxnSpPr/>
      </xdr:nvCxnSpPr>
      <xdr:spPr>
        <a:xfrm>
          <a:off x="5350744" y="10520150"/>
          <a:ext cx="0" cy="78402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21</xdr:col>
      <xdr:colOff>179085</xdr:colOff>
      <xdr:row>52</xdr:row>
      <xdr:rowOff>144291</xdr:rowOff>
    </xdr:from>
    <xdr:to>
      <xdr:col>24</xdr:col>
      <xdr:colOff>58284</xdr:colOff>
      <xdr:row>53</xdr:row>
      <xdr:rowOff>160617</xdr:rowOff>
    </xdr:to>
    <xdr:sp macro="" textlink="">
      <xdr:nvSpPr>
        <xdr:cNvPr id="227" name="テキスト ボックス 226">
          <a:extLst>
            <a:ext uri="{FF2B5EF4-FFF2-40B4-BE49-F238E27FC236}">
              <a16:creationId xmlns:a16="http://schemas.microsoft.com/office/drawing/2014/main" id="{46745EEA-BEA9-97CB-2E09-AE7601E241D7}"/>
            </a:ext>
          </a:extLst>
        </xdr:cNvPr>
        <xdr:cNvSpPr txBox="1"/>
      </xdr:nvSpPr>
      <xdr:spPr>
        <a:xfrm>
          <a:off x="4885556" y="10834703"/>
          <a:ext cx="551552" cy="251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3.00m</a:t>
          </a:r>
          <a:endParaRPr kumimoji="1" lang="ja-JP" altLang="en-US" sz="1100"/>
        </a:p>
      </xdr:txBody>
    </xdr:sp>
    <xdr:clientData/>
  </xdr:twoCellAnchor>
  <xdr:twoCellAnchor editAs="oneCell">
    <xdr:from>
      <xdr:col>21</xdr:col>
      <xdr:colOff>179085</xdr:colOff>
      <xdr:row>55</xdr:row>
      <xdr:rowOff>221880</xdr:rowOff>
    </xdr:from>
    <xdr:to>
      <xdr:col>24</xdr:col>
      <xdr:colOff>58284</xdr:colOff>
      <xdr:row>57</xdr:row>
      <xdr:rowOff>1243</xdr:rowOff>
    </xdr:to>
    <xdr:sp macro="" textlink="">
      <xdr:nvSpPr>
        <xdr:cNvPr id="229" name="テキスト ボックス 228">
          <a:extLst>
            <a:ext uri="{FF2B5EF4-FFF2-40B4-BE49-F238E27FC236}">
              <a16:creationId xmlns:a16="http://schemas.microsoft.com/office/drawing/2014/main" id="{6B496FA9-730C-C2D9-6C4C-AA4886FFE398}"/>
            </a:ext>
          </a:extLst>
        </xdr:cNvPr>
        <xdr:cNvSpPr txBox="1"/>
      </xdr:nvSpPr>
      <xdr:spPr>
        <a:xfrm>
          <a:off x="4885556" y="11618262"/>
          <a:ext cx="551552" cy="2500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3.00m</a:t>
          </a:r>
          <a:endParaRPr kumimoji="1" lang="ja-JP" altLang="en-US" sz="1100"/>
        </a:p>
      </xdr:txBody>
    </xdr:sp>
    <xdr:clientData/>
  </xdr:twoCellAnchor>
  <xdr:twoCellAnchor>
    <xdr:from>
      <xdr:col>23</xdr:col>
      <xdr:colOff>196038</xdr:colOff>
      <xdr:row>54</xdr:row>
      <xdr:rowOff>149283</xdr:rowOff>
    </xdr:from>
    <xdr:to>
      <xdr:col>23</xdr:col>
      <xdr:colOff>196038</xdr:colOff>
      <xdr:row>57</xdr:row>
      <xdr:rowOff>204656</xdr:rowOff>
    </xdr:to>
    <xdr:cxnSp macro="">
      <xdr:nvCxnSpPr>
        <xdr:cNvPr id="231" name="直線矢印コネクタ 230">
          <a:extLst>
            <a:ext uri="{FF2B5EF4-FFF2-40B4-BE49-F238E27FC236}">
              <a16:creationId xmlns:a16="http://schemas.microsoft.com/office/drawing/2014/main" id="{5AFCA4EC-60DD-CA43-2684-0EFA71613113}"/>
            </a:ext>
          </a:extLst>
        </xdr:cNvPr>
        <xdr:cNvCxnSpPr/>
      </xdr:nvCxnSpPr>
      <xdr:spPr>
        <a:xfrm>
          <a:off x="5350744" y="11310342"/>
          <a:ext cx="0" cy="76134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121995</xdr:colOff>
      <xdr:row>51</xdr:row>
      <xdr:rowOff>68506</xdr:rowOff>
    </xdr:from>
    <xdr:to>
      <xdr:col>24</xdr:col>
      <xdr:colOff>119584</xdr:colOff>
      <xdr:row>51</xdr:row>
      <xdr:rowOff>68506</xdr:rowOff>
    </xdr:to>
    <xdr:cxnSp macro="">
      <xdr:nvCxnSpPr>
        <xdr:cNvPr id="232" name="直線コネクタ 231">
          <a:extLst>
            <a:ext uri="{FF2B5EF4-FFF2-40B4-BE49-F238E27FC236}">
              <a16:creationId xmlns:a16="http://schemas.microsoft.com/office/drawing/2014/main" id="{D96BC14F-25A2-8D14-CA03-56E860732244}"/>
            </a:ext>
          </a:extLst>
        </xdr:cNvPr>
        <xdr:cNvCxnSpPr/>
      </xdr:nvCxnSpPr>
      <xdr:spPr>
        <a:xfrm>
          <a:off x="5276701" y="10523594"/>
          <a:ext cx="22170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121995</xdr:colOff>
      <xdr:row>54</xdr:row>
      <xdr:rowOff>143312</xdr:rowOff>
    </xdr:from>
    <xdr:to>
      <xdr:col>24</xdr:col>
      <xdr:colOff>119584</xdr:colOff>
      <xdr:row>54</xdr:row>
      <xdr:rowOff>143312</xdr:rowOff>
    </xdr:to>
    <xdr:cxnSp macro="">
      <xdr:nvCxnSpPr>
        <xdr:cNvPr id="234" name="直線コネクタ 233">
          <a:extLst>
            <a:ext uri="{FF2B5EF4-FFF2-40B4-BE49-F238E27FC236}">
              <a16:creationId xmlns:a16="http://schemas.microsoft.com/office/drawing/2014/main" id="{4C573693-A4BD-E4CB-B0C2-439967415E11}"/>
            </a:ext>
          </a:extLst>
        </xdr:cNvPr>
        <xdr:cNvCxnSpPr/>
      </xdr:nvCxnSpPr>
      <xdr:spPr>
        <a:xfrm>
          <a:off x="5276701" y="11304371"/>
          <a:ext cx="22170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121995</xdr:colOff>
      <xdr:row>57</xdr:row>
      <xdr:rowOff>215852</xdr:rowOff>
    </xdr:from>
    <xdr:to>
      <xdr:col>24</xdr:col>
      <xdr:colOff>119584</xdr:colOff>
      <xdr:row>57</xdr:row>
      <xdr:rowOff>215852</xdr:rowOff>
    </xdr:to>
    <xdr:cxnSp macro="">
      <xdr:nvCxnSpPr>
        <xdr:cNvPr id="235" name="直線コネクタ 234">
          <a:extLst>
            <a:ext uri="{FF2B5EF4-FFF2-40B4-BE49-F238E27FC236}">
              <a16:creationId xmlns:a16="http://schemas.microsoft.com/office/drawing/2014/main" id="{582EC4D5-41BD-124C-ACC8-5967FC97DD9E}"/>
            </a:ext>
          </a:extLst>
        </xdr:cNvPr>
        <xdr:cNvCxnSpPr/>
      </xdr:nvCxnSpPr>
      <xdr:spPr>
        <a:xfrm>
          <a:off x="5276701" y="12082881"/>
          <a:ext cx="22170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29</xdr:col>
      <xdr:colOff>30033</xdr:colOff>
      <xdr:row>51</xdr:row>
      <xdr:rowOff>72836</xdr:rowOff>
    </xdr:from>
    <xdr:to>
      <xdr:col>29</xdr:col>
      <xdr:colOff>30033</xdr:colOff>
      <xdr:row>59</xdr:row>
      <xdr:rowOff>81457</xdr:rowOff>
    </xdr:to>
    <xdr:cxnSp macro="">
      <xdr:nvCxnSpPr>
        <xdr:cNvPr id="237" name="直線コネクタ 236">
          <a:extLst>
            <a:ext uri="{FF2B5EF4-FFF2-40B4-BE49-F238E27FC236}">
              <a16:creationId xmlns:a16="http://schemas.microsoft.com/office/drawing/2014/main" id="{B425099C-12AC-363D-03EE-0CAD6DC64343}"/>
            </a:ext>
          </a:extLst>
        </xdr:cNvPr>
        <xdr:cNvCxnSpPr/>
      </xdr:nvCxnSpPr>
      <xdr:spPr>
        <a:xfrm>
          <a:off x="6529445" y="10527924"/>
          <a:ext cx="0" cy="1913621"/>
        </a:xfrm>
        <a:prstGeom prst="line">
          <a:avLst/>
        </a:prstGeom>
        <a:ln>
          <a:headEnd type="none" w="med" len="med"/>
          <a:tailEnd type="none" w="med" len="med"/>
        </a:ln>
      </xdr:spPr>
      <xdr:style>
        <a:lnRef idx="3">
          <a:schemeClr val="dk1"/>
        </a:lnRef>
        <a:fillRef idx="0">
          <a:schemeClr val="dk1"/>
        </a:fillRef>
        <a:effectRef idx="2">
          <a:schemeClr val="dk1"/>
        </a:effectRef>
        <a:fontRef idx="minor">
          <a:schemeClr val="tx1"/>
        </a:fontRef>
      </xdr:style>
    </xdr:cxnSp>
    <xdr:clientData/>
  </xdr:twoCellAnchor>
  <xdr:twoCellAnchor>
    <xdr:from>
      <xdr:col>29</xdr:col>
      <xdr:colOff>87254</xdr:colOff>
      <xdr:row>59</xdr:row>
      <xdr:rowOff>72844</xdr:rowOff>
    </xdr:from>
    <xdr:to>
      <xdr:col>30</xdr:col>
      <xdr:colOff>15995</xdr:colOff>
      <xdr:row>59</xdr:row>
      <xdr:rowOff>72844</xdr:rowOff>
    </xdr:to>
    <xdr:cxnSp macro="">
      <xdr:nvCxnSpPr>
        <xdr:cNvPr id="238" name="直線コネクタ 237">
          <a:extLst>
            <a:ext uri="{FF2B5EF4-FFF2-40B4-BE49-F238E27FC236}">
              <a16:creationId xmlns:a16="http://schemas.microsoft.com/office/drawing/2014/main" id="{C2194D6E-9CC2-A924-C6C5-1A62F430D898}"/>
            </a:ext>
          </a:extLst>
        </xdr:cNvPr>
        <xdr:cNvCxnSpPr/>
      </xdr:nvCxnSpPr>
      <xdr:spPr>
        <a:xfrm>
          <a:off x="6586666" y="12432932"/>
          <a:ext cx="152858" cy="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23</xdr:col>
      <xdr:colOff>200118</xdr:colOff>
      <xdr:row>57</xdr:row>
      <xdr:rowOff>216476</xdr:rowOff>
    </xdr:from>
    <xdr:to>
      <xdr:col>23</xdr:col>
      <xdr:colOff>200118</xdr:colOff>
      <xdr:row>59</xdr:row>
      <xdr:rowOff>80540</xdr:rowOff>
    </xdr:to>
    <xdr:cxnSp macro="">
      <xdr:nvCxnSpPr>
        <xdr:cNvPr id="239" name="直線矢印コネクタ 238">
          <a:extLst>
            <a:ext uri="{FF2B5EF4-FFF2-40B4-BE49-F238E27FC236}">
              <a16:creationId xmlns:a16="http://schemas.microsoft.com/office/drawing/2014/main" id="{FC75F48B-9914-5598-C607-38739B607C76}"/>
            </a:ext>
          </a:extLst>
        </xdr:cNvPr>
        <xdr:cNvCxnSpPr/>
      </xdr:nvCxnSpPr>
      <xdr:spPr>
        <a:xfrm>
          <a:off x="5354824" y="12083505"/>
          <a:ext cx="0" cy="35712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150577</xdr:colOff>
      <xdr:row>59</xdr:row>
      <xdr:rowOff>83129</xdr:rowOff>
    </xdr:from>
    <xdr:to>
      <xdr:col>24</xdr:col>
      <xdr:colOff>148166</xdr:colOff>
      <xdr:row>59</xdr:row>
      <xdr:rowOff>83129</xdr:rowOff>
    </xdr:to>
    <xdr:cxnSp macro="">
      <xdr:nvCxnSpPr>
        <xdr:cNvPr id="240" name="直線コネクタ 239">
          <a:extLst>
            <a:ext uri="{FF2B5EF4-FFF2-40B4-BE49-F238E27FC236}">
              <a16:creationId xmlns:a16="http://schemas.microsoft.com/office/drawing/2014/main" id="{BB0DBD04-D3F0-983E-9EC4-CCD2A123A196}"/>
            </a:ext>
          </a:extLst>
        </xdr:cNvPr>
        <xdr:cNvCxnSpPr/>
      </xdr:nvCxnSpPr>
      <xdr:spPr>
        <a:xfrm>
          <a:off x="5305283" y="12443217"/>
          <a:ext cx="221707"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26</xdr:col>
      <xdr:colOff>75930</xdr:colOff>
      <xdr:row>50</xdr:row>
      <xdr:rowOff>129271</xdr:rowOff>
    </xdr:from>
    <xdr:to>
      <xdr:col>27</xdr:col>
      <xdr:colOff>114574</xdr:colOff>
      <xdr:row>51</xdr:row>
      <xdr:rowOff>223600</xdr:rowOff>
    </xdr:to>
    <xdr:sp macro="" textlink="">
      <xdr:nvSpPr>
        <xdr:cNvPr id="241" name="テキスト ボックス 240">
          <a:extLst>
            <a:ext uri="{FF2B5EF4-FFF2-40B4-BE49-F238E27FC236}">
              <a16:creationId xmlns:a16="http://schemas.microsoft.com/office/drawing/2014/main" id="{365B5251-97BE-1785-6C06-7F8B73D24F05}"/>
            </a:ext>
          </a:extLst>
        </xdr:cNvPr>
        <xdr:cNvSpPr txBox="1"/>
      </xdr:nvSpPr>
      <xdr:spPr>
        <a:xfrm rot="5400000">
          <a:off x="5869543" y="10382482"/>
          <a:ext cx="329653" cy="262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endParaRPr kumimoji="1" lang="en-US" altLang="ja-JP" sz="1100" b="1"/>
        </a:p>
      </xdr:txBody>
    </xdr:sp>
    <xdr:clientData/>
  </xdr:twoCellAnchor>
  <xdr:twoCellAnchor editAs="oneCell">
    <xdr:from>
      <xdr:col>21</xdr:col>
      <xdr:colOff>184550</xdr:colOff>
      <xdr:row>58</xdr:row>
      <xdr:rowOff>24459</xdr:rowOff>
    </xdr:from>
    <xdr:to>
      <xdr:col>24</xdr:col>
      <xdr:colOff>95199</xdr:colOff>
      <xdr:row>59</xdr:row>
      <xdr:rowOff>41672</xdr:rowOff>
    </xdr:to>
    <xdr:sp macro="" textlink="">
      <xdr:nvSpPr>
        <xdr:cNvPr id="242" name="テキスト ボックス 241">
          <a:extLst>
            <a:ext uri="{FF2B5EF4-FFF2-40B4-BE49-F238E27FC236}">
              <a16:creationId xmlns:a16="http://schemas.microsoft.com/office/drawing/2014/main" id="{030A7313-DB12-CB77-16E2-971BC53A310D}"/>
            </a:ext>
          </a:extLst>
        </xdr:cNvPr>
        <xdr:cNvSpPr txBox="1"/>
      </xdr:nvSpPr>
      <xdr:spPr>
        <a:xfrm>
          <a:off x="4891021" y="12138018"/>
          <a:ext cx="583002" cy="263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1.39m</a:t>
          </a:r>
        </a:p>
      </xdr:txBody>
    </xdr:sp>
    <xdr:clientData/>
  </xdr:twoCellAnchor>
  <xdr:twoCellAnchor editAs="oneCell">
    <xdr:from>
      <xdr:col>26</xdr:col>
      <xdr:colOff>75930</xdr:colOff>
      <xdr:row>58</xdr:row>
      <xdr:rowOff>163098</xdr:rowOff>
    </xdr:from>
    <xdr:to>
      <xdr:col>27</xdr:col>
      <xdr:colOff>114574</xdr:colOff>
      <xdr:row>59</xdr:row>
      <xdr:rowOff>235232</xdr:rowOff>
    </xdr:to>
    <xdr:sp macro="" textlink="">
      <xdr:nvSpPr>
        <xdr:cNvPr id="243" name="テキスト ボックス 242">
          <a:extLst>
            <a:ext uri="{FF2B5EF4-FFF2-40B4-BE49-F238E27FC236}">
              <a16:creationId xmlns:a16="http://schemas.microsoft.com/office/drawing/2014/main" id="{49FE7EBC-FB68-C3C5-11F7-7FD92993B794}"/>
            </a:ext>
          </a:extLst>
        </xdr:cNvPr>
        <xdr:cNvSpPr txBox="1"/>
      </xdr:nvSpPr>
      <xdr:spPr>
        <a:xfrm rot="5400000">
          <a:off x="5875038" y="12304608"/>
          <a:ext cx="318663" cy="262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endParaRPr kumimoji="1" lang="en-US" altLang="ja-JP" sz="1100" b="1"/>
        </a:p>
      </xdr:txBody>
    </xdr:sp>
    <xdr:clientData/>
  </xdr:twoCellAnchor>
  <xdr:twoCellAnchor>
    <xdr:from>
      <xdr:col>26</xdr:col>
      <xdr:colOff>43296</xdr:colOff>
      <xdr:row>59</xdr:row>
      <xdr:rowOff>71223</xdr:rowOff>
    </xdr:from>
    <xdr:to>
      <xdr:col>26</xdr:col>
      <xdr:colOff>128683</xdr:colOff>
      <xdr:row>59</xdr:row>
      <xdr:rowOff>71223</xdr:rowOff>
    </xdr:to>
    <xdr:cxnSp macro="">
      <xdr:nvCxnSpPr>
        <xdr:cNvPr id="244" name="直線コネクタ 243">
          <a:extLst>
            <a:ext uri="{FF2B5EF4-FFF2-40B4-BE49-F238E27FC236}">
              <a16:creationId xmlns:a16="http://schemas.microsoft.com/office/drawing/2014/main" id="{C9A7F5DF-111B-6BF5-F929-2D4230B30E86}"/>
            </a:ext>
          </a:extLst>
        </xdr:cNvPr>
        <xdr:cNvCxnSpPr/>
      </xdr:nvCxnSpPr>
      <xdr:spPr>
        <a:xfrm>
          <a:off x="5870355" y="12431311"/>
          <a:ext cx="85387"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12988</xdr:colOff>
      <xdr:row>59</xdr:row>
      <xdr:rowOff>17316</xdr:rowOff>
    </xdr:from>
    <xdr:to>
      <xdr:col>26</xdr:col>
      <xdr:colOff>42092</xdr:colOff>
      <xdr:row>59</xdr:row>
      <xdr:rowOff>71223</xdr:rowOff>
    </xdr:to>
    <xdr:cxnSp macro="">
      <xdr:nvCxnSpPr>
        <xdr:cNvPr id="245" name="直線コネクタ 244">
          <a:extLst>
            <a:ext uri="{FF2B5EF4-FFF2-40B4-BE49-F238E27FC236}">
              <a16:creationId xmlns:a16="http://schemas.microsoft.com/office/drawing/2014/main" id="{DB2A1F9D-3394-33D7-089C-F235E64D168F}"/>
            </a:ext>
          </a:extLst>
        </xdr:cNvPr>
        <xdr:cNvCxnSpPr/>
      </xdr:nvCxnSpPr>
      <xdr:spPr>
        <a:xfrm>
          <a:off x="5840047" y="12377404"/>
          <a:ext cx="29104" cy="53907"/>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213219</xdr:colOff>
      <xdr:row>59</xdr:row>
      <xdr:rowOff>23407</xdr:rowOff>
    </xdr:from>
    <xdr:to>
      <xdr:col>26</xdr:col>
      <xdr:colOff>12915</xdr:colOff>
      <xdr:row>59</xdr:row>
      <xdr:rowOff>148714</xdr:rowOff>
    </xdr:to>
    <xdr:cxnSp macro="">
      <xdr:nvCxnSpPr>
        <xdr:cNvPr id="246" name="直線コネクタ 245">
          <a:extLst>
            <a:ext uri="{FF2B5EF4-FFF2-40B4-BE49-F238E27FC236}">
              <a16:creationId xmlns:a16="http://schemas.microsoft.com/office/drawing/2014/main" id="{9596C9B6-F808-409E-4A88-4773578BF58E}"/>
            </a:ext>
          </a:extLst>
        </xdr:cNvPr>
        <xdr:cNvCxnSpPr/>
      </xdr:nvCxnSpPr>
      <xdr:spPr>
        <a:xfrm flipH="1">
          <a:off x="5816160" y="12383495"/>
          <a:ext cx="23814" cy="125307"/>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142185</xdr:colOff>
      <xdr:row>59</xdr:row>
      <xdr:rowOff>20178</xdr:rowOff>
    </xdr:from>
    <xdr:to>
      <xdr:col>25</xdr:col>
      <xdr:colOff>171127</xdr:colOff>
      <xdr:row>59</xdr:row>
      <xdr:rowOff>145485</xdr:rowOff>
    </xdr:to>
    <xdr:cxnSp macro="">
      <xdr:nvCxnSpPr>
        <xdr:cNvPr id="247" name="直線コネクタ 246">
          <a:extLst>
            <a:ext uri="{FF2B5EF4-FFF2-40B4-BE49-F238E27FC236}">
              <a16:creationId xmlns:a16="http://schemas.microsoft.com/office/drawing/2014/main" id="{E6D5F0F2-FE3A-5886-D1FC-60FD7DBEFA99}"/>
            </a:ext>
          </a:extLst>
        </xdr:cNvPr>
        <xdr:cNvCxnSpPr/>
      </xdr:nvCxnSpPr>
      <xdr:spPr>
        <a:xfrm flipH="1">
          <a:off x="5745126" y="12380266"/>
          <a:ext cx="28942" cy="125307"/>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74380</xdr:colOff>
      <xdr:row>59</xdr:row>
      <xdr:rowOff>20178</xdr:rowOff>
    </xdr:from>
    <xdr:to>
      <xdr:col>25</xdr:col>
      <xdr:colOff>103322</xdr:colOff>
      <xdr:row>59</xdr:row>
      <xdr:rowOff>145485</xdr:rowOff>
    </xdr:to>
    <xdr:cxnSp macro="">
      <xdr:nvCxnSpPr>
        <xdr:cNvPr id="248" name="直線コネクタ 247">
          <a:extLst>
            <a:ext uri="{FF2B5EF4-FFF2-40B4-BE49-F238E27FC236}">
              <a16:creationId xmlns:a16="http://schemas.microsoft.com/office/drawing/2014/main" id="{28D9D603-0D52-37D4-8F4F-D78CA3385A40}"/>
            </a:ext>
          </a:extLst>
        </xdr:cNvPr>
        <xdr:cNvCxnSpPr/>
      </xdr:nvCxnSpPr>
      <xdr:spPr>
        <a:xfrm flipH="1">
          <a:off x="5677321" y="12380266"/>
          <a:ext cx="28942" cy="125307"/>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174356</xdr:colOff>
      <xdr:row>59</xdr:row>
      <xdr:rowOff>20178</xdr:rowOff>
    </xdr:from>
    <xdr:to>
      <xdr:col>25</xdr:col>
      <xdr:colOff>216448</xdr:colOff>
      <xdr:row>59</xdr:row>
      <xdr:rowOff>145485</xdr:rowOff>
    </xdr:to>
    <xdr:cxnSp macro="">
      <xdr:nvCxnSpPr>
        <xdr:cNvPr id="249" name="直線コネクタ 248">
          <a:extLst>
            <a:ext uri="{FF2B5EF4-FFF2-40B4-BE49-F238E27FC236}">
              <a16:creationId xmlns:a16="http://schemas.microsoft.com/office/drawing/2014/main" id="{1BEA8DFC-291B-697F-769B-37661C7B3260}"/>
            </a:ext>
          </a:extLst>
        </xdr:cNvPr>
        <xdr:cNvCxnSpPr/>
      </xdr:nvCxnSpPr>
      <xdr:spPr>
        <a:xfrm>
          <a:off x="5777297" y="12380266"/>
          <a:ext cx="42092" cy="125307"/>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103322</xdr:colOff>
      <xdr:row>59</xdr:row>
      <xdr:rowOff>20178</xdr:rowOff>
    </xdr:from>
    <xdr:to>
      <xdr:col>25</xdr:col>
      <xdr:colOff>145414</xdr:colOff>
      <xdr:row>59</xdr:row>
      <xdr:rowOff>145485</xdr:rowOff>
    </xdr:to>
    <xdr:cxnSp macro="">
      <xdr:nvCxnSpPr>
        <xdr:cNvPr id="250" name="直線コネクタ 249">
          <a:extLst>
            <a:ext uri="{FF2B5EF4-FFF2-40B4-BE49-F238E27FC236}">
              <a16:creationId xmlns:a16="http://schemas.microsoft.com/office/drawing/2014/main" id="{C57C9538-802C-B48E-EE1E-D899E01080BB}"/>
            </a:ext>
          </a:extLst>
        </xdr:cNvPr>
        <xdr:cNvCxnSpPr/>
      </xdr:nvCxnSpPr>
      <xdr:spPr>
        <a:xfrm>
          <a:off x="5706263" y="12380266"/>
          <a:ext cx="42092" cy="125307"/>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35517</xdr:colOff>
      <xdr:row>59</xdr:row>
      <xdr:rowOff>20178</xdr:rowOff>
    </xdr:from>
    <xdr:to>
      <xdr:col>25</xdr:col>
      <xdr:colOff>77609</xdr:colOff>
      <xdr:row>59</xdr:row>
      <xdr:rowOff>145485</xdr:rowOff>
    </xdr:to>
    <xdr:cxnSp macro="">
      <xdr:nvCxnSpPr>
        <xdr:cNvPr id="251" name="直線コネクタ 250">
          <a:extLst>
            <a:ext uri="{FF2B5EF4-FFF2-40B4-BE49-F238E27FC236}">
              <a16:creationId xmlns:a16="http://schemas.microsoft.com/office/drawing/2014/main" id="{A333E63C-D7C1-D824-1F64-10603684C5A3}"/>
            </a:ext>
          </a:extLst>
        </xdr:cNvPr>
        <xdr:cNvCxnSpPr/>
      </xdr:nvCxnSpPr>
      <xdr:spPr>
        <a:xfrm>
          <a:off x="5638458" y="12380266"/>
          <a:ext cx="42092" cy="125307"/>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29</xdr:col>
      <xdr:colOff>212435</xdr:colOff>
      <xdr:row>62</xdr:row>
      <xdr:rowOff>34617</xdr:rowOff>
    </xdr:from>
    <xdr:to>
      <xdr:col>33</xdr:col>
      <xdr:colOff>190448</xdr:colOff>
      <xdr:row>63</xdr:row>
      <xdr:rowOff>48143</xdr:rowOff>
    </xdr:to>
    <xdr:sp macro="" textlink="">
      <xdr:nvSpPr>
        <xdr:cNvPr id="252" name="テキスト ボックス 251">
          <a:extLst>
            <a:ext uri="{FF2B5EF4-FFF2-40B4-BE49-F238E27FC236}">
              <a16:creationId xmlns:a16="http://schemas.microsoft.com/office/drawing/2014/main" id="{92771572-DBA7-5584-6D74-2D4E932DCBDE}"/>
            </a:ext>
          </a:extLst>
        </xdr:cNvPr>
        <xdr:cNvSpPr txBox="1"/>
      </xdr:nvSpPr>
      <xdr:spPr>
        <a:xfrm>
          <a:off x="6711847" y="13100676"/>
          <a:ext cx="874483" cy="2488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５層 </a:t>
          </a:r>
          <a:r>
            <a:rPr kumimoji="1" lang="en-US" altLang="ja-JP" sz="1100"/>
            <a:t>1.06m</a:t>
          </a:r>
          <a:endParaRPr kumimoji="1" lang="ja-JP" altLang="en-US" sz="1100"/>
        </a:p>
      </xdr:txBody>
    </xdr:sp>
    <xdr:clientData/>
  </xdr:twoCellAnchor>
  <xdr:twoCellAnchor>
    <xdr:from>
      <xdr:col>33</xdr:col>
      <xdr:colOff>68020</xdr:colOff>
      <xdr:row>61</xdr:row>
      <xdr:rowOff>83588</xdr:rowOff>
    </xdr:from>
    <xdr:to>
      <xdr:col>33</xdr:col>
      <xdr:colOff>68020</xdr:colOff>
      <xdr:row>63</xdr:row>
      <xdr:rowOff>210474</xdr:rowOff>
    </xdr:to>
    <xdr:cxnSp macro="">
      <xdr:nvCxnSpPr>
        <xdr:cNvPr id="253" name="直線矢印コネクタ 252">
          <a:extLst>
            <a:ext uri="{FF2B5EF4-FFF2-40B4-BE49-F238E27FC236}">
              <a16:creationId xmlns:a16="http://schemas.microsoft.com/office/drawing/2014/main" id="{36ACCAB8-A3B1-9CB8-9716-4FD241ACA98F}"/>
            </a:ext>
          </a:extLst>
        </xdr:cNvPr>
        <xdr:cNvCxnSpPr/>
      </xdr:nvCxnSpPr>
      <xdr:spPr>
        <a:xfrm>
          <a:off x="7463902" y="12914323"/>
          <a:ext cx="0" cy="59753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117447</xdr:colOff>
      <xdr:row>63</xdr:row>
      <xdr:rowOff>207367</xdr:rowOff>
    </xdr:from>
    <xdr:to>
      <xdr:col>33</xdr:col>
      <xdr:colOff>115036</xdr:colOff>
      <xdr:row>63</xdr:row>
      <xdr:rowOff>207367</xdr:rowOff>
    </xdr:to>
    <xdr:cxnSp macro="">
      <xdr:nvCxnSpPr>
        <xdr:cNvPr id="255" name="直線コネクタ 254">
          <a:extLst>
            <a:ext uri="{FF2B5EF4-FFF2-40B4-BE49-F238E27FC236}">
              <a16:creationId xmlns:a16="http://schemas.microsoft.com/office/drawing/2014/main" id="{F22021B6-848B-1474-2CD2-EC815552A4B1}"/>
            </a:ext>
          </a:extLst>
        </xdr:cNvPr>
        <xdr:cNvCxnSpPr/>
      </xdr:nvCxnSpPr>
      <xdr:spPr>
        <a:xfrm>
          <a:off x="7289212" y="13508749"/>
          <a:ext cx="221706"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33</xdr:col>
      <xdr:colOff>68020</xdr:colOff>
      <xdr:row>16</xdr:row>
      <xdr:rowOff>142300</xdr:rowOff>
    </xdr:from>
    <xdr:to>
      <xdr:col>33</xdr:col>
      <xdr:colOff>68020</xdr:colOff>
      <xdr:row>18</xdr:row>
      <xdr:rowOff>223631</xdr:rowOff>
    </xdr:to>
    <xdr:cxnSp macro="">
      <xdr:nvCxnSpPr>
        <xdr:cNvPr id="256" name="直線矢印コネクタ 255">
          <a:extLst>
            <a:ext uri="{FF2B5EF4-FFF2-40B4-BE49-F238E27FC236}">
              <a16:creationId xmlns:a16="http://schemas.microsoft.com/office/drawing/2014/main" id="{F9557DF8-4B13-32E9-E59A-904FE732D9D7}"/>
            </a:ext>
          </a:extLst>
        </xdr:cNvPr>
        <xdr:cNvCxnSpPr/>
      </xdr:nvCxnSpPr>
      <xdr:spPr>
        <a:xfrm>
          <a:off x="7721150" y="4026843"/>
          <a:ext cx="0" cy="56172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32</xdr:col>
      <xdr:colOff>138147</xdr:colOff>
      <xdr:row>19</xdr:row>
      <xdr:rowOff>5178</xdr:rowOff>
    </xdr:from>
    <xdr:to>
      <xdr:col>33</xdr:col>
      <xdr:colOff>135736</xdr:colOff>
      <xdr:row>19</xdr:row>
      <xdr:rowOff>5178</xdr:rowOff>
    </xdr:to>
    <xdr:cxnSp macro="">
      <xdr:nvCxnSpPr>
        <xdr:cNvPr id="258" name="直線コネクタ 257">
          <a:extLst>
            <a:ext uri="{FF2B5EF4-FFF2-40B4-BE49-F238E27FC236}">
              <a16:creationId xmlns:a16="http://schemas.microsoft.com/office/drawing/2014/main" id="{67002BCE-F467-9292-8A92-8C3BAD671B71}"/>
            </a:ext>
          </a:extLst>
        </xdr:cNvPr>
        <xdr:cNvCxnSpPr/>
      </xdr:nvCxnSpPr>
      <xdr:spPr>
        <a:xfrm>
          <a:off x="7559364" y="4610308"/>
          <a:ext cx="229502"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25</xdr:col>
      <xdr:colOff>71475</xdr:colOff>
      <xdr:row>13</xdr:row>
      <xdr:rowOff>21612</xdr:rowOff>
    </xdr:from>
    <xdr:to>
      <xdr:col>25</xdr:col>
      <xdr:colOff>162195</xdr:colOff>
      <xdr:row>13</xdr:row>
      <xdr:rowOff>104250</xdr:rowOff>
    </xdr:to>
    <xdr:cxnSp macro="">
      <xdr:nvCxnSpPr>
        <xdr:cNvPr id="262" name="直線コネクタ 261">
          <a:extLst>
            <a:ext uri="{FF2B5EF4-FFF2-40B4-BE49-F238E27FC236}">
              <a16:creationId xmlns:a16="http://schemas.microsoft.com/office/drawing/2014/main" id="{AD6C5B75-881E-F225-EF62-FEEF9E6B85B7}"/>
            </a:ext>
          </a:extLst>
        </xdr:cNvPr>
        <xdr:cNvCxnSpPr/>
      </xdr:nvCxnSpPr>
      <xdr:spPr>
        <a:xfrm>
          <a:off x="5836607" y="3189928"/>
          <a:ext cx="90720"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24157</xdr:colOff>
      <xdr:row>13</xdr:row>
      <xdr:rowOff>23456</xdr:rowOff>
    </xdr:from>
    <xdr:to>
      <xdr:col>25</xdr:col>
      <xdr:colOff>110151</xdr:colOff>
      <xdr:row>13</xdr:row>
      <xdr:rowOff>106094</xdr:rowOff>
    </xdr:to>
    <xdr:cxnSp macro="">
      <xdr:nvCxnSpPr>
        <xdr:cNvPr id="263" name="直線コネクタ 262">
          <a:extLst>
            <a:ext uri="{FF2B5EF4-FFF2-40B4-BE49-F238E27FC236}">
              <a16:creationId xmlns:a16="http://schemas.microsoft.com/office/drawing/2014/main" id="{37875FEE-7668-2211-2915-F298EB9800B2}"/>
            </a:ext>
          </a:extLst>
        </xdr:cNvPr>
        <xdr:cNvCxnSpPr/>
      </xdr:nvCxnSpPr>
      <xdr:spPr>
        <a:xfrm>
          <a:off x="5789289" y="3191772"/>
          <a:ext cx="8599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24193</xdr:colOff>
      <xdr:row>13</xdr:row>
      <xdr:rowOff>64288</xdr:rowOff>
    </xdr:from>
    <xdr:to>
      <xdr:col>25</xdr:col>
      <xdr:colOff>54919</xdr:colOff>
      <xdr:row>13</xdr:row>
      <xdr:rowOff>85489</xdr:rowOff>
    </xdr:to>
    <xdr:cxnSp macro="">
      <xdr:nvCxnSpPr>
        <xdr:cNvPr id="264" name="直線コネクタ 263">
          <a:extLst>
            <a:ext uri="{FF2B5EF4-FFF2-40B4-BE49-F238E27FC236}">
              <a16:creationId xmlns:a16="http://schemas.microsoft.com/office/drawing/2014/main" id="{BA5C299D-E1E2-761F-E7EF-A635A532FB14}"/>
            </a:ext>
          </a:extLst>
        </xdr:cNvPr>
        <xdr:cNvCxnSpPr/>
      </xdr:nvCxnSpPr>
      <xdr:spPr>
        <a:xfrm flipH="1">
          <a:off x="5789325" y="3232604"/>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44477</xdr:colOff>
      <xdr:row>13</xdr:row>
      <xdr:rowOff>81486</xdr:rowOff>
    </xdr:from>
    <xdr:to>
      <xdr:col>25</xdr:col>
      <xdr:colOff>75203</xdr:colOff>
      <xdr:row>13</xdr:row>
      <xdr:rowOff>105409</xdr:rowOff>
    </xdr:to>
    <xdr:cxnSp macro="">
      <xdr:nvCxnSpPr>
        <xdr:cNvPr id="265" name="直線コネクタ 264">
          <a:extLst>
            <a:ext uri="{FF2B5EF4-FFF2-40B4-BE49-F238E27FC236}">
              <a16:creationId xmlns:a16="http://schemas.microsoft.com/office/drawing/2014/main" id="{1A162735-C7C9-E16B-4B27-1E0A2F6F7C3A}"/>
            </a:ext>
          </a:extLst>
        </xdr:cNvPr>
        <xdr:cNvCxnSpPr/>
      </xdr:nvCxnSpPr>
      <xdr:spPr>
        <a:xfrm flipH="1">
          <a:off x="5809609" y="3249802"/>
          <a:ext cx="30726"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221944</xdr:colOff>
      <xdr:row>13</xdr:row>
      <xdr:rowOff>17123</xdr:rowOff>
    </xdr:from>
    <xdr:to>
      <xdr:col>26</xdr:col>
      <xdr:colOff>76299</xdr:colOff>
      <xdr:row>13</xdr:row>
      <xdr:rowOff>99761</xdr:rowOff>
    </xdr:to>
    <xdr:cxnSp macro="">
      <xdr:nvCxnSpPr>
        <xdr:cNvPr id="266" name="直線コネクタ 265">
          <a:extLst>
            <a:ext uri="{FF2B5EF4-FFF2-40B4-BE49-F238E27FC236}">
              <a16:creationId xmlns:a16="http://schemas.microsoft.com/office/drawing/2014/main" id="{2202F633-F426-6CB9-73D3-5560C21A7318}"/>
            </a:ext>
          </a:extLst>
        </xdr:cNvPr>
        <xdr:cNvCxnSpPr/>
      </xdr:nvCxnSpPr>
      <xdr:spPr>
        <a:xfrm>
          <a:off x="5987076" y="3185439"/>
          <a:ext cx="84960"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170144</xdr:colOff>
      <xdr:row>13</xdr:row>
      <xdr:rowOff>18967</xdr:rowOff>
    </xdr:from>
    <xdr:to>
      <xdr:col>26</xdr:col>
      <xdr:colOff>33463</xdr:colOff>
      <xdr:row>13</xdr:row>
      <xdr:rowOff>101605</xdr:rowOff>
    </xdr:to>
    <xdr:cxnSp macro="">
      <xdr:nvCxnSpPr>
        <xdr:cNvPr id="267" name="直線コネクタ 266">
          <a:extLst>
            <a:ext uri="{FF2B5EF4-FFF2-40B4-BE49-F238E27FC236}">
              <a16:creationId xmlns:a16="http://schemas.microsoft.com/office/drawing/2014/main" id="{90421203-4629-E622-8FAE-CCA836E24F58}"/>
            </a:ext>
          </a:extLst>
        </xdr:cNvPr>
        <xdr:cNvCxnSpPr/>
      </xdr:nvCxnSpPr>
      <xdr:spPr>
        <a:xfrm>
          <a:off x="5935276" y="3187283"/>
          <a:ext cx="93924" cy="826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170180</xdr:colOff>
      <xdr:row>13</xdr:row>
      <xdr:rowOff>59794</xdr:rowOff>
    </xdr:from>
    <xdr:to>
      <xdr:col>25</xdr:col>
      <xdr:colOff>205388</xdr:colOff>
      <xdr:row>13</xdr:row>
      <xdr:rowOff>90520</xdr:rowOff>
    </xdr:to>
    <xdr:cxnSp macro="">
      <xdr:nvCxnSpPr>
        <xdr:cNvPr id="268" name="直線コネクタ 267">
          <a:extLst>
            <a:ext uri="{FF2B5EF4-FFF2-40B4-BE49-F238E27FC236}">
              <a16:creationId xmlns:a16="http://schemas.microsoft.com/office/drawing/2014/main" id="{FD73AB94-32A4-5A40-FC61-FA19E9B92BFF}"/>
            </a:ext>
          </a:extLst>
        </xdr:cNvPr>
        <xdr:cNvCxnSpPr/>
      </xdr:nvCxnSpPr>
      <xdr:spPr>
        <a:xfrm flipH="1">
          <a:off x="5935312" y="3228110"/>
          <a:ext cx="35208"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190464</xdr:colOff>
      <xdr:row>13</xdr:row>
      <xdr:rowOff>76992</xdr:rowOff>
    </xdr:from>
    <xdr:to>
      <xdr:col>25</xdr:col>
      <xdr:colOff>225672</xdr:colOff>
      <xdr:row>13</xdr:row>
      <xdr:rowOff>100915</xdr:rowOff>
    </xdr:to>
    <xdr:cxnSp macro="">
      <xdr:nvCxnSpPr>
        <xdr:cNvPr id="269" name="直線コネクタ 268">
          <a:extLst>
            <a:ext uri="{FF2B5EF4-FFF2-40B4-BE49-F238E27FC236}">
              <a16:creationId xmlns:a16="http://schemas.microsoft.com/office/drawing/2014/main" id="{B528F1AA-1B70-43E9-BCC7-0B5F597290E9}"/>
            </a:ext>
          </a:extLst>
        </xdr:cNvPr>
        <xdr:cNvCxnSpPr/>
      </xdr:nvCxnSpPr>
      <xdr:spPr>
        <a:xfrm flipH="1">
          <a:off x="5955596" y="3245308"/>
          <a:ext cx="35208" cy="2392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111581</xdr:colOff>
      <xdr:row>57</xdr:row>
      <xdr:rowOff>229539</xdr:rowOff>
    </xdr:from>
    <xdr:to>
      <xdr:col>25</xdr:col>
      <xdr:colOff>202301</xdr:colOff>
      <xdr:row>58</xdr:row>
      <xdr:rowOff>66531</xdr:rowOff>
    </xdr:to>
    <xdr:cxnSp macro="">
      <xdr:nvCxnSpPr>
        <xdr:cNvPr id="270" name="直線コネクタ 269">
          <a:extLst>
            <a:ext uri="{FF2B5EF4-FFF2-40B4-BE49-F238E27FC236}">
              <a16:creationId xmlns:a16="http://schemas.microsoft.com/office/drawing/2014/main" id="{2BED4D29-832A-E5C6-334C-5D04A878A42D}"/>
            </a:ext>
          </a:extLst>
        </xdr:cNvPr>
        <xdr:cNvCxnSpPr/>
      </xdr:nvCxnSpPr>
      <xdr:spPr>
        <a:xfrm>
          <a:off x="5714522" y="12096568"/>
          <a:ext cx="90720" cy="8352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64263</xdr:colOff>
      <xdr:row>57</xdr:row>
      <xdr:rowOff>231383</xdr:rowOff>
    </xdr:from>
    <xdr:to>
      <xdr:col>25</xdr:col>
      <xdr:colOff>150257</xdr:colOff>
      <xdr:row>58</xdr:row>
      <xdr:rowOff>68375</xdr:rowOff>
    </xdr:to>
    <xdr:cxnSp macro="">
      <xdr:nvCxnSpPr>
        <xdr:cNvPr id="271" name="直線コネクタ 270">
          <a:extLst>
            <a:ext uri="{FF2B5EF4-FFF2-40B4-BE49-F238E27FC236}">
              <a16:creationId xmlns:a16="http://schemas.microsoft.com/office/drawing/2014/main" id="{21D83C89-2DF1-4BE1-43B1-65D36A0648D0}"/>
            </a:ext>
          </a:extLst>
        </xdr:cNvPr>
        <xdr:cNvCxnSpPr/>
      </xdr:nvCxnSpPr>
      <xdr:spPr>
        <a:xfrm>
          <a:off x="5667204" y="12098412"/>
          <a:ext cx="85994" cy="8352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64299</xdr:colOff>
      <xdr:row>58</xdr:row>
      <xdr:rowOff>25685</xdr:rowOff>
    </xdr:from>
    <xdr:to>
      <xdr:col>25</xdr:col>
      <xdr:colOff>95025</xdr:colOff>
      <xdr:row>58</xdr:row>
      <xdr:rowOff>46886</xdr:rowOff>
    </xdr:to>
    <xdr:cxnSp macro="">
      <xdr:nvCxnSpPr>
        <xdr:cNvPr id="272" name="直線コネクタ 271">
          <a:extLst>
            <a:ext uri="{FF2B5EF4-FFF2-40B4-BE49-F238E27FC236}">
              <a16:creationId xmlns:a16="http://schemas.microsoft.com/office/drawing/2014/main" id="{A2485FF0-31E9-B1B9-8958-BE1126F8A9F4}"/>
            </a:ext>
          </a:extLst>
        </xdr:cNvPr>
        <xdr:cNvCxnSpPr/>
      </xdr:nvCxnSpPr>
      <xdr:spPr>
        <a:xfrm flipH="1">
          <a:off x="5667240" y="12139244"/>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84583</xdr:colOff>
      <xdr:row>58</xdr:row>
      <xdr:rowOff>42883</xdr:rowOff>
    </xdr:from>
    <xdr:to>
      <xdr:col>25</xdr:col>
      <xdr:colOff>115309</xdr:colOff>
      <xdr:row>58</xdr:row>
      <xdr:rowOff>67690</xdr:rowOff>
    </xdr:to>
    <xdr:cxnSp macro="">
      <xdr:nvCxnSpPr>
        <xdr:cNvPr id="273" name="直線コネクタ 272">
          <a:extLst>
            <a:ext uri="{FF2B5EF4-FFF2-40B4-BE49-F238E27FC236}">
              <a16:creationId xmlns:a16="http://schemas.microsoft.com/office/drawing/2014/main" id="{2D07067E-D5EB-9071-709E-F21A1AB2D5EE}"/>
            </a:ext>
          </a:extLst>
        </xdr:cNvPr>
        <xdr:cNvCxnSpPr/>
      </xdr:nvCxnSpPr>
      <xdr:spPr>
        <a:xfrm flipH="1">
          <a:off x="5687524" y="12156442"/>
          <a:ext cx="30726" cy="248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31445</xdr:colOff>
      <xdr:row>57</xdr:row>
      <xdr:rowOff>222543</xdr:rowOff>
    </xdr:from>
    <xdr:to>
      <xdr:col>26</xdr:col>
      <xdr:colOff>116405</xdr:colOff>
      <xdr:row>58</xdr:row>
      <xdr:rowOff>62042</xdr:rowOff>
    </xdr:to>
    <xdr:cxnSp macro="">
      <xdr:nvCxnSpPr>
        <xdr:cNvPr id="274" name="直線コネクタ 273">
          <a:extLst>
            <a:ext uri="{FF2B5EF4-FFF2-40B4-BE49-F238E27FC236}">
              <a16:creationId xmlns:a16="http://schemas.microsoft.com/office/drawing/2014/main" id="{47116F5A-5688-450F-E738-3AB3561B9EAF}"/>
            </a:ext>
          </a:extLst>
        </xdr:cNvPr>
        <xdr:cNvCxnSpPr/>
      </xdr:nvCxnSpPr>
      <xdr:spPr>
        <a:xfrm>
          <a:off x="5858504" y="12089572"/>
          <a:ext cx="84960" cy="8602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210250</xdr:colOff>
      <xdr:row>57</xdr:row>
      <xdr:rowOff>226894</xdr:rowOff>
    </xdr:from>
    <xdr:to>
      <xdr:col>26</xdr:col>
      <xdr:colOff>73569</xdr:colOff>
      <xdr:row>58</xdr:row>
      <xdr:rowOff>63886</xdr:rowOff>
    </xdr:to>
    <xdr:cxnSp macro="">
      <xdr:nvCxnSpPr>
        <xdr:cNvPr id="275" name="直線コネクタ 274">
          <a:extLst>
            <a:ext uri="{FF2B5EF4-FFF2-40B4-BE49-F238E27FC236}">
              <a16:creationId xmlns:a16="http://schemas.microsoft.com/office/drawing/2014/main" id="{80A181FD-5495-52EB-A2FA-80FC0E208952}"/>
            </a:ext>
          </a:extLst>
        </xdr:cNvPr>
        <xdr:cNvCxnSpPr/>
      </xdr:nvCxnSpPr>
      <xdr:spPr>
        <a:xfrm>
          <a:off x="5813191" y="12093923"/>
          <a:ext cx="87437" cy="8352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210286</xdr:colOff>
      <xdr:row>58</xdr:row>
      <xdr:rowOff>21191</xdr:rowOff>
    </xdr:from>
    <xdr:to>
      <xdr:col>26</xdr:col>
      <xdr:colOff>14889</xdr:colOff>
      <xdr:row>58</xdr:row>
      <xdr:rowOff>51917</xdr:rowOff>
    </xdr:to>
    <xdr:cxnSp macro="">
      <xdr:nvCxnSpPr>
        <xdr:cNvPr id="276" name="直線コネクタ 275">
          <a:extLst>
            <a:ext uri="{FF2B5EF4-FFF2-40B4-BE49-F238E27FC236}">
              <a16:creationId xmlns:a16="http://schemas.microsoft.com/office/drawing/2014/main" id="{E76C80E3-3E92-3C8B-2CC5-68E68DFA2175}"/>
            </a:ext>
          </a:extLst>
        </xdr:cNvPr>
        <xdr:cNvCxnSpPr/>
      </xdr:nvCxnSpPr>
      <xdr:spPr>
        <a:xfrm flipH="1">
          <a:off x="5813227" y="12134750"/>
          <a:ext cx="28721"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6452</xdr:colOff>
      <xdr:row>58</xdr:row>
      <xdr:rowOff>38389</xdr:rowOff>
    </xdr:from>
    <xdr:to>
      <xdr:col>26</xdr:col>
      <xdr:colOff>35173</xdr:colOff>
      <xdr:row>58</xdr:row>
      <xdr:rowOff>63196</xdr:rowOff>
    </xdr:to>
    <xdr:cxnSp macro="">
      <xdr:nvCxnSpPr>
        <xdr:cNvPr id="277" name="直線コネクタ 276">
          <a:extLst>
            <a:ext uri="{FF2B5EF4-FFF2-40B4-BE49-F238E27FC236}">
              <a16:creationId xmlns:a16="http://schemas.microsoft.com/office/drawing/2014/main" id="{8210F9CD-BA4C-5D7B-9594-B0A8CD2F4C1E}"/>
            </a:ext>
          </a:extLst>
        </xdr:cNvPr>
        <xdr:cNvCxnSpPr/>
      </xdr:nvCxnSpPr>
      <xdr:spPr>
        <a:xfrm flipH="1">
          <a:off x="5833511" y="12151948"/>
          <a:ext cx="28721" cy="248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1661</xdr:colOff>
      <xdr:row>6</xdr:row>
      <xdr:rowOff>102956</xdr:rowOff>
    </xdr:from>
    <xdr:to>
      <xdr:col>28</xdr:col>
      <xdr:colOff>106907</xdr:colOff>
      <xdr:row>6</xdr:row>
      <xdr:rowOff>102956</xdr:rowOff>
    </xdr:to>
    <xdr:cxnSp macro="">
      <xdr:nvCxnSpPr>
        <xdr:cNvPr id="8" name="直線コネクタ 7">
          <a:extLst>
            <a:ext uri="{FF2B5EF4-FFF2-40B4-BE49-F238E27FC236}">
              <a16:creationId xmlns:a16="http://schemas.microsoft.com/office/drawing/2014/main" id="{E26F2E5E-A79A-0FCA-02D7-6B4DC3DDBD25}"/>
            </a:ext>
          </a:extLst>
        </xdr:cNvPr>
        <xdr:cNvCxnSpPr/>
      </xdr:nvCxnSpPr>
      <xdr:spPr>
        <a:xfrm>
          <a:off x="6134296" y="1553687"/>
          <a:ext cx="332380" cy="0"/>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168570</xdr:colOff>
      <xdr:row>8</xdr:row>
      <xdr:rowOff>249786</xdr:rowOff>
    </xdr:from>
    <xdr:to>
      <xdr:col>24</xdr:col>
      <xdr:colOff>179772</xdr:colOff>
      <xdr:row>8</xdr:row>
      <xdr:rowOff>249786</xdr:rowOff>
    </xdr:to>
    <xdr:cxnSp macro="">
      <xdr:nvCxnSpPr>
        <xdr:cNvPr id="192" name="直線矢印コネクタ 191">
          <a:extLst>
            <a:ext uri="{FF2B5EF4-FFF2-40B4-BE49-F238E27FC236}">
              <a16:creationId xmlns:a16="http://schemas.microsoft.com/office/drawing/2014/main" id="{4F578217-AC43-4227-A3ED-BCEEF5F3A832}"/>
            </a:ext>
          </a:extLst>
        </xdr:cNvPr>
        <xdr:cNvCxnSpPr/>
      </xdr:nvCxnSpPr>
      <xdr:spPr>
        <a:xfrm>
          <a:off x="5038744" y="1931156"/>
          <a:ext cx="475028" cy="0"/>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68724</xdr:colOff>
      <xdr:row>7</xdr:row>
      <xdr:rowOff>195164</xdr:rowOff>
    </xdr:from>
    <xdr:to>
      <xdr:col>24</xdr:col>
      <xdr:colOff>137115</xdr:colOff>
      <xdr:row>8</xdr:row>
      <xdr:rowOff>200726</xdr:rowOff>
    </xdr:to>
    <xdr:sp macro="" textlink="">
      <xdr:nvSpPr>
        <xdr:cNvPr id="193" name="テキスト ボックス 192">
          <a:extLst>
            <a:ext uri="{FF2B5EF4-FFF2-40B4-BE49-F238E27FC236}">
              <a16:creationId xmlns:a16="http://schemas.microsoft.com/office/drawing/2014/main" id="{CCAF67F4-6449-DF5A-6371-290C77B843BB}"/>
            </a:ext>
          </a:extLst>
        </xdr:cNvPr>
        <xdr:cNvSpPr txBox="1"/>
      </xdr:nvSpPr>
      <xdr:spPr>
        <a:xfrm>
          <a:off x="4938898" y="1636338"/>
          <a:ext cx="532217" cy="2457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R</a:t>
          </a:r>
          <a:r>
            <a:rPr kumimoji="1" lang="en-US" altLang="ja-JP" sz="1100" baseline="-25000">
              <a:solidFill>
                <a:srgbClr val="FF0000"/>
              </a:solidFill>
            </a:rPr>
            <a:t>1</a:t>
          </a:r>
          <a:endParaRPr kumimoji="1" lang="ja-JP" altLang="en-US" sz="1100" baseline="-25000">
            <a:solidFill>
              <a:srgbClr val="FF0000"/>
            </a:solidFill>
          </a:endParaRPr>
        </a:p>
      </xdr:txBody>
    </xdr:sp>
    <xdr:clientData/>
  </xdr:twoCellAnchor>
  <xdr:twoCellAnchor>
    <xdr:from>
      <xdr:col>27</xdr:col>
      <xdr:colOff>14287</xdr:colOff>
      <xdr:row>126</xdr:row>
      <xdr:rowOff>88540</xdr:rowOff>
    </xdr:from>
    <xdr:to>
      <xdr:col>31</xdr:col>
      <xdr:colOff>121444</xdr:colOff>
      <xdr:row>126</xdr:row>
      <xdr:rowOff>88540</xdr:rowOff>
    </xdr:to>
    <xdr:cxnSp macro="">
      <xdr:nvCxnSpPr>
        <xdr:cNvPr id="3" name="直線コネクタ 2">
          <a:extLst>
            <a:ext uri="{FF2B5EF4-FFF2-40B4-BE49-F238E27FC236}">
              <a16:creationId xmlns:a16="http://schemas.microsoft.com/office/drawing/2014/main" id="{767606C9-1B73-CEE8-97C1-ED2C43A57F64}"/>
            </a:ext>
          </a:extLst>
        </xdr:cNvPr>
        <xdr:cNvCxnSpPr/>
      </xdr:nvCxnSpPr>
      <xdr:spPr>
        <a:xfrm>
          <a:off x="5957887" y="27196690"/>
          <a:ext cx="102155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14287</xdr:colOff>
      <xdr:row>130</xdr:row>
      <xdr:rowOff>97607</xdr:rowOff>
    </xdr:from>
    <xdr:to>
      <xdr:col>31</xdr:col>
      <xdr:colOff>123825</xdr:colOff>
      <xdr:row>130</xdr:row>
      <xdr:rowOff>97607</xdr:rowOff>
    </xdr:to>
    <xdr:cxnSp macro="">
      <xdr:nvCxnSpPr>
        <xdr:cNvPr id="5" name="直線コネクタ 4">
          <a:extLst>
            <a:ext uri="{FF2B5EF4-FFF2-40B4-BE49-F238E27FC236}">
              <a16:creationId xmlns:a16="http://schemas.microsoft.com/office/drawing/2014/main" id="{247E0307-82E1-4847-8724-2C719FB83266}"/>
            </a:ext>
          </a:extLst>
        </xdr:cNvPr>
        <xdr:cNvCxnSpPr/>
      </xdr:nvCxnSpPr>
      <xdr:spPr>
        <a:xfrm>
          <a:off x="5957887" y="28158257"/>
          <a:ext cx="102393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14287</xdr:colOff>
      <xdr:row>126</xdr:row>
      <xdr:rowOff>218964</xdr:rowOff>
    </xdr:from>
    <xdr:to>
      <xdr:col>28</xdr:col>
      <xdr:colOff>205458</xdr:colOff>
      <xdr:row>126</xdr:row>
      <xdr:rowOff>219879</xdr:rowOff>
    </xdr:to>
    <xdr:cxnSp macro="">
      <xdr:nvCxnSpPr>
        <xdr:cNvPr id="6" name="直線コネクタ 5">
          <a:extLst>
            <a:ext uri="{FF2B5EF4-FFF2-40B4-BE49-F238E27FC236}">
              <a16:creationId xmlns:a16="http://schemas.microsoft.com/office/drawing/2014/main" id="{E091636C-1F1A-9D66-6F17-7D9C09D8D28D}"/>
            </a:ext>
          </a:extLst>
        </xdr:cNvPr>
        <xdr:cNvCxnSpPr>
          <a:endCxn id="24" idx="0"/>
        </xdr:cNvCxnSpPr>
      </xdr:nvCxnSpPr>
      <xdr:spPr>
        <a:xfrm flipV="1">
          <a:off x="5957887" y="27327114"/>
          <a:ext cx="419771" cy="9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14287</xdr:colOff>
      <xdr:row>129</xdr:row>
      <xdr:rowOff>208574</xdr:rowOff>
    </xdr:from>
    <xdr:to>
      <xdr:col>28</xdr:col>
      <xdr:colOff>204788</xdr:colOff>
      <xdr:row>129</xdr:row>
      <xdr:rowOff>208574</xdr:rowOff>
    </xdr:to>
    <xdr:cxnSp macro="">
      <xdr:nvCxnSpPr>
        <xdr:cNvPr id="8" name="直線コネクタ 7">
          <a:extLst>
            <a:ext uri="{FF2B5EF4-FFF2-40B4-BE49-F238E27FC236}">
              <a16:creationId xmlns:a16="http://schemas.microsoft.com/office/drawing/2014/main" id="{0A387486-4489-84FC-427C-772BFF00C2C8}"/>
            </a:ext>
          </a:extLst>
        </xdr:cNvPr>
        <xdr:cNvCxnSpPr/>
      </xdr:nvCxnSpPr>
      <xdr:spPr>
        <a:xfrm>
          <a:off x="5957887" y="28031099"/>
          <a:ext cx="4191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155463</xdr:colOff>
      <xdr:row>126</xdr:row>
      <xdr:rowOff>219879</xdr:rowOff>
    </xdr:from>
    <xdr:to>
      <xdr:col>31</xdr:col>
      <xdr:colOff>123825</xdr:colOff>
      <xdr:row>126</xdr:row>
      <xdr:rowOff>219879</xdr:rowOff>
    </xdr:to>
    <xdr:cxnSp macro="">
      <xdr:nvCxnSpPr>
        <xdr:cNvPr id="9" name="直線コネクタ 8">
          <a:extLst>
            <a:ext uri="{FF2B5EF4-FFF2-40B4-BE49-F238E27FC236}">
              <a16:creationId xmlns:a16="http://schemas.microsoft.com/office/drawing/2014/main" id="{7E00544E-4A21-38EC-A0E7-333DC0CEA9DB}"/>
            </a:ext>
          </a:extLst>
        </xdr:cNvPr>
        <xdr:cNvCxnSpPr/>
      </xdr:nvCxnSpPr>
      <xdr:spPr>
        <a:xfrm>
          <a:off x="6556263" y="27328029"/>
          <a:ext cx="42556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157844</xdr:colOff>
      <xdr:row>129</xdr:row>
      <xdr:rowOff>208574</xdr:rowOff>
    </xdr:from>
    <xdr:to>
      <xdr:col>31</xdr:col>
      <xdr:colOff>121444</xdr:colOff>
      <xdr:row>129</xdr:row>
      <xdr:rowOff>208574</xdr:rowOff>
    </xdr:to>
    <xdr:cxnSp macro="">
      <xdr:nvCxnSpPr>
        <xdr:cNvPr id="10" name="直線コネクタ 9">
          <a:extLst>
            <a:ext uri="{FF2B5EF4-FFF2-40B4-BE49-F238E27FC236}">
              <a16:creationId xmlns:a16="http://schemas.microsoft.com/office/drawing/2014/main" id="{0BE810EB-C792-63F8-5AFB-BDB7C8674403}"/>
            </a:ext>
          </a:extLst>
        </xdr:cNvPr>
        <xdr:cNvCxnSpPr/>
      </xdr:nvCxnSpPr>
      <xdr:spPr>
        <a:xfrm>
          <a:off x="6558644" y="28031099"/>
          <a:ext cx="4208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28028</xdr:colOff>
      <xdr:row>127</xdr:row>
      <xdr:rowOff>26630</xdr:rowOff>
    </xdr:from>
    <xdr:to>
      <xdr:col>29</xdr:col>
      <xdr:colOff>28028</xdr:colOff>
      <xdr:row>129</xdr:row>
      <xdr:rowOff>159978</xdr:rowOff>
    </xdr:to>
    <xdr:cxnSp macro="">
      <xdr:nvCxnSpPr>
        <xdr:cNvPr id="11" name="直線コネクタ 10">
          <a:extLst>
            <a:ext uri="{FF2B5EF4-FFF2-40B4-BE49-F238E27FC236}">
              <a16:creationId xmlns:a16="http://schemas.microsoft.com/office/drawing/2014/main" id="{558C6E26-0034-0929-14D3-FDB13F55C882}"/>
            </a:ext>
          </a:extLst>
        </xdr:cNvPr>
        <xdr:cNvCxnSpPr/>
      </xdr:nvCxnSpPr>
      <xdr:spPr>
        <a:xfrm>
          <a:off x="6428828" y="27372905"/>
          <a:ext cx="0" cy="6095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104679</xdr:colOff>
      <xdr:row>127</xdr:row>
      <xdr:rowOff>28422</xdr:rowOff>
    </xdr:from>
    <xdr:to>
      <xdr:col>29</xdr:col>
      <xdr:colOff>104679</xdr:colOff>
      <xdr:row>129</xdr:row>
      <xdr:rowOff>159978</xdr:rowOff>
    </xdr:to>
    <xdr:cxnSp macro="">
      <xdr:nvCxnSpPr>
        <xdr:cNvPr id="17" name="直線コネクタ 16">
          <a:extLst>
            <a:ext uri="{FF2B5EF4-FFF2-40B4-BE49-F238E27FC236}">
              <a16:creationId xmlns:a16="http://schemas.microsoft.com/office/drawing/2014/main" id="{FEA959C3-12D7-89A6-1343-A0405BB806A6}"/>
            </a:ext>
          </a:extLst>
        </xdr:cNvPr>
        <xdr:cNvCxnSpPr/>
      </xdr:nvCxnSpPr>
      <xdr:spPr>
        <a:xfrm>
          <a:off x="6505479" y="27374697"/>
          <a:ext cx="0" cy="6078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12437</xdr:colOff>
      <xdr:row>126</xdr:row>
      <xdr:rowOff>86187</xdr:rowOff>
    </xdr:from>
    <xdr:to>
      <xdr:col>27</xdr:col>
      <xdr:colOff>12437</xdr:colOff>
      <xdr:row>126</xdr:row>
      <xdr:rowOff>219568</xdr:rowOff>
    </xdr:to>
    <xdr:cxnSp macro="">
      <xdr:nvCxnSpPr>
        <xdr:cNvPr id="18" name="直線コネクタ 17">
          <a:extLst>
            <a:ext uri="{FF2B5EF4-FFF2-40B4-BE49-F238E27FC236}">
              <a16:creationId xmlns:a16="http://schemas.microsoft.com/office/drawing/2014/main" id="{532D20A2-A3F0-1DC8-F84A-28C8A2E84236}"/>
            </a:ext>
          </a:extLst>
        </xdr:cNvPr>
        <xdr:cNvCxnSpPr/>
      </xdr:nvCxnSpPr>
      <xdr:spPr>
        <a:xfrm>
          <a:off x="5956037" y="27194337"/>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17272</xdr:colOff>
      <xdr:row>129</xdr:row>
      <xdr:rowOff>205101</xdr:rowOff>
    </xdr:from>
    <xdr:to>
      <xdr:col>27</xdr:col>
      <xdr:colOff>17272</xdr:colOff>
      <xdr:row>130</xdr:row>
      <xdr:rowOff>99371</xdr:rowOff>
    </xdr:to>
    <xdr:cxnSp macro="">
      <xdr:nvCxnSpPr>
        <xdr:cNvPr id="21" name="直線コネクタ 20">
          <a:extLst>
            <a:ext uri="{FF2B5EF4-FFF2-40B4-BE49-F238E27FC236}">
              <a16:creationId xmlns:a16="http://schemas.microsoft.com/office/drawing/2014/main" id="{68C0669B-A834-4723-877B-B7D70B6241E7}"/>
            </a:ext>
          </a:extLst>
        </xdr:cNvPr>
        <xdr:cNvCxnSpPr/>
      </xdr:nvCxnSpPr>
      <xdr:spPr>
        <a:xfrm>
          <a:off x="5960872" y="28027626"/>
          <a:ext cx="0" cy="1323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122443</xdr:colOff>
      <xdr:row>126</xdr:row>
      <xdr:rowOff>86187</xdr:rowOff>
    </xdr:from>
    <xdr:to>
      <xdr:col>31</xdr:col>
      <xdr:colOff>122443</xdr:colOff>
      <xdr:row>126</xdr:row>
      <xdr:rowOff>219568</xdr:rowOff>
    </xdr:to>
    <xdr:cxnSp macro="">
      <xdr:nvCxnSpPr>
        <xdr:cNvPr id="22" name="直線コネクタ 21">
          <a:extLst>
            <a:ext uri="{FF2B5EF4-FFF2-40B4-BE49-F238E27FC236}">
              <a16:creationId xmlns:a16="http://schemas.microsoft.com/office/drawing/2014/main" id="{EAAE8A5A-CD37-33F7-5053-16ABCA79889E}"/>
            </a:ext>
          </a:extLst>
        </xdr:cNvPr>
        <xdr:cNvCxnSpPr/>
      </xdr:nvCxnSpPr>
      <xdr:spPr>
        <a:xfrm>
          <a:off x="6980443" y="27194337"/>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121913</xdr:colOff>
      <xdr:row>129</xdr:row>
      <xdr:rowOff>205101</xdr:rowOff>
    </xdr:from>
    <xdr:to>
      <xdr:col>31</xdr:col>
      <xdr:colOff>121913</xdr:colOff>
      <xdr:row>130</xdr:row>
      <xdr:rowOff>99371</xdr:rowOff>
    </xdr:to>
    <xdr:cxnSp macro="">
      <xdr:nvCxnSpPr>
        <xdr:cNvPr id="23" name="直線コネクタ 22">
          <a:extLst>
            <a:ext uri="{FF2B5EF4-FFF2-40B4-BE49-F238E27FC236}">
              <a16:creationId xmlns:a16="http://schemas.microsoft.com/office/drawing/2014/main" id="{0CF43422-9DC2-9D51-85F0-409333010B43}"/>
            </a:ext>
          </a:extLst>
        </xdr:cNvPr>
        <xdr:cNvCxnSpPr/>
      </xdr:nvCxnSpPr>
      <xdr:spPr>
        <a:xfrm>
          <a:off x="6979913" y="28027626"/>
          <a:ext cx="0" cy="1323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154211</xdr:colOff>
      <xdr:row>126</xdr:row>
      <xdr:rowOff>218964</xdr:rowOff>
    </xdr:from>
    <xdr:to>
      <xdr:col>29</xdr:col>
      <xdr:colOff>28105</xdr:colOff>
      <xdr:row>127</xdr:row>
      <xdr:rowOff>80725</xdr:rowOff>
    </xdr:to>
    <xdr:sp macro="" textlink="">
      <xdr:nvSpPr>
        <xdr:cNvPr id="24" name="円弧 23">
          <a:extLst>
            <a:ext uri="{FF2B5EF4-FFF2-40B4-BE49-F238E27FC236}">
              <a16:creationId xmlns:a16="http://schemas.microsoft.com/office/drawing/2014/main" id="{09C5242C-DC97-7CD9-5368-D8F80313E6D2}"/>
            </a:ext>
          </a:extLst>
        </xdr:cNvPr>
        <xdr:cNvSpPr/>
      </xdr:nvSpPr>
      <xdr:spPr>
        <a:xfrm>
          <a:off x="6326411" y="27327114"/>
          <a:ext cx="102494" cy="99886"/>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104308</xdr:colOff>
      <xdr:row>126</xdr:row>
      <xdr:rowOff>223294</xdr:rowOff>
    </xdr:from>
    <xdr:to>
      <xdr:col>29</xdr:col>
      <xdr:colOff>207172</xdr:colOff>
      <xdr:row>127</xdr:row>
      <xdr:rowOff>85055</xdr:rowOff>
    </xdr:to>
    <xdr:sp macro="" textlink="">
      <xdr:nvSpPr>
        <xdr:cNvPr id="27" name="円弧 26">
          <a:extLst>
            <a:ext uri="{FF2B5EF4-FFF2-40B4-BE49-F238E27FC236}">
              <a16:creationId xmlns:a16="http://schemas.microsoft.com/office/drawing/2014/main" id="{E77B665E-CDAB-43FB-9DEB-BCE471AACA66}"/>
            </a:ext>
          </a:extLst>
        </xdr:cNvPr>
        <xdr:cNvSpPr/>
      </xdr:nvSpPr>
      <xdr:spPr>
        <a:xfrm flipH="1">
          <a:off x="6505108" y="27331444"/>
          <a:ext cx="102864" cy="99886"/>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104303</xdr:colOff>
      <xdr:row>129</xdr:row>
      <xdr:rowOff>100447</xdr:rowOff>
    </xdr:from>
    <xdr:to>
      <xdr:col>29</xdr:col>
      <xdr:colOff>216692</xdr:colOff>
      <xdr:row>129</xdr:row>
      <xdr:rowOff>209439</xdr:rowOff>
    </xdr:to>
    <xdr:sp macro="" textlink="">
      <xdr:nvSpPr>
        <xdr:cNvPr id="30" name="円弧 29">
          <a:extLst>
            <a:ext uri="{FF2B5EF4-FFF2-40B4-BE49-F238E27FC236}">
              <a16:creationId xmlns:a16="http://schemas.microsoft.com/office/drawing/2014/main" id="{F232D400-1C8C-4A1B-8161-E24B5AF81364}"/>
            </a:ext>
          </a:extLst>
        </xdr:cNvPr>
        <xdr:cNvSpPr/>
      </xdr:nvSpPr>
      <xdr:spPr>
        <a:xfrm flipH="1" flipV="1">
          <a:off x="6505103" y="27922972"/>
          <a:ext cx="112389" cy="10899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150018</xdr:colOff>
      <xdr:row>129</xdr:row>
      <xdr:rowOff>100446</xdr:rowOff>
    </xdr:from>
    <xdr:to>
      <xdr:col>29</xdr:col>
      <xdr:colOff>28102</xdr:colOff>
      <xdr:row>129</xdr:row>
      <xdr:rowOff>209438</xdr:rowOff>
    </xdr:to>
    <xdr:sp macro="" textlink="">
      <xdr:nvSpPr>
        <xdr:cNvPr id="34" name="円弧 33">
          <a:extLst>
            <a:ext uri="{FF2B5EF4-FFF2-40B4-BE49-F238E27FC236}">
              <a16:creationId xmlns:a16="http://schemas.microsoft.com/office/drawing/2014/main" id="{6D0BF304-18C9-4197-8F15-75B8C87E90F7}"/>
            </a:ext>
          </a:extLst>
        </xdr:cNvPr>
        <xdr:cNvSpPr/>
      </xdr:nvSpPr>
      <xdr:spPr>
        <a:xfrm flipV="1">
          <a:off x="6322218" y="27922971"/>
          <a:ext cx="106684" cy="10899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20240</xdr:colOff>
      <xdr:row>124</xdr:row>
      <xdr:rowOff>163348</xdr:rowOff>
    </xdr:from>
    <xdr:to>
      <xdr:col>31</xdr:col>
      <xdr:colOff>121443</xdr:colOff>
      <xdr:row>124</xdr:row>
      <xdr:rowOff>163348</xdr:rowOff>
    </xdr:to>
    <xdr:cxnSp macro="">
      <xdr:nvCxnSpPr>
        <xdr:cNvPr id="39" name="直線矢印コネクタ 38">
          <a:extLst>
            <a:ext uri="{FF2B5EF4-FFF2-40B4-BE49-F238E27FC236}">
              <a16:creationId xmlns:a16="http://schemas.microsoft.com/office/drawing/2014/main" id="{00891E7B-A581-D221-37C6-EFAD913D3D2A}"/>
            </a:ext>
          </a:extLst>
        </xdr:cNvPr>
        <xdr:cNvCxnSpPr/>
      </xdr:nvCxnSpPr>
      <xdr:spPr>
        <a:xfrm flipH="1">
          <a:off x="5963840" y="26795248"/>
          <a:ext cx="1015603"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122443</xdr:colOff>
      <xdr:row>124</xdr:row>
      <xdr:rowOff>105340</xdr:rowOff>
    </xdr:from>
    <xdr:to>
      <xdr:col>31</xdr:col>
      <xdr:colOff>122443</xdr:colOff>
      <xdr:row>125</xdr:row>
      <xdr:rowOff>596</xdr:rowOff>
    </xdr:to>
    <xdr:cxnSp macro="">
      <xdr:nvCxnSpPr>
        <xdr:cNvPr id="43" name="直線コネクタ 42">
          <a:extLst>
            <a:ext uri="{FF2B5EF4-FFF2-40B4-BE49-F238E27FC236}">
              <a16:creationId xmlns:a16="http://schemas.microsoft.com/office/drawing/2014/main" id="{5CD517D8-A39E-ACF0-04BC-5269C4274D0C}"/>
            </a:ext>
          </a:extLst>
        </xdr:cNvPr>
        <xdr:cNvCxnSpPr/>
      </xdr:nvCxnSpPr>
      <xdr:spPr>
        <a:xfrm>
          <a:off x="6980443" y="26737240"/>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12437</xdr:colOff>
      <xdr:row>124</xdr:row>
      <xdr:rowOff>111293</xdr:rowOff>
    </xdr:from>
    <xdr:to>
      <xdr:col>27</xdr:col>
      <xdr:colOff>12437</xdr:colOff>
      <xdr:row>125</xdr:row>
      <xdr:rowOff>4478</xdr:rowOff>
    </xdr:to>
    <xdr:cxnSp macro="">
      <xdr:nvCxnSpPr>
        <xdr:cNvPr id="44" name="直線コネクタ 43">
          <a:extLst>
            <a:ext uri="{FF2B5EF4-FFF2-40B4-BE49-F238E27FC236}">
              <a16:creationId xmlns:a16="http://schemas.microsoft.com/office/drawing/2014/main" id="{6684CADF-E3A6-57E7-E055-E2213C99D1F0}"/>
            </a:ext>
          </a:extLst>
        </xdr:cNvPr>
        <xdr:cNvCxnSpPr/>
      </xdr:nvCxnSpPr>
      <xdr:spPr>
        <a:xfrm>
          <a:off x="5956037" y="26743193"/>
          <a:ext cx="0" cy="1313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122443</xdr:colOff>
      <xdr:row>125</xdr:row>
      <xdr:rowOff>99387</xdr:rowOff>
    </xdr:from>
    <xdr:to>
      <xdr:col>31</xdr:col>
      <xdr:colOff>122443</xdr:colOff>
      <xdr:row>125</xdr:row>
      <xdr:rowOff>231474</xdr:rowOff>
    </xdr:to>
    <xdr:cxnSp macro="">
      <xdr:nvCxnSpPr>
        <xdr:cNvPr id="45" name="直線コネクタ 44">
          <a:extLst>
            <a:ext uri="{FF2B5EF4-FFF2-40B4-BE49-F238E27FC236}">
              <a16:creationId xmlns:a16="http://schemas.microsoft.com/office/drawing/2014/main" id="{41981C65-0262-084D-EB33-BC6D1D90E692}"/>
            </a:ext>
          </a:extLst>
        </xdr:cNvPr>
        <xdr:cNvCxnSpPr/>
      </xdr:nvCxnSpPr>
      <xdr:spPr>
        <a:xfrm>
          <a:off x="6980443" y="2696941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110536</xdr:colOff>
      <xdr:row>125</xdr:row>
      <xdr:rowOff>99387</xdr:rowOff>
    </xdr:from>
    <xdr:to>
      <xdr:col>29</xdr:col>
      <xdr:colOff>110536</xdr:colOff>
      <xdr:row>125</xdr:row>
      <xdr:rowOff>231474</xdr:rowOff>
    </xdr:to>
    <xdr:cxnSp macro="">
      <xdr:nvCxnSpPr>
        <xdr:cNvPr id="46" name="直線コネクタ 45">
          <a:extLst>
            <a:ext uri="{FF2B5EF4-FFF2-40B4-BE49-F238E27FC236}">
              <a16:creationId xmlns:a16="http://schemas.microsoft.com/office/drawing/2014/main" id="{1BBEF615-EB6D-6DCB-DF64-917A02C8C806}"/>
            </a:ext>
          </a:extLst>
        </xdr:cNvPr>
        <xdr:cNvCxnSpPr/>
      </xdr:nvCxnSpPr>
      <xdr:spPr>
        <a:xfrm>
          <a:off x="6511336" y="2696941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33145</xdr:colOff>
      <xdr:row>125</xdr:row>
      <xdr:rowOff>99387</xdr:rowOff>
    </xdr:from>
    <xdr:to>
      <xdr:col>29</xdr:col>
      <xdr:colOff>33145</xdr:colOff>
      <xdr:row>125</xdr:row>
      <xdr:rowOff>231474</xdr:rowOff>
    </xdr:to>
    <xdr:cxnSp macro="">
      <xdr:nvCxnSpPr>
        <xdr:cNvPr id="47" name="直線コネクタ 46">
          <a:extLst>
            <a:ext uri="{FF2B5EF4-FFF2-40B4-BE49-F238E27FC236}">
              <a16:creationId xmlns:a16="http://schemas.microsoft.com/office/drawing/2014/main" id="{BA818FC8-31FB-A811-BB16-D19702F85EDA}"/>
            </a:ext>
          </a:extLst>
        </xdr:cNvPr>
        <xdr:cNvCxnSpPr/>
      </xdr:nvCxnSpPr>
      <xdr:spPr>
        <a:xfrm>
          <a:off x="6433945" y="2696941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12437</xdr:colOff>
      <xdr:row>125</xdr:row>
      <xdr:rowOff>117246</xdr:rowOff>
    </xdr:from>
    <xdr:to>
      <xdr:col>27</xdr:col>
      <xdr:colOff>12437</xdr:colOff>
      <xdr:row>126</xdr:row>
      <xdr:rowOff>9138</xdr:rowOff>
    </xdr:to>
    <xdr:cxnSp macro="">
      <xdr:nvCxnSpPr>
        <xdr:cNvPr id="48" name="直線コネクタ 47">
          <a:extLst>
            <a:ext uri="{FF2B5EF4-FFF2-40B4-BE49-F238E27FC236}">
              <a16:creationId xmlns:a16="http://schemas.microsoft.com/office/drawing/2014/main" id="{9595C7A6-708E-3626-7B0D-51DAF03A25A8}"/>
            </a:ext>
          </a:extLst>
        </xdr:cNvPr>
        <xdr:cNvCxnSpPr/>
      </xdr:nvCxnSpPr>
      <xdr:spPr>
        <a:xfrm>
          <a:off x="5956037" y="26987271"/>
          <a:ext cx="0" cy="13001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20240</xdr:colOff>
      <xdr:row>125</xdr:row>
      <xdr:rowOff>155324</xdr:rowOff>
    </xdr:from>
    <xdr:to>
      <xdr:col>29</xdr:col>
      <xdr:colOff>32147</xdr:colOff>
      <xdr:row>125</xdr:row>
      <xdr:rowOff>155324</xdr:rowOff>
    </xdr:to>
    <xdr:cxnSp macro="">
      <xdr:nvCxnSpPr>
        <xdr:cNvPr id="49" name="直線矢印コネクタ 48">
          <a:extLst>
            <a:ext uri="{FF2B5EF4-FFF2-40B4-BE49-F238E27FC236}">
              <a16:creationId xmlns:a16="http://schemas.microsoft.com/office/drawing/2014/main" id="{B0A2FCE6-69F3-3AF6-CB65-305DEC509A08}"/>
            </a:ext>
          </a:extLst>
        </xdr:cNvPr>
        <xdr:cNvCxnSpPr/>
      </xdr:nvCxnSpPr>
      <xdr:spPr>
        <a:xfrm flipH="1">
          <a:off x="5963840" y="27025349"/>
          <a:ext cx="469107"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109537</xdr:colOff>
      <xdr:row>125</xdr:row>
      <xdr:rowOff>155324</xdr:rowOff>
    </xdr:from>
    <xdr:to>
      <xdr:col>31</xdr:col>
      <xdr:colOff>121443</xdr:colOff>
      <xdr:row>125</xdr:row>
      <xdr:rowOff>155324</xdr:rowOff>
    </xdr:to>
    <xdr:cxnSp macro="">
      <xdr:nvCxnSpPr>
        <xdr:cNvPr id="51" name="直線矢印コネクタ 50">
          <a:extLst>
            <a:ext uri="{FF2B5EF4-FFF2-40B4-BE49-F238E27FC236}">
              <a16:creationId xmlns:a16="http://schemas.microsoft.com/office/drawing/2014/main" id="{36D7668B-4184-778B-AEBD-7A392B506D88}"/>
            </a:ext>
          </a:extLst>
        </xdr:cNvPr>
        <xdr:cNvCxnSpPr/>
      </xdr:nvCxnSpPr>
      <xdr:spPr>
        <a:xfrm flipH="1">
          <a:off x="6510337" y="27025349"/>
          <a:ext cx="469106"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1116</xdr:colOff>
      <xdr:row>126</xdr:row>
      <xdr:rowOff>93953</xdr:rowOff>
    </xdr:from>
    <xdr:to>
      <xdr:col>34</xdr:col>
      <xdr:colOff>1116</xdr:colOff>
      <xdr:row>130</xdr:row>
      <xdr:rowOff>105097</xdr:rowOff>
    </xdr:to>
    <xdr:cxnSp macro="">
      <xdr:nvCxnSpPr>
        <xdr:cNvPr id="53" name="直線矢印コネクタ 52">
          <a:extLst>
            <a:ext uri="{FF2B5EF4-FFF2-40B4-BE49-F238E27FC236}">
              <a16:creationId xmlns:a16="http://schemas.microsoft.com/office/drawing/2014/main" id="{E07E91C5-5168-7B06-894B-852C80751567}"/>
            </a:ext>
          </a:extLst>
        </xdr:cNvPr>
        <xdr:cNvCxnSpPr/>
      </xdr:nvCxnSpPr>
      <xdr:spPr>
        <a:xfrm flipV="1">
          <a:off x="7544916" y="27202103"/>
          <a:ext cx="0" cy="963644"/>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74719</xdr:colOff>
      <xdr:row>126</xdr:row>
      <xdr:rowOff>88540</xdr:rowOff>
    </xdr:from>
    <xdr:to>
      <xdr:col>34</xdr:col>
      <xdr:colOff>67142</xdr:colOff>
      <xdr:row>126</xdr:row>
      <xdr:rowOff>88540</xdr:rowOff>
    </xdr:to>
    <xdr:cxnSp macro="">
      <xdr:nvCxnSpPr>
        <xdr:cNvPr id="60" name="直線コネクタ 59">
          <a:extLst>
            <a:ext uri="{FF2B5EF4-FFF2-40B4-BE49-F238E27FC236}">
              <a16:creationId xmlns:a16="http://schemas.microsoft.com/office/drawing/2014/main" id="{726D98FE-7E16-0D80-31C8-8ACF1475817E}"/>
            </a:ext>
          </a:extLst>
        </xdr:cNvPr>
        <xdr:cNvCxnSpPr/>
      </xdr:nvCxnSpPr>
      <xdr:spPr>
        <a:xfrm>
          <a:off x="7389919" y="27196690"/>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92037</xdr:colOff>
      <xdr:row>130</xdr:row>
      <xdr:rowOff>97607</xdr:rowOff>
    </xdr:from>
    <xdr:to>
      <xdr:col>34</xdr:col>
      <xdr:colOff>86841</xdr:colOff>
      <xdr:row>130</xdr:row>
      <xdr:rowOff>97607</xdr:rowOff>
    </xdr:to>
    <xdr:cxnSp macro="">
      <xdr:nvCxnSpPr>
        <xdr:cNvPr id="62" name="直線コネクタ 61">
          <a:extLst>
            <a:ext uri="{FF2B5EF4-FFF2-40B4-BE49-F238E27FC236}">
              <a16:creationId xmlns:a16="http://schemas.microsoft.com/office/drawing/2014/main" id="{9C959C12-12E9-0F3C-69DD-2B66947217C0}"/>
            </a:ext>
          </a:extLst>
        </xdr:cNvPr>
        <xdr:cNvCxnSpPr/>
      </xdr:nvCxnSpPr>
      <xdr:spPr>
        <a:xfrm>
          <a:off x="7407237" y="28158257"/>
          <a:ext cx="22340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176640</xdr:colOff>
      <xdr:row>123</xdr:row>
      <xdr:rowOff>189530</xdr:rowOff>
    </xdr:from>
    <xdr:ext cx="270843" cy="254493"/>
    <xdr:sp macro="" textlink="">
      <xdr:nvSpPr>
        <xdr:cNvPr id="129" name="テキスト ボックス 128">
          <a:extLst>
            <a:ext uri="{FF2B5EF4-FFF2-40B4-BE49-F238E27FC236}">
              <a16:creationId xmlns:a16="http://schemas.microsoft.com/office/drawing/2014/main" id="{791710F5-B1C3-8D76-8CC5-B56050175AC2}"/>
            </a:ext>
          </a:extLst>
        </xdr:cNvPr>
        <xdr:cNvSpPr txBox="1"/>
      </xdr:nvSpPr>
      <xdr:spPr>
        <a:xfrm>
          <a:off x="6348840" y="26583305"/>
          <a:ext cx="27084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29</xdr:col>
      <xdr:colOff>190504</xdr:colOff>
      <xdr:row>124</xdr:row>
      <xdr:rowOff>188560</xdr:rowOff>
    </xdr:from>
    <xdr:ext cx="285399" cy="254493"/>
    <xdr:sp macro="" textlink="">
      <xdr:nvSpPr>
        <xdr:cNvPr id="130" name="テキスト ボックス 129">
          <a:extLst>
            <a:ext uri="{FF2B5EF4-FFF2-40B4-BE49-F238E27FC236}">
              <a16:creationId xmlns:a16="http://schemas.microsoft.com/office/drawing/2014/main" id="{130C43FA-F4D6-460B-B72E-244CD662680B}"/>
            </a:ext>
          </a:extLst>
        </xdr:cNvPr>
        <xdr:cNvSpPr txBox="1"/>
      </xdr:nvSpPr>
      <xdr:spPr>
        <a:xfrm>
          <a:off x="6591304" y="26820460"/>
          <a:ext cx="285399"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27</xdr:col>
      <xdr:colOff>100447</xdr:colOff>
      <xdr:row>124</xdr:row>
      <xdr:rowOff>189437</xdr:rowOff>
    </xdr:from>
    <xdr:ext cx="285399" cy="254493"/>
    <xdr:sp macro="" textlink="">
      <xdr:nvSpPr>
        <xdr:cNvPr id="131" name="テキスト ボックス 130">
          <a:extLst>
            <a:ext uri="{FF2B5EF4-FFF2-40B4-BE49-F238E27FC236}">
              <a16:creationId xmlns:a16="http://schemas.microsoft.com/office/drawing/2014/main" id="{A6C0FEB6-480A-4ADC-927F-8CEFBFAFD336}"/>
            </a:ext>
          </a:extLst>
        </xdr:cNvPr>
        <xdr:cNvSpPr txBox="1"/>
      </xdr:nvSpPr>
      <xdr:spPr>
        <a:xfrm>
          <a:off x="6044047" y="26821337"/>
          <a:ext cx="285399"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33</xdr:col>
      <xdr:colOff>203733</xdr:colOff>
      <xdr:row>127</xdr:row>
      <xdr:rowOff>182602</xdr:rowOff>
    </xdr:from>
    <xdr:ext cx="286553" cy="254493"/>
    <xdr:sp macro="" textlink="">
      <xdr:nvSpPr>
        <xdr:cNvPr id="132" name="テキスト ボックス 131">
          <a:extLst>
            <a:ext uri="{FF2B5EF4-FFF2-40B4-BE49-F238E27FC236}">
              <a16:creationId xmlns:a16="http://schemas.microsoft.com/office/drawing/2014/main" id="{3C1FF360-3871-CDFF-F0A4-828F44747686}"/>
            </a:ext>
          </a:extLst>
        </xdr:cNvPr>
        <xdr:cNvSpPr txBox="1"/>
      </xdr:nvSpPr>
      <xdr:spPr>
        <a:xfrm>
          <a:off x="7518933" y="27528877"/>
          <a:ext cx="28655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H</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twoCellAnchor>
    <xdr:from>
      <xdr:col>26</xdr:col>
      <xdr:colOff>193963</xdr:colOff>
      <xdr:row>128</xdr:row>
      <xdr:rowOff>76616</xdr:rowOff>
    </xdr:from>
    <xdr:to>
      <xdr:col>31</xdr:col>
      <xdr:colOff>202623</xdr:colOff>
      <xdr:row>128</xdr:row>
      <xdr:rowOff>76616</xdr:rowOff>
    </xdr:to>
    <xdr:cxnSp macro="">
      <xdr:nvCxnSpPr>
        <xdr:cNvPr id="133" name="直線コネクタ 132">
          <a:extLst>
            <a:ext uri="{FF2B5EF4-FFF2-40B4-BE49-F238E27FC236}">
              <a16:creationId xmlns:a16="http://schemas.microsoft.com/office/drawing/2014/main" id="{9AE52D44-10CA-7997-9907-F6A5AF8E76F2}"/>
            </a:ext>
          </a:extLst>
        </xdr:cNvPr>
        <xdr:cNvCxnSpPr/>
      </xdr:nvCxnSpPr>
      <xdr:spPr>
        <a:xfrm>
          <a:off x="5908963" y="27661016"/>
          <a:ext cx="1151660" cy="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64075</xdr:colOff>
      <xdr:row>126</xdr:row>
      <xdr:rowOff>7358</xdr:rowOff>
    </xdr:from>
    <xdr:to>
      <xdr:col>29</xdr:col>
      <xdr:colOff>68405</xdr:colOff>
      <xdr:row>130</xdr:row>
      <xdr:rowOff>211072</xdr:rowOff>
    </xdr:to>
    <xdr:cxnSp macro="">
      <xdr:nvCxnSpPr>
        <xdr:cNvPr id="136" name="直線コネクタ 135">
          <a:extLst>
            <a:ext uri="{FF2B5EF4-FFF2-40B4-BE49-F238E27FC236}">
              <a16:creationId xmlns:a16="http://schemas.microsoft.com/office/drawing/2014/main" id="{C9870582-D008-0F7A-683E-5B66EA7C6E92}"/>
            </a:ext>
          </a:extLst>
        </xdr:cNvPr>
        <xdr:cNvCxnSpPr/>
      </xdr:nvCxnSpPr>
      <xdr:spPr>
        <a:xfrm flipH="1">
          <a:off x="6464875" y="27115508"/>
          <a:ext cx="4330" cy="115621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3574</xdr:colOff>
      <xdr:row>127</xdr:row>
      <xdr:rowOff>148830</xdr:rowOff>
    </xdr:from>
    <xdr:ext cx="768159" cy="328423"/>
    <xdr:sp macro="" textlink="">
      <xdr:nvSpPr>
        <xdr:cNvPr id="139" name="テキスト ボックス 138">
          <a:extLst>
            <a:ext uri="{FF2B5EF4-FFF2-40B4-BE49-F238E27FC236}">
              <a16:creationId xmlns:a16="http://schemas.microsoft.com/office/drawing/2014/main" id="{651CDA3F-066C-EDCF-4204-FA834B1B4700}"/>
            </a:ext>
          </a:extLst>
        </xdr:cNvPr>
        <xdr:cNvSpPr txBox="1"/>
      </xdr:nvSpPr>
      <xdr:spPr>
        <a:xfrm>
          <a:off x="5261374" y="27495105"/>
          <a:ext cx="7681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強軸</a:t>
          </a:r>
          <a:r>
            <a:rPr kumimoji="1" lang="en-US" altLang="ja-JP" sz="1100">
              <a:latin typeface="Times New Roman" panose="02020603050405020304" pitchFamily="18" charset="0"/>
              <a:cs typeface="Times New Roman" panose="02020603050405020304" pitchFamily="18" charset="0"/>
            </a:rPr>
            <a:t>(y</a:t>
          </a:r>
          <a:r>
            <a:rPr kumimoji="1" lang="ja-JP" altLang="en-US" sz="1100"/>
            <a:t>軸</a:t>
          </a:r>
          <a:r>
            <a:rPr kumimoji="1" lang="en-US" altLang="ja-JP" sz="1100"/>
            <a:t>)</a:t>
          </a:r>
        </a:p>
      </xdr:txBody>
    </xdr:sp>
    <xdr:clientData/>
  </xdr:oneCellAnchor>
  <xdr:oneCellAnchor>
    <xdr:from>
      <xdr:col>27</xdr:col>
      <xdr:colOff>219077</xdr:colOff>
      <xdr:row>130</xdr:row>
      <xdr:rowOff>132160</xdr:rowOff>
    </xdr:from>
    <xdr:ext cx="760208" cy="328423"/>
    <xdr:sp macro="" textlink="">
      <xdr:nvSpPr>
        <xdr:cNvPr id="140" name="テキスト ボックス 139">
          <a:extLst>
            <a:ext uri="{FF2B5EF4-FFF2-40B4-BE49-F238E27FC236}">
              <a16:creationId xmlns:a16="http://schemas.microsoft.com/office/drawing/2014/main" id="{9DE3667C-1110-3448-D268-7505BBA9A4C9}"/>
            </a:ext>
          </a:extLst>
        </xdr:cNvPr>
        <xdr:cNvSpPr txBox="1"/>
      </xdr:nvSpPr>
      <xdr:spPr>
        <a:xfrm>
          <a:off x="6162677" y="28192810"/>
          <a:ext cx="760208"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弱</a:t>
          </a:r>
          <a:r>
            <a:rPr kumimoji="1" lang="ja-JP" altLang="ja-JP" sz="1100">
              <a:solidFill>
                <a:schemeClr val="tx1"/>
              </a:solidFill>
              <a:effectLst/>
              <a:latin typeface="+mn-lt"/>
              <a:ea typeface="+mn-ea"/>
              <a:cs typeface="+mn-cs"/>
            </a:rPr>
            <a:t>軸</a:t>
          </a:r>
          <a:r>
            <a:rPr kumimoji="1" lang="en-US" altLang="ja-JP" sz="1100">
              <a:latin typeface="Times New Roman" panose="02020603050405020304" pitchFamily="18" charset="0"/>
              <a:cs typeface="Times New Roman" panose="02020603050405020304" pitchFamily="18" charset="0"/>
            </a:rPr>
            <a:t>(z</a:t>
          </a:r>
          <a:r>
            <a:rPr kumimoji="1" lang="ja-JP" altLang="en-US" sz="1100"/>
            <a:t>軸</a:t>
          </a:r>
          <a:r>
            <a:rPr kumimoji="1" lang="en-US" altLang="ja-JP" sz="1100"/>
            <a:t>)</a:t>
          </a:r>
        </a:p>
      </xdr:txBody>
    </xdr:sp>
    <xdr:clientData/>
  </xdr:oneCellAnchor>
  <xdr:twoCellAnchor>
    <xdr:from>
      <xdr:col>31</xdr:col>
      <xdr:colOff>172689</xdr:colOff>
      <xdr:row>126</xdr:row>
      <xdr:rowOff>88540</xdr:rowOff>
    </xdr:from>
    <xdr:to>
      <xdr:col>32</xdr:col>
      <xdr:colOff>165112</xdr:colOff>
      <xdr:row>126</xdr:row>
      <xdr:rowOff>88540</xdr:rowOff>
    </xdr:to>
    <xdr:cxnSp macro="">
      <xdr:nvCxnSpPr>
        <xdr:cNvPr id="141" name="直線コネクタ 140">
          <a:extLst>
            <a:ext uri="{FF2B5EF4-FFF2-40B4-BE49-F238E27FC236}">
              <a16:creationId xmlns:a16="http://schemas.microsoft.com/office/drawing/2014/main" id="{1126B274-2AAC-6DC4-852A-93685B9043F8}"/>
            </a:ext>
          </a:extLst>
        </xdr:cNvPr>
        <xdr:cNvCxnSpPr/>
      </xdr:nvCxnSpPr>
      <xdr:spPr>
        <a:xfrm>
          <a:off x="7030689" y="27196690"/>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172689</xdr:colOff>
      <xdr:row>126</xdr:row>
      <xdr:rowOff>217807</xdr:rowOff>
    </xdr:from>
    <xdr:to>
      <xdr:col>32</xdr:col>
      <xdr:colOff>165112</xdr:colOff>
      <xdr:row>126</xdr:row>
      <xdr:rowOff>217807</xdr:rowOff>
    </xdr:to>
    <xdr:cxnSp macro="">
      <xdr:nvCxnSpPr>
        <xdr:cNvPr id="142" name="直線コネクタ 141">
          <a:extLst>
            <a:ext uri="{FF2B5EF4-FFF2-40B4-BE49-F238E27FC236}">
              <a16:creationId xmlns:a16="http://schemas.microsoft.com/office/drawing/2014/main" id="{A8BFDFD7-5F2A-0830-F34E-39BF4E8BD881}"/>
            </a:ext>
          </a:extLst>
        </xdr:cNvPr>
        <xdr:cNvCxnSpPr/>
      </xdr:nvCxnSpPr>
      <xdr:spPr>
        <a:xfrm>
          <a:off x="7030689" y="27325957"/>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82759</xdr:colOff>
      <xdr:row>126</xdr:row>
      <xdr:rowOff>217778</xdr:rowOff>
    </xdr:from>
    <xdr:to>
      <xdr:col>32</xdr:col>
      <xdr:colOff>82759</xdr:colOff>
      <xdr:row>127</xdr:row>
      <xdr:rowOff>213632</xdr:rowOff>
    </xdr:to>
    <xdr:cxnSp macro="">
      <xdr:nvCxnSpPr>
        <xdr:cNvPr id="143" name="直線矢印コネクタ 142">
          <a:extLst>
            <a:ext uri="{FF2B5EF4-FFF2-40B4-BE49-F238E27FC236}">
              <a16:creationId xmlns:a16="http://schemas.microsoft.com/office/drawing/2014/main" id="{B7EC6E2F-E61E-2494-390F-C0FA60B87182}"/>
            </a:ext>
          </a:extLst>
        </xdr:cNvPr>
        <xdr:cNvCxnSpPr/>
      </xdr:nvCxnSpPr>
      <xdr:spPr>
        <a:xfrm flipV="1">
          <a:off x="7169359" y="27325928"/>
          <a:ext cx="0" cy="233979"/>
        </a:xfrm>
        <a:prstGeom prst="straightConnector1">
          <a:avLst/>
        </a:prstGeom>
        <a:ln>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82759</xdr:colOff>
      <xdr:row>125</xdr:row>
      <xdr:rowOff>93953</xdr:rowOff>
    </xdr:from>
    <xdr:to>
      <xdr:col>32</xdr:col>
      <xdr:colOff>82759</xdr:colOff>
      <xdr:row>126</xdr:row>
      <xdr:rowOff>89808</xdr:rowOff>
    </xdr:to>
    <xdr:cxnSp macro="">
      <xdr:nvCxnSpPr>
        <xdr:cNvPr id="145" name="直線矢印コネクタ 144">
          <a:extLst>
            <a:ext uri="{FF2B5EF4-FFF2-40B4-BE49-F238E27FC236}">
              <a16:creationId xmlns:a16="http://schemas.microsoft.com/office/drawing/2014/main" id="{953CDB0D-C1A1-E49C-7643-360728544488}"/>
            </a:ext>
          </a:extLst>
        </xdr:cNvPr>
        <xdr:cNvCxnSpPr/>
      </xdr:nvCxnSpPr>
      <xdr:spPr>
        <a:xfrm flipV="1">
          <a:off x="7169359" y="26963978"/>
          <a:ext cx="0" cy="233980"/>
        </a:xfrm>
        <a:prstGeom prst="straightConnector1">
          <a:avLst/>
        </a:prstGeom>
        <a:ln>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99102</xdr:colOff>
      <xdr:row>126</xdr:row>
      <xdr:rowOff>8055</xdr:rowOff>
    </xdr:from>
    <xdr:ext cx="254044" cy="254493"/>
    <xdr:sp macro="" textlink="">
      <xdr:nvSpPr>
        <xdr:cNvPr id="146" name="テキスト ボックス 145">
          <a:extLst>
            <a:ext uri="{FF2B5EF4-FFF2-40B4-BE49-F238E27FC236}">
              <a16:creationId xmlns:a16="http://schemas.microsoft.com/office/drawing/2014/main" id="{9881ABE2-86A3-13CB-666F-0E09F9C54C3F}"/>
            </a:ext>
          </a:extLst>
        </xdr:cNvPr>
        <xdr:cNvSpPr txBox="1"/>
      </xdr:nvSpPr>
      <xdr:spPr>
        <a:xfrm>
          <a:off x="7185702" y="27116205"/>
          <a:ext cx="254044"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t'</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twoCellAnchor>
    <xdr:from>
      <xdr:col>21</xdr:col>
      <xdr:colOff>209331</xdr:colOff>
      <xdr:row>7</xdr:row>
      <xdr:rowOff>240013</xdr:rowOff>
    </xdr:from>
    <xdr:to>
      <xdr:col>32</xdr:col>
      <xdr:colOff>112678</xdr:colOff>
      <xdr:row>7</xdr:row>
      <xdr:rowOff>240013</xdr:rowOff>
    </xdr:to>
    <xdr:cxnSp macro="">
      <xdr:nvCxnSpPr>
        <xdr:cNvPr id="2" name="直線コネクタ 1">
          <a:extLst>
            <a:ext uri="{FF2B5EF4-FFF2-40B4-BE49-F238E27FC236}">
              <a16:creationId xmlns:a16="http://schemas.microsoft.com/office/drawing/2014/main" id="{25A5D811-211D-442A-A627-4282C1DC4327}"/>
            </a:ext>
          </a:extLst>
        </xdr:cNvPr>
        <xdr:cNvCxnSpPr/>
      </xdr:nvCxnSpPr>
      <xdr:spPr>
        <a:xfrm>
          <a:off x="4847592" y="1681187"/>
          <a:ext cx="245439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65525</xdr:colOff>
      <xdr:row>15</xdr:row>
      <xdr:rowOff>203383</xdr:rowOff>
    </xdr:from>
    <xdr:to>
      <xdr:col>25</xdr:col>
      <xdr:colOff>97668</xdr:colOff>
      <xdr:row>15</xdr:row>
      <xdr:rowOff>203383</xdr:rowOff>
    </xdr:to>
    <xdr:cxnSp macro="">
      <xdr:nvCxnSpPr>
        <xdr:cNvPr id="4" name="直線コネクタ 3">
          <a:extLst>
            <a:ext uri="{FF2B5EF4-FFF2-40B4-BE49-F238E27FC236}">
              <a16:creationId xmlns:a16="http://schemas.microsoft.com/office/drawing/2014/main" id="{4785BEFA-9BF9-4DD2-BBE7-6E2C065848CA}"/>
            </a:ext>
          </a:extLst>
        </xdr:cNvPr>
        <xdr:cNvCxnSpPr/>
      </xdr:nvCxnSpPr>
      <xdr:spPr>
        <a:xfrm>
          <a:off x="4935699" y="3582687"/>
          <a:ext cx="72788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204637</xdr:colOff>
      <xdr:row>15</xdr:row>
      <xdr:rowOff>211019</xdr:rowOff>
    </xdr:from>
    <xdr:to>
      <xdr:col>24</xdr:col>
      <xdr:colOff>62714</xdr:colOff>
      <xdr:row>16</xdr:row>
      <xdr:rowOff>76072</xdr:rowOff>
    </xdr:to>
    <xdr:cxnSp macro="">
      <xdr:nvCxnSpPr>
        <xdr:cNvPr id="7" name="直線コネクタ 6">
          <a:extLst>
            <a:ext uri="{FF2B5EF4-FFF2-40B4-BE49-F238E27FC236}">
              <a16:creationId xmlns:a16="http://schemas.microsoft.com/office/drawing/2014/main" id="{028B0B1A-3B84-4F1C-A922-77AC550CA162}"/>
            </a:ext>
          </a:extLst>
        </xdr:cNvPr>
        <xdr:cNvCxnSpPr/>
      </xdr:nvCxnSpPr>
      <xdr:spPr>
        <a:xfrm>
          <a:off x="5306724" y="3590323"/>
          <a:ext cx="89990" cy="1052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148116</xdr:colOff>
      <xdr:row>15</xdr:row>
      <xdr:rowOff>212863</xdr:rowOff>
    </xdr:from>
    <xdr:to>
      <xdr:col>24</xdr:col>
      <xdr:colOff>22601</xdr:colOff>
      <xdr:row>16</xdr:row>
      <xdr:rowOff>77916</xdr:rowOff>
    </xdr:to>
    <xdr:cxnSp macro="">
      <xdr:nvCxnSpPr>
        <xdr:cNvPr id="12" name="直線コネクタ 11">
          <a:extLst>
            <a:ext uri="{FF2B5EF4-FFF2-40B4-BE49-F238E27FC236}">
              <a16:creationId xmlns:a16="http://schemas.microsoft.com/office/drawing/2014/main" id="{DF0F61DA-AB61-418E-92EE-6D36E8874989}"/>
            </a:ext>
          </a:extLst>
        </xdr:cNvPr>
        <xdr:cNvCxnSpPr/>
      </xdr:nvCxnSpPr>
      <xdr:spPr>
        <a:xfrm>
          <a:off x="5250203" y="3592167"/>
          <a:ext cx="106398" cy="1052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149031</xdr:colOff>
      <xdr:row>16</xdr:row>
      <xdr:rowOff>32104</xdr:rowOff>
    </xdr:from>
    <xdr:to>
      <xdr:col>23</xdr:col>
      <xdr:colOff>189890</xdr:colOff>
      <xdr:row>16</xdr:row>
      <xdr:rowOff>60028</xdr:rowOff>
    </xdr:to>
    <xdr:cxnSp macro="">
      <xdr:nvCxnSpPr>
        <xdr:cNvPr id="13" name="直線コネクタ 12">
          <a:extLst>
            <a:ext uri="{FF2B5EF4-FFF2-40B4-BE49-F238E27FC236}">
              <a16:creationId xmlns:a16="http://schemas.microsoft.com/office/drawing/2014/main" id="{D3532364-3083-4A36-A092-3434ABC93672}"/>
            </a:ext>
          </a:extLst>
        </xdr:cNvPr>
        <xdr:cNvCxnSpPr/>
      </xdr:nvCxnSpPr>
      <xdr:spPr>
        <a:xfrm flipH="1">
          <a:off x="5251118" y="3651604"/>
          <a:ext cx="40859" cy="2792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178518</xdr:colOff>
      <xdr:row>16</xdr:row>
      <xdr:rowOff>46500</xdr:rowOff>
    </xdr:from>
    <xdr:to>
      <xdr:col>23</xdr:col>
      <xdr:colOff>210174</xdr:colOff>
      <xdr:row>16</xdr:row>
      <xdr:rowOff>77226</xdr:rowOff>
    </xdr:to>
    <xdr:cxnSp macro="">
      <xdr:nvCxnSpPr>
        <xdr:cNvPr id="14" name="直線コネクタ 13">
          <a:extLst>
            <a:ext uri="{FF2B5EF4-FFF2-40B4-BE49-F238E27FC236}">
              <a16:creationId xmlns:a16="http://schemas.microsoft.com/office/drawing/2014/main" id="{EBBE8024-F74F-4BEB-9008-2F3D169BE8F7}"/>
            </a:ext>
          </a:extLst>
        </xdr:cNvPr>
        <xdr:cNvCxnSpPr/>
      </xdr:nvCxnSpPr>
      <xdr:spPr>
        <a:xfrm flipH="1">
          <a:off x="5280605" y="3666000"/>
          <a:ext cx="3165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56222</xdr:colOff>
      <xdr:row>15</xdr:row>
      <xdr:rowOff>218889</xdr:rowOff>
    </xdr:from>
    <xdr:to>
      <xdr:col>23</xdr:col>
      <xdr:colOff>140003</xdr:colOff>
      <xdr:row>16</xdr:row>
      <xdr:rowOff>83942</xdr:rowOff>
    </xdr:to>
    <xdr:cxnSp macro="">
      <xdr:nvCxnSpPr>
        <xdr:cNvPr id="15" name="直線コネクタ 14">
          <a:extLst>
            <a:ext uri="{FF2B5EF4-FFF2-40B4-BE49-F238E27FC236}">
              <a16:creationId xmlns:a16="http://schemas.microsoft.com/office/drawing/2014/main" id="{268570A5-C225-4AAD-9F6A-53C00411F5BF}"/>
            </a:ext>
          </a:extLst>
        </xdr:cNvPr>
        <xdr:cNvCxnSpPr/>
      </xdr:nvCxnSpPr>
      <xdr:spPr>
        <a:xfrm>
          <a:off x="5158309" y="3598193"/>
          <a:ext cx="83781" cy="1052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8904</xdr:colOff>
      <xdr:row>15</xdr:row>
      <xdr:rowOff>220733</xdr:rowOff>
    </xdr:from>
    <xdr:to>
      <xdr:col>23</xdr:col>
      <xdr:colOff>95406</xdr:colOff>
      <xdr:row>16</xdr:row>
      <xdr:rowOff>85786</xdr:rowOff>
    </xdr:to>
    <xdr:cxnSp macro="">
      <xdr:nvCxnSpPr>
        <xdr:cNvPr id="16" name="直線コネクタ 15">
          <a:extLst>
            <a:ext uri="{FF2B5EF4-FFF2-40B4-BE49-F238E27FC236}">
              <a16:creationId xmlns:a16="http://schemas.microsoft.com/office/drawing/2014/main" id="{D6D0617E-96CA-41F7-AD85-57AFB85AD8B8}"/>
            </a:ext>
          </a:extLst>
        </xdr:cNvPr>
        <xdr:cNvCxnSpPr/>
      </xdr:nvCxnSpPr>
      <xdr:spPr>
        <a:xfrm>
          <a:off x="5110991" y="3600037"/>
          <a:ext cx="86502" cy="1052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8940</xdr:colOff>
      <xdr:row>16</xdr:row>
      <xdr:rowOff>37172</xdr:rowOff>
    </xdr:from>
    <xdr:to>
      <xdr:col>23</xdr:col>
      <xdr:colOff>39666</xdr:colOff>
      <xdr:row>16</xdr:row>
      <xdr:rowOff>67898</xdr:rowOff>
    </xdr:to>
    <xdr:cxnSp macro="">
      <xdr:nvCxnSpPr>
        <xdr:cNvPr id="19" name="直線コネクタ 18">
          <a:extLst>
            <a:ext uri="{FF2B5EF4-FFF2-40B4-BE49-F238E27FC236}">
              <a16:creationId xmlns:a16="http://schemas.microsoft.com/office/drawing/2014/main" id="{BBA67421-C1CD-42CE-A676-CBD177721221}"/>
            </a:ext>
          </a:extLst>
        </xdr:cNvPr>
        <xdr:cNvCxnSpPr/>
      </xdr:nvCxnSpPr>
      <xdr:spPr>
        <a:xfrm flipH="1">
          <a:off x="5111027" y="3656672"/>
          <a:ext cx="30726" cy="307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29224</xdr:colOff>
      <xdr:row>16</xdr:row>
      <xdr:rowOff>44845</xdr:rowOff>
    </xdr:from>
    <xdr:to>
      <xdr:col>23</xdr:col>
      <xdr:colOff>59950</xdr:colOff>
      <xdr:row>16</xdr:row>
      <xdr:rowOff>85096</xdr:rowOff>
    </xdr:to>
    <xdr:cxnSp macro="">
      <xdr:nvCxnSpPr>
        <xdr:cNvPr id="20" name="直線コネクタ 19">
          <a:extLst>
            <a:ext uri="{FF2B5EF4-FFF2-40B4-BE49-F238E27FC236}">
              <a16:creationId xmlns:a16="http://schemas.microsoft.com/office/drawing/2014/main" id="{6BE4CB46-A516-461B-BED2-A4D792078248}"/>
            </a:ext>
          </a:extLst>
        </xdr:cNvPr>
        <xdr:cNvCxnSpPr/>
      </xdr:nvCxnSpPr>
      <xdr:spPr>
        <a:xfrm flipH="1">
          <a:off x="5131311" y="3664345"/>
          <a:ext cx="30726" cy="402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32317</xdr:colOff>
      <xdr:row>7</xdr:row>
      <xdr:rowOff>234782</xdr:rowOff>
    </xdr:from>
    <xdr:to>
      <xdr:col>27</xdr:col>
      <xdr:colOff>116549</xdr:colOff>
      <xdr:row>8</xdr:row>
      <xdr:rowOff>94903</xdr:rowOff>
    </xdr:to>
    <xdr:cxnSp macro="">
      <xdr:nvCxnSpPr>
        <xdr:cNvPr id="25" name="直線コネクタ 24">
          <a:extLst>
            <a:ext uri="{FF2B5EF4-FFF2-40B4-BE49-F238E27FC236}">
              <a16:creationId xmlns:a16="http://schemas.microsoft.com/office/drawing/2014/main" id="{4E19F1CB-DE2C-46BA-8E18-1D0CBC66AF66}"/>
            </a:ext>
          </a:extLst>
        </xdr:cNvPr>
        <xdr:cNvCxnSpPr/>
      </xdr:nvCxnSpPr>
      <xdr:spPr>
        <a:xfrm>
          <a:off x="6062056" y="1675956"/>
          <a:ext cx="84232" cy="10031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216912</xdr:colOff>
      <xdr:row>8</xdr:row>
      <xdr:rowOff>5955</xdr:rowOff>
    </xdr:from>
    <xdr:to>
      <xdr:col>27</xdr:col>
      <xdr:colOff>63788</xdr:colOff>
      <xdr:row>8</xdr:row>
      <xdr:rowOff>106272</xdr:rowOff>
    </xdr:to>
    <xdr:cxnSp macro="">
      <xdr:nvCxnSpPr>
        <xdr:cNvPr id="26" name="直線コネクタ 25">
          <a:extLst>
            <a:ext uri="{FF2B5EF4-FFF2-40B4-BE49-F238E27FC236}">
              <a16:creationId xmlns:a16="http://schemas.microsoft.com/office/drawing/2014/main" id="{C64645DF-B26A-4A92-971C-E5640D0D0B75}"/>
            </a:ext>
          </a:extLst>
        </xdr:cNvPr>
        <xdr:cNvCxnSpPr/>
      </xdr:nvCxnSpPr>
      <xdr:spPr>
        <a:xfrm>
          <a:off x="6014738" y="1687325"/>
          <a:ext cx="78789" cy="10031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216948</xdr:colOff>
      <xdr:row>8</xdr:row>
      <xdr:rowOff>51659</xdr:rowOff>
    </xdr:from>
    <xdr:to>
      <xdr:col>27</xdr:col>
      <xdr:colOff>15761</xdr:colOff>
      <xdr:row>8</xdr:row>
      <xdr:rowOff>72860</xdr:rowOff>
    </xdr:to>
    <xdr:cxnSp macro="">
      <xdr:nvCxnSpPr>
        <xdr:cNvPr id="28" name="直線コネクタ 27">
          <a:extLst>
            <a:ext uri="{FF2B5EF4-FFF2-40B4-BE49-F238E27FC236}">
              <a16:creationId xmlns:a16="http://schemas.microsoft.com/office/drawing/2014/main" id="{C61195EF-2EC8-4E22-9A1B-7F0B7F39F2C6}"/>
            </a:ext>
          </a:extLst>
        </xdr:cNvPr>
        <xdr:cNvCxnSpPr/>
      </xdr:nvCxnSpPr>
      <xdr:spPr>
        <a:xfrm flipH="1">
          <a:off x="6014774" y="1733029"/>
          <a:ext cx="30726"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5319</xdr:colOff>
      <xdr:row>8</xdr:row>
      <xdr:rowOff>68857</xdr:rowOff>
    </xdr:from>
    <xdr:to>
      <xdr:col>27</xdr:col>
      <xdr:colOff>36045</xdr:colOff>
      <xdr:row>8</xdr:row>
      <xdr:rowOff>105587</xdr:rowOff>
    </xdr:to>
    <xdr:cxnSp macro="">
      <xdr:nvCxnSpPr>
        <xdr:cNvPr id="29" name="直線コネクタ 28">
          <a:extLst>
            <a:ext uri="{FF2B5EF4-FFF2-40B4-BE49-F238E27FC236}">
              <a16:creationId xmlns:a16="http://schemas.microsoft.com/office/drawing/2014/main" id="{E3AF3238-4643-4C13-8992-1AC1FA330F35}"/>
            </a:ext>
          </a:extLst>
        </xdr:cNvPr>
        <xdr:cNvCxnSpPr/>
      </xdr:nvCxnSpPr>
      <xdr:spPr>
        <a:xfrm flipH="1">
          <a:off x="6035058" y="1750227"/>
          <a:ext cx="30726" cy="367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184094</xdr:colOff>
      <xdr:row>7</xdr:row>
      <xdr:rowOff>239818</xdr:rowOff>
    </xdr:from>
    <xdr:to>
      <xdr:col>28</xdr:col>
      <xdr:colOff>37141</xdr:colOff>
      <xdr:row>8</xdr:row>
      <xdr:rowOff>99939</xdr:rowOff>
    </xdr:to>
    <xdr:cxnSp macro="">
      <xdr:nvCxnSpPr>
        <xdr:cNvPr id="31" name="直線コネクタ 30">
          <a:extLst>
            <a:ext uri="{FF2B5EF4-FFF2-40B4-BE49-F238E27FC236}">
              <a16:creationId xmlns:a16="http://schemas.microsoft.com/office/drawing/2014/main" id="{9D724329-043E-4973-ADF7-9865BD94374F}"/>
            </a:ext>
          </a:extLst>
        </xdr:cNvPr>
        <xdr:cNvCxnSpPr/>
      </xdr:nvCxnSpPr>
      <xdr:spPr>
        <a:xfrm>
          <a:off x="6213833" y="1680992"/>
          <a:ext cx="84960" cy="10031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124498</xdr:colOff>
      <xdr:row>8</xdr:row>
      <xdr:rowOff>1466</xdr:rowOff>
    </xdr:from>
    <xdr:to>
      <xdr:col>27</xdr:col>
      <xdr:colOff>226218</xdr:colOff>
      <xdr:row>8</xdr:row>
      <xdr:rowOff>101783</xdr:rowOff>
    </xdr:to>
    <xdr:cxnSp macro="">
      <xdr:nvCxnSpPr>
        <xdr:cNvPr id="32" name="直線コネクタ 31">
          <a:extLst>
            <a:ext uri="{FF2B5EF4-FFF2-40B4-BE49-F238E27FC236}">
              <a16:creationId xmlns:a16="http://schemas.microsoft.com/office/drawing/2014/main" id="{365E22DD-2856-44A7-9251-00B0C8582848}"/>
            </a:ext>
          </a:extLst>
        </xdr:cNvPr>
        <xdr:cNvCxnSpPr/>
      </xdr:nvCxnSpPr>
      <xdr:spPr>
        <a:xfrm>
          <a:off x="6154237" y="1682836"/>
          <a:ext cx="101720" cy="10031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124534</xdr:colOff>
      <xdr:row>8</xdr:row>
      <xdr:rowOff>47165</xdr:rowOff>
    </xdr:from>
    <xdr:to>
      <xdr:col>27</xdr:col>
      <xdr:colOff>167538</xdr:colOff>
      <xdr:row>8</xdr:row>
      <xdr:rowOff>68366</xdr:rowOff>
    </xdr:to>
    <xdr:cxnSp macro="">
      <xdr:nvCxnSpPr>
        <xdr:cNvPr id="33" name="直線コネクタ 32">
          <a:extLst>
            <a:ext uri="{FF2B5EF4-FFF2-40B4-BE49-F238E27FC236}">
              <a16:creationId xmlns:a16="http://schemas.microsoft.com/office/drawing/2014/main" id="{C3DF8E61-4672-464B-9B61-F90A6671B21B}"/>
            </a:ext>
          </a:extLst>
        </xdr:cNvPr>
        <xdr:cNvCxnSpPr/>
      </xdr:nvCxnSpPr>
      <xdr:spPr>
        <a:xfrm flipH="1">
          <a:off x="6154273" y="1728535"/>
          <a:ext cx="43004" cy="2120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144818</xdr:colOff>
      <xdr:row>8</xdr:row>
      <xdr:rowOff>54838</xdr:rowOff>
    </xdr:from>
    <xdr:to>
      <xdr:col>27</xdr:col>
      <xdr:colOff>187822</xdr:colOff>
      <xdr:row>8</xdr:row>
      <xdr:rowOff>101093</xdr:rowOff>
    </xdr:to>
    <xdr:cxnSp macro="">
      <xdr:nvCxnSpPr>
        <xdr:cNvPr id="35" name="直線コネクタ 34">
          <a:extLst>
            <a:ext uri="{FF2B5EF4-FFF2-40B4-BE49-F238E27FC236}">
              <a16:creationId xmlns:a16="http://schemas.microsoft.com/office/drawing/2014/main" id="{414F5403-F166-4F01-897E-76A613306943}"/>
            </a:ext>
          </a:extLst>
        </xdr:cNvPr>
        <xdr:cNvCxnSpPr/>
      </xdr:nvCxnSpPr>
      <xdr:spPr>
        <a:xfrm flipH="1">
          <a:off x="6174557" y="1736208"/>
          <a:ext cx="43004" cy="4625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137921</xdr:colOff>
      <xdr:row>8</xdr:row>
      <xdr:rowOff>7603</xdr:rowOff>
    </xdr:from>
    <xdr:to>
      <xdr:col>25</xdr:col>
      <xdr:colOff>137921</xdr:colOff>
      <xdr:row>22</xdr:row>
      <xdr:rowOff>27602</xdr:rowOff>
    </xdr:to>
    <xdr:cxnSp macro="">
      <xdr:nvCxnSpPr>
        <xdr:cNvPr id="38" name="直線コネクタ 37">
          <a:extLst>
            <a:ext uri="{FF2B5EF4-FFF2-40B4-BE49-F238E27FC236}">
              <a16:creationId xmlns:a16="http://schemas.microsoft.com/office/drawing/2014/main" id="{2ADDD747-2F97-4E37-83D4-116ED2E2633E}"/>
            </a:ext>
          </a:extLst>
        </xdr:cNvPr>
        <xdr:cNvCxnSpPr/>
      </xdr:nvCxnSpPr>
      <xdr:spPr>
        <a:xfrm>
          <a:off x="5703834" y="1688973"/>
          <a:ext cx="0" cy="3399303"/>
        </a:xfrm>
        <a:prstGeom prst="line">
          <a:avLst/>
        </a:prstGeom>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25</xdr:col>
      <xdr:colOff>136679</xdr:colOff>
      <xdr:row>10</xdr:row>
      <xdr:rowOff>174398</xdr:rowOff>
    </xdr:from>
    <xdr:to>
      <xdr:col>32</xdr:col>
      <xdr:colOff>36390</xdr:colOff>
      <xdr:row>10</xdr:row>
      <xdr:rowOff>174398</xdr:rowOff>
    </xdr:to>
    <xdr:cxnSp macro="">
      <xdr:nvCxnSpPr>
        <xdr:cNvPr id="40" name="直線コネクタ 39">
          <a:extLst>
            <a:ext uri="{FF2B5EF4-FFF2-40B4-BE49-F238E27FC236}">
              <a16:creationId xmlns:a16="http://schemas.microsoft.com/office/drawing/2014/main" id="{DAEA6AD2-52CB-419B-83A6-7091FEF1D384}"/>
            </a:ext>
          </a:extLst>
        </xdr:cNvPr>
        <xdr:cNvCxnSpPr/>
      </xdr:nvCxnSpPr>
      <xdr:spPr>
        <a:xfrm>
          <a:off x="5702592" y="2352724"/>
          <a:ext cx="1523102"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25</xdr:col>
      <xdr:colOff>127154</xdr:colOff>
      <xdr:row>9</xdr:row>
      <xdr:rowOff>6878</xdr:rowOff>
    </xdr:from>
    <xdr:to>
      <xdr:col>32</xdr:col>
      <xdr:colOff>103626</xdr:colOff>
      <xdr:row>9</xdr:row>
      <xdr:rowOff>6878</xdr:rowOff>
    </xdr:to>
    <xdr:cxnSp macro="">
      <xdr:nvCxnSpPr>
        <xdr:cNvPr id="41" name="直線コネクタ 40">
          <a:extLst>
            <a:ext uri="{FF2B5EF4-FFF2-40B4-BE49-F238E27FC236}">
              <a16:creationId xmlns:a16="http://schemas.microsoft.com/office/drawing/2014/main" id="{A75FA029-AED1-4E0E-A0DF-177B7100F8EF}"/>
            </a:ext>
          </a:extLst>
        </xdr:cNvPr>
        <xdr:cNvCxnSpPr/>
      </xdr:nvCxnSpPr>
      <xdr:spPr>
        <a:xfrm>
          <a:off x="5693067" y="1945008"/>
          <a:ext cx="1599863"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26</xdr:col>
      <xdr:colOff>205586</xdr:colOff>
      <xdr:row>10</xdr:row>
      <xdr:rowOff>171494</xdr:rowOff>
    </xdr:from>
    <xdr:to>
      <xdr:col>29</xdr:col>
      <xdr:colOff>74263</xdr:colOff>
      <xdr:row>15</xdr:row>
      <xdr:rowOff>207169</xdr:rowOff>
    </xdr:to>
    <xdr:cxnSp macro="">
      <xdr:nvCxnSpPr>
        <xdr:cNvPr id="42" name="直線コネクタ 41">
          <a:extLst>
            <a:ext uri="{FF2B5EF4-FFF2-40B4-BE49-F238E27FC236}">
              <a16:creationId xmlns:a16="http://schemas.microsoft.com/office/drawing/2014/main" id="{49A7C788-F611-4F6F-8691-0FDCBA1EED01}"/>
            </a:ext>
          </a:extLst>
        </xdr:cNvPr>
        <xdr:cNvCxnSpPr/>
      </xdr:nvCxnSpPr>
      <xdr:spPr>
        <a:xfrm flipH="1" flipV="1">
          <a:off x="6003412" y="2349820"/>
          <a:ext cx="564416" cy="1236653"/>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25</xdr:col>
      <xdr:colOff>136679</xdr:colOff>
      <xdr:row>15</xdr:row>
      <xdr:rowOff>204002</xdr:rowOff>
    </xdr:from>
    <xdr:to>
      <xdr:col>31</xdr:col>
      <xdr:colOff>223480</xdr:colOff>
      <xdr:row>15</xdr:row>
      <xdr:rowOff>204002</xdr:rowOff>
    </xdr:to>
    <xdr:cxnSp macro="">
      <xdr:nvCxnSpPr>
        <xdr:cNvPr id="50" name="直線コネクタ 49">
          <a:extLst>
            <a:ext uri="{FF2B5EF4-FFF2-40B4-BE49-F238E27FC236}">
              <a16:creationId xmlns:a16="http://schemas.microsoft.com/office/drawing/2014/main" id="{81138DEF-56ED-43C8-8AFC-8B5CBB15C359}"/>
            </a:ext>
          </a:extLst>
        </xdr:cNvPr>
        <xdr:cNvCxnSpPr/>
      </xdr:nvCxnSpPr>
      <xdr:spPr>
        <a:xfrm>
          <a:off x="5702592" y="3583306"/>
          <a:ext cx="1478279" cy="0"/>
        </a:xfrm>
        <a:prstGeom prst="line">
          <a:avLst/>
        </a:prstGeom>
        <a:ln>
          <a:headEnd type="none" w="med" len="med"/>
          <a:tailEnd type="none" w="med" len="med"/>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22</xdr:col>
      <xdr:colOff>65525</xdr:colOff>
      <xdr:row>8</xdr:row>
      <xdr:rowOff>180257</xdr:rowOff>
    </xdr:from>
    <xdr:to>
      <xdr:col>24</xdr:col>
      <xdr:colOff>165621</xdr:colOff>
      <xdr:row>8</xdr:row>
      <xdr:rowOff>180257</xdr:rowOff>
    </xdr:to>
    <xdr:cxnSp macro="">
      <xdr:nvCxnSpPr>
        <xdr:cNvPr id="52" name="直線コネクタ 51">
          <a:extLst>
            <a:ext uri="{FF2B5EF4-FFF2-40B4-BE49-F238E27FC236}">
              <a16:creationId xmlns:a16="http://schemas.microsoft.com/office/drawing/2014/main" id="{4B0212E3-B81A-42F0-A801-3AE9D4B12EA7}"/>
            </a:ext>
          </a:extLst>
        </xdr:cNvPr>
        <xdr:cNvCxnSpPr/>
      </xdr:nvCxnSpPr>
      <xdr:spPr>
        <a:xfrm>
          <a:off x="4935699" y="1861627"/>
          <a:ext cx="56392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80092</xdr:colOff>
      <xdr:row>9</xdr:row>
      <xdr:rowOff>73455</xdr:rowOff>
    </xdr:from>
    <xdr:to>
      <xdr:col>24</xdr:col>
      <xdr:colOff>147799</xdr:colOff>
      <xdr:row>9</xdr:row>
      <xdr:rowOff>73455</xdr:rowOff>
    </xdr:to>
    <xdr:cxnSp macro="">
      <xdr:nvCxnSpPr>
        <xdr:cNvPr id="54" name="直線コネクタ 53">
          <a:extLst>
            <a:ext uri="{FF2B5EF4-FFF2-40B4-BE49-F238E27FC236}">
              <a16:creationId xmlns:a16="http://schemas.microsoft.com/office/drawing/2014/main" id="{D77B1E41-833F-4805-891F-0FDB216E4BCC}"/>
            </a:ext>
          </a:extLst>
        </xdr:cNvPr>
        <xdr:cNvCxnSpPr/>
      </xdr:nvCxnSpPr>
      <xdr:spPr>
        <a:xfrm>
          <a:off x="4950266" y="2011585"/>
          <a:ext cx="53153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163616</xdr:colOff>
      <xdr:row>8</xdr:row>
      <xdr:rowOff>182351</xdr:rowOff>
    </xdr:from>
    <xdr:to>
      <xdr:col>24</xdr:col>
      <xdr:colOff>163616</xdr:colOff>
      <xdr:row>9</xdr:row>
      <xdr:rowOff>73840</xdr:rowOff>
    </xdr:to>
    <xdr:cxnSp macro="">
      <xdr:nvCxnSpPr>
        <xdr:cNvPr id="55" name="直線コネクタ 54">
          <a:extLst>
            <a:ext uri="{FF2B5EF4-FFF2-40B4-BE49-F238E27FC236}">
              <a16:creationId xmlns:a16="http://schemas.microsoft.com/office/drawing/2014/main" id="{0D7CD7E4-C78A-46E9-AD07-2B34C00A5ED3}"/>
            </a:ext>
          </a:extLst>
        </xdr:cNvPr>
        <xdr:cNvCxnSpPr/>
      </xdr:nvCxnSpPr>
      <xdr:spPr>
        <a:xfrm>
          <a:off x="5497616" y="1863721"/>
          <a:ext cx="0" cy="14824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190830</xdr:colOff>
      <xdr:row>8</xdr:row>
      <xdr:rowOff>174948</xdr:rowOff>
    </xdr:from>
    <xdr:to>
      <xdr:col>24</xdr:col>
      <xdr:colOff>190830</xdr:colOff>
      <xdr:row>9</xdr:row>
      <xdr:rowOff>78021</xdr:rowOff>
    </xdr:to>
    <xdr:cxnSp macro="">
      <xdr:nvCxnSpPr>
        <xdr:cNvPr id="56" name="直線コネクタ 55">
          <a:extLst>
            <a:ext uri="{FF2B5EF4-FFF2-40B4-BE49-F238E27FC236}">
              <a16:creationId xmlns:a16="http://schemas.microsoft.com/office/drawing/2014/main" id="{74D79DDB-EA82-413F-81F2-95E8FE9C981B}"/>
            </a:ext>
          </a:extLst>
        </xdr:cNvPr>
        <xdr:cNvCxnSpPr/>
      </xdr:nvCxnSpPr>
      <xdr:spPr>
        <a:xfrm>
          <a:off x="5524830" y="1856318"/>
          <a:ext cx="0" cy="15983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97310</xdr:colOff>
      <xdr:row>8</xdr:row>
      <xdr:rowOff>174948</xdr:rowOff>
    </xdr:from>
    <xdr:to>
      <xdr:col>25</xdr:col>
      <xdr:colOff>97310</xdr:colOff>
      <xdr:row>9</xdr:row>
      <xdr:rowOff>78021</xdr:rowOff>
    </xdr:to>
    <xdr:cxnSp macro="">
      <xdr:nvCxnSpPr>
        <xdr:cNvPr id="57" name="直線コネクタ 56">
          <a:extLst>
            <a:ext uri="{FF2B5EF4-FFF2-40B4-BE49-F238E27FC236}">
              <a16:creationId xmlns:a16="http://schemas.microsoft.com/office/drawing/2014/main" id="{3E8B692E-6D36-43C0-9D06-C4A66E945D17}"/>
            </a:ext>
          </a:extLst>
        </xdr:cNvPr>
        <xdr:cNvCxnSpPr/>
      </xdr:nvCxnSpPr>
      <xdr:spPr>
        <a:xfrm>
          <a:off x="5663223" y="1856318"/>
          <a:ext cx="0" cy="15983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189760</xdr:colOff>
      <xdr:row>9</xdr:row>
      <xdr:rowOff>8704</xdr:rowOff>
    </xdr:from>
    <xdr:to>
      <xdr:col>25</xdr:col>
      <xdr:colOff>92839</xdr:colOff>
      <xdr:row>9</xdr:row>
      <xdr:rowOff>8704</xdr:rowOff>
    </xdr:to>
    <xdr:cxnSp macro="">
      <xdr:nvCxnSpPr>
        <xdr:cNvPr id="58" name="直線コネクタ 57">
          <a:extLst>
            <a:ext uri="{FF2B5EF4-FFF2-40B4-BE49-F238E27FC236}">
              <a16:creationId xmlns:a16="http://schemas.microsoft.com/office/drawing/2014/main" id="{21755126-08D8-4F54-B15C-206D5803E4F3}"/>
            </a:ext>
          </a:extLst>
        </xdr:cNvPr>
        <xdr:cNvCxnSpPr/>
      </xdr:nvCxnSpPr>
      <xdr:spPr>
        <a:xfrm>
          <a:off x="5523760" y="1946834"/>
          <a:ext cx="13499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65525</xdr:colOff>
      <xdr:row>12</xdr:row>
      <xdr:rowOff>57028</xdr:rowOff>
    </xdr:from>
    <xdr:to>
      <xdr:col>24</xdr:col>
      <xdr:colOff>165621</xdr:colOff>
      <xdr:row>12</xdr:row>
      <xdr:rowOff>57028</xdr:rowOff>
    </xdr:to>
    <xdr:cxnSp macro="">
      <xdr:nvCxnSpPr>
        <xdr:cNvPr id="61" name="直線コネクタ 60">
          <a:extLst>
            <a:ext uri="{FF2B5EF4-FFF2-40B4-BE49-F238E27FC236}">
              <a16:creationId xmlns:a16="http://schemas.microsoft.com/office/drawing/2014/main" id="{BE4282BA-EF5F-4910-8B0F-BB4BBF21DA91}"/>
            </a:ext>
          </a:extLst>
        </xdr:cNvPr>
        <xdr:cNvCxnSpPr/>
      </xdr:nvCxnSpPr>
      <xdr:spPr>
        <a:xfrm>
          <a:off x="4935699" y="2715745"/>
          <a:ext cx="56392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80092</xdr:colOff>
      <xdr:row>12</xdr:row>
      <xdr:rowOff>178191</xdr:rowOff>
    </xdr:from>
    <xdr:to>
      <xdr:col>24</xdr:col>
      <xdr:colOff>147799</xdr:colOff>
      <xdr:row>12</xdr:row>
      <xdr:rowOff>178191</xdr:rowOff>
    </xdr:to>
    <xdr:cxnSp macro="">
      <xdr:nvCxnSpPr>
        <xdr:cNvPr id="63" name="直線コネクタ 62">
          <a:extLst>
            <a:ext uri="{FF2B5EF4-FFF2-40B4-BE49-F238E27FC236}">
              <a16:creationId xmlns:a16="http://schemas.microsoft.com/office/drawing/2014/main" id="{1EC132EB-62B2-46F6-8270-87F54524A211}"/>
            </a:ext>
          </a:extLst>
        </xdr:cNvPr>
        <xdr:cNvCxnSpPr/>
      </xdr:nvCxnSpPr>
      <xdr:spPr>
        <a:xfrm>
          <a:off x="4950266" y="2836908"/>
          <a:ext cx="53153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163616</xdr:colOff>
      <xdr:row>12</xdr:row>
      <xdr:rowOff>61924</xdr:rowOff>
    </xdr:from>
    <xdr:to>
      <xdr:col>24</xdr:col>
      <xdr:colOff>163616</xdr:colOff>
      <xdr:row>12</xdr:row>
      <xdr:rowOff>178576</xdr:rowOff>
    </xdr:to>
    <xdr:cxnSp macro="">
      <xdr:nvCxnSpPr>
        <xdr:cNvPr id="128" name="直線コネクタ 127">
          <a:extLst>
            <a:ext uri="{FF2B5EF4-FFF2-40B4-BE49-F238E27FC236}">
              <a16:creationId xmlns:a16="http://schemas.microsoft.com/office/drawing/2014/main" id="{FD16601E-0C26-4900-B3B3-8DFBD11048B8}"/>
            </a:ext>
          </a:extLst>
        </xdr:cNvPr>
        <xdr:cNvCxnSpPr/>
      </xdr:nvCxnSpPr>
      <xdr:spPr>
        <a:xfrm>
          <a:off x="5497616" y="2720641"/>
          <a:ext cx="0" cy="11665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190830</xdr:colOff>
      <xdr:row>12</xdr:row>
      <xdr:rowOff>51719</xdr:rowOff>
    </xdr:from>
    <xdr:to>
      <xdr:col>24</xdr:col>
      <xdr:colOff>190830</xdr:colOff>
      <xdr:row>12</xdr:row>
      <xdr:rowOff>192362</xdr:rowOff>
    </xdr:to>
    <xdr:cxnSp macro="">
      <xdr:nvCxnSpPr>
        <xdr:cNvPr id="134" name="直線コネクタ 133">
          <a:extLst>
            <a:ext uri="{FF2B5EF4-FFF2-40B4-BE49-F238E27FC236}">
              <a16:creationId xmlns:a16="http://schemas.microsoft.com/office/drawing/2014/main" id="{B1F324AF-03B9-4AF3-954C-3A9A6EE0ABCB}"/>
            </a:ext>
          </a:extLst>
        </xdr:cNvPr>
        <xdr:cNvCxnSpPr/>
      </xdr:nvCxnSpPr>
      <xdr:spPr>
        <a:xfrm>
          <a:off x="5524830" y="2710436"/>
          <a:ext cx="0" cy="1406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97310</xdr:colOff>
      <xdr:row>12</xdr:row>
      <xdr:rowOff>51719</xdr:rowOff>
    </xdr:from>
    <xdr:to>
      <xdr:col>25</xdr:col>
      <xdr:colOff>97310</xdr:colOff>
      <xdr:row>12</xdr:row>
      <xdr:rowOff>192362</xdr:rowOff>
    </xdr:to>
    <xdr:cxnSp macro="">
      <xdr:nvCxnSpPr>
        <xdr:cNvPr id="135" name="直線コネクタ 134">
          <a:extLst>
            <a:ext uri="{FF2B5EF4-FFF2-40B4-BE49-F238E27FC236}">
              <a16:creationId xmlns:a16="http://schemas.microsoft.com/office/drawing/2014/main" id="{A984E93C-3B9D-4689-8649-96D8442E0586}"/>
            </a:ext>
          </a:extLst>
        </xdr:cNvPr>
        <xdr:cNvCxnSpPr/>
      </xdr:nvCxnSpPr>
      <xdr:spPr>
        <a:xfrm>
          <a:off x="5663223" y="2710436"/>
          <a:ext cx="0" cy="1406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189760</xdr:colOff>
      <xdr:row>12</xdr:row>
      <xdr:rowOff>121550</xdr:rowOff>
    </xdr:from>
    <xdr:to>
      <xdr:col>25</xdr:col>
      <xdr:colOff>92839</xdr:colOff>
      <xdr:row>12</xdr:row>
      <xdr:rowOff>121550</xdr:rowOff>
    </xdr:to>
    <xdr:cxnSp macro="">
      <xdr:nvCxnSpPr>
        <xdr:cNvPr id="137" name="直線コネクタ 136">
          <a:extLst>
            <a:ext uri="{FF2B5EF4-FFF2-40B4-BE49-F238E27FC236}">
              <a16:creationId xmlns:a16="http://schemas.microsoft.com/office/drawing/2014/main" id="{466E2CEA-6FE4-4B93-B52E-61E03F8289FC}"/>
            </a:ext>
          </a:extLst>
        </xdr:cNvPr>
        <xdr:cNvCxnSpPr/>
      </xdr:nvCxnSpPr>
      <xdr:spPr>
        <a:xfrm>
          <a:off x="5523760" y="2780267"/>
          <a:ext cx="13499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206855</xdr:colOff>
      <xdr:row>7</xdr:row>
      <xdr:rowOff>50017</xdr:rowOff>
    </xdr:from>
    <xdr:to>
      <xdr:col>26</xdr:col>
      <xdr:colOff>206855</xdr:colOff>
      <xdr:row>10</xdr:row>
      <xdr:rowOff>195832</xdr:rowOff>
    </xdr:to>
    <xdr:cxnSp macro="">
      <xdr:nvCxnSpPr>
        <xdr:cNvPr id="171" name="直線コネクタ 170">
          <a:extLst>
            <a:ext uri="{FF2B5EF4-FFF2-40B4-BE49-F238E27FC236}">
              <a16:creationId xmlns:a16="http://schemas.microsoft.com/office/drawing/2014/main" id="{7BB6B3BA-1EB6-4123-AB33-3BA34D035F44}"/>
            </a:ext>
          </a:extLst>
        </xdr:cNvPr>
        <xdr:cNvCxnSpPr/>
      </xdr:nvCxnSpPr>
      <xdr:spPr>
        <a:xfrm>
          <a:off x="6004681" y="1491191"/>
          <a:ext cx="0" cy="882967"/>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25</xdr:col>
      <xdr:colOff>141161</xdr:colOff>
      <xdr:row>7</xdr:row>
      <xdr:rowOff>48044</xdr:rowOff>
    </xdr:from>
    <xdr:to>
      <xdr:col>26</xdr:col>
      <xdr:colOff>201624</xdr:colOff>
      <xdr:row>7</xdr:row>
      <xdr:rowOff>48044</xdr:rowOff>
    </xdr:to>
    <xdr:cxnSp macro="">
      <xdr:nvCxnSpPr>
        <xdr:cNvPr id="172" name="直線コネクタ 171">
          <a:extLst>
            <a:ext uri="{FF2B5EF4-FFF2-40B4-BE49-F238E27FC236}">
              <a16:creationId xmlns:a16="http://schemas.microsoft.com/office/drawing/2014/main" id="{897AA051-E02A-4407-9533-68D3FBA20B38}"/>
            </a:ext>
          </a:extLst>
        </xdr:cNvPr>
        <xdr:cNvCxnSpPr/>
      </xdr:nvCxnSpPr>
      <xdr:spPr>
        <a:xfrm>
          <a:off x="5707074" y="1489218"/>
          <a:ext cx="292376" cy="0"/>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editAs="oneCell">
    <xdr:from>
      <xdr:col>31</xdr:col>
      <xdr:colOff>164466</xdr:colOff>
      <xdr:row>7</xdr:row>
      <xdr:rowOff>199255</xdr:rowOff>
    </xdr:from>
    <xdr:to>
      <xdr:col>36</xdr:col>
      <xdr:colOff>30870</xdr:colOff>
      <xdr:row>8</xdr:row>
      <xdr:rowOff>237581</xdr:rowOff>
    </xdr:to>
    <xdr:sp macro="" textlink="">
      <xdr:nvSpPr>
        <xdr:cNvPr id="173" name="テキスト ボックス 172">
          <a:extLst>
            <a:ext uri="{FF2B5EF4-FFF2-40B4-BE49-F238E27FC236}">
              <a16:creationId xmlns:a16="http://schemas.microsoft.com/office/drawing/2014/main" id="{D64C5BC3-C797-4D85-9304-CA3A71CA928C}"/>
            </a:ext>
          </a:extLst>
        </xdr:cNvPr>
        <xdr:cNvSpPr txBox="1"/>
      </xdr:nvSpPr>
      <xdr:spPr>
        <a:xfrm>
          <a:off x="7121857" y="1640429"/>
          <a:ext cx="917321" cy="278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１層 </a:t>
          </a:r>
          <a:r>
            <a:rPr kumimoji="1" lang="en-US" altLang="ja-JP" sz="1100"/>
            <a:t>1.00m</a:t>
          </a:r>
          <a:endParaRPr kumimoji="1" lang="ja-JP" altLang="en-US" sz="1100"/>
        </a:p>
      </xdr:txBody>
    </xdr:sp>
    <xdr:clientData/>
  </xdr:twoCellAnchor>
  <xdr:twoCellAnchor editAs="oneCell">
    <xdr:from>
      <xdr:col>31</xdr:col>
      <xdr:colOff>170260</xdr:colOff>
      <xdr:row>9</xdr:row>
      <xdr:rowOff>28595</xdr:rowOff>
    </xdr:from>
    <xdr:to>
      <xdr:col>36</xdr:col>
      <xdr:colOff>27016</xdr:colOff>
      <xdr:row>10</xdr:row>
      <xdr:rowOff>44922</xdr:rowOff>
    </xdr:to>
    <xdr:sp macro="" textlink="">
      <xdr:nvSpPr>
        <xdr:cNvPr id="175" name="テキスト ボックス 174">
          <a:extLst>
            <a:ext uri="{FF2B5EF4-FFF2-40B4-BE49-F238E27FC236}">
              <a16:creationId xmlns:a16="http://schemas.microsoft.com/office/drawing/2014/main" id="{36C3EE24-A783-451F-A1D3-CB2AFA14D170}"/>
            </a:ext>
          </a:extLst>
        </xdr:cNvPr>
        <xdr:cNvSpPr txBox="1"/>
      </xdr:nvSpPr>
      <xdr:spPr>
        <a:xfrm>
          <a:off x="7127651" y="1966725"/>
          <a:ext cx="907673" cy="256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２層 </a:t>
          </a:r>
          <a:r>
            <a:rPr kumimoji="1" lang="en-US" altLang="ja-JP" sz="1100"/>
            <a:t>1.50m</a:t>
          </a:r>
          <a:endParaRPr kumimoji="1" lang="ja-JP" altLang="en-US" sz="1100"/>
        </a:p>
      </xdr:txBody>
    </xdr:sp>
    <xdr:clientData/>
  </xdr:twoCellAnchor>
  <xdr:twoCellAnchor editAs="oneCell">
    <xdr:from>
      <xdr:col>31</xdr:col>
      <xdr:colOff>175446</xdr:colOff>
      <xdr:row>11</xdr:row>
      <xdr:rowOff>144661</xdr:rowOff>
    </xdr:from>
    <xdr:to>
      <xdr:col>36</xdr:col>
      <xdr:colOff>16990</xdr:colOff>
      <xdr:row>12</xdr:row>
      <xdr:rowOff>141427</xdr:rowOff>
    </xdr:to>
    <xdr:sp macro="" textlink="">
      <xdr:nvSpPr>
        <xdr:cNvPr id="183" name="テキスト ボックス 182">
          <a:extLst>
            <a:ext uri="{FF2B5EF4-FFF2-40B4-BE49-F238E27FC236}">
              <a16:creationId xmlns:a16="http://schemas.microsoft.com/office/drawing/2014/main" id="{866C8A9B-C37C-45F3-9A88-6B26CA67C9C8}"/>
            </a:ext>
          </a:extLst>
        </xdr:cNvPr>
        <xdr:cNvSpPr txBox="1"/>
      </xdr:nvSpPr>
      <xdr:spPr>
        <a:xfrm>
          <a:off x="7132837" y="2563183"/>
          <a:ext cx="892461" cy="236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３層 </a:t>
          </a:r>
          <a:r>
            <a:rPr kumimoji="1" lang="en-US" altLang="ja-JP" sz="1100"/>
            <a:t>4.50m</a:t>
          </a:r>
          <a:endParaRPr kumimoji="1" lang="ja-JP" altLang="en-US" sz="1100"/>
        </a:p>
      </xdr:txBody>
    </xdr:sp>
    <xdr:clientData/>
  </xdr:twoCellAnchor>
  <xdr:twoCellAnchor>
    <xdr:from>
      <xdr:col>31</xdr:col>
      <xdr:colOff>180563</xdr:colOff>
      <xdr:row>8</xdr:row>
      <xdr:rowOff>7828</xdr:rowOff>
    </xdr:from>
    <xdr:to>
      <xdr:col>31</xdr:col>
      <xdr:colOff>180563</xdr:colOff>
      <xdr:row>9</xdr:row>
      <xdr:rowOff>2909</xdr:rowOff>
    </xdr:to>
    <xdr:cxnSp macro="">
      <xdr:nvCxnSpPr>
        <xdr:cNvPr id="186" name="直線矢印コネクタ 185">
          <a:extLst>
            <a:ext uri="{FF2B5EF4-FFF2-40B4-BE49-F238E27FC236}">
              <a16:creationId xmlns:a16="http://schemas.microsoft.com/office/drawing/2014/main" id="{00821F1B-35B0-457E-9ABD-43253158D396}"/>
            </a:ext>
          </a:extLst>
        </xdr:cNvPr>
        <xdr:cNvCxnSpPr/>
      </xdr:nvCxnSpPr>
      <xdr:spPr>
        <a:xfrm>
          <a:off x="7137954" y="1689198"/>
          <a:ext cx="0" cy="25184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180563</xdr:colOff>
      <xdr:row>9</xdr:row>
      <xdr:rowOff>38525</xdr:rowOff>
    </xdr:from>
    <xdr:to>
      <xdr:col>31</xdr:col>
      <xdr:colOff>180563</xdr:colOff>
      <xdr:row>10</xdr:row>
      <xdr:rowOff>169774</xdr:rowOff>
    </xdr:to>
    <xdr:cxnSp macro="">
      <xdr:nvCxnSpPr>
        <xdr:cNvPr id="187" name="直線矢印コネクタ 186">
          <a:extLst>
            <a:ext uri="{FF2B5EF4-FFF2-40B4-BE49-F238E27FC236}">
              <a16:creationId xmlns:a16="http://schemas.microsoft.com/office/drawing/2014/main" id="{3888A977-5D98-4328-B1C0-80FDF2440508}"/>
            </a:ext>
          </a:extLst>
        </xdr:cNvPr>
        <xdr:cNvCxnSpPr/>
      </xdr:nvCxnSpPr>
      <xdr:spPr>
        <a:xfrm>
          <a:off x="7137954" y="1976655"/>
          <a:ext cx="0" cy="37144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180563</xdr:colOff>
      <xdr:row>10</xdr:row>
      <xdr:rowOff>182217</xdr:rowOff>
    </xdr:from>
    <xdr:to>
      <xdr:col>31</xdr:col>
      <xdr:colOff>180563</xdr:colOff>
      <xdr:row>15</xdr:row>
      <xdr:rowOff>201351</xdr:rowOff>
    </xdr:to>
    <xdr:cxnSp macro="">
      <xdr:nvCxnSpPr>
        <xdr:cNvPr id="188" name="直線矢印コネクタ 187">
          <a:extLst>
            <a:ext uri="{FF2B5EF4-FFF2-40B4-BE49-F238E27FC236}">
              <a16:creationId xmlns:a16="http://schemas.microsoft.com/office/drawing/2014/main" id="{C7CE145A-9C14-485D-BAB2-5606B740E6D0}"/>
            </a:ext>
          </a:extLst>
        </xdr:cNvPr>
        <xdr:cNvCxnSpPr/>
      </xdr:nvCxnSpPr>
      <xdr:spPr>
        <a:xfrm>
          <a:off x="7137954" y="2360543"/>
          <a:ext cx="0" cy="1220112"/>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18</xdr:col>
      <xdr:colOff>124235</xdr:colOff>
      <xdr:row>7</xdr:row>
      <xdr:rowOff>212617</xdr:rowOff>
    </xdr:from>
    <xdr:to>
      <xdr:col>21</xdr:col>
      <xdr:colOff>7915</xdr:colOff>
      <xdr:row>9</xdr:row>
      <xdr:rowOff>3707</xdr:rowOff>
    </xdr:to>
    <xdr:sp macro="" textlink="">
      <xdr:nvSpPr>
        <xdr:cNvPr id="195" name="テキスト ボックス 194">
          <a:extLst>
            <a:ext uri="{FF2B5EF4-FFF2-40B4-BE49-F238E27FC236}">
              <a16:creationId xmlns:a16="http://schemas.microsoft.com/office/drawing/2014/main" id="{E9BE9D07-D74E-4DD0-BD7E-EAEA586BCBC5}"/>
            </a:ext>
          </a:extLst>
        </xdr:cNvPr>
        <xdr:cNvSpPr txBox="1"/>
      </xdr:nvSpPr>
      <xdr:spPr>
        <a:xfrm>
          <a:off x="4066757" y="1653791"/>
          <a:ext cx="579419" cy="288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1.00m</a:t>
          </a:r>
          <a:endParaRPr kumimoji="1" lang="ja-JP" altLang="en-US" sz="1100"/>
        </a:p>
      </xdr:txBody>
    </xdr:sp>
    <xdr:clientData/>
  </xdr:twoCellAnchor>
  <xdr:twoCellAnchor>
    <xdr:from>
      <xdr:col>20</xdr:col>
      <xdr:colOff>182371</xdr:colOff>
      <xdr:row>7</xdr:row>
      <xdr:rowOff>224627</xdr:rowOff>
    </xdr:from>
    <xdr:to>
      <xdr:col>20</xdr:col>
      <xdr:colOff>182371</xdr:colOff>
      <xdr:row>8</xdr:row>
      <xdr:rowOff>245797</xdr:rowOff>
    </xdr:to>
    <xdr:cxnSp macro="">
      <xdr:nvCxnSpPr>
        <xdr:cNvPr id="196" name="直線矢印コネクタ 195">
          <a:extLst>
            <a:ext uri="{FF2B5EF4-FFF2-40B4-BE49-F238E27FC236}">
              <a16:creationId xmlns:a16="http://schemas.microsoft.com/office/drawing/2014/main" id="{60A582B7-1AD2-4EF6-82C6-764B334D9022}"/>
            </a:ext>
          </a:extLst>
        </xdr:cNvPr>
        <xdr:cNvCxnSpPr/>
      </xdr:nvCxnSpPr>
      <xdr:spPr>
        <a:xfrm>
          <a:off x="4588719" y="1665801"/>
          <a:ext cx="0" cy="261366"/>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182371</xdr:colOff>
      <xdr:row>9</xdr:row>
      <xdr:rowOff>3434</xdr:rowOff>
    </xdr:from>
    <xdr:to>
      <xdr:col>20</xdr:col>
      <xdr:colOff>182371</xdr:colOff>
      <xdr:row>12</xdr:row>
      <xdr:rowOff>107257</xdr:rowOff>
    </xdr:to>
    <xdr:cxnSp macro="">
      <xdr:nvCxnSpPr>
        <xdr:cNvPr id="197" name="直線矢印コネクタ 196">
          <a:extLst>
            <a:ext uri="{FF2B5EF4-FFF2-40B4-BE49-F238E27FC236}">
              <a16:creationId xmlns:a16="http://schemas.microsoft.com/office/drawing/2014/main" id="{4A73702B-8502-415C-A09D-6FAFA5BECF4F}"/>
            </a:ext>
          </a:extLst>
        </xdr:cNvPr>
        <xdr:cNvCxnSpPr/>
      </xdr:nvCxnSpPr>
      <xdr:spPr>
        <a:xfrm>
          <a:off x="4588719" y="1941564"/>
          <a:ext cx="0" cy="82441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18</xdr:col>
      <xdr:colOff>165419</xdr:colOff>
      <xdr:row>10</xdr:row>
      <xdr:rowOff>44562</xdr:rowOff>
    </xdr:from>
    <xdr:to>
      <xdr:col>21</xdr:col>
      <xdr:colOff>41304</xdr:colOff>
      <xdr:row>11</xdr:row>
      <xdr:rowOff>64249</xdr:rowOff>
    </xdr:to>
    <xdr:sp macro="" textlink="">
      <xdr:nvSpPr>
        <xdr:cNvPr id="198" name="テキスト ボックス 197">
          <a:extLst>
            <a:ext uri="{FF2B5EF4-FFF2-40B4-BE49-F238E27FC236}">
              <a16:creationId xmlns:a16="http://schemas.microsoft.com/office/drawing/2014/main" id="{6ED9DEA8-665C-4639-8352-6DA59ADB29E8}"/>
            </a:ext>
          </a:extLst>
        </xdr:cNvPr>
        <xdr:cNvSpPr txBox="1"/>
      </xdr:nvSpPr>
      <xdr:spPr>
        <a:xfrm>
          <a:off x="4107941" y="2222888"/>
          <a:ext cx="571624" cy="259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3.00m</a:t>
          </a:r>
          <a:endParaRPr kumimoji="1" lang="ja-JP" altLang="en-US" sz="1100"/>
        </a:p>
      </xdr:txBody>
    </xdr:sp>
    <xdr:clientData/>
  </xdr:twoCellAnchor>
  <xdr:twoCellAnchor editAs="oneCell">
    <xdr:from>
      <xdr:col>18</xdr:col>
      <xdr:colOff>165419</xdr:colOff>
      <xdr:row>13</xdr:row>
      <xdr:rowOff>128873</xdr:rowOff>
    </xdr:from>
    <xdr:to>
      <xdr:col>21</xdr:col>
      <xdr:colOff>41304</xdr:colOff>
      <xdr:row>14</xdr:row>
      <xdr:rowOff>146924</xdr:rowOff>
    </xdr:to>
    <xdr:sp macro="" textlink="">
      <xdr:nvSpPr>
        <xdr:cNvPr id="200" name="テキスト ボックス 199">
          <a:extLst>
            <a:ext uri="{FF2B5EF4-FFF2-40B4-BE49-F238E27FC236}">
              <a16:creationId xmlns:a16="http://schemas.microsoft.com/office/drawing/2014/main" id="{EECDEC22-F07E-4F3C-B91B-679762862F77}"/>
            </a:ext>
          </a:extLst>
        </xdr:cNvPr>
        <xdr:cNvSpPr txBox="1"/>
      </xdr:nvSpPr>
      <xdr:spPr>
        <a:xfrm>
          <a:off x="4107941" y="3027786"/>
          <a:ext cx="571624" cy="258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3.00m</a:t>
          </a:r>
          <a:endParaRPr kumimoji="1" lang="ja-JP" altLang="en-US" sz="1100"/>
        </a:p>
      </xdr:txBody>
    </xdr:sp>
    <xdr:clientData/>
  </xdr:twoCellAnchor>
  <xdr:twoCellAnchor>
    <xdr:from>
      <xdr:col>20</xdr:col>
      <xdr:colOff>182371</xdr:colOff>
      <xdr:row>12</xdr:row>
      <xdr:rowOff>113429</xdr:rowOff>
    </xdr:from>
    <xdr:to>
      <xdr:col>20</xdr:col>
      <xdr:colOff>182371</xdr:colOff>
      <xdr:row>15</xdr:row>
      <xdr:rowOff>189531</xdr:rowOff>
    </xdr:to>
    <xdr:cxnSp macro="">
      <xdr:nvCxnSpPr>
        <xdr:cNvPr id="202" name="直線矢印コネクタ 201">
          <a:extLst>
            <a:ext uri="{FF2B5EF4-FFF2-40B4-BE49-F238E27FC236}">
              <a16:creationId xmlns:a16="http://schemas.microsoft.com/office/drawing/2014/main" id="{BCCCE0DE-D966-467E-AFE7-E06FBFC5BE75}"/>
            </a:ext>
          </a:extLst>
        </xdr:cNvPr>
        <xdr:cNvCxnSpPr/>
      </xdr:nvCxnSpPr>
      <xdr:spPr>
        <a:xfrm>
          <a:off x="4588719" y="2772146"/>
          <a:ext cx="0" cy="796689"/>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102635</xdr:colOff>
      <xdr:row>9</xdr:row>
      <xdr:rowOff>6878</xdr:rowOff>
    </xdr:from>
    <xdr:to>
      <xdr:col>21</xdr:col>
      <xdr:colOff>100223</xdr:colOff>
      <xdr:row>9</xdr:row>
      <xdr:rowOff>6878</xdr:rowOff>
    </xdr:to>
    <xdr:cxnSp macro="">
      <xdr:nvCxnSpPr>
        <xdr:cNvPr id="203" name="直線コネクタ 202">
          <a:extLst>
            <a:ext uri="{FF2B5EF4-FFF2-40B4-BE49-F238E27FC236}">
              <a16:creationId xmlns:a16="http://schemas.microsoft.com/office/drawing/2014/main" id="{F3572544-0E3A-481E-A060-62BE7E0813EE}"/>
            </a:ext>
          </a:extLst>
        </xdr:cNvPr>
        <xdr:cNvCxnSpPr/>
      </xdr:nvCxnSpPr>
      <xdr:spPr>
        <a:xfrm>
          <a:off x="4508983" y="1945008"/>
          <a:ext cx="229501"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102635</xdr:colOff>
      <xdr:row>7</xdr:row>
      <xdr:rowOff>222183</xdr:rowOff>
    </xdr:from>
    <xdr:to>
      <xdr:col>21</xdr:col>
      <xdr:colOff>100223</xdr:colOff>
      <xdr:row>7</xdr:row>
      <xdr:rowOff>222183</xdr:rowOff>
    </xdr:to>
    <xdr:cxnSp macro="">
      <xdr:nvCxnSpPr>
        <xdr:cNvPr id="204" name="直線コネクタ 203">
          <a:extLst>
            <a:ext uri="{FF2B5EF4-FFF2-40B4-BE49-F238E27FC236}">
              <a16:creationId xmlns:a16="http://schemas.microsoft.com/office/drawing/2014/main" id="{0745D2F1-D779-4841-A326-9D176605CB74}"/>
            </a:ext>
          </a:extLst>
        </xdr:cNvPr>
        <xdr:cNvCxnSpPr/>
      </xdr:nvCxnSpPr>
      <xdr:spPr>
        <a:xfrm>
          <a:off x="4508983" y="1663357"/>
          <a:ext cx="229501"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102635</xdr:colOff>
      <xdr:row>12</xdr:row>
      <xdr:rowOff>107458</xdr:rowOff>
    </xdr:from>
    <xdr:to>
      <xdr:col>21</xdr:col>
      <xdr:colOff>100223</xdr:colOff>
      <xdr:row>12</xdr:row>
      <xdr:rowOff>107458</xdr:rowOff>
    </xdr:to>
    <xdr:cxnSp macro="">
      <xdr:nvCxnSpPr>
        <xdr:cNvPr id="205" name="直線コネクタ 204">
          <a:extLst>
            <a:ext uri="{FF2B5EF4-FFF2-40B4-BE49-F238E27FC236}">
              <a16:creationId xmlns:a16="http://schemas.microsoft.com/office/drawing/2014/main" id="{1FDE56EB-4C15-4E94-999D-3A6BCC604EC9}"/>
            </a:ext>
          </a:extLst>
        </xdr:cNvPr>
        <xdr:cNvCxnSpPr/>
      </xdr:nvCxnSpPr>
      <xdr:spPr>
        <a:xfrm>
          <a:off x="4508983" y="2766175"/>
          <a:ext cx="229501"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102635</xdr:colOff>
      <xdr:row>15</xdr:row>
      <xdr:rowOff>197925</xdr:rowOff>
    </xdr:from>
    <xdr:to>
      <xdr:col>21</xdr:col>
      <xdr:colOff>100223</xdr:colOff>
      <xdr:row>15</xdr:row>
      <xdr:rowOff>197925</xdr:rowOff>
    </xdr:to>
    <xdr:cxnSp macro="">
      <xdr:nvCxnSpPr>
        <xdr:cNvPr id="206" name="直線コネクタ 205">
          <a:extLst>
            <a:ext uri="{FF2B5EF4-FFF2-40B4-BE49-F238E27FC236}">
              <a16:creationId xmlns:a16="http://schemas.microsoft.com/office/drawing/2014/main" id="{2F928F75-17BF-43B8-AA65-986B70D2692C}"/>
            </a:ext>
          </a:extLst>
        </xdr:cNvPr>
        <xdr:cNvCxnSpPr/>
      </xdr:nvCxnSpPr>
      <xdr:spPr>
        <a:xfrm>
          <a:off x="4508983" y="3577229"/>
          <a:ext cx="229501"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25</xdr:col>
      <xdr:colOff>133980</xdr:colOff>
      <xdr:row>7</xdr:row>
      <xdr:rowOff>44340</xdr:rowOff>
    </xdr:from>
    <xdr:to>
      <xdr:col>25</xdr:col>
      <xdr:colOff>133980</xdr:colOff>
      <xdr:row>8</xdr:row>
      <xdr:rowOff>4087</xdr:rowOff>
    </xdr:to>
    <xdr:cxnSp macro="">
      <xdr:nvCxnSpPr>
        <xdr:cNvPr id="208" name="直線コネクタ 207">
          <a:extLst>
            <a:ext uri="{FF2B5EF4-FFF2-40B4-BE49-F238E27FC236}">
              <a16:creationId xmlns:a16="http://schemas.microsoft.com/office/drawing/2014/main" id="{B5A37AF9-51E1-4EDE-BF57-7FDECA87D7A7}"/>
            </a:ext>
          </a:extLst>
        </xdr:cNvPr>
        <xdr:cNvCxnSpPr/>
      </xdr:nvCxnSpPr>
      <xdr:spPr>
        <a:xfrm>
          <a:off x="5699893" y="1485514"/>
          <a:ext cx="0" cy="199943"/>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editAs="oneCell">
    <xdr:from>
      <xdr:col>18</xdr:col>
      <xdr:colOff>115952</xdr:colOff>
      <xdr:row>6</xdr:row>
      <xdr:rowOff>229478</xdr:rowOff>
    </xdr:from>
    <xdr:to>
      <xdr:col>21</xdr:col>
      <xdr:colOff>7427</xdr:colOff>
      <xdr:row>8</xdr:row>
      <xdr:rowOff>29117</xdr:rowOff>
    </xdr:to>
    <xdr:sp macro="" textlink="">
      <xdr:nvSpPr>
        <xdr:cNvPr id="209" name="テキスト ボックス 208">
          <a:extLst>
            <a:ext uri="{FF2B5EF4-FFF2-40B4-BE49-F238E27FC236}">
              <a16:creationId xmlns:a16="http://schemas.microsoft.com/office/drawing/2014/main" id="{57A60361-B5A3-43FC-ACCE-6E0145670C8F}"/>
            </a:ext>
          </a:extLst>
        </xdr:cNvPr>
        <xdr:cNvSpPr txBox="1"/>
      </xdr:nvSpPr>
      <xdr:spPr>
        <a:xfrm>
          <a:off x="4058474" y="1430456"/>
          <a:ext cx="579419" cy="28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0.88m</a:t>
          </a:r>
          <a:endParaRPr kumimoji="1" lang="ja-JP" altLang="en-US" sz="1100"/>
        </a:p>
      </xdr:txBody>
    </xdr:sp>
    <xdr:clientData/>
  </xdr:twoCellAnchor>
  <xdr:twoCellAnchor>
    <xdr:from>
      <xdr:col>20</xdr:col>
      <xdr:colOff>182371</xdr:colOff>
      <xdr:row>7</xdr:row>
      <xdr:rowOff>49176</xdr:rowOff>
    </xdr:from>
    <xdr:to>
      <xdr:col>20</xdr:col>
      <xdr:colOff>182371</xdr:colOff>
      <xdr:row>8</xdr:row>
      <xdr:rowOff>8170</xdr:rowOff>
    </xdr:to>
    <xdr:cxnSp macro="">
      <xdr:nvCxnSpPr>
        <xdr:cNvPr id="210" name="直線矢印コネクタ 209">
          <a:extLst>
            <a:ext uri="{FF2B5EF4-FFF2-40B4-BE49-F238E27FC236}">
              <a16:creationId xmlns:a16="http://schemas.microsoft.com/office/drawing/2014/main" id="{DBF883E4-D01A-4A32-B57C-1F84EFEA276B}"/>
            </a:ext>
          </a:extLst>
        </xdr:cNvPr>
        <xdr:cNvCxnSpPr/>
      </xdr:nvCxnSpPr>
      <xdr:spPr>
        <a:xfrm>
          <a:off x="4588719" y="1490350"/>
          <a:ext cx="0" cy="19919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102635</xdr:colOff>
      <xdr:row>7</xdr:row>
      <xdr:rowOff>56257</xdr:rowOff>
    </xdr:from>
    <xdr:to>
      <xdr:col>21</xdr:col>
      <xdr:colOff>100223</xdr:colOff>
      <xdr:row>7</xdr:row>
      <xdr:rowOff>56257</xdr:rowOff>
    </xdr:to>
    <xdr:cxnSp macro="">
      <xdr:nvCxnSpPr>
        <xdr:cNvPr id="211" name="直線コネクタ 210">
          <a:extLst>
            <a:ext uri="{FF2B5EF4-FFF2-40B4-BE49-F238E27FC236}">
              <a16:creationId xmlns:a16="http://schemas.microsoft.com/office/drawing/2014/main" id="{8C4E68CD-F8BF-49EB-A343-2D980F5AD877}"/>
            </a:ext>
          </a:extLst>
        </xdr:cNvPr>
        <xdr:cNvCxnSpPr/>
      </xdr:nvCxnSpPr>
      <xdr:spPr>
        <a:xfrm>
          <a:off x="4508983" y="1497431"/>
          <a:ext cx="229501"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22</xdr:col>
      <xdr:colOff>174753</xdr:colOff>
      <xdr:row>12</xdr:row>
      <xdr:rowOff>123099</xdr:rowOff>
    </xdr:from>
    <xdr:to>
      <xdr:col>24</xdr:col>
      <xdr:colOff>185955</xdr:colOff>
      <xdr:row>12</xdr:row>
      <xdr:rowOff>123099</xdr:rowOff>
    </xdr:to>
    <xdr:cxnSp macro="">
      <xdr:nvCxnSpPr>
        <xdr:cNvPr id="217" name="直線矢印コネクタ 216">
          <a:extLst>
            <a:ext uri="{FF2B5EF4-FFF2-40B4-BE49-F238E27FC236}">
              <a16:creationId xmlns:a16="http://schemas.microsoft.com/office/drawing/2014/main" id="{90DDE391-8420-4B20-B56F-596E5B4DAA11}"/>
            </a:ext>
          </a:extLst>
        </xdr:cNvPr>
        <xdr:cNvCxnSpPr/>
      </xdr:nvCxnSpPr>
      <xdr:spPr>
        <a:xfrm>
          <a:off x="5044927" y="2781816"/>
          <a:ext cx="475028" cy="0"/>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68724</xdr:colOff>
      <xdr:row>11</xdr:row>
      <xdr:rowOff>86632</xdr:rowOff>
    </xdr:from>
    <xdr:to>
      <xdr:col>24</xdr:col>
      <xdr:colOff>137115</xdr:colOff>
      <xdr:row>12</xdr:row>
      <xdr:rowOff>92196</xdr:rowOff>
    </xdr:to>
    <xdr:sp macro="" textlink="">
      <xdr:nvSpPr>
        <xdr:cNvPr id="218" name="テキスト ボックス 217">
          <a:extLst>
            <a:ext uri="{FF2B5EF4-FFF2-40B4-BE49-F238E27FC236}">
              <a16:creationId xmlns:a16="http://schemas.microsoft.com/office/drawing/2014/main" id="{6EF7DB89-113D-D0FB-182F-689F29E77EEB}"/>
            </a:ext>
          </a:extLst>
        </xdr:cNvPr>
        <xdr:cNvSpPr txBox="1"/>
      </xdr:nvSpPr>
      <xdr:spPr>
        <a:xfrm>
          <a:off x="4938898" y="2505154"/>
          <a:ext cx="532217" cy="24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R</a:t>
          </a:r>
          <a:r>
            <a:rPr kumimoji="1" lang="ja-JP" altLang="en-US" sz="1100">
              <a:solidFill>
                <a:srgbClr val="FF0000"/>
              </a:solidFill>
            </a:rPr>
            <a:t>₂</a:t>
          </a:r>
          <a:endParaRPr kumimoji="1" lang="ja-JP" altLang="en-US" sz="1100" baseline="-25000">
            <a:solidFill>
              <a:srgbClr val="FF0000"/>
            </a:solidFill>
          </a:endParaRPr>
        </a:p>
      </xdr:txBody>
    </xdr:sp>
    <xdr:clientData/>
  </xdr:twoCellAnchor>
  <xdr:twoCellAnchor>
    <xdr:from>
      <xdr:col>29</xdr:col>
      <xdr:colOff>89454</xdr:colOff>
      <xdr:row>10</xdr:row>
      <xdr:rowOff>187612</xdr:rowOff>
    </xdr:from>
    <xdr:to>
      <xdr:col>29</xdr:col>
      <xdr:colOff>89454</xdr:colOff>
      <xdr:row>12</xdr:row>
      <xdr:rowOff>78666</xdr:rowOff>
    </xdr:to>
    <xdr:cxnSp macro="">
      <xdr:nvCxnSpPr>
        <xdr:cNvPr id="220" name="直線矢印コネクタ 219">
          <a:extLst>
            <a:ext uri="{FF2B5EF4-FFF2-40B4-BE49-F238E27FC236}">
              <a16:creationId xmlns:a16="http://schemas.microsoft.com/office/drawing/2014/main" id="{AA7FBCD8-C11D-9AFC-7E8B-A0D97134757D}"/>
            </a:ext>
          </a:extLst>
        </xdr:cNvPr>
        <xdr:cNvCxnSpPr/>
      </xdr:nvCxnSpPr>
      <xdr:spPr>
        <a:xfrm>
          <a:off x="6583019" y="2365938"/>
          <a:ext cx="0" cy="37144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91263</xdr:colOff>
      <xdr:row>12</xdr:row>
      <xdr:rowOff>113429</xdr:rowOff>
    </xdr:from>
    <xdr:to>
      <xdr:col>29</xdr:col>
      <xdr:colOff>91263</xdr:colOff>
      <xdr:row>15</xdr:row>
      <xdr:rowOff>189531</xdr:rowOff>
    </xdr:to>
    <xdr:cxnSp macro="">
      <xdr:nvCxnSpPr>
        <xdr:cNvPr id="221" name="直線矢印コネクタ 220">
          <a:extLst>
            <a:ext uri="{FF2B5EF4-FFF2-40B4-BE49-F238E27FC236}">
              <a16:creationId xmlns:a16="http://schemas.microsoft.com/office/drawing/2014/main" id="{F53BE164-BCFD-2299-73BA-DB2505AE1FB6}"/>
            </a:ext>
          </a:extLst>
        </xdr:cNvPr>
        <xdr:cNvCxnSpPr/>
      </xdr:nvCxnSpPr>
      <xdr:spPr>
        <a:xfrm>
          <a:off x="6584828" y="2772146"/>
          <a:ext cx="0" cy="796689"/>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11527</xdr:colOff>
      <xdr:row>12</xdr:row>
      <xdr:rowOff>107458</xdr:rowOff>
    </xdr:from>
    <xdr:to>
      <xdr:col>30</xdr:col>
      <xdr:colOff>9115</xdr:colOff>
      <xdr:row>12</xdr:row>
      <xdr:rowOff>107458</xdr:rowOff>
    </xdr:to>
    <xdr:cxnSp macro="">
      <xdr:nvCxnSpPr>
        <xdr:cNvPr id="222" name="直線コネクタ 221">
          <a:extLst>
            <a:ext uri="{FF2B5EF4-FFF2-40B4-BE49-F238E27FC236}">
              <a16:creationId xmlns:a16="http://schemas.microsoft.com/office/drawing/2014/main" id="{034BF8C3-CE64-A070-C3B9-E8C781D27AB3}"/>
            </a:ext>
          </a:extLst>
        </xdr:cNvPr>
        <xdr:cNvCxnSpPr/>
      </xdr:nvCxnSpPr>
      <xdr:spPr>
        <a:xfrm>
          <a:off x="6505092" y="2766175"/>
          <a:ext cx="229501" cy="0"/>
        </a:xfrm>
        <a:prstGeom prst="line">
          <a:avLst/>
        </a:prstGeom>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29</xdr:col>
      <xdr:colOff>32898</xdr:colOff>
      <xdr:row>13</xdr:row>
      <xdr:rowOff>128873</xdr:rowOff>
    </xdr:from>
    <xdr:to>
      <xdr:col>31</xdr:col>
      <xdr:colOff>140696</xdr:colOff>
      <xdr:row>14</xdr:row>
      <xdr:rowOff>146924</xdr:rowOff>
    </xdr:to>
    <xdr:sp macro="" textlink="">
      <xdr:nvSpPr>
        <xdr:cNvPr id="223" name="テキスト ボックス 222">
          <a:extLst>
            <a:ext uri="{FF2B5EF4-FFF2-40B4-BE49-F238E27FC236}">
              <a16:creationId xmlns:a16="http://schemas.microsoft.com/office/drawing/2014/main" id="{D4CF704F-A75F-DEAB-0881-472886F444BE}"/>
            </a:ext>
          </a:extLst>
        </xdr:cNvPr>
        <xdr:cNvSpPr txBox="1"/>
      </xdr:nvSpPr>
      <xdr:spPr>
        <a:xfrm>
          <a:off x="6526463" y="3027786"/>
          <a:ext cx="571624" cy="258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3.00m</a:t>
          </a:r>
          <a:endParaRPr kumimoji="1" lang="ja-JP" altLang="en-US" sz="1100"/>
        </a:p>
      </xdr:txBody>
    </xdr:sp>
    <xdr:clientData/>
  </xdr:twoCellAnchor>
  <xdr:twoCellAnchor editAs="oneCell">
    <xdr:from>
      <xdr:col>29</xdr:col>
      <xdr:colOff>49692</xdr:colOff>
      <xdr:row>11</xdr:row>
      <xdr:rowOff>30399</xdr:rowOff>
    </xdr:from>
    <xdr:to>
      <xdr:col>31</xdr:col>
      <xdr:colOff>165285</xdr:colOff>
      <xdr:row>12</xdr:row>
      <xdr:rowOff>78251</xdr:rowOff>
    </xdr:to>
    <xdr:sp macro="" textlink="">
      <xdr:nvSpPr>
        <xdr:cNvPr id="224" name="テキスト ボックス 223">
          <a:extLst>
            <a:ext uri="{FF2B5EF4-FFF2-40B4-BE49-F238E27FC236}">
              <a16:creationId xmlns:a16="http://schemas.microsoft.com/office/drawing/2014/main" id="{744F420B-8D57-65E7-A3B0-36C1FB34D297}"/>
            </a:ext>
          </a:extLst>
        </xdr:cNvPr>
        <xdr:cNvSpPr txBox="1"/>
      </xdr:nvSpPr>
      <xdr:spPr>
        <a:xfrm>
          <a:off x="6543257" y="2448921"/>
          <a:ext cx="579419" cy="288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1.50m</a:t>
          </a:r>
          <a:endParaRPr kumimoji="1" lang="ja-JP" altLang="en-US" sz="1100"/>
        </a:p>
      </xdr:txBody>
    </xdr:sp>
    <xdr:clientData/>
  </xdr:twoCellAnchor>
  <xdr:twoCellAnchor editAs="oneCell">
    <xdr:from>
      <xdr:col>24</xdr:col>
      <xdr:colOff>126702</xdr:colOff>
      <xdr:row>12</xdr:row>
      <xdr:rowOff>111481</xdr:rowOff>
    </xdr:from>
    <xdr:to>
      <xdr:col>26</xdr:col>
      <xdr:colOff>195093</xdr:colOff>
      <xdr:row>13</xdr:row>
      <xdr:rowOff>117042</xdr:rowOff>
    </xdr:to>
    <xdr:sp macro="" textlink="">
      <xdr:nvSpPr>
        <xdr:cNvPr id="225" name="テキスト ボックス 224">
          <a:extLst>
            <a:ext uri="{FF2B5EF4-FFF2-40B4-BE49-F238E27FC236}">
              <a16:creationId xmlns:a16="http://schemas.microsoft.com/office/drawing/2014/main" id="{6362C93C-2F24-6EB7-045C-9868C0A64806}"/>
            </a:ext>
          </a:extLst>
        </xdr:cNvPr>
        <xdr:cNvSpPr txBox="1"/>
      </xdr:nvSpPr>
      <xdr:spPr>
        <a:xfrm>
          <a:off x="5460702" y="2770198"/>
          <a:ext cx="532217" cy="24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a:t>
          </a:r>
          <a:endParaRPr kumimoji="1" lang="ja-JP" altLang="en-US" sz="1100" baseline="-25000">
            <a:solidFill>
              <a:srgbClr val="FF0000"/>
            </a:solidFill>
          </a:endParaRPr>
        </a:p>
      </xdr:txBody>
    </xdr:sp>
    <xdr:clientData/>
  </xdr:twoCellAnchor>
  <xdr:twoCellAnchor>
    <xdr:from>
      <xdr:col>27</xdr:col>
      <xdr:colOff>14287</xdr:colOff>
      <xdr:row>250</xdr:row>
      <xdr:rowOff>88540</xdr:rowOff>
    </xdr:from>
    <xdr:to>
      <xdr:col>31</xdr:col>
      <xdr:colOff>121444</xdr:colOff>
      <xdr:row>250</xdr:row>
      <xdr:rowOff>88540</xdr:rowOff>
    </xdr:to>
    <xdr:cxnSp macro="">
      <xdr:nvCxnSpPr>
        <xdr:cNvPr id="226" name="直線コネクタ 225">
          <a:extLst>
            <a:ext uri="{FF2B5EF4-FFF2-40B4-BE49-F238E27FC236}">
              <a16:creationId xmlns:a16="http://schemas.microsoft.com/office/drawing/2014/main" id="{22649492-A3F2-4BB9-88DA-2DE1CF0E0CCF}"/>
            </a:ext>
          </a:extLst>
        </xdr:cNvPr>
        <xdr:cNvCxnSpPr/>
      </xdr:nvCxnSpPr>
      <xdr:spPr>
        <a:xfrm>
          <a:off x="6065463" y="31442599"/>
          <a:ext cx="100362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14287</xdr:colOff>
      <xdr:row>254</xdr:row>
      <xdr:rowOff>97607</xdr:rowOff>
    </xdr:from>
    <xdr:to>
      <xdr:col>31</xdr:col>
      <xdr:colOff>123825</xdr:colOff>
      <xdr:row>254</xdr:row>
      <xdr:rowOff>97607</xdr:rowOff>
    </xdr:to>
    <xdr:cxnSp macro="">
      <xdr:nvCxnSpPr>
        <xdr:cNvPr id="227" name="直線コネクタ 226">
          <a:extLst>
            <a:ext uri="{FF2B5EF4-FFF2-40B4-BE49-F238E27FC236}">
              <a16:creationId xmlns:a16="http://schemas.microsoft.com/office/drawing/2014/main" id="{4ACBF122-C0AF-4972-A2AC-956F85FC4983}"/>
            </a:ext>
          </a:extLst>
        </xdr:cNvPr>
        <xdr:cNvCxnSpPr/>
      </xdr:nvCxnSpPr>
      <xdr:spPr>
        <a:xfrm>
          <a:off x="6065463" y="32392960"/>
          <a:ext cx="100600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14287</xdr:colOff>
      <xdr:row>250</xdr:row>
      <xdr:rowOff>218964</xdr:rowOff>
    </xdr:from>
    <xdr:to>
      <xdr:col>28</xdr:col>
      <xdr:colOff>205458</xdr:colOff>
      <xdr:row>250</xdr:row>
      <xdr:rowOff>219879</xdr:rowOff>
    </xdr:to>
    <xdr:cxnSp macro="">
      <xdr:nvCxnSpPr>
        <xdr:cNvPr id="228" name="直線コネクタ 227">
          <a:extLst>
            <a:ext uri="{FF2B5EF4-FFF2-40B4-BE49-F238E27FC236}">
              <a16:creationId xmlns:a16="http://schemas.microsoft.com/office/drawing/2014/main" id="{EE8DF6C2-F85C-458B-88E2-ABD2370AFB24}"/>
            </a:ext>
          </a:extLst>
        </xdr:cNvPr>
        <xdr:cNvCxnSpPr>
          <a:endCxn id="238" idx="0"/>
        </xdr:cNvCxnSpPr>
      </xdr:nvCxnSpPr>
      <xdr:spPr>
        <a:xfrm flipV="1">
          <a:off x="6065463" y="31573023"/>
          <a:ext cx="415289" cy="9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14287</xdr:colOff>
      <xdr:row>253</xdr:row>
      <xdr:rowOff>208574</xdr:rowOff>
    </xdr:from>
    <xdr:to>
      <xdr:col>28</xdr:col>
      <xdr:colOff>204788</xdr:colOff>
      <xdr:row>253</xdr:row>
      <xdr:rowOff>208574</xdr:rowOff>
    </xdr:to>
    <xdr:cxnSp macro="">
      <xdr:nvCxnSpPr>
        <xdr:cNvPr id="229" name="直線コネクタ 228">
          <a:extLst>
            <a:ext uri="{FF2B5EF4-FFF2-40B4-BE49-F238E27FC236}">
              <a16:creationId xmlns:a16="http://schemas.microsoft.com/office/drawing/2014/main" id="{47F06733-E669-4684-B150-FE683E9EADC8}"/>
            </a:ext>
          </a:extLst>
        </xdr:cNvPr>
        <xdr:cNvCxnSpPr/>
      </xdr:nvCxnSpPr>
      <xdr:spPr>
        <a:xfrm>
          <a:off x="6065463" y="32268603"/>
          <a:ext cx="41461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155463</xdr:colOff>
      <xdr:row>250</xdr:row>
      <xdr:rowOff>219879</xdr:rowOff>
    </xdr:from>
    <xdr:to>
      <xdr:col>31</xdr:col>
      <xdr:colOff>123825</xdr:colOff>
      <xdr:row>250</xdr:row>
      <xdr:rowOff>219879</xdr:rowOff>
    </xdr:to>
    <xdr:cxnSp macro="">
      <xdr:nvCxnSpPr>
        <xdr:cNvPr id="230" name="直線コネクタ 229">
          <a:extLst>
            <a:ext uri="{FF2B5EF4-FFF2-40B4-BE49-F238E27FC236}">
              <a16:creationId xmlns:a16="http://schemas.microsoft.com/office/drawing/2014/main" id="{FE68E42D-CF18-4EC9-A8C2-E9ADF30101CC}"/>
            </a:ext>
          </a:extLst>
        </xdr:cNvPr>
        <xdr:cNvCxnSpPr/>
      </xdr:nvCxnSpPr>
      <xdr:spPr>
        <a:xfrm>
          <a:off x="6654875" y="31573938"/>
          <a:ext cx="41659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157844</xdr:colOff>
      <xdr:row>253</xdr:row>
      <xdr:rowOff>208574</xdr:rowOff>
    </xdr:from>
    <xdr:to>
      <xdr:col>31</xdr:col>
      <xdr:colOff>121444</xdr:colOff>
      <xdr:row>253</xdr:row>
      <xdr:rowOff>208574</xdr:rowOff>
    </xdr:to>
    <xdr:cxnSp macro="">
      <xdr:nvCxnSpPr>
        <xdr:cNvPr id="231" name="直線コネクタ 230">
          <a:extLst>
            <a:ext uri="{FF2B5EF4-FFF2-40B4-BE49-F238E27FC236}">
              <a16:creationId xmlns:a16="http://schemas.microsoft.com/office/drawing/2014/main" id="{75E7113B-BE67-46AB-AEA0-D83FB4CCD876}"/>
            </a:ext>
          </a:extLst>
        </xdr:cNvPr>
        <xdr:cNvCxnSpPr/>
      </xdr:nvCxnSpPr>
      <xdr:spPr>
        <a:xfrm>
          <a:off x="6657256" y="32268603"/>
          <a:ext cx="41183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28028</xdr:colOff>
      <xdr:row>251</xdr:row>
      <xdr:rowOff>26630</xdr:rowOff>
    </xdr:from>
    <xdr:to>
      <xdr:col>29</xdr:col>
      <xdr:colOff>28028</xdr:colOff>
      <xdr:row>253</xdr:row>
      <xdr:rowOff>159978</xdr:rowOff>
    </xdr:to>
    <xdr:cxnSp macro="">
      <xdr:nvCxnSpPr>
        <xdr:cNvPr id="232" name="直線コネクタ 231">
          <a:extLst>
            <a:ext uri="{FF2B5EF4-FFF2-40B4-BE49-F238E27FC236}">
              <a16:creationId xmlns:a16="http://schemas.microsoft.com/office/drawing/2014/main" id="{611CD09F-289C-4BC7-867E-7F6FF7C2A58A}"/>
            </a:ext>
          </a:extLst>
        </xdr:cNvPr>
        <xdr:cNvCxnSpPr/>
      </xdr:nvCxnSpPr>
      <xdr:spPr>
        <a:xfrm>
          <a:off x="6527440" y="31616012"/>
          <a:ext cx="0" cy="6039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104679</xdr:colOff>
      <xdr:row>251</xdr:row>
      <xdr:rowOff>28422</xdr:rowOff>
    </xdr:from>
    <xdr:to>
      <xdr:col>29</xdr:col>
      <xdr:colOff>104679</xdr:colOff>
      <xdr:row>253</xdr:row>
      <xdr:rowOff>159978</xdr:rowOff>
    </xdr:to>
    <xdr:cxnSp macro="">
      <xdr:nvCxnSpPr>
        <xdr:cNvPr id="233" name="直線コネクタ 232">
          <a:extLst>
            <a:ext uri="{FF2B5EF4-FFF2-40B4-BE49-F238E27FC236}">
              <a16:creationId xmlns:a16="http://schemas.microsoft.com/office/drawing/2014/main" id="{60BD1983-F629-4F0E-AB4C-3ADF7AE4CFD5}"/>
            </a:ext>
          </a:extLst>
        </xdr:cNvPr>
        <xdr:cNvCxnSpPr/>
      </xdr:nvCxnSpPr>
      <xdr:spPr>
        <a:xfrm>
          <a:off x="6604091" y="31617804"/>
          <a:ext cx="0" cy="60220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12437</xdr:colOff>
      <xdr:row>250</xdr:row>
      <xdr:rowOff>86187</xdr:rowOff>
    </xdr:from>
    <xdr:to>
      <xdr:col>27</xdr:col>
      <xdr:colOff>12437</xdr:colOff>
      <xdr:row>250</xdr:row>
      <xdr:rowOff>219568</xdr:rowOff>
    </xdr:to>
    <xdr:cxnSp macro="">
      <xdr:nvCxnSpPr>
        <xdr:cNvPr id="234" name="直線コネクタ 233">
          <a:extLst>
            <a:ext uri="{FF2B5EF4-FFF2-40B4-BE49-F238E27FC236}">
              <a16:creationId xmlns:a16="http://schemas.microsoft.com/office/drawing/2014/main" id="{5073D3E7-F16A-4C55-8708-12E93ADEACD5}"/>
            </a:ext>
          </a:extLst>
        </xdr:cNvPr>
        <xdr:cNvCxnSpPr/>
      </xdr:nvCxnSpPr>
      <xdr:spPr>
        <a:xfrm>
          <a:off x="6063613" y="31440246"/>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17272</xdr:colOff>
      <xdr:row>253</xdr:row>
      <xdr:rowOff>205101</xdr:rowOff>
    </xdr:from>
    <xdr:to>
      <xdr:col>27</xdr:col>
      <xdr:colOff>17272</xdr:colOff>
      <xdr:row>254</xdr:row>
      <xdr:rowOff>99371</xdr:rowOff>
    </xdr:to>
    <xdr:cxnSp macro="">
      <xdr:nvCxnSpPr>
        <xdr:cNvPr id="235" name="直線コネクタ 234">
          <a:extLst>
            <a:ext uri="{FF2B5EF4-FFF2-40B4-BE49-F238E27FC236}">
              <a16:creationId xmlns:a16="http://schemas.microsoft.com/office/drawing/2014/main" id="{2F51B73A-F218-4804-A089-51710DBB5E8F}"/>
            </a:ext>
          </a:extLst>
        </xdr:cNvPr>
        <xdr:cNvCxnSpPr/>
      </xdr:nvCxnSpPr>
      <xdr:spPr>
        <a:xfrm>
          <a:off x="6068448" y="32265130"/>
          <a:ext cx="0" cy="1295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122443</xdr:colOff>
      <xdr:row>250</xdr:row>
      <xdr:rowOff>86187</xdr:rowOff>
    </xdr:from>
    <xdr:to>
      <xdr:col>31</xdr:col>
      <xdr:colOff>122443</xdr:colOff>
      <xdr:row>250</xdr:row>
      <xdr:rowOff>219568</xdr:rowOff>
    </xdr:to>
    <xdr:cxnSp macro="">
      <xdr:nvCxnSpPr>
        <xdr:cNvPr id="236" name="直線コネクタ 235">
          <a:extLst>
            <a:ext uri="{FF2B5EF4-FFF2-40B4-BE49-F238E27FC236}">
              <a16:creationId xmlns:a16="http://schemas.microsoft.com/office/drawing/2014/main" id="{2CAFD919-3E62-4F96-8201-DFC424E7B8A7}"/>
            </a:ext>
          </a:extLst>
        </xdr:cNvPr>
        <xdr:cNvCxnSpPr/>
      </xdr:nvCxnSpPr>
      <xdr:spPr>
        <a:xfrm>
          <a:off x="7070090" y="31440246"/>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121913</xdr:colOff>
      <xdr:row>253</xdr:row>
      <xdr:rowOff>205101</xdr:rowOff>
    </xdr:from>
    <xdr:to>
      <xdr:col>31</xdr:col>
      <xdr:colOff>121913</xdr:colOff>
      <xdr:row>254</xdr:row>
      <xdr:rowOff>99371</xdr:rowOff>
    </xdr:to>
    <xdr:cxnSp macro="">
      <xdr:nvCxnSpPr>
        <xdr:cNvPr id="237" name="直線コネクタ 236">
          <a:extLst>
            <a:ext uri="{FF2B5EF4-FFF2-40B4-BE49-F238E27FC236}">
              <a16:creationId xmlns:a16="http://schemas.microsoft.com/office/drawing/2014/main" id="{9346AD58-3D5A-40F5-B65B-8CF7E1D4CE66}"/>
            </a:ext>
          </a:extLst>
        </xdr:cNvPr>
        <xdr:cNvCxnSpPr/>
      </xdr:nvCxnSpPr>
      <xdr:spPr>
        <a:xfrm>
          <a:off x="7069560" y="32265130"/>
          <a:ext cx="0" cy="12959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154211</xdr:colOff>
      <xdr:row>250</xdr:row>
      <xdr:rowOff>218964</xdr:rowOff>
    </xdr:from>
    <xdr:to>
      <xdr:col>29</xdr:col>
      <xdr:colOff>28105</xdr:colOff>
      <xdr:row>251</xdr:row>
      <xdr:rowOff>80725</xdr:rowOff>
    </xdr:to>
    <xdr:sp macro="" textlink="">
      <xdr:nvSpPr>
        <xdr:cNvPr id="238" name="円弧 237">
          <a:extLst>
            <a:ext uri="{FF2B5EF4-FFF2-40B4-BE49-F238E27FC236}">
              <a16:creationId xmlns:a16="http://schemas.microsoft.com/office/drawing/2014/main" id="{48FD16D3-4130-4F12-8943-57F3E123D99C}"/>
            </a:ext>
          </a:extLst>
        </xdr:cNvPr>
        <xdr:cNvSpPr/>
      </xdr:nvSpPr>
      <xdr:spPr>
        <a:xfrm>
          <a:off x="6429505" y="31573023"/>
          <a:ext cx="98012" cy="97084"/>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104308</xdr:colOff>
      <xdr:row>250</xdr:row>
      <xdr:rowOff>223294</xdr:rowOff>
    </xdr:from>
    <xdr:to>
      <xdr:col>29</xdr:col>
      <xdr:colOff>207172</xdr:colOff>
      <xdr:row>251</xdr:row>
      <xdr:rowOff>85055</xdr:rowOff>
    </xdr:to>
    <xdr:sp macro="" textlink="">
      <xdr:nvSpPr>
        <xdr:cNvPr id="239" name="円弧 238">
          <a:extLst>
            <a:ext uri="{FF2B5EF4-FFF2-40B4-BE49-F238E27FC236}">
              <a16:creationId xmlns:a16="http://schemas.microsoft.com/office/drawing/2014/main" id="{FEB3C0B0-1FB9-4C81-ABF8-C13108A5E8A8}"/>
            </a:ext>
          </a:extLst>
        </xdr:cNvPr>
        <xdr:cNvSpPr/>
      </xdr:nvSpPr>
      <xdr:spPr>
        <a:xfrm flipH="1">
          <a:off x="6603720" y="31577353"/>
          <a:ext cx="102864" cy="97084"/>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104303</xdr:colOff>
      <xdr:row>253</xdr:row>
      <xdr:rowOff>100447</xdr:rowOff>
    </xdr:from>
    <xdr:to>
      <xdr:col>29</xdr:col>
      <xdr:colOff>216692</xdr:colOff>
      <xdr:row>253</xdr:row>
      <xdr:rowOff>209439</xdr:rowOff>
    </xdr:to>
    <xdr:sp macro="" textlink="">
      <xdr:nvSpPr>
        <xdr:cNvPr id="240" name="円弧 239">
          <a:extLst>
            <a:ext uri="{FF2B5EF4-FFF2-40B4-BE49-F238E27FC236}">
              <a16:creationId xmlns:a16="http://schemas.microsoft.com/office/drawing/2014/main" id="{92B41797-B8A6-4CE6-BA10-AF6ED2AE2097}"/>
            </a:ext>
          </a:extLst>
        </xdr:cNvPr>
        <xdr:cNvSpPr/>
      </xdr:nvSpPr>
      <xdr:spPr>
        <a:xfrm flipH="1" flipV="1">
          <a:off x="6603715" y="32160476"/>
          <a:ext cx="112389" cy="10899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150018</xdr:colOff>
      <xdr:row>253</xdr:row>
      <xdr:rowOff>100446</xdr:rowOff>
    </xdr:from>
    <xdr:to>
      <xdr:col>29</xdr:col>
      <xdr:colOff>28102</xdr:colOff>
      <xdr:row>253</xdr:row>
      <xdr:rowOff>209438</xdr:rowOff>
    </xdr:to>
    <xdr:sp macro="" textlink="">
      <xdr:nvSpPr>
        <xdr:cNvPr id="241" name="円弧 240">
          <a:extLst>
            <a:ext uri="{FF2B5EF4-FFF2-40B4-BE49-F238E27FC236}">
              <a16:creationId xmlns:a16="http://schemas.microsoft.com/office/drawing/2014/main" id="{96D35E66-7CA2-4CF7-BA8F-6C5D88607E4B}"/>
            </a:ext>
          </a:extLst>
        </xdr:cNvPr>
        <xdr:cNvSpPr/>
      </xdr:nvSpPr>
      <xdr:spPr>
        <a:xfrm flipV="1">
          <a:off x="6425312" y="32160475"/>
          <a:ext cx="102202" cy="10899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20240</xdr:colOff>
      <xdr:row>248</xdr:row>
      <xdr:rowOff>163348</xdr:rowOff>
    </xdr:from>
    <xdr:to>
      <xdr:col>31</xdr:col>
      <xdr:colOff>121443</xdr:colOff>
      <xdr:row>248</xdr:row>
      <xdr:rowOff>163348</xdr:rowOff>
    </xdr:to>
    <xdr:cxnSp macro="">
      <xdr:nvCxnSpPr>
        <xdr:cNvPr id="242" name="直線矢印コネクタ 241">
          <a:extLst>
            <a:ext uri="{FF2B5EF4-FFF2-40B4-BE49-F238E27FC236}">
              <a16:creationId xmlns:a16="http://schemas.microsoft.com/office/drawing/2014/main" id="{B4A208C3-DE87-424D-BE14-498E3490CA10}"/>
            </a:ext>
          </a:extLst>
        </xdr:cNvPr>
        <xdr:cNvCxnSpPr/>
      </xdr:nvCxnSpPr>
      <xdr:spPr>
        <a:xfrm flipH="1">
          <a:off x="6071416" y="31046760"/>
          <a:ext cx="997674"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122443</xdr:colOff>
      <xdr:row>248</xdr:row>
      <xdr:rowOff>105340</xdr:rowOff>
    </xdr:from>
    <xdr:to>
      <xdr:col>31</xdr:col>
      <xdr:colOff>122443</xdr:colOff>
      <xdr:row>249</xdr:row>
      <xdr:rowOff>596</xdr:rowOff>
    </xdr:to>
    <xdr:cxnSp macro="">
      <xdr:nvCxnSpPr>
        <xdr:cNvPr id="243" name="直線コネクタ 242">
          <a:extLst>
            <a:ext uri="{FF2B5EF4-FFF2-40B4-BE49-F238E27FC236}">
              <a16:creationId xmlns:a16="http://schemas.microsoft.com/office/drawing/2014/main" id="{A3C0A6F6-C9FD-405F-9E38-06552C5D811E}"/>
            </a:ext>
          </a:extLst>
        </xdr:cNvPr>
        <xdr:cNvCxnSpPr/>
      </xdr:nvCxnSpPr>
      <xdr:spPr>
        <a:xfrm>
          <a:off x="7070090" y="30988752"/>
          <a:ext cx="0" cy="13057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12437</xdr:colOff>
      <xdr:row>248</xdr:row>
      <xdr:rowOff>111293</xdr:rowOff>
    </xdr:from>
    <xdr:to>
      <xdr:col>27</xdr:col>
      <xdr:colOff>12437</xdr:colOff>
      <xdr:row>249</xdr:row>
      <xdr:rowOff>4478</xdr:rowOff>
    </xdr:to>
    <xdr:cxnSp macro="">
      <xdr:nvCxnSpPr>
        <xdr:cNvPr id="244" name="直線コネクタ 243">
          <a:extLst>
            <a:ext uri="{FF2B5EF4-FFF2-40B4-BE49-F238E27FC236}">
              <a16:creationId xmlns:a16="http://schemas.microsoft.com/office/drawing/2014/main" id="{5355701D-21CB-435F-83FE-F18CAEF85422}"/>
            </a:ext>
          </a:extLst>
        </xdr:cNvPr>
        <xdr:cNvCxnSpPr/>
      </xdr:nvCxnSpPr>
      <xdr:spPr>
        <a:xfrm>
          <a:off x="6063613" y="30994705"/>
          <a:ext cx="0" cy="12850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122443</xdr:colOff>
      <xdr:row>249</xdr:row>
      <xdr:rowOff>99387</xdr:rowOff>
    </xdr:from>
    <xdr:to>
      <xdr:col>31</xdr:col>
      <xdr:colOff>122443</xdr:colOff>
      <xdr:row>249</xdr:row>
      <xdr:rowOff>231474</xdr:rowOff>
    </xdr:to>
    <xdr:cxnSp macro="">
      <xdr:nvCxnSpPr>
        <xdr:cNvPr id="245" name="直線コネクタ 244">
          <a:extLst>
            <a:ext uri="{FF2B5EF4-FFF2-40B4-BE49-F238E27FC236}">
              <a16:creationId xmlns:a16="http://schemas.microsoft.com/office/drawing/2014/main" id="{E5658338-6074-4DB6-A743-4AB4BE5AC82C}"/>
            </a:ext>
          </a:extLst>
        </xdr:cNvPr>
        <xdr:cNvCxnSpPr/>
      </xdr:nvCxnSpPr>
      <xdr:spPr>
        <a:xfrm>
          <a:off x="7070090" y="3121812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110536</xdr:colOff>
      <xdr:row>249</xdr:row>
      <xdr:rowOff>99387</xdr:rowOff>
    </xdr:from>
    <xdr:to>
      <xdr:col>29</xdr:col>
      <xdr:colOff>110536</xdr:colOff>
      <xdr:row>249</xdr:row>
      <xdr:rowOff>231474</xdr:rowOff>
    </xdr:to>
    <xdr:cxnSp macro="">
      <xdr:nvCxnSpPr>
        <xdr:cNvPr id="246" name="直線コネクタ 245">
          <a:extLst>
            <a:ext uri="{FF2B5EF4-FFF2-40B4-BE49-F238E27FC236}">
              <a16:creationId xmlns:a16="http://schemas.microsoft.com/office/drawing/2014/main" id="{05DFE1EB-BB3C-4788-BD8A-B3081C244851}"/>
            </a:ext>
          </a:extLst>
        </xdr:cNvPr>
        <xdr:cNvCxnSpPr/>
      </xdr:nvCxnSpPr>
      <xdr:spPr>
        <a:xfrm>
          <a:off x="6609948" y="3121812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33145</xdr:colOff>
      <xdr:row>249</xdr:row>
      <xdr:rowOff>99387</xdr:rowOff>
    </xdr:from>
    <xdr:to>
      <xdr:col>29</xdr:col>
      <xdr:colOff>33145</xdr:colOff>
      <xdr:row>249</xdr:row>
      <xdr:rowOff>231474</xdr:rowOff>
    </xdr:to>
    <xdr:cxnSp macro="">
      <xdr:nvCxnSpPr>
        <xdr:cNvPr id="247" name="直線コネクタ 246">
          <a:extLst>
            <a:ext uri="{FF2B5EF4-FFF2-40B4-BE49-F238E27FC236}">
              <a16:creationId xmlns:a16="http://schemas.microsoft.com/office/drawing/2014/main" id="{83C2DE5E-6782-4B76-B0BD-EAE99AF1D789}"/>
            </a:ext>
          </a:extLst>
        </xdr:cNvPr>
        <xdr:cNvCxnSpPr/>
      </xdr:nvCxnSpPr>
      <xdr:spPr>
        <a:xfrm>
          <a:off x="6532557" y="3121812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12437</xdr:colOff>
      <xdr:row>249</xdr:row>
      <xdr:rowOff>117246</xdr:rowOff>
    </xdr:from>
    <xdr:to>
      <xdr:col>27</xdr:col>
      <xdr:colOff>12437</xdr:colOff>
      <xdr:row>250</xdr:row>
      <xdr:rowOff>9138</xdr:rowOff>
    </xdr:to>
    <xdr:cxnSp macro="">
      <xdr:nvCxnSpPr>
        <xdr:cNvPr id="248" name="直線コネクタ 247">
          <a:extLst>
            <a:ext uri="{FF2B5EF4-FFF2-40B4-BE49-F238E27FC236}">
              <a16:creationId xmlns:a16="http://schemas.microsoft.com/office/drawing/2014/main" id="{7AF492D8-7275-48FB-B830-E2EF2275AF99}"/>
            </a:ext>
          </a:extLst>
        </xdr:cNvPr>
        <xdr:cNvCxnSpPr/>
      </xdr:nvCxnSpPr>
      <xdr:spPr>
        <a:xfrm>
          <a:off x="6063613" y="31235981"/>
          <a:ext cx="0" cy="12721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20240</xdr:colOff>
      <xdr:row>249</xdr:row>
      <xdr:rowOff>155324</xdr:rowOff>
    </xdr:from>
    <xdr:to>
      <xdr:col>29</xdr:col>
      <xdr:colOff>32147</xdr:colOff>
      <xdr:row>249</xdr:row>
      <xdr:rowOff>155324</xdr:rowOff>
    </xdr:to>
    <xdr:cxnSp macro="">
      <xdr:nvCxnSpPr>
        <xdr:cNvPr id="249" name="直線矢印コネクタ 248">
          <a:extLst>
            <a:ext uri="{FF2B5EF4-FFF2-40B4-BE49-F238E27FC236}">
              <a16:creationId xmlns:a16="http://schemas.microsoft.com/office/drawing/2014/main" id="{167BFB57-0EC4-4EEC-8E31-0AA3498B941A}"/>
            </a:ext>
          </a:extLst>
        </xdr:cNvPr>
        <xdr:cNvCxnSpPr/>
      </xdr:nvCxnSpPr>
      <xdr:spPr>
        <a:xfrm flipH="1">
          <a:off x="6071416" y="31274059"/>
          <a:ext cx="460143"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109537</xdr:colOff>
      <xdr:row>249</xdr:row>
      <xdr:rowOff>155324</xdr:rowOff>
    </xdr:from>
    <xdr:to>
      <xdr:col>31</xdr:col>
      <xdr:colOff>121443</xdr:colOff>
      <xdr:row>249</xdr:row>
      <xdr:rowOff>155324</xdr:rowOff>
    </xdr:to>
    <xdr:cxnSp macro="">
      <xdr:nvCxnSpPr>
        <xdr:cNvPr id="250" name="直線矢印コネクタ 249">
          <a:extLst>
            <a:ext uri="{FF2B5EF4-FFF2-40B4-BE49-F238E27FC236}">
              <a16:creationId xmlns:a16="http://schemas.microsoft.com/office/drawing/2014/main" id="{27E9CF03-210E-4601-922E-EDC4B67DC9F3}"/>
            </a:ext>
          </a:extLst>
        </xdr:cNvPr>
        <xdr:cNvCxnSpPr/>
      </xdr:nvCxnSpPr>
      <xdr:spPr>
        <a:xfrm flipH="1">
          <a:off x="6608949" y="31274059"/>
          <a:ext cx="460141"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1116</xdr:colOff>
      <xdr:row>250</xdr:row>
      <xdr:rowOff>93953</xdr:rowOff>
    </xdr:from>
    <xdr:to>
      <xdr:col>34</xdr:col>
      <xdr:colOff>1116</xdr:colOff>
      <xdr:row>254</xdr:row>
      <xdr:rowOff>105097</xdr:rowOff>
    </xdr:to>
    <xdr:cxnSp macro="">
      <xdr:nvCxnSpPr>
        <xdr:cNvPr id="251" name="直線矢印コネクタ 250">
          <a:extLst>
            <a:ext uri="{FF2B5EF4-FFF2-40B4-BE49-F238E27FC236}">
              <a16:creationId xmlns:a16="http://schemas.microsoft.com/office/drawing/2014/main" id="{B8B60645-86FC-4C24-9C89-5636ADC9ED25}"/>
            </a:ext>
          </a:extLst>
        </xdr:cNvPr>
        <xdr:cNvCxnSpPr/>
      </xdr:nvCxnSpPr>
      <xdr:spPr>
        <a:xfrm flipV="1">
          <a:off x="7621116" y="31448012"/>
          <a:ext cx="0" cy="952438"/>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74719</xdr:colOff>
      <xdr:row>250</xdr:row>
      <xdr:rowOff>88540</xdr:rowOff>
    </xdr:from>
    <xdr:to>
      <xdr:col>34</xdr:col>
      <xdr:colOff>67142</xdr:colOff>
      <xdr:row>250</xdr:row>
      <xdr:rowOff>88540</xdr:rowOff>
    </xdr:to>
    <xdr:cxnSp macro="">
      <xdr:nvCxnSpPr>
        <xdr:cNvPr id="252" name="直線コネクタ 251">
          <a:extLst>
            <a:ext uri="{FF2B5EF4-FFF2-40B4-BE49-F238E27FC236}">
              <a16:creationId xmlns:a16="http://schemas.microsoft.com/office/drawing/2014/main" id="{24E59513-BF92-4B56-B1A8-AE809781F134}"/>
            </a:ext>
          </a:extLst>
        </xdr:cNvPr>
        <xdr:cNvCxnSpPr/>
      </xdr:nvCxnSpPr>
      <xdr:spPr>
        <a:xfrm>
          <a:off x="7470601" y="31442599"/>
          <a:ext cx="21654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92037</xdr:colOff>
      <xdr:row>254</xdr:row>
      <xdr:rowOff>97607</xdr:rowOff>
    </xdr:from>
    <xdr:to>
      <xdr:col>34</xdr:col>
      <xdr:colOff>86841</xdr:colOff>
      <xdr:row>254</xdr:row>
      <xdr:rowOff>97607</xdr:rowOff>
    </xdr:to>
    <xdr:cxnSp macro="">
      <xdr:nvCxnSpPr>
        <xdr:cNvPr id="253" name="直線コネクタ 252">
          <a:extLst>
            <a:ext uri="{FF2B5EF4-FFF2-40B4-BE49-F238E27FC236}">
              <a16:creationId xmlns:a16="http://schemas.microsoft.com/office/drawing/2014/main" id="{18C44578-26C7-4F40-A23E-B8FE3494475E}"/>
            </a:ext>
          </a:extLst>
        </xdr:cNvPr>
        <xdr:cNvCxnSpPr/>
      </xdr:nvCxnSpPr>
      <xdr:spPr>
        <a:xfrm>
          <a:off x="7487919" y="32392960"/>
          <a:ext cx="21892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176640</xdr:colOff>
      <xdr:row>247</xdr:row>
      <xdr:rowOff>189530</xdr:rowOff>
    </xdr:from>
    <xdr:ext cx="270843" cy="254493"/>
    <xdr:sp macro="" textlink="">
      <xdr:nvSpPr>
        <xdr:cNvPr id="254" name="テキスト ボックス 253">
          <a:extLst>
            <a:ext uri="{FF2B5EF4-FFF2-40B4-BE49-F238E27FC236}">
              <a16:creationId xmlns:a16="http://schemas.microsoft.com/office/drawing/2014/main" id="{90AA7C28-475F-413E-9382-8D63485F0D2F}"/>
            </a:ext>
          </a:extLst>
        </xdr:cNvPr>
        <xdr:cNvSpPr txBox="1"/>
      </xdr:nvSpPr>
      <xdr:spPr>
        <a:xfrm>
          <a:off x="6451934" y="30837618"/>
          <a:ext cx="27084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29</xdr:col>
      <xdr:colOff>190504</xdr:colOff>
      <xdr:row>248</xdr:row>
      <xdr:rowOff>188560</xdr:rowOff>
    </xdr:from>
    <xdr:ext cx="285399" cy="254493"/>
    <xdr:sp macro="" textlink="">
      <xdr:nvSpPr>
        <xdr:cNvPr id="255" name="テキスト ボックス 254">
          <a:extLst>
            <a:ext uri="{FF2B5EF4-FFF2-40B4-BE49-F238E27FC236}">
              <a16:creationId xmlns:a16="http://schemas.microsoft.com/office/drawing/2014/main" id="{F145420A-B602-4BD9-B34E-10C0A59096C5}"/>
            </a:ext>
          </a:extLst>
        </xdr:cNvPr>
        <xdr:cNvSpPr txBox="1"/>
      </xdr:nvSpPr>
      <xdr:spPr>
        <a:xfrm>
          <a:off x="6689916" y="31071972"/>
          <a:ext cx="285399"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27</xdr:col>
      <xdr:colOff>100447</xdr:colOff>
      <xdr:row>248</xdr:row>
      <xdr:rowOff>189437</xdr:rowOff>
    </xdr:from>
    <xdr:ext cx="285399" cy="254493"/>
    <xdr:sp macro="" textlink="">
      <xdr:nvSpPr>
        <xdr:cNvPr id="256" name="テキスト ボックス 255">
          <a:extLst>
            <a:ext uri="{FF2B5EF4-FFF2-40B4-BE49-F238E27FC236}">
              <a16:creationId xmlns:a16="http://schemas.microsoft.com/office/drawing/2014/main" id="{0C8305DB-2CEC-47E7-99B1-D5BCF7A71EAF}"/>
            </a:ext>
          </a:extLst>
        </xdr:cNvPr>
        <xdr:cNvSpPr txBox="1"/>
      </xdr:nvSpPr>
      <xdr:spPr>
        <a:xfrm>
          <a:off x="6151623" y="31072849"/>
          <a:ext cx="285399"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33</xdr:col>
      <xdr:colOff>203733</xdr:colOff>
      <xdr:row>251</xdr:row>
      <xdr:rowOff>182602</xdr:rowOff>
    </xdr:from>
    <xdr:ext cx="286553" cy="254493"/>
    <xdr:sp macro="" textlink="">
      <xdr:nvSpPr>
        <xdr:cNvPr id="257" name="テキスト ボックス 256">
          <a:extLst>
            <a:ext uri="{FF2B5EF4-FFF2-40B4-BE49-F238E27FC236}">
              <a16:creationId xmlns:a16="http://schemas.microsoft.com/office/drawing/2014/main" id="{1F88BF2B-30E9-4B7C-BE6C-B93A2985B1B1}"/>
            </a:ext>
          </a:extLst>
        </xdr:cNvPr>
        <xdr:cNvSpPr txBox="1"/>
      </xdr:nvSpPr>
      <xdr:spPr>
        <a:xfrm>
          <a:off x="7599615" y="31771984"/>
          <a:ext cx="28655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H</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twoCellAnchor>
    <xdr:from>
      <xdr:col>26</xdr:col>
      <xdr:colOff>193963</xdr:colOff>
      <xdr:row>252</xdr:row>
      <xdr:rowOff>76616</xdr:rowOff>
    </xdr:from>
    <xdr:to>
      <xdr:col>31</xdr:col>
      <xdr:colOff>202623</xdr:colOff>
      <xdr:row>252</xdr:row>
      <xdr:rowOff>76616</xdr:rowOff>
    </xdr:to>
    <xdr:cxnSp macro="">
      <xdr:nvCxnSpPr>
        <xdr:cNvPr id="258" name="直線コネクタ 257">
          <a:extLst>
            <a:ext uri="{FF2B5EF4-FFF2-40B4-BE49-F238E27FC236}">
              <a16:creationId xmlns:a16="http://schemas.microsoft.com/office/drawing/2014/main" id="{A8649B96-7429-4F0B-93E0-F551256FA907}"/>
            </a:ext>
          </a:extLst>
        </xdr:cNvPr>
        <xdr:cNvCxnSpPr/>
      </xdr:nvCxnSpPr>
      <xdr:spPr>
        <a:xfrm>
          <a:off x="6021022" y="31901322"/>
          <a:ext cx="1129248" cy="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64075</xdr:colOff>
      <xdr:row>250</xdr:row>
      <xdr:rowOff>7358</xdr:rowOff>
    </xdr:from>
    <xdr:to>
      <xdr:col>29</xdr:col>
      <xdr:colOff>68405</xdr:colOff>
      <xdr:row>254</xdr:row>
      <xdr:rowOff>211072</xdr:rowOff>
    </xdr:to>
    <xdr:cxnSp macro="">
      <xdr:nvCxnSpPr>
        <xdr:cNvPr id="259" name="直線コネクタ 258">
          <a:extLst>
            <a:ext uri="{FF2B5EF4-FFF2-40B4-BE49-F238E27FC236}">
              <a16:creationId xmlns:a16="http://schemas.microsoft.com/office/drawing/2014/main" id="{629D4B4D-56B6-42B7-800A-D412664816AA}"/>
            </a:ext>
          </a:extLst>
        </xdr:cNvPr>
        <xdr:cNvCxnSpPr/>
      </xdr:nvCxnSpPr>
      <xdr:spPr>
        <a:xfrm flipH="1">
          <a:off x="6563487" y="31361417"/>
          <a:ext cx="4330" cy="1145008"/>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3574</xdr:colOff>
      <xdr:row>251</xdr:row>
      <xdr:rowOff>148830</xdr:rowOff>
    </xdr:from>
    <xdr:ext cx="768159" cy="328423"/>
    <xdr:sp macro="" textlink="">
      <xdr:nvSpPr>
        <xdr:cNvPr id="260" name="テキスト ボックス 259">
          <a:extLst>
            <a:ext uri="{FF2B5EF4-FFF2-40B4-BE49-F238E27FC236}">
              <a16:creationId xmlns:a16="http://schemas.microsoft.com/office/drawing/2014/main" id="{7194B2CB-B726-40A8-B61F-8DBF8E05ACFF}"/>
            </a:ext>
          </a:extLst>
        </xdr:cNvPr>
        <xdr:cNvSpPr txBox="1"/>
      </xdr:nvSpPr>
      <xdr:spPr>
        <a:xfrm>
          <a:off x="5382398" y="31738212"/>
          <a:ext cx="7681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強軸</a:t>
          </a:r>
          <a:r>
            <a:rPr kumimoji="1" lang="en-US" altLang="ja-JP" sz="1100">
              <a:latin typeface="Times New Roman" panose="02020603050405020304" pitchFamily="18" charset="0"/>
              <a:cs typeface="Times New Roman" panose="02020603050405020304" pitchFamily="18" charset="0"/>
            </a:rPr>
            <a:t>(y</a:t>
          </a:r>
          <a:r>
            <a:rPr kumimoji="1" lang="ja-JP" altLang="en-US" sz="1100"/>
            <a:t>軸</a:t>
          </a:r>
          <a:r>
            <a:rPr kumimoji="1" lang="en-US" altLang="ja-JP" sz="1100"/>
            <a:t>)</a:t>
          </a:r>
        </a:p>
      </xdr:txBody>
    </xdr:sp>
    <xdr:clientData/>
  </xdr:oneCellAnchor>
  <xdr:oneCellAnchor>
    <xdr:from>
      <xdr:col>27</xdr:col>
      <xdr:colOff>219077</xdr:colOff>
      <xdr:row>254</xdr:row>
      <xdr:rowOff>132160</xdr:rowOff>
    </xdr:from>
    <xdr:ext cx="760208" cy="328423"/>
    <xdr:sp macro="" textlink="">
      <xdr:nvSpPr>
        <xdr:cNvPr id="261" name="テキスト ボックス 260">
          <a:extLst>
            <a:ext uri="{FF2B5EF4-FFF2-40B4-BE49-F238E27FC236}">
              <a16:creationId xmlns:a16="http://schemas.microsoft.com/office/drawing/2014/main" id="{014EE027-1DE1-4F88-84E7-0BB6CDDDE71C}"/>
            </a:ext>
          </a:extLst>
        </xdr:cNvPr>
        <xdr:cNvSpPr txBox="1"/>
      </xdr:nvSpPr>
      <xdr:spPr>
        <a:xfrm>
          <a:off x="6270253" y="32427513"/>
          <a:ext cx="760208"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弱</a:t>
          </a:r>
          <a:r>
            <a:rPr kumimoji="1" lang="ja-JP" altLang="ja-JP" sz="1100">
              <a:solidFill>
                <a:schemeClr val="tx1"/>
              </a:solidFill>
              <a:effectLst/>
              <a:latin typeface="+mn-lt"/>
              <a:ea typeface="+mn-ea"/>
              <a:cs typeface="+mn-cs"/>
            </a:rPr>
            <a:t>軸</a:t>
          </a:r>
          <a:r>
            <a:rPr kumimoji="1" lang="en-US" altLang="ja-JP" sz="1100">
              <a:latin typeface="Times New Roman" panose="02020603050405020304" pitchFamily="18" charset="0"/>
              <a:cs typeface="Times New Roman" panose="02020603050405020304" pitchFamily="18" charset="0"/>
            </a:rPr>
            <a:t>(z</a:t>
          </a:r>
          <a:r>
            <a:rPr kumimoji="1" lang="ja-JP" altLang="en-US" sz="1100"/>
            <a:t>軸</a:t>
          </a:r>
          <a:r>
            <a:rPr kumimoji="1" lang="en-US" altLang="ja-JP" sz="1100"/>
            <a:t>)</a:t>
          </a:r>
        </a:p>
      </xdr:txBody>
    </xdr:sp>
    <xdr:clientData/>
  </xdr:oneCellAnchor>
  <xdr:twoCellAnchor>
    <xdr:from>
      <xdr:col>31</xdr:col>
      <xdr:colOff>172689</xdr:colOff>
      <xdr:row>250</xdr:row>
      <xdr:rowOff>88540</xdr:rowOff>
    </xdr:from>
    <xdr:to>
      <xdr:col>32</xdr:col>
      <xdr:colOff>165112</xdr:colOff>
      <xdr:row>250</xdr:row>
      <xdr:rowOff>88540</xdr:rowOff>
    </xdr:to>
    <xdr:cxnSp macro="">
      <xdr:nvCxnSpPr>
        <xdr:cNvPr id="262" name="直線コネクタ 261">
          <a:extLst>
            <a:ext uri="{FF2B5EF4-FFF2-40B4-BE49-F238E27FC236}">
              <a16:creationId xmlns:a16="http://schemas.microsoft.com/office/drawing/2014/main" id="{D1957EA7-DC08-4910-B729-BC6979244DBC}"/>
            </a:ext>
          </a:extLst>
        </xdr:cNvPr>
        <xdr:cNvCxnSpPr/>
      </xdr:nvCxnSpPr>
      <xdr:spPr>
        <a:xfrm>
          <a:off x="7120336" y="31442599"/>
          <a:ext cx="21654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172689</xdr:colOff>
      <xdr:row>250</xdr:row>
      <xdr:rowOff>217807</xdr:rowOff>
    </xdr:from>
    <xdr:to>
      <xdr:col>32</xdr:col>
      <xdr:colOff>165112</xdr:colOff>
      <xdr:row>250</xdr:row>
      <xdr:rowOff>217807</xdr:rowOff>
    </xdr:to>
    <xdr:cxnSp macro="">
      <xdr:nvCxnSpPr>
        <xdr:cNvPr id="263" name="直線コネクタ 262">
          <a:extLst>
            <a:ext uri="{FF2B5EF4-FFF2-40B4-BE49-F238E27FC236}">
              <a16:creationId xmlns:a16="http://schemas.microsoft.com/office/drawing/2014/main" id="{7E9D9B22-5F37-420B-B9A6-1C2EAEFC351F}"/>
            </a:ext>
          </a:extLst>
        </xdr:cNvPr>
        <xdr:cNvCxnSpPr/>
      </xdr:nvCxnSpPr>
      <xdr:spPr>
        <a:xfrm>
          <a:off x="7120336" y="31571866"/>
          <a:ext cx="21654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82759</xdr:colOff>
      <xdr:row>250</xdr:row>
      <xdr:rowOff>217778</xdr:rowOff>
    </xdr:from>
    <xdr:to>
      <xdr:col>32</xdr:col>
      <xdr:colOff>82759</xdr:colOff>
      <xdr:row>251</xdr:row>
      <xdr:rowOff>213632</xdr:rowOff>
    </xdr:to>
    <xdr:cxnSp macro="">
      <xdr:nvCxnSpPr>
        <xdr:cNvPr id="264" name="直線矢印コネクタ 263">
          <a:extLst>
            <a:ext uri="{FF2B5EF4-FFF2-40B4-BE49-F238E27FC236}">
              <a16:creationId xmlns:a16="http://schemas.microsoft.com/office/drawing/2014/main" id="{31E1DA66-FB2D-40C1-9896-2F87D7C857A5}"/>
            </a:ext>
          </a:extLst>
        </xdr:cNvPr>
        <xdr:cNvCxnSpPr/>
      </xdr:nvCxnSpPr>
      <xdr:spPr>
        <a:xfrm flipV="1">
          <a:off x="7254524" y="31571837"/>
          <a:ext cx="0" cy="231177"/>
        </a:xfrm>
        <a:prstGeom prst="straightConnector1">
          <a:avLst/>
        </a:prstGeom>
        <a:ln>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82759</xdr:colOff>
      <xdr:row>249</xdr:row>
      <xdr:rowOff>93953</xdr:rowOff>
    </xdr:from>
    <xdr:to>
      <xdr:col>32</xdr:col>
      <xdr:colOff>82759</xdr:colOff>
      <xdr:row>250</xdr:row>
      <xdr:rowOff>89808</xdr:rowOff>
    </xdr:to>
    <xdr:cxnSp macro="">
      <xdr:nvCxnSpPr>
        <xdr:cNvPr id="265" name="直線矢印コネクタ 264">
          <a:extLst>
            <a:ext uri="{FF2B5EF4-FFF2-40B4-BE49-F238E27FC236}">
              <a16:creationId xmlns:a16="http://schemas.microsoft.com/office/drawing/2014/main" id="{F299F1FA-4F4D-4869-8653-674A2FDC934E}"/>
            </a:ext>
          </a:extLst>
        </xdr:cNvPr>
        <xdr:cNvCxnSpPr/>
      </xdr:nvCxnSpPr>
      <xdr:spPr>
        <a:xfrm flipV="1">
          <a:off x="7254524" y="31212688"/>
          <a:ext cx="0" cy="231179"/>
        </a:xfrm>
        <a:prstGeom prst="straightConnector1">
          <a:avLst/>
        </a:prstGeom>
        <a:ln>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99102</xdr:colOff>
      <xdr:row>250</xdr:row>
      <xdr:rowOff>8055</xdr:rowOff>
    </xdr:from>
    <xdr:ext cx="254044" cy="254493"/>
    <xdr:sp macro="" textlink="">
      <xdr:nvSpPr>
        <xdr:cNvPr id="266" name="テキスト ボックス 265">
          <a:extLst>
            <a:ext uri="{FF2B5EF4-FFF2-40B4-BE49-F238E27FC236}">
              <a16:creationId xmlns:a16="http://schemas.microsoft.com/office/drawing/2014/main" id="{5635487F-3493-4F73-AC7A-FF17F0908419}"/>
            </a:ext>
          </a:extLst>
        </xdr:cNvPr>
        <xdr:cNvSpPr txBox="1"/>
      </xdr:nvSpPr>
      <xdr:spPr>
        <a:xfrm>
          <a:off x="7270867" y="31362114"/>
          <a:ext cx="254044"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t'</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27</xdr:col>
      <xdr:colOff>14287</xdr:colOff>
      <xdr:row>94</xdr:row>
      <xdr:rowOff>88540</xdr:rowOff>
    </xdr:from>
    <xdr:to>
      <xdr:col>31</xdr:col>
      <xdr:colOff>121444</xdr:colOff>
      <xdr:row>94</xdr:row>
      <xdr:rowOff>88540</xdr:rowOff>
    </xdr:to>
    <xdr:cxnSp macro="">
      <xdr:nvCxnSpPr>
        <xdr:cNvPr id="4" name="直線コネクタ 3">
          <a:extLst>
            <a:ext uri="{FF2B5EF4-FFF2-40B4-BE49-F238E27FC236}">
              <a16:creationId xmlns:a16="http://schemas.microsoft.com/office/drawing/2014/main" id="{91130328-C222-4FE1-A6AA-DEB2738309B8}"/>
            </a:ext>
          </a:extLst>
        </xdr:cNvPr>
        <xdr:cNvCxnSpPr/>
      </xdr:nvCxnSpPr>
      <xdr:spPr>
        <a:xfrm>
          <a:off x="6186487" y="31768690"/>
          <a:ext cx="102155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14287</xdr:colOff>
      <xdr:row>98</xdr:row>
      <xdr:rowOff>97607</xdr:rowOff>
    </xdr:from>
    <xdr:to>
      <xdr:col>31</xdr:col>
      <xdr:colOff>123825</xdr:colOff>
      <xdr:row>98</xdr:row>
      <xdr:rowOff>97607</xdr:rowOff>
    </xdr:to>
    <xdr:cxnSp macro="">
      <xdr:nvCxnSpPr>
        <xdr:cNvPr id="5" name="直線コネクタ 4">
          <a:extLst>
            <a:ext uri="{FF2B5EF4-FFF2-40B4-BE49-F238E27FC236}">
              <a16:creationId xmlns:a16="http://schemas.microsoft.com/office/drawing/2014/main" id="{3CFD7715-7B6E-4A45-ACFF-8577B8AE2520}"/>
            </a:ext>
          </a:extLst>
        </xdr:cNvPr>
        <xdr:cNvCxnSpPr/>
      </xdr:nvCxnSpPr>
      <xdr:spPr>
        <a:xfrm>
          <a:off x="6186487" y="32730257"/>
          <a:ext cx="102393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14287</xdr:colOff>
      <xdr:row>94</xdr:row>
      <xdr:rowOff>218964</xdr:rowOff>
    </xdr:from>
    <xdr:to>
      <xdr:col>28</xdr:col>
      <xdr:colOff>205458</xdr:colOff>
      <xdr:row>94</xdr:row>
      <xdr:rowOff>219879</xdr:rowOff>
    </xdr:to>
    <xdr:cxnSp macro="">
      <xdr:nvCxnSpPr>
        <xdr:cNvPr id="6" name="直線コネクタ 5">
          <a:extLst>
            <a:ext uri="{FF2B5EF4-FFF2-40B4-BE49-F238E27FC236}">
              <a16:creationId xmlns:a16="http://schemas.microsoft.com/office/drawing/2014/main" id="{14615110-038C-46C6-BAD0-3A55360F3304}"/>
            </a:ext>
          </a:extLst>
        </xdr:cNvPr>
        <xdr:cNvCxnSpPr>
          <a:endCxn id="16" idx="0"/>
        </xdr:cNvCxnSpPr>
      </xdr:nvCxnSpPr>
      <xdr:spPr>
        <a:xfrm flipV="1">
          <a:off x="6186487" y="31899114"/>
          <a:ext cx="419771" cy="9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14287</xdr:colOff>
      <xdr:row>97</xdr:row>
      <xdr:rowOff>208574</xdr:rowOff>
    </xdr:from>
    <xdr:to>
      <xdr:col>28</xdr:col>
      <xdr:colOff>204788</xdr:colOff>
      <xdr:row>97</xdr:row>
      <xdr:rowOff>208574</xdr:rowOff>
    </xdr:to>
    <xdr:cxnSp macro="">
      <xdr:nvCxnSpPr>
        <xdr:cNvPr id="7" name="直線コネクタ 6">
          <a:extLst>
            <a:ext uri="{FF2B5EF4-FFF2-40B4-BE49-F238E27FC236}">
              <a16:creationId xmlns:a16="http://schemas.microsoft.com/office/drawing/2014/main" id="{44FDF4A9-BB77-43EC-91D6-BE7E554DF798}"/>
            </a:ext>
          </a:extLst>
        </xdr:cNvPr>
        <xdr:cNvCxnSpPr/>
      </xdr:nvCxnSpPr>
      <xdr:spPr>
        <a:xfrm>
          <a:off x="6186487" y="32603099"/>
          <a:ext cx="4191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155463</xdr:colOff>
      <xdr:row>94</xdr:row>
      <xdr:rowOff>219879</xdr:rowOff>
    </xdr:from>
    <xdr:to>
      <xdr:col>31</xdr:col>
      <xdr:colOff>123825</xdr:colOff>
      <xdr:row>94</xdr:row>
      <xdr:rowOff>219879</xdr:rowOff>
    </xdr:to>
    <xdr:cxnSp macro="">
      <xdr:nvCxnSpPr>
        <xdr:cNvPr id="8" name="直線コネクタ 7">
          <a:extLst>
            <a:ext uri="{FF2B5EF4-FFF2-40B4-BE49-F238E27FC236}">
              <a16:creationId xmlns:a16="http://schemas.microsoft.com/office/drawing/2014/main" id="{566CDB4E-27F5-4C53-BABB-B0D1894F55E6}"/>
            </a:ext>
          </a:extLst>
        </xdr:cNvPr>
        <xdr:cNvCxnSpPr/>
      </xdr:nvCxnSpPr>
      <xdr:spPr>
        <a:xfrm>
          <a:off x="6784863" y="31900029"/>
          <a:ext cx="42556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157844</xdr:colOff>
      <xdr:row>97</xdr:row>
      <xdr:rowOff>208574</xdr:rowOff>
    </xdr:from>
    <xdr:to>
      <xdr:col>31</xdr:col>
      <xdr:colOff>121444</xdr:colOff>
      <xdr:row>97</xdr:row>
      <xdr:rowOff>208574</xdr:rowOff>
    </xdr:to>
    <xdr:cxnSp macro="">
      <xdr:nvCxnSpPr>
        <xdr:cNvPr id="9" name="直線コネクタ 8">
          <a:extLst>
            <a:ext uri="{FF2B5EF4-FFF2-40B4-BE49-F238E27FC236}">
              <a16:creationId xmlns:a16="http://schemas.microsoft.com/office/drawing/2014/main" id="{CD879DFF-8AB4-4597-9D56-51F541A2AD47}"/>
            </a:ext>
          </a:extLst>
        </xdr:cNvPr>
        <xdr:cNvCxnSpPr/>
      </xdr:nvCxnSpPr>
      <xdr:spPr>
        <a:xfrm>
          <a:off x="6787244" y="32603099"/>
          <a:ext cx="4208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28028</xdr:colOff>
      <xdr:row>95</xdr:row>
      <xdr:rowOff>26630</xdr:rowOff>
    </xdr:from>
    <xdr:to>
      <xdr:col>29</xdr:col>
      <xdr:colOff>28028</xdr:colOff>
      <xdr:row>97</xdr:row>
      <xdr:rowOff>159978</xdr:rowOff>
    </xdr:to>
    <xdr:cxnSp macro="">
      <xdr:nvCxnSpPr>
        <xdr:cNvPr id="10" name="直線コネクタ 9">
          <a:extLst>
            <a:ext uri="{FF2B5EF4-FFF2-40B4-BE49-F238E27FC236}">
              <a16:creationId xmlns:a16="http://schemas.microsoft.com/office/drawing/2014/main" id="{04D8B699-3FF8-4980-B96E-4D7CCB56AF0F}"/>
            </a:ext>
          </a:extLst>
        </xdr:cNvPr>
        <xdr:cNvCxnSpPr/>
      </xdr:nvCxnSpPr>
      <xdr:spPr>
        <a:xfrm>
          <a:off x="6657428" y="31944905"/>
          <a:ext cx="0" cy="6095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104679</xdr:colOff>
      <xdr:row>95</xdr:row>
      <xdr:rowOff>28422</xdr:rowOff>
    </xdr:from>
    <xdr:to>
      <xdr:col>29</xdr:col>
      <xdr:colOff>104679</xdr:colOff>
      <xdr:row>97</xdr:row>
      <xdr:rowOff>159978</xdr:rowOff>
    </xdr:to>
    <xdr:cxnSp macro="">
      <xdr:nvCxnSpPr>
        <xdr:cNvPr id="11" name="直線コネクタ 10">
          <a:extLst>
            <a:ext uri="{FF2B5EF4-FFF2-40B4-BE49-F238E27FC236}">
              <a16:creationId xmlns:a16="http://schemas.microsoft.com/office/drawing/2014/main" id="{A5B53156-73F2-43F6-AC16-A759A2D3BB54}"/>
            </a:ext>
          </a:extLst>
        </xdr:cNvPr>
        <xdr:cNvCxnSpPr/>
      </xdr:nvCxnSpPr>
      <xdr:spPr>
        <a:xfrm>
          <a:off x="6734079" y="31946697"/>
          <a:ext cx="0" cy="6078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12437</xdr:colOff>
      <xdr:row>94</xdr:row>
      <xdr:rowOff>86187</xdr:rowOff>
    </xdr:from>
    <xdr:to>
      <xdr:col>27</xdr:col>
      <xdr:colOff>12437</xdr:colOff>
      <xdr:row>94</xdr:row>
      <xdr:rowOff>219568</xdr:rowOff>
    </xdr:to>
    <xdr:cxnSp macro="">
      <xdr:nvCxnSpPr>
        <xdr:cNvPr id="12" name="直線コネクタ 11">
          <a:extLst>
            <a:ext uri="{FF2B5EF4-FFF2-40B4-BE49-F238E27FC236}">
              <a16:creationId xmlns:a16="http://schemas.microsoft.com/office/drawing/2014/main" id="{CA006707-FDD4-40D4-A39C-3E6560867B51}"/>
            </a:ext>
          </a:extLst>
        </xdr:cNvPr>
        <xdr:cNvCxnSpPr/>
      </xdr:nvCxnSpPr>
      <xdr:spPr>
        <a:xfrm>
          <a:off x="6184637" y="31766337"/>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17272</xdr:colOff>
      <xdr:row>97</xdr:row>
      <xdr:rowOff>205101</xdr:rowOff>
    </xdr:from>
    <xdr:to>
      <xdr:col>27</xdr:col>
      <xdr:colOff>17272</xdr:colOff>
      <xdr:row>98</xdr:row>
      <xdr:rowOff>99371</xdr:rowOff>
    </xdr:to>
    <xdr:cxnSp macro="">
      <xdr:nvCxnSpPr>
        <xdr:cNvPr id="13" name="直線コネクタ 12">
          <a:extLst>
            <a:ext uri="{FF2B5EF4-FFF2-40B4-BE49-F238E27FC236}">
              <a16:creationId xmlns:a16="http://schemas.microsoft.com/office/drawing/2014/main" id="{73414B11-3B63-4F06-A3BF-AA70CFFF504A}"/>
            </a:ext>
          </a:extLst>
        </xdr:cNvPr>
        <xdr:cNvCxnSpPr/>
      </xdr:nvCxnSpPr>
      <xdr:spPr>
        <a:xfrm>
          <a:off x="6189472" y="32599626"/>
          <a:ext cx="0" cy="1323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122443</xdr:colOff>
      <xdr:row>94</xdr:row>
      <xdr:rowOff>86187</xdr:rowOff>
    </xdr:from>
    <xdr:to>
      <xdr:col>31</xdr:col>
      <xdr:colOff>122443</xdr:colOff>
      <xdr:row>94</xdr:row>
      <xdr:rowOff>219568</xdr:rowOff>
    </xdr:to>
    <xdr:cxnSp macro="">
      <xdr:nvCxnSpPr>
        <xdr:cNvPr id="14" name="直線コネクタ 13">
          <a:extLst>
            <a:ext uri="{FF2B5EF4-FFF2-40B4-BE49-F238E27FC236}">
              <a16:creationId xmlns:a16="http://schemas.microsoft.com/office/drawing/2014/main" id="{1AA67027-72E9-4596-B774-33E92E4F0BBA}"/>
            </a:ext>
          </a:extLst>
        </xdr:cNvPr>
        <xdr:cNvCxnSpPr/>
      </xdr:nvCxnSpPr>
      <xdr:spPr>
        <a:xfrm>
          <a:off x="7209043" y="31766337"/>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121913</xdr:colOff>
      <xdr:row>97</xdr:row>
      <xdr:rowOff>205101</xdr:rowOff>
    </xdr:from>
    <xdr:to>
      <xdr:col>31</xdr:col>
      <xdr:colOff>121913</xdr:colOff>
      <xdr:row>98</xdr:row>
      <xdr:rowOff>99371</xdr:rowOff>
    </xdr:to>
    <xdr:cxnSp macro="">
      <xdr:nvCxnSpPr>
        <xdr:cNvPr id="15" name="直線コネクタ 14">
          <a:extLst>
            <a:ext uri="{FF2B5EF4-FFF2-40B4-BE49-F238E27FC236}">
              <a16:creationId xmlns:a16="http://schemas.microsoft.com/office/drawing/2014/main" id="{E4260D7C-2180-473E-84A3-B1C5C44787EA}"/>
            </a:ext>
          </a:extLst>
        </xdr:cNvPr>
        <xdr:cNvCxnSpPr/>
      </xdr:nvCxnSpPr>
      <xdr:spPr>
        <a:xfrm>
          <a:off x="7208513" y="32599626"/>
          <a:ext cx="0" cy="1323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154211</xdr:colOff>
      <xdr:row>94</xdr:row>
      <xdr:rowOff>218964</xdr:rowOff>
    </xdr:from>
    <xdr:to>
      <xdr:col>29</xdr:col>
      <xdr:colOff>28105</xdr:colOff>
      <xdr:row>95</xdr:row>
      <xdr:rowOff>80725</xdr:rowOff>
    </xdr:to>
    <xdr:sp macro="" textlink="">
      <xdr:nvSpPr>
        <xdr:cNvPr id="16" name="円弧 15">
          <a:extLst>
            <a:ext uri="{FF2B5EF4-FFF2-40B4-BE49-F238E27FC236}">
              <a16:creationId xmlns:a16="http://schemas.microsoft.com/office/drawing/2014/main" id="{696DC8F5-2729-487A-8BD4-74563033CBFD}"/>
            </a:ext>
          </a:extLst>
        </xdr:cNvPr>
        <xdr:cNvSpPr/>
      </xdr:nvSpPr>
      <xdr:spPr>
        <a:xfrm>
          <a:off x="6555011" y="31899114"/>
          <a:ext cx="102494" cy="99886"/>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104308</xdr:colOff>
      <xdr:row>94</xdr:row>
      <xdr:rowOff>223294</xdr:rowOff>
    </xdr:from>
    <xdr:to>
      <xdr:col>29</xdr:col>
      <xdr:colOff>207172</xdr:colOff>
      <xdr:row>95</xdr:row>
      <xdr:rowOff>85055</xdr:rowOff>
    </xdr:to>
    <xdr:sp macro="" textlink="">
      <xdr:nvSpPr>
        <xdr:cNvPr id="17" name="円弧 16">
          <a:extLst>
            <a:ext uri="{FF2B5EF4-FFF2-40B4-BE49-F238E27FC236}">
              <a16:creationId xmlns:a16="http://schemas.microsoft.com/office/drawing/2014/main" id="{EE889E6A-84C7-41D7-A065-728E9131364A}"/>
            </a:ext>
          </a:extLst>
        </xdr:cNvPr>
        <xdr:cNvSpPr/>
      </xdr:nvSpPr>
      <xdr:spPr>
        <a:xfrm flipH="1">
          <a:off x="6733708" y="31903444"/>
          <a:ext cx="102864" cy="99886"/>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104303</xdr:colOff>
      <xdr:row>97</xdr:row>
      <xdr:rowOff>100447</xdr:rowOff>
    </xdr:from>
    <xdr:to>
      <xdr:col>29</xdr:col>
      <xdr:colOff>216692</xdr:colOff>
      <xdr:row>97</xdr:row>
      <xdr:rowOff>209439</xdr:rowOff>
    </xdr:to>
    <xdr:sp macro="" textlink="">
      <xdr:nvSpPr>
        <xdr:cNvPr id="18" name="円弧 17">
          <a:extLst>
            <a:ext uri="{FF2B5EF4-FFF2-40B4-BE49-F238E27FC236}">
              <a16:creationId xmlns:a16="http://schemas.microsoft.com/office/drawing/2014/main" id="{B6311FE0-6AC4-489A-A447-2F684E276E7A}"/>
            </a:ext>
          </a:extLst>
        </xdr:cNvPr>
        <xdr:cNvSpPr/>
      </xdr:nvSpPr>
      <xdr:spPr>
        <a:xfrm flipH="1" flipV="1">
          <a:off x="6733703" y="32494972"/>
          <a:ext cx="112389" cy="10899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150018</xdr:colOff>
      <xdr:row>97</xdr:row>
      <xdr:rowOff>100446</xdr:rowOff>
    </xdr:from>
    <xdr:to>
      <xdr:col>29</xdr:col>
      <xdr:colOff>28102</xdr:colOff>
      <xdr:row>97</xdr:row>
      <xdr:rowOff>209438</xdr:rowOff>
    </xdr:to>
    <xdr:sp macro="" textlink="">
      <xdr:nvSpPr>
        <xdr:cNvPr id="19" name="円弧 18">
          <a:extLst>
            <a:ext uri="{FF2B5EF4-FFF2-40B4-BE49-F238E27FC236}">
              <a16:creationId xmlns:a16="http://schemas.microsoft.com/office/drawing/2014/main" id="{81352DF6-D4BD-42CD-988F-68A2B195BFA8}"/>
            </a:ext>
          </a:extLst>
        </xdr:cNvPr>
        <xdr:cNvSpPr/>
      </xdr:nvSpPr>
      <xdr:spPr>
        <a:xfrm flipV="1">
          <a:off x="6550818" y="32494971"/>
          <a:ext cx="106684" cy="10899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20240</xdr:colOff>
      <xdr:row>92</xdr:row>
      <xdr:rowOff>163348</xdr:rowOff>
    </xdr:from>
    <xdr:to>
      <xdr:col>31</xdr:col>
      <xdr:colOff>121443</xdr:colOff>
      <xdr:row>92</xdr:row>
      <xdr:rowOff>163348</xdr:rowOff>
    </xdr:to>
    <xdr:cxnSp macro="">
      <xdr:nvCxnSpPr>
        <xdr:cNvPr id="20" name="直線矢印コネクタ 19">
          <a:extLst>
            <a:ext uri="{FF2B5EF4-FFF2-40B4-BE49-F238E27FC236}">
              <a16:creationId xmlns:a16="http://schemas.microsoft.com/office/drawing/2014/main" id="{D7B2CD69-DD66-4087-A554-A414E81BE556}"/>
            </a:ext>
          </a:extLst>
        </xdr:cNvPr>
        <xdr:cNvCxnSpPr/>
      </xdr:nvCxnSpPr>
      <xdr:spPr>
        <a:xfrm flipH="1">
          <a:off x="6192440" y="31367248"/>
          <a:ext cx="1015603"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122443</xdr:colOff>
      <xdr:row>92</xdr:row>
      <xdr:rowOff>105340</xdr:rowOff>
    </xdr:from>
    <xdr:to>
      <xdr:col>31</xdr:col>
      <xdr:colOff>122443</xdr:colOff>
      <xdr:row>93</xdr:row>
      <xdr:rowOff>596</xdr:rowOff>
    </xdr:to>
    <xdr:cxnSp macro="">
      <xdr:nvCxnSpPr>
        <xdr:cNvPr id="21" name="直線コネクタ 20">
          <a:extLst>
            <a:ext uri="{FF2B5EF4-FFF2-40B4-BE49-F238E27FC236}">
              <a16:creationId xmlns:a16="http://schemas.microsoft.com/office/drawing/2014/main" id="{524F42A4-B7D7-4D0C-89AB-F49F9DFC3AB0}"/>
            </a:ext>
          </a:extLst>
        </xdr:cNvPr>
        <xdr:cNvCxnSpPr/>
      </xdr:nvCxnSpPr>
      <xdr:spPr>
        <a:xfrm>
          <a:off x="7209043" y="31309240"/>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12437</xdr:colOff>
      <xdr:row>92</xdr:row>
      <xdr:rowOff>111293</xdr:rowOff>
    </xdr:from>
    <xdr:to>
      <xdr:col>27</xdr:col>
      <xdr:colOff>12437</xdr:colOff>
      <xdr:row>93</xdr:row>
      <xdr:rowOff>4478</xdr:rowOff>
    </xdr:to>
    <xdr:cxnSp macro="">
      <xdr:nvCxnSpPr>
        <xdr:cNvPr id="22" name="直線コネクタ 21">
          <a:extLst>
            <a:ext uri="{FF2B5EF4-FFF2-40B4-BE49-F238E27FC236}">
              <a16:creationId xmlns:a16="http://schemas.microsoft.com/office/drawing/2014/main" id="{7706A515-DE66-41AB-B38D-70C9A248A44D}"/>
            </a:ext>
          </a:extLst>
        </xdr:cNvPr>
        <xdr:cNvCxnSpPr/>
      </xdr:nvCxnSpPr>
      <xdr:spPr>
        <a:xfrm>
          <a:off x="6184637" y="31315193"/>
          <a:ext cx="0" cy="1313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122443</xdr:colOff>
      <xdr:row>93</xdr:row>
      <xdr:rowOff>99387</xdr:rowOff>
    </xdr:from>
    <xdr:to>
      <xdr:col>31</xdr:col>
      <xdr:colOff>122443</xdr:colOff>
      <xdr:row>93</xdr:row>
      <xdr:rowOff>231474</xdr:rowOff>
    </xdr:to>
    <xdr:cxnSp macro="">
      <xdr:nvCxnSpPr>
        <xdr:cNvPr id="23" name="直線コネクタ 22">
          <a:extLst>
            <a:ext uri="{FF2B5EF4-FFF2-40B4-BE49-F238E27FC236}">
              <a16:creationId xmlns:a16="http://schemas.microsoft.com/office/drawing/2014/main" id="{8F4CC8CF-DA86-4713-B8FA-A411CC302159}"/>
            </a:ext>
          </a:extLst>
        </xdr:cNvPr>
        <xdr:cNvCxnSpPr/>
      </xdr:nvCxnSpPr>
      <xdr:spPr>
        <a:xfrm>
          <a:off x="7209043" y="3154141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110536</xdr:colOff>
      <xdr:row>93</xdr:row>
      <xdr:rowOff>99387</xdr:rowOff>
    </xdr:from>
    <xdr:to>
      <xdr:col>29</xdr:col>
      <xdr:colOff>110536</xdr:colOff>
      <xdr:row>93</xdr:row>
      <xdr:rowOff>231474</xdr:rowOff>
    </xdr:to>
    <xdr:cxnSp macro="">
      <xdr:nvCxnSpPr>
        <xdr:cNvPr id="24" name="直線コネクタ 23">
          <a:extLst>
            <a:ext uri="{FF2B5EF4-FFF2-40B4-BE49-F238E27FC236}">
              <a16:creationId xmlns:a16="http://schemas.microsoft.com/office/drawing/2014/main" id="{D50E6DE4-F217-4069-9DBF-533653CA2368}"/>
            </a:ext>
          </a:extLst>
        </xdr:cNvPr>
        <xdr:cNvCxnSpPr/>
      </xdr:nvCxnSpPr>
      <xdr:spPr>
        <a:xfrm>
          <a:off x="6739936" y="3154141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33145</xdr:colOff>
      <xdr:row>93</xdr:row>
      <xdr:rowOff>99387</xdr:rowOff>
    </xdr:from>
    <xdr:to>
      <xdr:col>29</xdr:col>
      <xdr:colOff>33145</xdr:colOff>
      <xdr:row>93</xdr:row>
      <xdr:rowOff>231474</xdr:rowOff>
    </xdr:to>
    <xdr:cxnSp macro="">
      <xdr:nvCxnSpPr>
        <xdr:cNvPr id="25" name="直線コネクタ 24">
          <a:extLst>
            <a:ext uri="{FF2B5EF4-FFF2-40B4-BE49-F238E27FC236}">
              <a16:creationId xmlns:a16="http://schemas.microsoft.com/office/drawing/2014/main" id="{EDF43E31-3BDA-484C-A84F-828B12E6D497}"/>
            </a:ext>
          </a:extLst>
        </xdr:cNvPr>
        <xdr:cNvCxnSpPr/>
      </xdr:nvCxnSpPr>
      <xdr:spPr>
        <a:xfrm>
          <a:off x="6662545" y="3154141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12437</xdr:colOff>
      <xdr:row>93</xdr:row>
      <xdr:rowOff>117246</xdr:rowOff>
    </xdr:from>
    <xdr:to>
      <xdr:col>27</xdr:col>
      <xdr:colOff>12437</xdr:colOff>
      <xdr:row>94</xdr:row>
      <xdr:rowOff>9138</xdr:rowOff>
    </xdr:to>
    <xdr:cxnSp macro="">
      <xdr:nvCxnSpPr>
        <xdr:cNvPr id="26" name="直線コネクタ 25">
          <a:extLst>
            <a:ext uri="{FF2B5EF4-FFF2-40B4-BE49-F238E27FC236}">
              <a16:creationId xmlns:a16="http://schemas.microsoft.com/office/drawing/2014/main" id="{8B18048A-BCB1-4C09-9E07-963F0423275C}"/>
            </a:ext>
          </a:extLst>
        </xdr:cNvPr>
        <xdr:cNvCxnSpPr/>
      </xdr:nvCxnSpPr>
      <xdr:spPr>
        <a:xfrm>
          <a:off x="6184637" y="31559271"/>
          <a:ext cx="0" cy="13001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20240</xdr:colOff>
      <xdr:row>93</xdr:row>
      <xdr:rowOff>155324</xdr:rowOff>
    </xdr:from>
    <xdr:to>
      <xdr:col>29</xdr:col>
      <xdr:colOff>32147</xdr:colOff>
      <xdr:row>93</xdr:row>
      <xdr:rowOff>155324</xdr:rowOff>
    </xdr:to>
    <xdr:cxnSp macro="">
      <xdr:nvCxnSpPr>
        <xdr:cNvPr id="27" name="直線矢印コネクタ 26">
          <a:extLst>
            <a:ext uri="{FF2B5EF4-FFF2-40B4-BE49-F238E27FC236}">
              <a16:creationId xmlns:a16="http://schemas.microsoft.com/office/drawing/2014/main" id="{E37ACE9D-2DF6-4AFB-BA78-589208BDB68D}"/>
            </a:ext>
          </a:extLst>
        </xdr:cNvPr>
        <xdr:cNvCxnSpPr/>
      </xdr:nvCxnSpPr>
      <xdr:spPr>
        <a:xfrm flipH="1">
          <a:off x="6192440" y="31597349"/>
          <a:ext cx="469107"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109537</xdr:colOff>
      <xdr:row>93</xdr:row>
      <xdr:rowOff>155324</xdr:rowOff>
    </xdr:from>
    <xdr:to>
      <xdr:col>31</xdr:col>
      <xdr:colOff>121443</xdr:colOff>
      <xdr:row>93</xdr:row>
      <xdr:rowOff>155324</xdr:rowOff>
    </xdr:to>
    <xdr:cxnSp macro="">
      <xdr:nvCxnSpPr>
        <xdr:cNvPr id="28" name="直線矢印コネクタ 27">
          <a:extLst>
            <a:ext uri="{FF2B5EF4-FFF2-40B4-BE49-F238E27FC236}">
              <a16:creationId xmlns:a16="http://schemas.microsoft.com/office/drawing/2014/main" id="{D917A375-CBFA-4780-B11B-EAF9BC90015C}"/>
            </a:ext>
          </a:extLst>
        </xdr:cNvPr>
        <xdr:cNvCxnSpPr/>
      </xdr:nvCxnSpPr>
      <xdr:spPr>
        <a:xfrm flipH="1">
          <a:off x="6738937" y="31597349"/>
          <a:ext cx="469106"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1116</xdr:colOff>
      <xdr:row>94</xdr:row>
      <xdr:rowOff>93953</xdr:rowOff>
    </xdr:from>
    <xdr:to>
      <xdr:col>34</xdr:col>
      <xdr:colOff>1116</xdr:colOff>
      <xdr:row>98</xdr:row>
      <xdr:rowOff>105097</xdr:rowOff>
    </xdr:to>
    <xdr:cxnSp macro="">
      <xdr:nvCxnSpPr>
        <xdr:cNvPr id="29" name="直線矢印コネクタ 28">
          <a:extLst>
            <a:ext uri="{FF2B5EF4-FFF2-40B4-BE49-F238E27FC236}">
              <a16:creationId xmlns:a16="http://schemas.microsoft.com/office/drawing/2014/main" id="{06EE38C9-AEF8-4696-80CD-A2ED0DABF593}"/>
            </a:ext>
          </a:extLst>
        </xdr:cNvPr>
        <xdr:cNvCxnSpPr/>
      </xdr:nvCxnSpPr>
      <xdr:spPr>
        <a:xfrm flipV="1">
          <a:off x="7773516" y="31774103"/>
          <a:ext cx="0" cy="963644"/>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74719</xdr:colOff>
      <xdr:row>94</xdr:row>
      <xdr:rowOff>88540</xdr:rowOff>
    </xdr:from>
    <xdr:to>
      <xdr:col>34</xdr:col>
      <xdr:colOff>67142</xdr:colOff>
      <xdr:row>94</xdr:row>
      <xdr:rowOff>88540</xdr:rowOff>
    </xdr:to>
    <xdr:cxnSp macro="">
      <xdr:nvCxnSpPr>
        <xdr:cNvPr id="30" name="直線コネクタ 29">
          <a:extLst>
            <a:ext uri="{FF2B5EF4-FFF2-40B4-BE49-F238E27FC236}">
              <a16:creationId xmlns:a16="http://schemas.microsoft.com/office/drawing/2014/main" id="{F968D299-719B-4F31-8BBF-2C8B1047B032}"/>
            </a:ext>
          </a:extLst>
        </xdr:cNvPr>
        <xdr:cNvCxnSpPr/>
      </xdr:nvCxnSpPr>
      <xdr:spPr>
        <a:xfrm>
          <a:off x="7618519" y="31768690"/>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92037</xdr:colOff>
      <xdr:row>98</xdr:row>
      <xdr:rowOff>97607</xdr:rowOff>
    </xdr:from>
    <xdr:to>
      <xdr:col>34</xdr:col>
      <xdr:colOff>86841</xdr:colOff>
      <xdr:row>98</xdr:row>
      <xdr:rowOff>97607</xdr:rowOff>
    </xdr:to>
    <xdr:cxnSp macro="">
      <xdr:nvCxnSpPr>
        <xdr:cNvPr id="31" name="直線コネクタ 30">
          <a:extLst>
            <a:ext uri="{FF2B5EF4-FFF2-40B4-BE49-F238E27FC236}">
              <a16:creationId xmlns:a16="http://schemas.microsoft.com/office/drawing/2014/main" id="{361B40DD-6046-49EB-B1B1-EC17A68F39E7}"/>
            </a:ext>
          </a:extLst>
        </xdr:cNvPr>
        <xdr:cNvCxnSpPr/>
      </xdr:nvCxnSpPr>
      <xdr:spPr>
        <a:xfrm>
          <a:off x="7635837" y="32730257"/>
          <a:ext cx="22340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176640</xdr:colOff>
      <xdr:row>91</xdr:row>
      <xdr:rowOff>189530</xdr:rowOff>
    </xdr:from>
    <xdr:ext cx="270843" cy="254493"/>
    <xdr:sp macro="" textlink="">
      <xdr:nvSpPr>
        <xdr:cNvPr id="32" name="テキスト ボックス 31">
          <a:extLst>
            <a:ext uri="{FF2B5EF4-FFF2-40B4-BE49-F238E27FC236}">
              <a16:creationId xmlns:a16="http://schemas.microsoft.com/office/drawing/2014/main" id="{6762F9F3-1A6D-461A-9CC6-9C603F1AF9E7}"/>
            </a:ext>
          </a:extLst>
        </xdr:cNvPr>
        <xdr:cNvSpPr txBox="1"/>
      </xdr:nvSpPr>
      <xdr:spPr>
        <a:xfrm>
          <a:off x="6577440" y="31155305"/>
          <a:ext cx="27084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29</xdr:col>
      <xdr:colOff>190504</xdr:colOff>
      <xdr:row>92</xdr:row>
      <xdr:rowOff>188560</xdr:rowOff>
    </xdr:from>
    <xdr:ext cx="285399" cy="254493"/>
    <xdr:sp macro="" textlink="">
      <xdr:nvSpPr>
        <xdr:cNvPr id="33" name="テキスト ボックス 32">
          <a:extLst>
            <a:ext uri="{FF2B5EF4-FFF2-40B4-BE49-F238E27FC236}">
              <a16:creationId xmlns:a16="http://schemas.microsoft.com/office/drawing/2014/main" id="{03EAAB06-CEEE-4BAA-815B-2B10CAB8EC37}"/>
            </a:ext>
          </a:extLst>
        </xdr:cNvPr>
        <xdr:cNvSpPr txBox="1"/>
      </xdr:nvSpPr>
      <xdr:spPr>
        <a:xfrm>
          <a:off x="6819904" y="31392460"/>
          <a:ext cx="285399"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27</xdr:col>
      <xdr:colOff>100447</xdr:colOff>
      <xdr:row>92</xdr:row>
      <xdr:rowOff>189437</xdr:rowOff>
    </xdr:from>
    <xdr:ext cx="285399" cy="254493"/>
    <xdr:sp macro="" textlink="">
      <xdr:nvSpPr>
        <xdr:cNvPr id="34" name="テキスト ボックス 33">
          <a:extLst>
            <a:ext uri="{FF2B5EF4-FFF2-40B4-BE49-F238E27FC236}">
              <a16:creationId xmlns:a16="http://schemas.microsoft.com/office/drawing/2014/main" id="{705AA04B-22B4-4CD5-BA3D-251B0B3CEE7E}"/>
            </a:ext>
          </a:extLst>
        </xdr:cNvPr>
        <xdr:cNvSpPr txBox="1"/>
      </xdr:nvSpPr>
      <xdr:spPr>
        <a:xfrm>
          <a:off x="6272647" y="31393337"/>
          <a:ext cx="285399"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33</xdr:col>
      <xdr:colOff>203733</xdr:colOff>
      <xdr:row>95</xdr:row>
      <xdr:rowOff>182602</xdr:rowOff>
    </xdr:from>
    <xdr:ext cx="286553" cy="254493"/>
    <xdr:sp macro="" textlink="">
      <xdr:nvSpPr>
        <xdr:cNvPr id="35" name="テキスト ボックス 34">
          <a:extLst>
            <a:ext uri="{FF2B5EF4-FFF2-40B4-BE49-F238E27FC236}">
              <a16:creationId xmlns:a16="http://schemas.microsoft.com/office/drawing/2014/main" id="{038A6705-4990-4DC9-9D99-13A89E2B6AEA}"/>
            </a:ext>
          </a:extLst>
        </xdr:cNvPr>
        <xdr:cNvSpPr txBox="1"/>
      </xdr:nvSpPr>
      <xdr:spPr>
        <a:xfrm>
          <a:off x="7747533" y="32100877"/>
          <a:ext cx="28655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H</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twoCellAnchor>
    <xdr:from>
      <xdr:col>26</xdr:col>
      <xdr:colOff>193963</xdr:colOff>
      <xdr:row>96</xdr:row>
      <xdr:rowOff>76616</xdr:rowOff>
    </xdr:from>
    <xdr:to>
      <xdr:col>31</xdr:col>
      <xdr:colOff>202623</xdr:colOff>
      <xdr:row>96</xdr:row>
      <xdr:rowOff>76616</xdr:rowOff>
    </xdr:to>
    <xdr:cxnSp macro="">
      <xdr:nvCxnSpPr>
        <xdr:cNvPr id="36" name="直線コネクタ 35">
          <a:extLst>
            <a:ext uri="{FF2B5EF4-FFF2-40B4-BE49-F238E27FC236}">
              <a16:creationId xmlns:a16="http://schemas.microsoft.com/office/drawing/2014/main" id="{F1FA999C-998D-4EDB-859E-A4EFF6772234}"/>
            </a:ext>
          </a:extLst>
        </xdr:cNvPr>
        <xdr:cNvCxnSpPr/>
      </xdr:nvCxnSpPr>
      <xdr:spPr>
        <a:xfrm>
          <a:off x="6137563" y="32233016"/>
          <a:ext cx="1151660" cy="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64075</xdr:colOff>
      <xdr:row>94</xdr:row>
      <xdr:rowOff>7358</xdr:rowOff>
    </xdr:from>
    <xdr:to>
      <xdr:col>29</xdr:col>
      <xdr:colOff>68405</xdr:colOff>
      <xdr:row>98</xdr:row>
      <xdr:rowOff>211072</xdr:rowOff>
    </xdr:to>
    <xdr:cxnSp macro="">
      <xdr:nvCxnSpPr>
        <xdr:cNvPr id="37" name="直線コネクタ 36">
          <a:extLst>
            <a:ext uri="{FF2B5EF4-FFF2-40B4-BE49-F238E27FC236}">
              <a16:creationId xmlns:a16="http://schemas.microsoft.com/office/drawing/2014/main" id="{9034E79B-D0D9-4C1F-B33C-C213F2A05526}"/>
            </a:ext>
          </a:extLst>
        </xdr:cNvPr>
        <xdr:cNvCxnSpPr/>
      </xdr:nvCxnSpPr>
      <xdr:spPr>
        <a:xfrm flipH="1">
          <a:off x="6693475" y="31687508"/>
          <a:ext cx="4330" cy="115621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3574</xdr:colOff>
      <xdr:row>95</xdr:row>
      <xdr:rowOff>148830</xdr:rowOff>
    </xdr:from>
    <xdr:ext cx="768159" cy="328423"/>
    <xdr:sp macro="" textlink="">
      <xdr:nvSpPr>
        <xdr:cNvPr id="38" name="テキスト ボックス 37">
          <a:extLst>
            <a:ext uri="{FF2B5EF4-FFF2-40B4-BE49-F238E27FC236}">
              <a16:creationId xmlns:a16="http://schemas.microsoft.com/office/drawing/2014/main" id="{1A800C92-760D-4DF4-AF53-CEE001BF1628}"/>
            </a:ext>
          </a:extLst>
        </xdr:cNvPr>
        <xdr:cNvSpPr txBox="1"/>
      </xdr:nvSpPr>
      <xdr:spPr>
        <a:xfrm>
          <a:off x="5489974" y="32067105"/>
          <a:ext cx="7681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強軸</a:t>
          </a:r>
          <a:r>
            <a:rPr kumimoji="1" lang="en-US" altLang="ja-JP" sz="1100">
              <a:latin typeface="Times New Roman" panose="02020603050405020304" pitchFamily="18" charset="0"/>
              <a:cs typeface="Times New Roman" panose="02020603050405020304" pitchFamily="18" charset="0"/>
            </a:rPr>
            <a:t>(y</a:t>
          </a:r>
          <a:r>
            <a:rPr kumimoji="1" lang="ja-JP" altLang="en-US" sz="1100"/>
            <a:t>軸</a:t>
          </a:r>
          <a:r>
            <a:rPr kumimoji="1" lang="en-US" altLang="ja-JP" sz="1100"/>
            <a:t>)</a:t>
          </a:r>
        </a:p>
      </xdr:txBody>
    </xdr:sp>
    <xdr:clientData/>
  </xdr:oneCellAnchor>
  <xdr:oneCellAnchor>
    <xdr:from>
      <xdr:col>27</xdr:col>
      <xdr:colOff>219077</xdr:colOff>
      <xdr:row>98</xdr:row>
      <xdr:rowOff>132160</xdr:rowOff>
    </xdr:from>
    <xdr:ext cx="760208" cy="328423"/>
    <xdr:sp macro="" textlink="">
      <xdr:nvSpPr>
        <xdr:cNvPr id="39" name="テキスト ボックス 38">
          <a:extLst>
            <a:ext uri="{FF2B5EF4-FFF2-40B4-BE49-F238E27FC236}">
              <a16:creationId xmlns:a16="http://schemas.microsoft.com/office/drawing/2014/main" id="{D0A7E3FD-C388-499F-A516-2AD5685C52C4}"/>
            </a:ext>
          </a:extLst>
        </xdr:cNvPr>
        <xdr:cNvSpPr txBox="1"/>
      </xdr:nvSpPr>
      <xdr:spPr>
        <a:xfrm>
          <a:off x="6391277" y="32764810"/>
          <a:ext cx="760208"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弱</a:t>
          </a:r>
          <a:r>
            <a:rPr kumimoji="1" lang="ja-JP" altLang="ja-JP" sz="1100">
              <a:solidFill>
                <a:schemeClr val="tx1"/>
              </a:solidFill>
              <a:effectLst/>
              <a:latin typeface="+mn-lt"/>
              <a:ea typeface="+mn-ea"/>
              <a:cs typeface="+mn-cs"/>
            </a:rPr>
            <a:t>軸</a:t>
          </a:r>
          <a:r>
            <a:rPr kumimoji="1" lang="en-US" altLang="ja-JP" sz="1100">
              <a:latin typeface="Times New Roman" panose="02020603050405020304" pitchFamily="18" charset="0"/>
              <a:cs typeface="Times New Roman" panose="02020603050405020304" pitchFamily="18" charset="0"/>
            </a:rPr>
            <a:t>(z</a:t>
          </a:r>
          <a:r>
            <a:rPr kumimoji="1" lang="ja-JP" altLang="en-US" sz="1100"/>
            <a:t>軸</a:t>
          </a:r>
          <a:r>
            <a:rPr kumimoji="1" lang="en-US" altLang="ja-JP" sz="1100"/>
            <a:t>)</a:t>
          </a:r>
        </a:p>
      </xdr:txBody>
    </xdr:sp>
    <xdr:clientData/>
  </xdr:oneCellAnchor>
  <xdr:twoCellAnchor>
    <xdr:from>
      <xdr:col>31</xdr:col>
      <xdr:colOff>172689</xdr:colOff>
      <xdr:row>94</xdr:row>
      <xdr:rowOff>88540</xdr:rowOff>
    </xdr:from>
    <xdr:to>
      <xdr:col>32</xdr:col>
      <xdr:colOff>165112</xdr:colOff>
      <xdr:row>94</xdr:row>
      <xdr:rowOff>88540</xdr:rowOff>
    </xdr:to>
    <xdr:cxnSp macro="">
      <xdr:nvCxnSpPr>
        <xdr:cNvPr id="40" name="直線コネクタ 39">
          <a:extLst>
            <a:ext uri="{FF2B5EF4-FFF2-40B4-BE49-F238E27FC236}">
              <a16:creationId xmlns:a16="http://schemas.microsoft.com/office/drawing/2014/main" id="{1ED43332-DCF7-4C9F-81DC-6B300C28DDD4}"/>
            </a:ext>
          </a:extLst>
        </xdr:cNvPr>
        <xdr:cNvCxnSpPr/>
      </xdr:nvCxnSpPr>
      <xdr:spPr>
        <a:xfrm>
          <a:off x="7259289" y="31768690"/>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172689</xdr:colOff>
      <xdr:row>94</xdr:row>
      <xdr:rowOff>217807</xdr:rowOff>
    </xdr:from>
    <xdr:to>
      <xdr:col>32</xdr:col>
      <xdr:colOff>165112</xdr:colOff>
      <xdr:row>94</xdr:row>
      <xdr:rowOff>217807</xdr:rowOff>
    </xdr:to>
    <xdr:cxnSp macro="">
      <xdr:nvCxnSpPr>
        <xdr:cNvPr id="41" name="直線コネクタ 40">
          <a:extLst>
            <a:ext uri="{FF2B5EF4-FFF2-40B4-BE49-F238E27FC236}">
              <a16:creationId xmlns:a16="http://schemas.microsoft.com/office/drawing/2014/main" id="{A6963B72-0E28-4A37-BE6B-950ACD78727B}"/>
            </a:ext>
          </a:extLst>
        </xdr:cNvPr>
        <xdr:cNvCxnSpPr/>
      </xdr:nvCxnSpPr>
      <xdr:spPr>
        <a:xfrm>
          <a:off x="7259289" y="31897957"/>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82759</xdr:colOff>
      <xdr:row>94</xdr:row>
      <xdr:rowOff>217778</xdr:rowOff>
    </xdr:from>
    <xdr:to>
      <xdr:col>32</xdr:col>
      <xdr:colOff>82759</xdr:colOff>
      <xdr:row>95</xdr:row>
      <xdr:rowOff>213632</xdr:rowOff>
    </xdr:to>
    <xdr:cxnSp macro="">
      <xdr:nvCxnSpPr>
        <xdr:cNvPr id="42" name="直線矢印コネクタ 41">
          <a:extLst>
            <a:ext uri="{FF2B5EF4-FFF2-40B4-BE49-F238E27FC236}">
              <a16:creationId xmlns:a16="http://schemas.microsoft.com/office/drawing/2014/main" id="{BFFA62B9-EB84-4DDE-86D9-66FA486491CE}"/>
            </a:ext>
          </a:extLst>
        </xdr:cNvPr>
        <xdr:cNvCxnSpPr/>
      </xdr:nvCxnSpPr>
      <xdr:spPr>
        <a:xfrm flipV="1">
          <a:off x="7397959" y="31897928"/>
          <a:ext cx="0" cy="233979"/>
        </a:xfrm>
        <a:prstGeom prst="straightConnector1">
          <a:avLst/>
        </a:prstGeom>
        <a:ln>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82759</xdr:colOff>
      <xdr:row>93</xdr:row>
      <xdr:rowOff>93953</xdr:rowOff>
    </xdr:from>
    <xdr:to>
      <xdr:col>32</xdr:col>
      <xdr:colOff>82759</xdr:colOff>
      <xdr:row>94</xdr:row>
      <xdr:rowOff>89808</xdr:rowOff>
    </xdr:to>
    <xdr:cxnSp macro="">
      <xdr:nvCxnSpPr>
        <xdr:cNvPr id="43" name="直線矢印コネクタ 42">
          <a:extLst>
            <a:ext uri="{FF2B5EF4-FFF2-40B4-BE49-F238E27FC236}">
              <a16:creationId xmlns:a16="http://schemas.microsoft.com/office/drawing/2014/main" id="{9B2E2F17-DDF3-4725-A46A-05B1783C46EE}"/>
            </a:ext>
          </a:extLst>
        </xdr:cNvPr>
        <xdr:cNvCxnSpPr/>
      </xdr:nvCxnSpPr>
      <xdr:spPr>
        <a:xfrm flipV="1">
          <a:off x="7397959" y="31535978"/>
          <a:ext cx="0" cy="233980"/>
        </a:xfrm>
        <a:prstGeom prst="straightConnector1">
          <a:avLst/>
        </a:prstGeom>
        <a:ln>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99102</xdr:colOff>
      <xdr:row>94</xdr:row>
      <xdr:rowOff>8055</xdr:rowOff>
    </xdr:from>
    <xdr:ext cx="254044" cy="254493"/>
    <xdr:sp macro="" textlink="">
      <xdr:nvSpPr>
        <xdr:cNvPr id="44" name="テキスト ボックス 43">
          <a:extLst>
            <a:ext uri="{FF2B5EF4-FFF2-40B4-BE49-F238E27FC236}">
              <a16:creationId xmlns:a16="http://schemas.microsoft.com/office/drawing/2014/main" id="{BD93F075-7911-4171-882F-73AAB106CE35}"/>
            </a:ext>
          </a:extLst>
        </xdr:cNvPr>
        <xdr:cNvSpPr txBox="1"/>
      </xdr:nvSpPr>
      <xdr:spPr>
        <a:xfrm>
          <a:off x="7414302" y="31688205"/>
          <a:ext cx="254044"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t'</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twoCellAnchor>
    <xdr:from>
      <xdr:col>27</xdr:col>
      <xdr:colOff>14287</xdr:colOff>
      <xdr:row>218</xdr:row>
      <xdr:rowOff>88540</xdr:rowOff>
    </xdr:from>
    <xdr:to>
      <xdr:col>31</xdr:col>
      <xdr:colOff>121444</xdr:colOff>
      <xdr:row>218</xdr:row>
      <xdr:rowOff>88540</xdr:rowOff>
    </xdr:to>
    <xdr:cxnSp macro="">
      <xdr:nvCxnSpPr>
        <xdr:cNvPr id="110" name="直線コネクタ 109">
          <a:extLst>
            <a:ext uri="{FF2B5EF4-FFF2-40B4-BE49-F238E27FC236}">
              <a16:creationId xmlns:a16="http://schemas.microsoft.com/office/drawing/2014/main" id="{B83E8E23-EB2F-47D2-8E96-3C011C71C8B1}"/>
            </a:ext>
          </a:extLst>
        </xdr:cNvPr>
        <xdr:cNvCxnSpPr/>
      </xdr:nvCxnSpPr>
      <xdr:spPr>
        <a:xfrm>
          <a:off x="6186487" y="61562890"/>
          <a:ext cx="102155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14287</xdr:colOff>
      <xdr:row>222</xdr:row>
      <xdr:rowOff>97607</xdr:rowOff>
    </xdr:from>
    <xdr:to>
      <xdr:col>31</xdr:col>
      <xdr:colOff>123825</xdr:colOff>
      <xdr:row>222</xdr:row>
      <xdr:rowOff>97607</xdr:rowOff>
    </xdr:to>
    <xdr:cxnSp macro="">
      <xdr:nvCxnSpPr>
        <xdr:cNvPr id="111" name="直線コネクタ 110">
          <a:extLst>
            <a:ext uri="{FF2B5EF4-FFF2-40B4-BE49-F238E27FC236}">
              <a16:creationId xmlns:a16="http://schemas.microsoft.com/office/drawing/2014/main" id="{71137EBD-3880-4AE8-8358-27F4381EB911}"/>
            </a:ext>
          </a:extLst>
        </xdr:cNvPr>
        <xdr:cNvCxnSpPr/>
      </xdr:nvCxnSpPr>
      <xdr:spPr>
        <a:xfrm>
          <a:off x="6186487" y="62524457"/>
          <a:ext cx="102393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14287</xdr:colOff>
      <xdr:row>218</xdr:row>
      <xdr:rowOff>218964</xdr:rowOff>
    </xdr:from>
    <xdr:to>
      <xdr:col>28</xdr:col>
      <xdr:colOff>205458</xdr:colOff>
      <xdr:row>218</xdr:row>
      <xdr:rowOff>219879</xdr:rowOff>
    </xdr:to>
    <xdr:cxnSp macro="">
      <xdr:nvCxnSpPr>
        <xdr:cNvPr id="112" name="直線コネクタ 111">
          <a:extLst>
            <a:ext uri="{FF2B5EF4-FFF2-40B4-BE49-F238E27FC236}">
              <a16:creationId xmlns:a16="http://schemas.microsoft.com/office/drawing/2014/main" id="{2B2F2F39-7AC5-4BAC-8276-D3E787251398}"/>
            </a:ext>
          </a:extLst>
        </xdr:cNvPr>
        <xdr:cNvCxnSpPr>
          <a:endCxn id="122" idx="0"/>
        </xdr:cNvCxnSpPr>
      </xdr:nvCxnSpPr>
      <xdr:spPr>
        <a:xfrm flipV="1">
          <a:off x="6186487" y="61693314"/>
          <a:ext cx="419771" cy="9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14287</xdr:colOff>
      <xdr:row>221</xdr:row>
      <xdr:rowOff>208574</xdr:rowOff>
    </xdr:from>
    <xdr:to>
      <xdr:col>28</xdr:col>
      <xdr:colOff>204788</xdr:colOff>
      <xdr:row>221</xdr:row>
      <xdr:rowOff>208574</xdr:rowOff>
    </xdr:to>
    <xdr:cxnSp macro="">
      <xdr:nvCxnSpPr>
        <xdr:cNvPr id="113" name="直線コネクタ 112">
          <a:extLst>
            <a:ext uri="{FF2B5EF4-FFF2-40B4-BE49-F238E27FC236}">
              <a16:creationId xmlns:a16="http://schemas.microsoft.com/office/drawing/2014/main" id="{8C3BBE72-CF66-423A-BAE6-D724D07077D1}"/>
            </a:ext>
          </a:extLst>
        </xdr:cNvPr>
        <xdr:cNvCxnSpPr/>
      </xdr:nvCxnSpPr>
      <xdr:spPr>
        <a:xfrm>
          <a:off x="6186487" y="62397299"/>
          <a:ext cx="4191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155463</xdr:colOff>
      <xdr:row>218</xdr:row>
      <xdr:rowOff>219879</xdr:rowOff>
    </xdr:from>
    <xdr:to>
      <xdr:col>31</xdr:col>
      <xdr:colOff>123825</xdr:colOff>
      <xdr:row>218</xdr:row>
      <xdr:rowOff>219879</xdr:rowOff>
    </xdr:to>
    <xdr:cxnSp macro="">
      <xdr:nvCxnSpPr>
        <xdr:cNvPr id="114" name="直線コネクタ 113">
          <a:extLst>
            <a:ext uri="{FF2B5EF4-FFF2-40B4-BE49-F238E27FC236}">
              <a16:creationId xmlns:a16="http://schemas.microsoft.com/office/drawing/2014/main" id="{1C853557-69B1-44D8-AF5C-393750DA7269}"/>
            </a:ext>
          </a:extLst>
        </xdr:cNvPr>
        <xdr:cNvCxnSpPr/>
      </xdr:nvCxnSpPr>
      <xdr:spPr>
        <a:xfrm>
          <a:off x="6784863" y="61694229"/>
          <a:ext cx="42556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157844</xdr:colOff>
      <xdr:row>221</xdr:row>
      <xdr:rowOff>208574</xdr:rowOff>
    </xdr:from>
    <xdr:to>
      <xdr:col>31</xdr:col>
      <xdr:colOff>121444</xdr:colOff>
      <xdr:row>221</xdr:row>
      <xdr:rowOff>208574</xdr:rowOff>
    </xdr:to>
    <xdr:cxnSp macro="">
      <xdr:nvCxnSpPr>
        <xdr:cNvPr id="115" name="直線コネクタ 114">
          <a:extLst>
            <a:ext uri="{FF2B5EF4-FFF2-40B4-BE49-F238E27FC236}">
              <a16:creationId xmlns:a16="http://schemas.microsoft.com/office/drawing/2014/main" id="{BD0D469F-B23E-4CE3-8487-C9A784E039F4}"/>
            </a:ext>
          </a:extLst>
        </xdr:cNvPr>
        <xdr:cNvCxnSpPr/>
      </xdr:nvCxnSpPr>
      <xdr:spPr>
        <a:xfrm>
          <a:off x="6787244" y="62397299"/>
          <a:ext cx="4208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28028</xdr:colOff>
      <xdr:row>219</xdr:row>
      <xdr:rowOff>26630</xdr:rowOff>
    </xdr:from>
    <xdr:to>
      <xdr:col>29</xdr:col>
      <xdr:colOff>28028</xdr:colOff>
      <xdr:row>221</xdr:row>
      <xdr:rowOff>159978</xdr:rowOff>
    </xdr:to>
    <xdr:cxnSp macro="">
      <xdr:nvCxnSpPr>
        <xdr:cNvPr id="116" name="直線コネクタ 115">
          <a:extLst>
            <a:ext uri="{FF2B5EF4-FFF2-40B4-BE49-F238E27FC236}">
              <a16:creationId xmlns:a16="http://schemas.microsoft.com/office/drawing/2014/main" id="{781BF1D7-7E69-4928-8553-0F83F335D7B8}"/>
            </a:ext>
          </a:extLst>
        </xdr:cNvPr>
        <xdr:cNvCxnSpPr/>
      </xdr:nvCxnSpPr>
      <xdr:spPr>
        <a:xfrm>
          <a:off x="6657428" y="61739105"/>
          <a:ext cx="0" cy="6095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104679</xdr:colOff>
      <xdr:row>219</xdr:row>
      <xdr:rowOff>28422</xdr:rowOff>
    </xdr:from>
    <xdr:to>
      <xdr:col>29</xdr:col>
      <xdr:colOff>104679</xdr:colOff>
      <xdr:row>221</xdr:row>
      <xdr:rowOff>159978</xdr:rowOff>
    </xdr:to>
    <xdr:cxnSp macro="">
      <xdr:nvCxnSpPr>
        <xdr:cNvPr id="117" name="直線コネクタ 116">
          <a:extLst>
            <a:ext uri="{FF2B5EF4-FFF2-40B4-BE49-F238E27FC236}">
              <a16:creationId xmlns:a16="http://schemas.microsoft.com/office/drawing/2014/main" id="{C650760A-0399-4EA7-B860-9D2936C2E5FC}"/>
            </a:ext>
          </a:extLst>
        </xdr:cNvPr>
        <xdr:cNvCxnSpPr/>
      </xdr:nvCxnSpPr>
      <xdr:spPr>
        <a:xfrm>
          <a:off x="6734079" y="61740897"/>
          <a:ext cx="0" cy="6078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12437</xdr:colOff>
      <xdr:row>218</xdr:row>
      <xdr:rowOff>86187</xdr:rowOff>
    </xdr:from>
    <xdr:to>
      <xdr:col>27</xdr:col>
      <xdr:colOff>12437</xdr:colOff>
      <xdr:row>218</xdr:row>
      <xdr:rowOff>219568</xdr:rowOff>
    </xdr:to>
    <xdr:cxnSp macro="">
      <xdr:nvCxnSpPr>
        <xdr:cNvPr id="118" name="直線コネクタ 117">
          <a:extLst>
            <a:ext uri="{FF2B5EF4-FFF2-40B4-BE49-F238E27FC236}">
              <a16:creationId xmlns:a16="http://schemas.microsoft.com/office/drawing/2014/main" id="{3F92542A-733E-4EB9-96B7-CF014D1D2E8D}"/>
            </a:ext>
          </a:extLst>
        </xdr:cNvPr>
        <xdr:cNvCxnSpPr/>
      </xdr:nvCxnSpPr>
      <xdr:spPr>
        <a:xfrm>
          <a:off x="6184637" y="61560537"/>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17272</xdr:colOff>
      <xdr:row>221</xdr:row>
      <xdr:rowOff>205101</xdr:rowOff>
    </xdr:from>
    <xdr:to>
      <xdr:col>27</xdr:col>
      <xdr:colOff>17272</xdr:colOff>
      <xdr:row>222</xdr:row>
      <xdr:rowOff>99371</xdr:rowOff>
    </xdr:to>
    <xdr:cxnSp macro="">
      <xdr:nvCxnSpPr>
        <xdr:cNvPr id="119" name="直線コネクタ 118">
          <a:extLst>
            <a:ext uri="{FF2B5EF4-FFF2-40B4-BE49-F238E27FC236}">
              <a16:creationId xmlns:a16="http://schemas.microsoft.com/office/drawing/2014/main" id="{A25F2055-BC39-4EBC-95C8-020347F190CC}"/>
            </a:ext>
          </a:extLst>
        </xdr:cNvPr>
        <xdr:cNvCxnSpPr/>
      </xdr:nvCxnSpPr>
      <xdr:spPr>
        <a:xfrm>
          <a:off x="6189472" y="62393826"/>
          <a:ext cx="0" cy="1323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122443</xdr:colOff>
      <xdr:row>218</xdr:row>
      <xdr:rowOff>86187</xdr:rowOff>
    </xdr:from>
    <xdr:to>
      <xdr:col>31</xdr:col>
      <xdr:colOff>122443</xdr:colOff>
      <xdr:row>218</xdr:row>
      <xdr:rowOff>219568</xdr:rowOff>
    </xdr:to>
    <xdr:cxnSp macro="">
      <xdr:nvCxnSpPr>
        <xdr:cNvPr id="120" name="直線コネクタ 119">
          <a:extLst>
            <a:ext uri="{FF2B5EF4-FFF2-40B4-BE49-F238E27FC236}">
              <a16:creationId xmlns:a16="http://schemas.microsoft.com/office/drawing/2014/main" id="{8AFC1706-5C5C-424C-8F8D-0D01853A77F0}"/>
            </a:ext>
          </a:extLst>
        </xdr:cNvPr>
        <xdr:cNvCxnSpPr/>
      </xdr:nvCxnSpPr>
      <xdr:spPr>
        <a:xfrm>
          <a:off x="7209043" y="61560537"/>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121913</xdr:colOff>
      <xdr:row>221</xdr:row>
      <xdr:rowOff>205101</xdr:rowOff>
    </xdr:from>
    <xdr:to>
      <xdr:col>31</xdr:col>
      <xdr:colOff>121913</xdr:colOff>
      <xdr:row>222</xdr:row>
      <xdr:rowOff>99371</xdr:rowOff>
    </xdr:to>
    <xdr:cxnSp macro="">
      <xdr:nvCxnSpPr>
        <xdr:cNvPr id="121" name="直線コネクタ 120">
          <a:extLst>
            <a:ext uri="{FF2B5EF4-FFF2-40B4-BE49-F238E27FC236}">
              <a16:creationId xmlns:a16="http://schemas.microsoft.com/office/drawing/2014/main" id="{A4DD4EA2-425F-4A62-BC14-2A334F6E3491}"/>
            </a:ext>
          </a:extLst>
        </xdr:cNvPr>
        <xdr:cNvCxnSpPr/>
      </xdr:nvCxnSpPr>
      <xdr:spPr>
        <a:xfrm>
          <a:off x="7208513" y="62393826"/>
          <a:ext cx="0" cy="1323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154211</xdr:colOff>
      <xdr:row>218</xdr:row>
      <xdr:rowOff>218964</xdr:rowOff>
    </xdr:from>
    <xdr:to>
      <xdr:col>29</xdr:col>
      <xdr:colOff>28105</xdr:colOff>
      <xdr:row>219</xdr:row>
      <xdr:rowOff>80725</xdr:rowOff>
    </xdr:to>
    <xdr:sp macro="" textlink="">
      <xdr:nvSpPr>
        <xdr:cNvPr id="122" name="円弧 121">
          <a:extLst>
            <a:ext uri="{FF2B5EF4-FFF2-40B4-BE49-F238E27FC236}">
              <a16:creationId xmlns:a16="http://schemas.microsoft.com/office/drawing/2014/main" id="{542CF26A-7DF2-4CBE-9F58-E717A24623CC}"/>
            </a:ext>
          </a:extLst>
        </xdr:cNvPr>
        <xdr:cNvSpPr/>
      </xdr:nvSpPr>
      <xdr:spPr>
        <a:xfrm>
          <a:off x="6555011" y="61693314"/>
          <a:ext cx="102494" cy="99886"/>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104308</xdr:colOff>
      <xdr:row>218</xdr:row>
      <xdr:rowOff>223294</xdr:rowOff>
    </xdr:from>
    <xdr:to>
      <xdr:col>29</xdr:col>
      <xdr:colOff>207172</xdr:colOff>
      <xdr:row>219</xdr:row>
      <xdr:rowOff>85055</xdr:rowOff>
    </xdr:to>
    <xdr:sp macro="" textlink="">
      <xdr:nvSpPr>
        <xdr:cNvPr id="123" name="円弧 122">
          <a:extLst>
            <a:ext uri="{FF2B5EF4-FFF2-40B4-BE49-F238E27FC236}">
              <a16:creationId xmlns:a16="http://schemas.microsoft.com/office/drawing/2014/main" id="{2DD89192-5D86-4618-A0F2-AD048CAC7838}"/>
            </a:ext>
          </a:extLst>
        </xdr:cNvPr>
        <xdr:cNvSpPr/>
      </xdr:nvSpPr>
      <xdr:spPr>
        <a:xfrm flipH="1">
          <a:off x="6733708" y="61697644"/>
          <a:ext cx="102864" cy="99886"/>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104303</xdr:colOff>
      <xdr:row>221</xdr:row>
      <xdr:rowOff>100447</xdr:rowOff>
    </xdr:from>
    <xdr:to>
      <xdr:col>29</xdr:col>
      <xdr:colOff>216692</xdr:colOff>
      <xdr:row>221</xdr:row>
      <xdr:rowOff>209439</xdr:rowOff>
    </xdr:to>
    <xdr:sp macro="" textlink="">
      <xdr:nvSpPr>
        <xdr:cNvPr id="124" name="円弧 123">
          <a:extLst>
            <a:ext uri="{FF2B5EF4-FFF2-40B4-BE49-F238E27FC236}">
              <a16:creationId xmlns:a16="http://schemas.microsoft.com/office/drawing/2014/main" id="{7F72645B-FFFF-4187-B6B9-F40AEB3C4549}"/>
            </a:ext>
          </a:extLst>
        </xdr:cNvPr>
        <xdr:cNvSpPr/>
      </xdr:nvSpPr>
      <xdr:spPr>
        <a:xfrm flipH="1" flipV="1">
          <a:off x="6733703" y="62289172"/>
          <a:ext cx="112389" cy="10899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150018</xdr:colOff>
      <xdr:row>221</xdr:row>
      <xdr:rowOff>100446</xdr:rowOff>
    </xdr:from>
    <xdr:to>
      <xdr:col>29</xdr:col>
      <xdr:colOff>28102</xdr:colOff>
      <xdr:row>221</xdr:row>
      <xdr:rowOff>209438</xdr:rowOff>
    </xdr:to>
    <xdr:sp macro="" textlink="">
      <xdr:nvSpPr>
        <xdr:cNvPr id="125" name="円弧 124">
          <a:extLst>
            <a:ext uri="{FF2B5EF4-FFF2-40B4-BE49-F238E27FC236}">
              <a16:creationId xmlns:a16="http://schemas.microsoft.com/office/drawing/2014/main" id="{B0425E2C-349D-4313-B78C-17897B25D185}"/>
            </a:ext>
          </a:extLst>
        </xdr:cNvPr>
        <xdr:cNvSpPr/>
      </xdr:nvSpPr>
      <xdr:spPr>
        <a:xfrm flipV="1">
          <a:off x="6550818" y="62289171"/>
          <a:ext cx="106684" cy="10899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20240</xdr:colOff>
      <xdr:row>216</xdr:row>
      <xdr:rowOff>163348</xdr:rowOff>
    </xdr:from>
    <xdr:to>
      <xdr:col>31</xdr:col>
      <xdr:colOff>121443</xdr:colOff>
      <xdr:row>216</xdr:row>
      <xdr:rowOff>163348</xdr:rowOff>
    </xdr:to>
    <xdr:cxnSp macro="">
      <xdr:nvCxnSpPr>
        <xdr:cNvPr id="126" name="直線矢印コネクタ 125">
          <a:extLst>
            <a:ext uri="{FF2B5EF4-FFF2-40B4-BE49-F238E27FC236}">
              <a16:creationId xmlns:a16="http://schemas.microsoft.com/office/drawing/2014/main" id="{65428C06-16F0-4BE0-9ADF-0784B5161FDE}"/>
            </a:ext>
          </a:extLst>
        </xdr:cNvPr>
        <xdr:cNvCxnSpPr/>
      </xdr:nvCxnSpPr>
      <xdr:spPr>
        <a:xfrm flipH="1">
          <a:off x="6192440" y="61161448"/>
          <a:ext cx="1015603"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122443</xdr:colOff>
      <xdr:row>216</xdr:row>
      <xdr:rowOff>105340</xdr:rowOff>
    </xdr:from>
    <xdr:to>
      <xdr:col>31</xdr:col>
      <xdr:colOff>122443</xdr:colOff>
      <xdr:row>217</xdr:row>
      <xdr:rowOff>596</xdr:rowOff>
    </xdr:to>
    <xdr:cxnSp macro="">
      <xdr:nvCxnSpPr>
        <xdr:cNvPr id="127" name="直線コネクタ 126">
          <a:extLst>
            <a:ext uri="{FF2B5EF4-FFF2-40B4-BE49-F238E27FC236}">
              <a16:creationId xmlns:a16="http://schemas.microsoft.com/office/drawing/2014/main" id="{EC6C684B-7412-4987-99A5-386640AAAF68}"/>
            </a:ext>
          </a:extLst>
        </xdr:cNvPr>
        <xdr:cNvCxnSpPr/>
      </xdr:nvCxnSpPr>
      <xdr:spPr>
        <a:xfrm>
          <a:off x="7209043" y="61103440"/>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12437</xdr:colOff>
      <xdr:row>216</xdr:row>
      <xdr:rowOff>111293</xdr:rowOff>
    </xdr:from>
    <xdr:to>
      <xdr:col>27</xdr:col>
      <xdr:colOff>12437</xdr:colOff>
      <xdr:row>217</xdr:row>
      <xdr:rowOff>4478</xdr:rowOff>
    </xdr:to>
    <xdr:cxnSp macro="">
      <xdr:nvCxnSpPr>
        <xdr:cNvPr id="128" name="直線コネクタ 127">
          <a:extLst>
            <a:ext uri="{FF2B5EF4-FFF2-40B4-BE49-F238E27FC236}">
              <a16:creationId xmlns:a16="http://schemas.microsoft.com/office/drawing/2014/main" id="{1D74585E-13BE-41BE-AACE-AD4D7663CE64}"/>
            </a:ext>
          </a:extLst>
        </xdr:cNvPr>
        <xdr:cNvCxnSpPr/>
      </xdr:nvCxnSpPr>
      <xdr:spPr>
        <a:xfrm>
          <a:off x="6184637" y="61109393"/>
          <a:ext cx="0" cy="1313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122443</xdr:colOff>
      <xdr:row>217</xdr:row>
      <xdr:rowOff>99387</xdr:rowOff>
    </xdr:from>
    <xdr:to>
      <xdr:col>31</xdr:col>
      <xdr:colOff>122443</xdr:colOff>
      <xdr:row>217</xdr:row>
      <xdr:rowOff>231474</xdr:rowOff>
    </xdr:to>
    <xdr:cxnSp macro="">
      <xdr:nvCxnSpPr>
        <xdr:cNvPr id="129" name="直線コネクタ 128">
          <a:extLst>
            <a:ext uri="{FF2B5EF4-FFF2-40B4-BE49-F238E27FC236}">
              <a16:creationId xmlns:a16="http://schemas.microsoft.com/office/drawing/2014/main" id="{9591618F-77F2-4D2B-87C3-8153CDB60DC5}"/>
            </a:ext>
          </a:extLst>
        </xdr:cNvPr>
        <xdr:cNvCxnSpPr/>
      </xdr:nvCxnSpPr>
      <xdr:spPr>
        <a:xfrm>
          <a:off x="7209043" y="6133561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110536</xdr:colOff>
      <xdr:row>217</xdr:row>
      <xdr:rowOff>99387</xdr:rowOff>
    </xdr:from>
    <xdr:to>
      <xdr:col>29</xdr:col>
      <xdr:colOff>110536</xdr:colOff>
      <xdr:row>217</xdr:row>
      <xdr:rowOff>231474</xdr:rowOff>
    </xdr:to>
    <xdr:cxnSp macro="">
      <xdr:nvCxnSpPr>
        <xdr:cNvPr id="130" name="直線コネクタ 129">
          <a:extLst>
            <a:ext uri="{FF2B5EF4-FFF2-40B4-BE49-F238E27FC236}">
              <a16:creationId xmlns:a16="http://schemas.microsoft.com/office/drawing/2014/main" id="{9A5FDCAA-56C4-4D45-AFAE-AC6DC68B876C}"/>
            </a:ext>
          </a:extLst>
        </xdr:cNvPr>
        <xdr:cNvCxnSpPr/>
      </xdr:nvCxnSpPr>
      <xdr:spPr>
        <a:xfrm>
          <a:off x="6739936" y="6133561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33145</xdr:colOff>
      <xdr:row>217</xdr:row>
      <xdr:rowOff>99387</xdr:rowOff>
    </xdr:from>
    <xdr:to>
      <xdr:col>29</xdr:col>
      <xdr:colOff>33145</xdr:colOff>
      <xdr:row>217</xdr:row>
      <xdr:rowOff>231474</xdr:rowOff>
    </xdr:to>
    <xdr:cxnSp macro="">
      <xdr:nvCxnSpPr>
        <xdr:cNvPr id="131" name="直線コネクタ 130">
          <a:extLst>
            <a:ext uri="{FF2B5EF4-FFF2-40B4-BE49-F238E27FC236}">
              <a16:creationId xmlns:a16="http://schemas.microsoft.com/office/drawing/2014/main" id="{9238C301-27BC-4E73-B252-BB5830C53540}"/>
            </a:ext>
          </a:extLst>
        </xdr:cNvPr>
        <xdr:cNvCxnSpPr/>
      </xdr:nvCxnSpPr>
      <xdr:spPr>
        <a:xfrm>
          <a:off x="6662545" y="6133561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12437</xdr:colOff>
      <xdr:row>217</xdr:row>
      <xdr:rowOff>117246</xdr:rowOff>
    </xdr:from>
    <xdr:to>
      <xdr:col>27</xdr:col>
      <xdr:colOff>12437</xdr:colOff>
      <xdr:row>218</xdr:row>
      <xdr:rowOff>9138</xdr:rowOff>
    </xdr:to>
    <xdr:cxnSp macro="">
      <xdr:nvCxnSpPr>
        <xdr:cNvPr id="132" name="直線コネクタ 131">
          <a:extLst>
            <a:ext uri="{FF2B5EF4-FFF2-40B4-BE49-F238E27FC236}">
              <a16:creationId xmlns:a16="http://schemas.microsoft.com/office/drawing/2014/main" id="{AFCABA3C-2095-4E36-A2DC-492199FB84CC}"/>
            </a:ext>
          </a:extLst>
        </xdr:cNvPr>
        <xdr:cNvCxnSpPr/>
      </xdr:nvCxnSpPr>
      <xdr:spPr>
        <a:xfrm>
          <a:off x="6184637" y="61353471"/>
          <a:ext cx="0" cy="13001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20240</xdr:colOff>
      <xdr:row>217</xdr:row>
      <xdr:rowOff>155324</xdr:rowOff>
    </xdr:from>
    <xdr:to>
      <xdr:col>29</xdr:col>
      <xdr:colOff>32147</xdr:colOff>
      <xdr:row>217</xdr:row>
      <xdr:rowOff>155324</xdr:rowOff>
    </xdr:to>
    <xdr:cxnSp macro="">
      <xdr:nvCxnSpPr>
        <xdr:cNvPr id="133" name="直線矢印コネクタ 132">
          <a:extLst>
            <a:ext uri="{FF2B5EF4-FFF2-40B4-BE49-F238E27FC236}">
              <a16:creationId xmlns:a16="http://schemas.microsoft.com/office/drawing/2014/main" id="{1A185289-A837-4593-BBFE-6DFC39E28760}"/>
            </a:ext>
          </a:extLst>
        </xdr:cNvPr>
        <xdr:cNvCxnSpPr/>
      </xdr:nvCxnSpPr>
      <xdr:spPr>
        <a:xfrm flipH="1">
          <a:off x="6192440" y="61391549"/>
          <a:ext cx="469107"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109537</xdr:colOff>
      <xdr:row>217</xdr:row>
      <xdr:rowOff>155324</xdr:rowOff>
    </xdr:from>
    <xdr:to>
      <xdr:col>31</xdr:col>
      <xdr:colOff>121443</xdr:colOff>
      <xdr:row>217</xdr:row>
      <xdr:rowOff>155324</xdr:rowOff>
    </xdr:to>
    <xdr:cxnSp macro="">
      <xdr:nvCxnSpPr>
        <xdr:cNvPr id="134" name="直線矢印コネクタ 133">
          <a:extLst>
            <a:ext uri="{FF2B5EF4-FFF2-40B4-BE49-F238E27FC236}">
              <a16:creationId xmlns:a16="http://schemas.microsoft.com/office/drawing/2014/main" id="{F663A31D-7BD9-46E9-9AE4-7C6039A7392B}"/>
            </a:ext>
          </a:extLst>
        </xdr:cNvPr>
        <xdr:cNvCxnSpPr/>
      </xdr:nvCxnSpPr>
      <xdr:spPr>
        <a:xfrm flipH="1">
          <a:off x="6738937" y="61391549"/>
          <a:ext cx="469106"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1116</xdr:colOff>
      <xdr:row>218</xdr:row>
      <xdr:rowOff>93953</xdr:rowOff>
    </xdr:from>
    <xdr:to>
      <xdr:col>34</xdr:col>
      <xdr:colOff>1116</xdr:colOff>
      <xdr:row>222</xdr:row>
      <xdr:rowOff>105097</xdr:rowOff>
    </xdr:to>
    <xdr:cxnSp macro="">
      <xdr:nvCxnSpPr>
        <xdr:cNvPr id="135" name="直線矢印コネクタ 134">
          <a:extLst>
            <a:ext uri="{FF2B5EF4-FFF2-40B4-BE49-F238E27FC236}">
              <a16:creationId xmlns:a16="http://schemas.microsoft.com/office/drawing/2014/main" id="{000AD38B-46C7-4DA3-9DE6-473F146E89F0}"/>
            </a:ext>
          </a:extLst>
        </xdr:cNvPr>
        <xdr:cNvCxnSpPr/>
      </xdr:nvCxnSpPr>
      <xdr:spPr>
        <a:xfrm flipV="1">
          <a:off x="7773516" y="61568303"/>
          <a:ext cx="0" cy="963644"/>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74719</xdr:colOff>
      <xdr:row>218</xdr:row>
      <xdr:rowOff>88540</xdr:rowOff>
    </xdr:from>
    <xdr:to>
      <xdr:col>34</xdr:col>
      <xdr:colOff>67142</xdr:colOff>
      <xdr:row>218</xdr:row>
      <xdr:rowOff>88540</xdr:rowOff>
    </xdr:to>
    <xdr:cxnSp macro="">
      <xdr:nvCxnSpPr>
        <xdr:cNvPr id="136" name="直線コネクタ 135">
          <a:extLst>
            <a:ext uri="{FF2B5EF4-FFF2-40B4-BE49-F238E27FC236}">
              <a16:creationId xmlns:a16="http://schemas.microsoft.com/office/drawing/2014/main" id="{08958BB1-8A80-4868-813D-05C1268A0297}"/>
            </a:ext>
          </a:extLst>
        </xdr:cNvPr>
        <xdr:cNvCxnSpPr/>
      </xdr:nvCxnSpPr>
      <xdr:spPr>
        <a:xfrm>
          <a:off x="7618519" y="61562890"/>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92037</xdr:colOff>
      <xdr:row>222</xdr:row>
      <xdr:rowOff>97607</xdr:rowOff>
    </xdr:from>
    <xdr:to>
      <xdr:col>34</xdr:col>
      <xdr:colOff>86841</xdr:colOff>
      <xdr:row>222</xdr:row>
      <xdr:rowOff>97607</xdr:rowOff>
    </xdr:to>
    <xdr:cxnSp macro="">
      <xdr:nvCxnSpPr>
        <xdr:cNvPr id="137" name="直線コネクタ 136">
          <a:extLst>
            <a:ext uri="{FF2B5EF4-FFF2-40B4-BE49-F238E27FC236}">
              <a16:creationId xmlns:a16="http://schemas.microsoft.com/office/drawing/2014/main" id="{B07AD3B3-F920-446A-B1D4-230382EA42E9}"/>
            </a:ext>
          </a:extLst>
        </xdr:cNvPr>
        <xdr:cNvCxnSpPr/>
      </xdr:nvCxnSpPr>
      <xdr:spPr>
        <a:xfrm>
          <a:off x="7635837" y="62524457"/>
          <a:ext cx="22340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176640</xdr:colOff>
      <xdr:row>215</xdr:row>
      <xdr:rowOff>189530</xdr:rowOff>
    </xdr:from>
    <xdr:ext cx="270843" cy="254493"/>
    <xdr:sp macro="" textlink="">
      <xdr:nvSpPr>
        <xdr:cNvPr id="138" name="テキスト ボックス 137">
          <a:extLst>
            <a:ext uri="{FF2B5EF4-FFF2-40B4-BE49-F238E27FC236}">
              <a16:creationId xmlns:a16="http://schemas.microsoft.com/office/drawing/2014/main" id="{0316FE4C-7F25-4FB5-B76F-F35C1FF4E2BC}"/>
            </a:ext>
          </a:extLst>
        </xdr:cNvPr>
        <xdr:cNvSpPr txBox="1"/>
      </xdr:nvSpPr>
      <xdr:spPr>
        <a:xfrm>
          <a:off x="6577440" y="60949505"/>
          <a:ext cx="27084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29</xdr:col>
      <xdr:colOff>190504</xdr:colOff>
      <xdr:row>216</xdr:row>
      <xdr:rowOff>188560</xdr:rowOff>
    </xdr:from>
    <xdr:ext cx="285399" cy="254493"/>
    <xdr:sp macro="" textlink="">
      <xdr:nvSpPr>
        <xdr:cNvPr id="139" name="テキスト ボックス 138">
          <a:extLst>
            <a:ext uri="{FF2B5EF4-FFF2-40B4-BE49-F238E27FC236}">
              <a16:creationId xmlns:a16="http://schemas.microsoft.com/office/drawing/2014/main" id="{0BBF88CA-6C5D-4D17-B5C5-4FF72D1CE41E}"/>
            </a:ext>
          </a:extLst>
        </xdr:cNvPr>
        <xdr:cNvSpPr txBox="1"/>
      </xdr:nvSpPr>
      <xdr:spPr>
        <a:xfrm>
          <a:off x="6819904" y="61186660"/>
          <a:ext cx="285399"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27</xdr:col>
      <xdr:colOff>100447</xdr:colOff>
      <xdr:row>216</xdr:row>
      <xdr:rowOff>189437</xdr:rowOff>
    </xdr:from>
    <xdr:ext cx="285399" cy="254493"/>
    <xdr:sp macro="" textlink="">
      <xdr:nvSpPr>
        <xdr:cNvPr id="140" name="テキスト ボックス 139">
          <a:extLst>
            <a:ext uri="{FF2B5EF4-FFF2-40B4-BE49-F238E27FC236}">
              <a16:creationId xmlns:a16="http://schemas.microsoft.com/office/drawing/2014/main" id="{924900D3-9D0B-4E6C-9697-B1256BA2F484}"/>
            </a:ext>
          </a:extLst>
        </xdr:cNvPr>
        <xdr:cNvSpPr txBox="1"/>
      </xdr:nvSpPr>
      <xdr:spPr>
        <a:xfrm>
          <a:off x="6272647" y="61187537"/>
          <a:ext cx="285399"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33</xdr:col>
      <xdr:colOff>203733</xdr:colOff>
      <xdr:row>219</xdr:row>
      <xdr:rowOff>182602</xdr:rowOff>
    </xdr:from>
    <xdr:ext cx="286553" cy="254493"/>
    <xdr:sp macro="" textlink="">
      <xdr:nvSpPr>
        <xdr:cNvPr id="141" name="テキスト ボックス 140">
          <a:extLst>
            <a:ext uri="{FF2B5EF4-FFF2-40B4-BE49-F238E27FC236}">
              <a16:creationId xmlns:a16="http://schemas.microsoft.com/office/drawing/2014/main" id="{419517B7-042A-40E1-B356-B1EF6C5A19A0}"/>
            </a:ext>
          </a:extLst>
        </xdr:cNvPr>
        <xdr:cNvSpPr txBox="1"/>
      </xdr:nvSpPr>
      <xdr:spPr>
        <a:xfrm>
          <a:off x="7747533" y="61895077"/>
          <a:ext cx="28655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H</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twoCellAnchor>
    <xdr:from>
      <xdr:col>26</xdr:col>
      <xdr:colOff>193963</xdr:colOff>
      <xdr:row>220</xdr:row>
      <xdr:rowOff>76616</xdr:rowOff>
    </xdr:from>
    <xdr:to>
      <xdr:col>31</xdr:col>
      <xdr:colOff>202623</xdr:colOff>
      <xdr:row>220</xdr:row>
      <xdr:rowOff>76616</xdr:rowOff>
    </xdr:to>
    <xdr:cxnSp macro="">
      <xdr:nvCxnSpPr>
        <xdr:cNvPr id="142" name="直線コネクタ 141">
          <a:extLst>
            <a:ext uri="{FF2B5EF4-FFF2-40B4-BE49-F238E27FC236}">
              <a16:creationId xmlns:a16="http://schemas.microsoft.com/office/drawing/2014/main" id="{57DC8557-5E0F-4B34-8E77-D7B7387C7718}"/>
            </a:ext>
          </a:extLst>
        </xdr:cNvPr>
        <xdr:cNvCxnSpPr/>
      </xdr:nvCxnSpPr>
      <xdr:spPr>
        <a:xfrm>
          <a:off x="6137563" y="62027216"/>
          <a:ext cx="1151660" cy="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64075</xdr:colOff>
      <xdr:row>218</xdr:row>
      <xdr:rowOff>7358</xdr:rowOff>
    </xdr:from>
    <xdr:to>
      <xdr:col>29</xdr:col>
      <xdr:colOff>68405</xdr:colOff>
      <xdr:row>222</xdr:row>
      <xdr:rowOff>211072</xdr:rowOff>
    </xdr:to>
    <xdr:cxnSp macro="">
      <xdr:nvCxnSpPr>
        <xdr:cNvPr id="143" name="直線コネクタ 142">
          <a:extLst>
            <a:ext uri="{FF2B5EF4-FFF2-40B4-BE49-F238E27FC236}">
              <a16:creationId xmlns:a16="http://schemas.microsoft.com/office/drawing/2014/main" id="{FFFF821A-34F7-4E73-B58C-3C0F6F11F0B2}"/>
            </a:ext>
          </a:extLst>
        </xdr:cNvPr>
        <xdr:cNvCxnSpPr/>
      </xdr:nvCxnSpPr>
      <xdr:spPr>
        <a:xfrm flipH="1">
          <a:off x="6693475" y="61481708"/>
          <a:ext cx="4330" cy="115621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3574</xdr:colOff>
      <xdr:row>219</xdr:row>
      <xdr:rowOff>148830</xdr:rowOff>
    </xdr:from>
    <xdr:ext cx="768159" cy="328423"/>
    <xdr:sp macro="" textlink="">
      <xdr:nvSpPr>
        <xdr:cNvPr id="144" name="テキスト ボックス 143">
          <a:extLst>
            <a:ext uri="{FF2B5EF4-FFF2-40B4-BE49-F238E27FC236}">
              <a16:creationId xmlns:a16="http://schemas.microsoft.com/office/drawing/2014/main" id="{79A137D6-F1A6-4F86-92E5-CBD3FE6FD0B1}"/>
            </a:ext>
          </a:extLst>
        </xdr:cNvPr>
        <xdr:cNvSpPr txBox="1"/>
      </xdr:nvSpPr>
      <xdr:spPr>
        <a:xfrm>
          <a:off x="5489974" y="61861305"/>
          <a:ext cx="7681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強軸</a:t>
          </a:r>
          <a:r>
            <a:rPr kumimoji="1" lang="en-US" altLang="ja-JP" sz="1100">
              <a:latin typeface="Times New Roman" panose="02020603050405020304" pitchFamily="18" charset="0"/>
              <a:cs typeface="Times New Roman" panose="02020603050405020304" pitchFamily="18" charset="0"/>
            </a:rPr>
            <a:t>(y</a:t>
          </a:r>
          <a:r>
            <a:rPr kumimoji="1" lang="ja-JP" altLang="en-US" sz="1100"/>
            <a:t>軸</a:t>
          </a:r>
          <a:r>
            <a:rPr kumimoji="1" lang="en-US" altLang="ja-JP" sz="1100"/>
            <a:t>)</a:t>
          </a:r>
        </a:p>
      </xdr:txBody>
    </xdr:sp>
    <xdr:clientData/>
  </xdr:oneCellAnchor>
  <xdr:oneCellAnchor>
    <xdr:from>
      <xdr:col>27</xdr:col>
      <xdr:colOff>219077</xdr:colOff>
      <xdr:row>222</xdr:row>
      <xdr:rowOff>132160</xdr:rowOff>
    </xdr:from>
    <xdr:ext cx="760208" cy="328423"/>
    <xdr:sp macro="" textlink="">
      <xdr:nvSpPr>
        <xdr:cNvPr id="145" name="テキスト ボックス 144">
          <a:extLst>
            <a:ext uri="{FF2B5EF4-FFF2-40B4-BE49-F238E27FC236}">
              <a16:creationId xmlns:a16="http://schemas.microsoft.com/office/drawing/2014/main" id="{199F43D7-BDFA-4667-9BDB-CEB9C4E85EF9}"/>
            </a:ext>
          </a:extLst>
        </xdr:cNvPr>
        <xdr:cNvSpPr txBox="1"/>
      </xdr:nvSpPr>
      <xdr:spPr>
        <a:xfrm>
          <a:off x="6391277" y="62559010"/>
          <a:ext cx="760208"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弱</a:t>
          </a:r>
          <a:r>
            <a:rPr kumimoji="1" lang="ja-JP" altLang="ja-JP" sz="1100">
              <a:solidFill>
                <a:schemeClr val="tx1"/>
              </a:solidFill>
              <a:effectLst/>
              <a:latin typeface="+mn-lt"/>
              <a:ea typeface="+mn-ea"/>
              <a:cs typeface="+mn-cs"/>
            </a:rPr>
            <a:t>軸</a:t>
          </a:r>
          <a:r>
            <a:rPr kumimoji="1" lang="en-US" altLang="ja-JP" sz="1100">
              <a:latin typeface="Times New Roman" panose="02020603050405020304" pitchFamily="18" charset="0"/>
              <a:cs typeface="Times New Roman" panose="02020603050405020304" pitchFamily="18" charset="0"/>
            </a:rPr>
            <a:t>(z</a:t>
          </a:r>
          <a:r>
            <a:rPr kumimoji="1" lang="ja-JP" altLang="en-US" sz="1100"/>
            <a:t>軸</a:t>
          </a:r>
          <a:r>
            <a:rPr kumimoji="1" lang="en-US" altLang="ja-JP" sz="1100"/>
            <a:t>)</a:t>
          </a:r>
        </a:p>
      </xdr:txBody>
    </xdr:sp>
    <xdr:clientData/>
  </xdr:oneCellAnchor>
  <xdr:twoCellAnchor>
    <xdr:from>
      <xdr:col>31</xdr:col>
      <xdr:colOff>172689</xdr:colOff>
      <xdr:row>218</xdr:row>
      <xdr:rowOff>88540</xdr:rowOff>
    </xdr:from>
    <xdr:to>
      <xdr:col>32</xdr:col>
      <xdr:colOff>165112</xdr:colOff>
      <xdr:row>218</xdr:row>
      <xdr:rowOff>88540</xdr:rowOff>
    </xdr:to>
    <xdr:cxnSp macro="">
      <xdr:nvCxnSpPr>
        <xdr:cNvPr id="146" name="直線コネクタ 145">
          <a:extLst>
            <a:ext uri="{FF2B5EF4-FFF2-40B4-BE49-F238E27FC236}">
              <a16:creationId xmlns:a16="http://schemas.microsoft.com/office/drawing/2014/main" id="{19A402C3-AA8F-40DB-818F-D10A8D35DA1B}"/>
            </a:ext>
          </a:extLst>
        </xdr:cNvPr>
        <xdr:cNvCxnSpPr/>
      </xdr:nvCxnSpPr>
      <xdr:spPr>
        <a:xfrm>
          <a:off x="7259289" y="61562890"/>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172689</xdr:colOff>
      <xdr:row>218</xdr:row>
      <xdr:rowOff>217807</xdr:rowOff>
    </xdr:from>
    <xdr:to>
      <xdr:col>32</xdr:col>
      <xdr:colOff>165112</xdr:colOff>
      <xdr:row>218</xdr:row>
      <xdr:rowOff>217807</xdr:rowOff>
    </xdr:to>
    <xdr:cxnSp macro="">
      <xdr:nvCxnSpPr>
        <xdr:cNvPr id="147" name="直線コネクタ 146">
          <a:extLst>
            <a:ext uri="{FF2B5EF4-FFF2-40B4-BE49-F238E27FC236}">
              <a16:creationId xmlns:a16="http://schemas.microsoft.com/office/drawing/2014/main" id="{C8E8A55E-D380-47CB-8A21-4A8EA2A360F5}"/>
            </a:ext>
          </a:extLst>
        </xdr:cNvPr>
        <xdr:cNvCxnSpPr/>
      </xdr:nvCxnSpPr>
      <xdr:spPr>
        <a:xfrm>
          <a:off x="7259289" y="61692157"/>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82759</xdr:colOff>
      <xdr:row>218</xdr:row>
      <xdr:rowOff>217778</xdr:rowOff>
    </xdr:from>
    <xdr:to>
      <xdr:col>32</xdr:col>
      <xdr:colOff>82759</xdr:colOff>
      <xdr:row>219</xdr:row>
      <xdr:rowOff>213632</xdr:rowOff>
    </xdr:to>
    <xdr:cxnSp macro="">
      <xdr:nvCxnSpPr>
        <xdr:cNvPr id="148" name="直線矢印コネクタ 147">
          <a:extLst>
            <a:ext uri="{FF2B5EF4-FFF2-40B4-BE49-F238E27FC236}">
              <a16:creationId xmlns:a16="http://schemas.microsoft.com/office/drawing/2014/main" id="{F936CCEC-CA7B-438D-9A5E-9BA159D95A22}"/>
            </a:ext>
          </a:extLst>
        </xdr:cNvPr>
        <xdr:cNvCxnSpPr/>
      </xdr:nvCxnSpPr>
      <xdr:spPr>
        <a:xfrm flipV="1">
          <a:off x="7397959" y="61692128"/>
          <a:ext cx="0" cy="233979"/>
        </a:xfrm>
        <a:prstGeom prst="straightConnector1">
          <a:avLst/>
        </a:prstGeom>
        <a:ln>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82759</xdr:colOff>
      <xdr:row>217</xdr:row>
      <xdr:rowOff>93953</xdr:rowOff>
    </xdr:from>
    <xdr:to>
      <xdr:col>32</xdr:col>
      <xdr:colOff>82759</xdr:colOff>
      <xdr:row>218</xdr:row>
      <xdr:rowOff>89808</xdr:rowOff>
    </xdr:to>
    <xdr:cxnSp macro="">
      <xdr:nvCxnSpPr>
        <xdr:cNvPr id="149" name="直線矢印コネクタ 148">
          <a:extLst>
            <a:ext uri="{FF2B5EF4-FFF2-40B4-BE49-F238E27FC236}">
              <a16:creationId xmlns:a16="http://schemas.microsoft.com/office/drawing/2014/main" id="{C5DBF65E-87B0-452A-942C-E0997B408EC1}"/>
            </a:ext>
          </a:extLst>
        </xdr:cNvPr>
        <xdr:cNvCxnSpPr/>
      </xdr:nvCxnSpPr>
      <xdr:spPr>
        <a:xfrm flipV="1">
          <a:off x="7397959" y="61330178"/>
          <a:ext cx="0" cy="233980"/>
        </a:xfrm>
        <a:prstGeom prst="straightConnector1">
          <a:avLst/>
        </a:prstGeom>
        <a:ln>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99102</xdr:colOff>
      <xdr:row>218</xdr:row>
      <xdr:rowOff>8055</xdr:rowOff>
    </xdr:from>
    <xdr:ext cx="254044" cy="254493"/>
    <xdr:sp macro="" textlink="">
      <xdr:nvSpPr>
        <xdr:cNvPr id="150" name="テキスト ボックス 149">
          <a:extLst>
            <a:ext uri="{FF2B5EF4-FFF2-40B4-BE49-F238E27FC236}">
              <a16:creationId xmlns:a16="http://schemas.microsoft.com/office/drawing/2014/main" id="{FAF53C79-22C0-4A54-92F4-6D5E49B07769}"/>
            </a:ext>
          </a:extLst>
        </xdr:cNvPr>
        <xdr:cNvSpPr txBox="1"/>
      </xdr:nvSpPr>
      <xdr:spPr>
        <a:xfrm>
          <a:off x="7414302" y="61482405"/>
          <a:ext cx="254044"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t'</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26</xdr:col>
      <xdr:colOff>14287</xdr:colOff>
      <xdr:row>73</xdr:row>
      <xdr:rowOff>88540</xdr:rowOff>
    </xdr:from>
    <xdr:to>
      <xdr:col>30</xdr:col>
      <xdr:colOff>121444</xdr:colOff>
      <xdr:row>73</xdr:row>
      <xdr:rowOff>88540</xdr:rowOff>
    </xdr:to>
    <xdr:cxnSp macro="">
      <xdr:nvCxnSpPr>
        <xdr:cNvPr id="4" name="直線コネクタ 3">
          <a:extLst>
            <a:ext uri="{FF2B5EF4-FFF2-40B4-BE49-F238E27FC236}">
              <a16:creationId xmlns:a16="http://schemas.microsoft.com/office/drawing/2014/main" id="{BFD721A9-FEB2-499C-8348-59C5DEAE64D3}"/>
            </a:ext>
          </a:extLst>
        </xdr:cNvPr>
        <xdr:cNvCxnSpPr/>
      </xdr:nvCxnSpPr>
      <xdr:spPr>
        <a:xfrm>
          <a:off x="6186487" y="39217240"/>
          <a:ext cx="102155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14287</xdr:colOff>
      <xdr:row>77</xdr:row>
      <xdr:rowOff>97607</xdr:rowOff>
    </xdr:from>
    <xdr:to>
      <xdr:col>30</xdr:col>
      <xdr:colOff>123825</xdr:colOff>
      <xdr:row>77</xdr:row>
      <xdr:rowOff>97607</xdr:rowOff>
    </xdr:to>
    <xdr:cxnSp macro="">
      <xdr:nvCxnSpPr>
        <xdr:cNvPr id="5" name="直線コネクタ 4">
          <a:extLst>
            <a:ext uri="{FF2B5EF4-FFF2-40B4-BE49-F238E27FC236}">
              <a16:creationId xmlns:a16="http://schemas.microsoft.com/office/drawing/2014/main" id="{E9E2D73C-F108-418A-BAEB-9A3605DDDAF6}"/>
            </a:ext>
          </a:extLst>
        </xdr:cNvPr>
        <xdr:cNvCxnSpPr/>
      </xdr:nvCxnSpPr>
      <xdr:spPr>
        <a:xfrm>
          <a:off x="6186487" y="40178807"/>
          <a:ext cx="102393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14287</xdr:colOff>
      <xdr:row>73</xdr:row>
      <xdr:rowOff>218964</xdr:rowOff>
    </xdr:from>
    <xdr:to>
      <xdr:col>27</xdr:col>
      <xdr:colOff>205458</xdr:colOff>
      <xdr:row>73</xdr:row>
      <xdr:rowOff>219879</xdr:rowOff>
    </xdr:to>
    <xdr:cxnSp macro="">
      <xdr:nvCxnSpPr>
        <xdr:cNvPr id="6" name="直線コネクタ 5">
          <a:extLst>
            <a:ext uri="{FF2B5EF4-FFF2-40B4-BE49-F238E27FC236}">
              <a16:creationId xmlns:a16="http://schemas.microsoft.com/office/drawing/2014/main" id="{DE4F6008-4B43-4D75-82AF-93F11966EDDC}"/>
            </a:ext>
          </a:extLst>
        </xdr:cNvPr>
        <xdr:cNvCxnSpPr>
          <a:endCxn id="16" idx="0"/>
        </xdr:cNvCxnSpPr>
      </xdr:nvCxnSpPr>
      <xdr:spPr>
        <a:xfrm flipV="1">
          <a:off x="6186487" y="39347664"/>
          <a:ext cx="419771" cy="9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14287</xdr:colOff>
      <xdr:row>76</xdr:row>
      <xdr:rowOff>208574</xdr:rowOff>
    </xdr:from>
    <xdr:to>
      <xdr:col>27</xdr:col>
      <xdr:colOff>204788</xdr:colOff>
      <xdr:row>76</xdr:row>
      <xdr:rowOff>208574</xdr:rowOff>
    </xdr:to>
    <xdr:cxnSp macro="">
      <xdr:nvCxnSpPr>
        <xdr:cNvPr id="7" name="直線コネクタ 6">
          <a:extLst>
            <a:ext uri="{FF2B5EF4-FFF2-40B4-BE49-F238E27FC236}">
              <a16:creationId xmlns:a16="http://schemas.microsoft.com/office/drawing/2014/main" id="{972ECA24-601D-402C-9A38-1527EA46F032}"/>
            </a:ext>
          </a:extLst>
        </xdr:cNvPr>
        <xdr:cNvCxnSpPr/>
      </xdr:nvCxnSpPr>
      <xdr:spPr>
        <a:xfrm>
          <a:off x="6186487" y="40051649"/>
          <a:ext cx="4191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155463</xdr:colOff>
      <xdr:row>73</xdr:row>
      <xdr:rowOff>219879</xdr:rowOff>
    </xdr:from>
    <xdr:to>
      <xdr:col>30</xdr:col>
      <xdr:colOff>123825</xdr:colOff>
      <xdr:row>73</xdr:row>
      <xdr:rowOff>219879</xdr:rowOff>
    </xdr:to>
    <xdr:cxnSp macro="">
      <xdr:nvCxnSpPr>
        <xdr:cNvPr id="8" name="直線コネクタ 7">
          <a:extLst>
            <a:ext uri="{FF2B5EF4-FFF2-40B4-BE49-F238E27FC236}">
              <a16:creationId xmlns:a16="http://schemas.microsoft.com/office/drawing/2014/main" id="{34139977-3823-4E14-942E-BB597C5F8812}"/>
            </a:ext>
          </a:extLst>
        </xdr:cNvPr>
        <xdr:cNvCxnSpPr/>
      </xdr:nvCxnSpPr>
      <xdr:spPr>
        <a:xfrm>
          <a:off x="6784863" y="39348579"/>
          <a:ext cx="42556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157844</xdr:colOff>
      <xdr:row>76</xdr:row>
      <xdr:rowOff>208574</xdr:rowOff>
    </xdr:from>
    <xdr:to>
      <xdr:col>30</xdr:col>
      <xdr:colOff>121444</xdr:colOff>
      <xdr:row>76</xdr:row>
      <xdr:rowOff>208574</xdr:rowOff>
    </xdr:to>
    <xdr:cxnSp macro="">
      <xdr:nvCxnSpPr>
        <xdr:cNvPr id="9" name="直線コネクタ 8">
          <a:extLst>
            <a:ext uri="{FF2B5EF4-FFF2-40B4-BE49-F238E27FC236}">
              <a16:creationId xmlns:a16="http://schemas.microsoft.com/office/drawing/2014/main" id="{2B6BD1E8-76D9-4832-AD5E-102B1B4DB67A}"/>
            </a:ext>
          </a:extLst>
        </xdr:cNvPr>
        <xdr:cNvCxnSpPr/>
      </xdr:nvCxnSpPr>
      <xdr:spPr>
        <a:xfrm>
          <a:off x="6787244" y="40051649"/>
          <a:ext cx="4208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28028</xdr:colOff>
      <xdr:row>74</xdr:row>
      <xdr:rowOff>26630</xdr:rowOff>
    </xdr:from>
    <xdr:to>
      <xdr:col>28</xdr:col>
      <xdr:colOff>28028</xdr:colOff>
      <xdr:row>76</xdr:row>
      <xdr:rowOff>159978</xdr:rowOff>
    </xdr:to>
    <xdr:cxnSp macro="">
      <xdr:nvCxnSpPr>
        <xdr:cNvPr id="10" name="直線コネクタ 9">
          <a:extLst>
            <a:ext uri="{FF2B5EF4-FFF2-40B4-BE49-F238E27FC236}">
              <a16:creationId xmlns:a16="http://schemas.microsoft.com/office/drawing/2014/main" id="{A09AB5D4-569C-4C94-9299-8FFF2F4DCA87}"/>
            </a:ext>
          </a:extLst>
        </xdr:cNvPr>
        <xdr:cNvCxnSpPr/>
      </xdr:nvCxnSpPr>
      <xdr:spPr>
        <a:xfrm>
          <a:off x="6657428" y="39393455"/>
          <a:ext cx="0" cy="6095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104679</xdr:colOff>
      <xdr:row>74</xdr:row>
      <xdr:rowOff>28422</xdr:rowOff>
    </xdr:from>
    <xdr:to>
      <xdr:col>28</xdr:col>
      <xdr:colOff>104679</xdr:colOff>
      <xdr:row>76</xdr:row>
      <xdr:rowOff>159978</xdr:rowOff>
    </xdr:to>
    <xdr:cxnSp macro="">
      <xdr:nvCxnSpPr>
        <xdr:cNvPr id="11" name="直線コネクタ 10">
          <a:extLst>
            <a:ext uri="{FF2B5EF4-FFF2-40B4-BE49-F238E27FC236}">
              <a16:creationId xmlns:a16="http://schemas.microsoft.com/office/drawing/2014/main" id="{A5336622-0E77-4E68-935C-57AD4F0A2DAB}"/>
            </a:ext>
          </a:extLst>
        </xdr:cNvPr>
        <xdr:cNvCxnSpPr/>
      </xdr:nvCxnSpPr>
      <xdr:spPr>
        <a:xfrm>
          <a:off x="6734079" y="39395247"/>
          <a:ext cx="0" cy="6078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12437</xdr:colOff>
      <xdr:row>73</xdr:row>
      <xdr:rowOff>86187</xdr:rowOff>
    </xdr:from>
    <xdr:to>
      <xdr:col>26</xdr:col>
      <xdr:colOff>12437</xdr:colOff>
      <xdr:row>73</xdr:row>
      <xdr:rowOff>219568</xdr:rowOff>
    </xdr:to>
    <xdr:cxnSp macro="">
      <xdr:nvCxnSpPr>
        <xdr:cNvPr id="12" name="直線コネクタ 11">
          <a:extLst>
            <a:ext uri="{FF2B5EF4-FFF2-40B4-BE49-F238E27FC236}">
              <a16:creationId xmlns:a16="http://schemas.microsoft.com/office/drawing/2014/main" id="{3FF17810-1E41-42F6-A392-FB9FDE99C0E0}"/>
            </a:ext>
          </a:extLst>
        </xdr:cNvPr>
        <xdr:cNvCxnSpPr/>
      </xdr:nvCxnSpPr>
      <xdr:spPr>
        <a:xfrm>
          <a:off x="6184637" y="39214887"/>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17272</xdr:colOff>
      <xdr:row>76</xdr:row>
      <xdr:rowOff>205101</xdr:rowOff>
    </xdr:from>
    <xdr:to>
      <xdr:col>26</xdr:col>
      <xdr:colOff>17272</xdr:colOff>
      <xdr:row>77</xdr:row>
      <xdr:rowOff>99371</xdr:rowOff>
    </xdr:to>
    <xdr:cxnSp macro="">
      <xdr:nvCxnSpPr>
        <xdr:cNvPr id="13" name="直線コネクタ 12">
          <a:extLst>
            <a:ext uri="{FF2B5EF4-FFF2-40B4-BE49-F238E27FC236}">
              <a16:creationId xmlns:a16="http://schemas.microsoft.com/office/drawing/2014/main" id="{E1FFA628-7C9B-4F68-9440-4E72918D08D3}"/>
            </a:ext>
          </a:extLst>
        </xdr:cNvPr>
        <xdr:cNvCxnSpPr/>
      </xdr:nvCxnSpPr>
      <xdr:spPr>
        <a:xfrm>
          <a:off x="6189472" y="40048176"/>
          <a:ext cx="0" cy="1323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122443</xdr:colOff>
      <xdr:row>73</xdr:row>
      <xdr:rowOff>86187</xdr:rowOff>
    </xdr:from>
    <xdr:to>
      <xdr:col>30</xdr:col>
      <xdr:colOff>122443</xdr:colOff>
      <xdr:row>73</xdr:row>
      <xdr:rowOff>219568</xdr:rowOff>
    </xdr:to>
    <xdr:cxnSp macro="">
      <xdr:nvCxnSpPr>
        <xdr:cNvPr id="14" name="直線コネクタ 13">
          <a:extLst>
            <a:ext uri="{FF2B5EF4-FFF2-40B4-BE49-F238E27FC236}">
              <a16:creationId xmlns:a16="http://schemas.microsoft.com/office/drawing/2014/main" id="{183A03C0-89BC-4772-8C17-D25E4F1D834C}"/>
            </a:ext>
          </a:extLst>
        </xdr:cNvPr>
        <xdr:cNvCxnSpPr/>
      </xdr:nvCxnSpPr>
      <xdr:spPr>
        <a:xfrm>
          <a:off x="7209043" y="39214887"/>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121913</xdr:colOff>
      <xdr:row>76</xdr:row>
      <xdr:rowOff>205101</xdr:rowOff>
    </xdr:from>
    <xdr:to>
      <xdr:col>30</xdr:col>
      <xdr:colOff>121913</xdr:colOff>
      <xdr:row>77</xdr:row>
      <xdr:rowOff>99371</xdr:rowOff>
    </xdr:to>
    <xdr:cxnSp macro="">
      <xdr:nvCxnSpPr>
        <xdr:cNvPr id="15" name="直線コネクタ 14">
          <a:extLst>
            <a:ext uri="{FF2B5EF4-FFF2-40B4-BE49-F238E27FC236}">
              <a16:creationId xmlns:a16="http://schemas.microsoft.com/office/drawing/2014/main" id="{27EDE8D6-72D3-43C1-9DFD-9DCF2BF425D4}"/>
            </a:ext>
          </a:extLst>
        </xdr:cNvPr>
        <xdr:cNvCxnSpPr/>
      </xdr:nvCxnSpPr>
      <xdr:spPr>
        <a:xfrm>
          <a:off x="7208513" y="40048176"/>
          <a:ext cx="0" cy="1323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154211</xdr:colOff>
      <xdr:row>73</xdr:row>
      <xdr:rowOff>218964</xdr:rowOff>
    </xdr:from>
    <xdr:to>
      <xdr:col>28</xdr:col>
      <xdr:colOff>28105</xdr:colOff>
      <xdr:row>74</xdr:row>
      <xdr:rowOff>80725</xdr:rowOff>
    </xdr:to>
    <xdr:sp macro="" textlink="">
      <xdr:nvSpPr>
        <xdr:cNvPr id="16" name="円弧 15">
          <a:extLst>
            <a:ext uri="{FF2B5EF4-FFF2-40B4-BE49-F238E27FC236}">
              <a16:creationId xmlns:a16="http://schemas.microsoft.com/office/drawing/2014/main" id="{C95E86BB-24F0-45A0-9880-7CD7D436A64A}"/>
            </a:ext>
          </a:extLst>
        </xdr:cNvPr>
        <xdr:cNvSpPr/>
      </xdr:nvSpPr>
      <xdr:spPr>
        <a:xfrm>
          <a:off x="6555011" y="39347664"/>
          <a:ext cx="102494" cy="99886"/>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104308</xdr:colOff>
      <xdr:row>73</xdr:row>
      <xdr:rowOff>223294</xdr:rowOff>
    </xdr:from>
    <xdr:to>
      <xdr:col>28</xdr:col>
      <xdr:colOff>207172</xdr:colOff>
      <xdr:row>74</xdr:row>
      <xdr:rowOff>85055</xdr:rowOff>
    </xdr:to>
    <xdr:sp macro="" textlink="">
      <xdr:nvSpPr>
        <xdr:cNvPr id="17" name="円弧 16">
          <a:extLst>
            <a:ext uri="{FF2B5EF4-FFF2-40B4-BE49-F238E27FC236}">
              <a16:creationId xmlns:a16="http://schemas.microsoft.com/office/drawing/2014/main" id="{5CE2F36A-5847-4AE4-82BF-11D338B449A1}"/>
            </a:ext>
          </a:extLst>
        </xdr:cNvPr>
        <xdr:cNvSpPr/>
      </xdr:nvSpPr>
      <xdr:spPr>
        <a:xfrm flipH="1">
          <a:off x="6733708" y="39351994"/>
          <a:ext cx="102864" cy="99886"/>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104303</xdr:colOff>
      <xdr:row>76</xdr:row>
      <xdr:rowOff>100447</xdr:rowOff>
    </xdr:from>
    <xdr:to>
      <xdr:col>28</xdr:col>
      <xdr:colOff>216692</xdr:colOff>
      <xdr:row>76</xdr:row>
      <xdr:rowOff>209439</xdr:rowOff>
    </xdr:to>
    <xdr:sp macro="" textlink="">
      <xdr:nvSpPr>
        <xdr:cNvPr id="18" name="円弧 17">
          <a:extLst>
            <a:ext uri="{FF2B5EF4-FFF2-40B4-BE49-F238E27FC236}">
              <a16:creationId xmlns:a16="http://schemas.microsoft.com/office/drawing/2014/main" id="{37E386BF-F426-4A8F-8E43-3A9FC376F78E}"/>
            </a:ext>
          </a:extLst>
        </xdr:cNvPr>
        <xdr:cNvSpPr/>
      </xdr:nvSpPr>
      <xdr:spPr>
        <a:xfrm flipH="1" flipV="1">
          <a:off x="6733703" y="39943522"/>
          <a:ext cx="112389" cy="10899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150018</xdr:colOff>
      <xdr:row>76</xdr:row>
      <xdr:rowOff>100446</xdr:rowOff>
    </xdr:from>
    <xdr:to>
      <xdr:col>28</xdr:col>
      <xdr:colOff>28102</xdr:colOff>
      <xdr:row>76</xdr:row>
      <xdr:rowOff>209438</xdr:rowOff>
    </xdr:to>
    <xdr:sp macro="" textlink="">
      <xdr:nvSpPr>
        <xdr:cNvPr id="19" name="円弧 18">
          <a:extLst>
            <a:ext uri="{FF2B5EF4-FFF2-40B4-BE49-F238E27FC236}">
              <a16:creationId xmlns:a16="http://schemas.microsoft.com/office/drawing/2014/main" id="{F85751AD-5BDE-4B2A-A387-77E8D5DD38A6}"/>
            </a:ext>
          </a:extLst>
        </xdr:cNvPr>
        <xdr:cNvSpPr/>
      </xdr:nvSpPr>
      <xdr:spPr>
        <a:xfrm flipV="1">
          <a:off x="6550818" y="39943521"/>
          <a:ext cx="106684" cy="10899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20240</xdr:colOff>
      <xdr:row>71</xdr:row>
      <xdr:rowOff>163348</xdr:rowOff>
    </xdr:from>
    <xdr:to>
      <xdr:col>30</xdr:col>
      <xdr:colOff>121443</xdr:colOff>
      <xdr:row>71</xdr:row>
      <xdr:rowOff>163348</xdr:rowOff>
    </xdr:to>
    <xdr:cxnSp macro="">
      <xdr:nvCxnSpPr>
        <xdr:cNvPr id="20" name="直線矢印コネクタ 19">
          <a:extLst>
            <a:ext uri="{FF2B5EF4-FFF2-40B4-BE49-F238E27FC236}">
              <a16:creationId xmlns:a16="http://schemas.microsoft.com/office/drawing/2014/main" id="{EC68F529-1121-4F9C-B080-A77B8CAF404F}"/>
            </a:ext>
          </a:extLst>
        </xdr:cNvPr>
        <xdr:cNvCxnSpPr/>
      </xdr:nvCxnSpPr>
      <xdr:spPr>
        <a:xfrm flipH="1">
          <a:off x="6192440" y="38815798"/>
          <a:ext cx="1015603"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122443</xdr:colOff>
      <xdr:row>71</xdr:row>
      <xdr:rowOff>105340</xdr:rowOff>
    </xdr:from>
    <xdr:to>
      <xdr:col>30</xdr:col>
      <xdr:colOff>122443</xdr:colOff>
      <xdr:row>72</xdr:row>
      <xdr:rowOff>596</xdr:rowOff>
    </xdr:to>
    <xdr:cxnSp macro="">
      <xdr:nvCxnSpPr>
        <xdr:cNvPr id="21" name="直線コネクタ 20">
          <a:extLst>
            <a:ext uri="{FF2B5EF4-FFF2-40B4-BE49-F238E27FC236}">
              <a16:creationId xmlns:a16="http://schemas.microsoft.com/office/drawing/2014/main" id="{BD8E068C-D800-4037-ADFE-8C8CDA763472}"/>
            </a:ext>
          </a:extLst>
        </xdr:cNvPr>
        <xdr:cNvCxnSpPr/>
      </xdr:nvCxnSpPr>
      <xdr:spPr>
        <a:xfrm>
          <a:off x="7209043" y="38757790"/>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12437</xdr:colOff>
      <xdr:row>71</xdr:row>
      <xdr:rowOff>111293</xdr:rowOff>
    </xdr:from>
    <xdr:to>
      <xdr:col>26</xdr:col>
      <xdr:colOff>12437</xdr:colOff>
      <xdr:row>72</xdr:row>
      <xdr:rowOff>4478</xdr:rowOff>
    </xdr:to>
    <xdr:cxnSp macro="">
      <xdr:nvCxnSpPr>
        <xdr:cNvPr id="22" name="直線コネクタ 21">
          <a:extLst>
            <a:ext uri="{FF2B5EF4-FFF2-40B4-BE49-F238E27FC236}">
              <a16:creationId xmlns:a16="http://schemas.microsoft.com/office/drawing/2014/main" id="{63B02129-676D-4836-B5C4-C1D8AF0C8DCA}"/>
            </a:ext>
          </a:extLst>
        </xdr:cNvPr>
        <xdr:cNvCxnSpPr/>
      </xdr:nvCxnSpPr>
      <xdr:spPr>
        <a:xfrm>
          <a:off x="6184637" y="38763743"/>
          <a:ext cx="0" cy="1313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122443</xdr:colOff>
      <xdr:row>72</xdr:row>
      <xdr:rowOff>99387</xdr:rowOff>
    </xdr:from>
    <xdr:to>
      <xdr:col>30</xdr:col>
      <xdr:colOff>122443</xdr:colOff>
      <xdr:row>72</xdr:row>
      <xdr:rowOff>231474</xdr:rowOff>
    </xdr:to>
    <xdr:cxnSp macro="">
      <xdr:nvCxnSpPr>
        <xdr:cNvPr id="23" name="直線コネクタ 22">
          <a:extLst>
            <a:ext uri="{FF2B5EF4-FFF2-40B4-BE49-F238E27FC236}">
              <a16:creationId xmlns:a16="http://schemas.microsoft.com/office/drawing/2014/main" id="{188E1E1D-8E5F-46DE-9FFE-D0E26C884D2E}"/>
            </a:ext>
          </a:extLst>
        </xdr:cNvPr>
        <xdr:cNvCxnSpPr/>
      </xdr:nvCxnSpPr>
      <xdr:spPr>
        <a:xfrm>
          <a:off x="7209043" y="3898996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110536</xdr:colOff>
      <xdr:row>72</xdr:row>
      <xdr:rowOff>99387</xdr:rowOff>
    </xdr:from>
    <xdr:to>
      <xdr:col>28</xdr:col>
      <xdr:colOff>110536</xdr:colOff>
      <xdr:row>72</xdr:row>
      <xdr:rowOff>231474</xdr:rowOff>
    </xdr:to>
    <xdr:cxnSp macro="">
      <xdr:nvCxnSpPr>
        <xdr:cNvPr id="24" name="直線コネクタ 23">
          <a:extLst>
            <a:ext uri="{FF2B5EF4-FFF2-40B4-BE49-F238E27FC236}">
              <a16:creationId xmlns:a16="http://schemas.microsoft.com/office/drawing/2014/main" id="{4712811A-E8DF-4A87-8B46-98BB3B39E270}"/>
            </a:ext>
          </a:extLst>
        </xdr:cNvPr>
        <xdr:cNvCxnSpPr/>
      </xdr:nvCxnSpPr>
      <xdr:spPr>
        <a:xfrm>
          <a:off x="6739936" y="3898996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33145</xdr:colOff>
      <xdr:row>72</xdr:row>
      <xdr:rowOff>99387</xdr:rowOff>
    </xdr:from>
    <xdr:to>
      <xdr:col>28</xdr:col>
      <xdr:colOff>33145</xdr:colOff>
      <xdr:row>72</xdr:row>
      <xdr:rowOff>231474</xdr:rowOff>
    </xdr:to>
    <xdr:cxnSp macro="">
      <xdr:nvCxnSpPr>
        <xdr:cNvPr id="25" name="直線コネクタ 24">
          <a:extLst>
            <a:ext uri="{FF2B5EF4-FFF2-40B4-BE49-F238E27FC236}">
              <a16:creationId xmlns:a16="http://schemas.microsoft.com/office/drawing/2014/main" id="{FDD5CD2D-A77A-4731-ADF5-BAAECB8B130D}"/>
            </a:ext>
          </a:extLst>
        </xdr:cNvPr>
        <xdr:cNvCxnSpPr/>
      </xdr:nvCxnSpPr>
      <xdr:spPr>
        <a:xfrm>
          <a:off x="6662545" y="38989962"/>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12437</xdr:colOff>
      <xdr:row>72</xdr:row>
      <xdr:rowOff>117246</xdr:rowOff>
    </xdr:from>
    <xdr:to>
      <xdr:col>26</xdr:col>
      <xdr:colOff>12437</xdr:colOff>
      <xdr:row>73</xdr:row>
      <xdr:rowOff>9138</xdr:rowOff>
    </xdr:to>
    <xdr:cxnSp macro="">
      <xdr:nvCxnSpPr>
        <xdr:cNvPr id="26" name="直線コネクタ 25">
          <a:extLst>
            <a:ext uri="{FF2B5EF4-FFF2-40B4-BE49-F238E27FC236}">
              <a16:creationId xmlns:a16="http://schemas.microsoft.com/office/drawing/2014/main" id="{C79540F7-322D-4E75-A643-7B9F5E906351}"/>
            </a:ext>
          </a:extLst>
        </xdr:cNvPr>
        <xdr:cNvCxnSpPr/>
      </xdr:nvCxnSpPr>
      <xdr:spPr>
        <a:xfrm>
          <a:off x="6184637" y="39007821"/>
          <a:ext cx="0" cy="13001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20240</xdr:colOff>
      <xdr:row>72</xdr:row>
      <xdr:rowOff>155324</xdr:rowOff>
    </xdr:from>
    <xdr:to>
      <xdr:col>28</xdr:col>
      <xdr:colOff>32147</xdr:colOff>
      <xdr:row>72</xdr:row>
      <xdr:rowOff>155324</xdr:rowOff>
    </xdr:to>
    <xdr:cxnSp macro="">
      <xdr:nvCxnSpPr>
        <xdr:cNvPr id="27" name="直線矢印コネクタ 26">
          <a:extLst>
            <a:ext uri="{FF2B5EF4-FFF2-40B4-BE49-F238E27FC236}">
              <a16:creationId xmlns:a16="http://schemas.microsoft.com/office/drawing/2014/main" id="{79318D03-50DA-4804-8ADA-D0C4324891A0}"/>
            </a:ext>
          </a:extLst>
        </xdr:cNvPr>
        <xdr:cNvCxnSpPr/>
      </xdr:nvCxnSpPr>
      <xdr:spPr>
        <a:xfrm flipH="1">
          <a:off x="6192440" y="39045899"/>
          <a:ext cx="469107"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109537</xdr:colOff>
      <xdr:row>72</xdr:row>
      <xdr:rowOff>155324</xdr:rowOff>
    </xdr:from>
    <xdr:to>
      <xdr:col>30</xdr:col>
      <xdr:colOff>121443</xdr:colOff>
      <xdr:row>72</xdr:row>
      <xdr:rowOff>155324</xdr:rowOff>
    </xdr:to>
    <xdr:cxnSp macro="">
      <xdr:nvCxnSpPr>
        <xdr:cNvPr id="28" name="直線矢印コネクタ 27">
          <a:extLst>
            <a:ext uri="{FF2B5EF4-FFF2-40B4-BE49-F238E27FC236}">
              <a16:creationId xmlns:a16="http://schemas.microsoft.com/office/drawing/2014/main" id="{19B44017-4BC3-4D52-AAAB-AB43F0B9E608}"/>
            </a:ext>
          </a:extLst>
        </xdr:cNvPr>
        <xdr:cNvCxnSpPr/>
      </xdr:nvCxnSpPr>
      <xdr:spPr>
        <a:xfrm flipH="1">
          <a:off x="6738937" y="39045899"/>
          <a:ext cx="469106"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1116</xdr:colOff>
      <xdr:row>73</xdr:row>
      <xdr:rowOff>93953</xdr:rowOff>
    </xdr:from>
    <xdr:to>
      <xdr:col>33</xdr:col>
      <xdr:colOff>1116</xdr:colOff>
      <xdr:row>77</xdr:row>
      <xdr:rowOff>105097</xdr:rowOff>
    </xdr:to>
    <xdr:cxnSp macro="">
      <xdr:nvCxnSpPr>
        <xdr:cNvPr id="29" name="直線矢印コネクタ 28">
          <a:extLst>
            <a:ext uri="{FF2B5EF4-FFF2-40B4-BE49-F238E27FC236}">
              <a16:creationId xmlns:a16="http://schemas.microsoft.com/office/drawing/2014/main" id="{23ABEF3C-B0DE-4703-A52D-C1033885282E}"/>
            </a:ext>
          </a:extLst>
        </xdr:cNvPr>
        <xdr:cNvCxnSpPr/>
      </xdr:nvCxnSpPr>
      <xdr:spPr>
        <a:xfrm flipV="1">
          <a:off x="7773516" y="39222653"/>
          <a:ext cx="0" cy="963644"/>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74719</xdr:colOff>
      <xdr:row>73</xdr:row>
      <xdr:rowOff>88540</xdr:rowOff>
    </xdr:from>
    <xdr:to>
      <xdr:col>33</xdr:col>
      <xdr:colOff>67142</xdr:colOff>
      <xdr:row>73</xdr:row>
      <xdr:rowOff>88540</xdr:rowOff>
    </xdr:to>
    <xdr:cxnSp macro="">
      <xdr:nvCxnSpPr>
        <xdr:cNvPr id="30" name="直線コネクタ 29">
          <a:extLst>
            <a:ext uri="{FF2B5EF4-FFF2-40B4-BE49-F238E27FC236}">
              <a16:creationId xmlns:a16="http://schemas.microsoft.com/office/drawing/2014/main" id="{C59537F3-355B-490A-942D-FC9D81256E13}"/>
            </a:ext>
          </a:extLst>
        </xdr:cNvPr>
        <xdr:cNvCxnSpPr/>
      </xdr:nvCxnSpPr>
      <xdr:spPr>
        <a:xfrm>
          <a:off x="7618519" y="39217240"/>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92037</xdr:colOff>
      <xdr:row>77</xdr:row>
      <xdr:rowOff>97607</xdr:rowOff>
    </xdr:from>
    <xdr:to>
      <xdr:col>33</xdr:col>
      <xdr:colOff>86841</xdr:colOff>
      <xdr:row>77</xdr:row>
      <xdr:rowOff>97607</xdr:rowOff>
    </xdr:to>
    <xdr:cxnSp macro="">
      <xdr:nvCxnSpPr>
        <xdr:cNvPr id="31" name="直線コネクタ 30">
          <a:extLst>
            <a:ext uri="{FF2B5EF4-FFF2-40B4-BE49-F238E27FC236}">
              <a16:creationId xmlns:a16="http://schemas.microsoft.com/office/drawing/2014/main" id="{431499B2-710F-4953-A755-CF18826FFCC3}"/>
            </a:ext>
          </a:extLst>
        </xdr:cNvPr>
        <xdr:cNvCxnSpPr/>
      </xdr:nvCxnSpPr>
      <xdr:spPr>
        <a:xfrm>
          <a:off x="7635837" y="40178807"/>
          <a:ext cx="22340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176640</xdr:colOff>
      <xdr:row>70</xdr:row>
      <xdr:rowOff>189530</xdr:rowOff>
    </xdr:from>
    <xdr:ext cx="270843" cy="254493"/>
    <xdr:sp macro="" textlink="">
      <xdr:nvSpPr>
        <xdr:cNvPr id="32" name="テキスト ボックス 31">
          <a:extLst>
            <a:ext uri="{FF2B5EF4-FFF2-40B4-BE49-F238E27FC236}">
              <a16:creationId xmlns:a16="http://schemas.microsoft.com/office/drawing/2014/main" id="{5EEB7244-FCF1-4DDC-853A-6E9CADD4B7B9}"/>
            </a:ext>
          </a:extLst>
        </xdr:cNvPr>
        <xdr:cNvSpPr txBox="1"/>
      </xdr:nvSpPr>
      <xdr:spPr>
        <a:xfrm>
          <a:off x="6577440" y="38603855"/>
          <a:ext cx="27084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28</xdr:col>
      <xdr:colOff>190504</xdr:colOff>
      <xdr:row>71</xdr:row>
      <xdr:rowOff>188560</xdr:rowOff>
    </xdr:from>
    <xdr:ext cx="285399" cy="254493"/>
    <xdr:sp macro="" textlink="">
      <xdr:nvSpPr>
        <xdr:cNvPr id="33" name="テキスト ボックス 32">
          <a:extLst>
            <a:ext uri="{FF2B5EF4-FFF2-40B4-BE49-F238E27FC236}">
              <a16:creationId xmlns:a16="http://schemas.microsoft.com/office/drawing/2014/main" id="{AE76EB48-CC7F-454E-9DB9-E20F56510307}"/>
            </a:ext>
          </a:extLst>
        </xdr:cNvPr>
        <xdr:cNvSpPr txBox="1"/>
      </xdr:nvSpPr>
      <xdr:spPr>
        <a:xfrm>
          <a:off x="6819904" y="38841010"/>
          <a:ext cx="285399"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26</xdr:col>
      <xdr:colOff>100447</xdr:colOff>
      <xdr:row>71</xdr:row>
      <xdr:rowOff>189437</xdr:rowOff>
    </xdr:from>
    <xdr:ext cx="285399" cy="254493"/>
    <xdr:sp macro="" textlink="">
      <xdr:nvSpPr>
        <xdr:cNvPr id="34" name="テキスト ボックス 33">
          <a:extLst>
            <a:ext uri="{FF2B5EF4-FFF2-40B4-BE49-F238E27FC236}">
              <a16:creationId xmlns:a16="http://schemas.microsoft.com/office/drawing/2014/main" id="{C98966FF-39AF-42E6-834F-C48C498B9FDF}"/>
            </a:ext>
          </a:extLst>
        </xdr:cNvPr>
        <xdr:cNvSpPr txBox="1"/>
      </xdr:nvSpPr>
      <xdr:spPr>
        <a:xfrm>
          <a:off x="6272647" y="38841887"/>
          <a:ext cx="285399"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32</xdr:col>
      <xdr:colOff>203733</xdr:colOff>
      <xdr:row>74</xdr:row>
      <xdr:rowOff>182602</xdr:rowOff>
    </xdr:from>
    <xdr:ext cx="286553" cy="254493"/>
    <xdr:sp macro="" textlink="">
      <xdr:nvSpPr>
        <xdr:cNvPr id="35" name="テキスト ボックス 34">
          <a:extLst>
            <a:ext uri="{FF2B5EF4-FFF2-40B4-BE49-F238E27FC236}">
              <a16:creationId xmlns:a16="http://schemas.microsoft.com/office/drawing/2014/main" id="{66A80235-3BD5-4699-8C7D-2280A64A1708}"/>
            </a:ext>
          </a:extLst>
        </xdr:cNvPr>
        <xdr:cNvSpPr txBox="1"/>
      </xdr:nvSpPr>
      <xdr:spPr>
        <a:xfrm>
          <a:off x="7747533" y="39549427"/>
          <a:ext cx="28655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H</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twoCellAnchor>
    <xdr:from>
      <xdr:col>25</xdr:col>
      <xdr:colOff>193963</xdr:colOff>
      <xdr:row>75</xdr:row>
      <xdr:rowOff>76616</xdr:rowOff>
    </xdr:from>
    <xdr:to>
      <xdr:col>30</xdr:col>
      <xdr:colOff>202623</xdr:colOff>
      <xdr:row>75</xdr:row>
      <xdr:rowOff>76616</xdr:rowOff>
    </xdr:to>
    <xdr:cxnSp macro="">
      <xdr:nvCxnSpPr>
        <xdr:cNvPr id="36" name="直線コネクタ 35">
          <a:extLst>
            <a:ext uri="{FF2B5EF4-FFF2-40B4-BE49-F238E27FC236}">
              <a16:creationId xmlns:a16="http://schemas.microsoft.com/office/drawing/2014/main" id="{1EA372B0-888F-46FF-A8F7-BE84CB134CD5}"/>
            </a:ext>
          </a:extLst>
        </xdr:cNvPr>
        <xdr:cNvCxnSpPr/>
      </xdr:nvCxnSpPr>
      <xdr:spPr>
        <a:xfrm>
          <a:off x="6137563" y="39681566"/>
          <a:ext cx="1151660" cy="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64075</xdr:colOff>
      <xdr:row>73</xdr:row>
      <xdr:rowOff>7358</xdr:rowOff>
    </xdr:from>
    <xdr:to>
      <xdr:col>28</xdr:col>
      <xdr:colOff>68405</xdr:colOff>
      <xdr:row>77</xdr:row>
      <xdr:rowOff>211072</xdr:rowOff>
    </xdr:to>
    <xdr:cxnSp macro="">
      <xdr:nvCxnSpPr>
        <xdr:cNvPr id="37" name="直線コネクタ 36">
          <a:extLst>
            <a:ext uri="{FF2B5EF4-FFF2-40B4-BE49-F238E27FC236}">
              <a16:creationId xmlns:a16="http://schemas.microsoft.com/office/drawing/2014/main" id="{A26FFB43-364F-42C7-B162-72D978212A4D}"/>
            </a:ext>
          </a:extLst>
        </xdr:cNvPr>
        <xdr:cNvCxnSpPr/>
      </xdr:nvCxnSpPr>
      <xdr:spPr>
        <a:xfrm flipH="1">
          <a:off x="6693475" y="39136058"/>
          <a:ext cx="4330" cy="115621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3574</xdr:colOff>
      <xdr:row>74</xdr:row>
      <xdr:rowOff>148830</xdr:rowOff>
    </xdr:from>
    <xdr:ext cx="768159" cy="328423"/>
    <xdr:sp macro="" textlink="">
      <xdr:nvSpPr>
        <xdr:cNvPr id="38" name="テキスト ボックス 37">
          <a:extLst>
            <a:ext uri="{FF2B5EF4-FFF2-40B4-BE49-F238E27FC236}">
              <a16:creationId xmlns:a16="http://schemas.microsoft.com/office/drawing/2014/main" id="{B126436B-6FB7-4F85-9E26-0BA894B8F045}"/>
            </a:ext>
          </a:extLst>
        </xdr:cNvPr>
        <xdr:cNvSpPr txBox="1"/>
      </xdr:nvSpPr>
      <xdr:spPr>
        <a:xfrm>
          <a:off x="5489974" y="39515655"/>
          <a:ext cx="7681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強軸</a:t>
          </a:r>
          <a:r>
            <a:rPr kumimoji="1" lang="en-US" altLang="ja-JP" sz="1100">
              <a:latin typeface="Times New Roman" panose="02020603050405020304" pitchFamily="18" charset="0"/>
              <a:cs typeface="Times New Roman" panose="02020603050405020304" pitchFamily="18" charset="0"/>
            </a:rPr>
            <a:t>(y</a:t>
          </a:r>
          <a:r>
            <a:rPr kumimoji="1" lang="ja-JP" altLang="en-US" sz="1100"/>
            <a:t>軸</a:t>
          </a:r>
          <a:r>
            <a:rPr kumimoji="1" lang="en-US" altLang="ja-JP" sz="1100"/>
            <a:t>)</a:t>
          </a:r>
        </a:p>
      </xdr:txBody>
    </xdr:sp>
    <xdr:clientData/>
  </xdr:oneCellAnchor>
  <xdr:oneCellAnchor>
    <xdr:from>
      <xdr:col>26</xdr:col>
      <xdr:colOff>219077</xdr:colOff>
      <xdr:row>77</xdr:row>
      <xdr:rowOff>132160</xdr:rowOff>
    </xdr:from>
    <xdr:ext cx="760208" cy="328423"/>
    <xdr:sp macro="" textlink="">
      <xdr:nvSpPr>
        <xdr:cNvPr id="39" name="テキスト ボックス 38">
          <a:extLst>
            <a:ext uri="{FF2B5EF4-FFF2-40B4-BE49-F238E27FC236}">
              <a16:creationId xmlns:a16="http://schemas.microsoft.com/office/drawing/2014/main" id="{9A05B75C-8A02-4893-8D69-8D61D9CC5CEC}"/>
            </a:ext>
          </a:extLst>
        </xdr:cNvPr>
        <xdr:cNvSpPr txBox="1"/>
      </xdr:nvSpPr>
      <xdr:spPr>
        <a:xfrm>
          <a:off x="6391277" y="40213360"/>
          <a:ext cx="760208"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弱</a:t>
          </a:r>
          <a:r>
            <a:rPr kumimoji="1" lang="ja-JP" altLang="ja-JP" sz="1100">
              <a:solidFill>
                <a:schemeClr val="tx1"/>
              </a:solidFill>
              <a:effectLst/>
              <a:latin typeface="+mn-lt"/>
              <a:ea typeface="+mn-ea"/>
              <a:cs typeface="+mn-cs"/>
            </a:rPr>
            <a:t>軸</a:t>
          </a:r>
          <a:r>
            <a:rPr kumimoji="1" lang="en-US" altLang="ja-JP" sz="1100">
              <a:latin typeface="Times New Roman" panose="02020603050405020304" pitchFamily="18" charset="0"/>
              <a:cs typeface="Times New Roman" panose="02020603050405020304" pitchFamily="18" charset="0"/>
            </a:rPr>
            <a:t>(z</a:t>
          </a:r>
          <a:r>
            <a:rPr kumimoji="1" lang="ja-JP" altLang="en-US" sz="1100"/>
            <a:t>軸</a:t>
          </a:r>
          <a:r>
            <a:rPr kumimoji="1" lang="en-US" altLang="ja-JP" sz="1100"/>
            <a:t>)</a:t>
          </a:r>
        </a:p>
      </xdr:txBody>
    </xdr:sp>
    <xdr:clientData/>
  </xdr:oneCellAnchor>
  <xdr:twoCellAnchor>
    <xdr:from>
      <xdr:col>30</xdr:col>
      <xdr:colOff>172689</xdr:colOff>
      <xdr:row>73</xdr:row>
      <xdr:rowOff>88540</xdr:rowOff>
    </xdr:from>
    <xdr:to>
      <xdr:col>31</xdr:col>
      <xdr:colOff>165112</xdr:colOff>
      <xdr:row>73</xdr:row>
      <xdr:rowOff>88540</xdr:rowOff>
    </xdr:to>
    <xdr:cxnSp macro="">
      <xdr:nvCxnSpPr>
        <xdr:cNvPr id="40" name="直線コネクタ 39">
          <a:extLst>
            <a:ext uri="{FF2B5EF4-FFF2-40B4-BE49-F238E27FC236}">
              <a16:creationId xmlns:a16="http://schemas.microsoft.com/office/drawing/2014/main" id="{0E841579-7848-467A-A0F6-9A5AF71FA842}"/>
            </a:ext>
          </a:extLst>
        </xdr:cNvPr>
        <xdr:cNvCxnSpPr/>
      </xdr:nvCxnSpPr>
      <xdr:spPr>
        <a:xfrm>
          <a:off x="7259289" y="39217240"/>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172689</xdr:colOff>
      <xdr:row>73</xdr:row>
      <xdr:rowOff>217807</xdr:rowOff>
    </xdr:from>
    <xdr:to>
      <xdr:col>31</xdr:col>
      <xdr:colOff>165112</xdr:colOff>
      <xdr:row>73</xdr:row>
      <xdr:rowOff>217807</xdr:rowOff>
    </xdr:to>
    <xdr:cxnSp macro="">
      <xdr:nvCxnSpPr>
        <xdr:cNvPr id="41" name="直線コネクタ 40">
          <a:extLst>
            <a:ext uri="{FF2B5EF4-FFF2-40B4-BE49-F238E27FC236}">
              <a16:creationId xmlns:a16="http://schemas.microsoft.com/office/drawing/2014/main" id="{E703466D-B6F4-43DC-9EEE-DD8D68351C33}"/>
            </a:ext>
          </a:extLst>
        </xdr:cNvPr>
        <xdr:cNvCxnSpPr/>
      </xdr:nvCxnSpPr>
      <xdr:spPr>
        <a:xfrm>
          <a:off x="7259289" y="39346507"/>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82759</xdr:colOff>
      <xdr:row>73</xdr:row>
      <xdr:rowOff>217778</xdr:rowOff>
    </xdr:from>
    <xdr:to>
      <xdr:col>31</xdr:col>
      <xdr:colOff>82759</xdr:colOff>
      <xdr:row>74</xdr:row>
      <xdr:rowOff>213632</xdr:rowOff>
    </xdr:to>
    <xdr:cxnSp macro="">
      <xdr:nvCxnSpPr>
        <xdr:cNvPr id="42" name="直線矢印コネクタ 41">
          <a:extLst>
            <a:ext uri="{FF2B5EF4-FFF2-40B4-BE49-F238E27FC236}">
              <a16:creationId xmlns:a16="http://schemas.microsoft.com/office/drawing/2014/main" id="{A92289EA-10E4-4233-A36E-3549CD2CE7E8}"/>
            </a:ext>
          </a:extLst>
        </xdr:cNvPr>
        <xdr:cNvCxnSpPr/>
      </xdr:nvCxnSpPr>
      <xdr:spPr>
        <a:xfrm flipV="1">
          <a:off x="7397959" y="39346478"/>
          <a:ext cx="0" cy="233979"/>
        </a:xfrm>
        <a:prstGeom prst="straightConnector1">
          <a:avLst/>
        </a:prstGeom>
        <a:ln>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82759</xdr:colOff>
      <xdr:row>72</xdr:row>
      <xdr:rowOff>93953</xdr:rowOff>
    </xdr:from>
    <xdr:to>
      <xdr:col>31</xdr:col>
      <xdr:colOff>82759</xdr:colOff>
      <xdr:row>73</xdr:row>
      <xdr:rowOff>89808</xdr:rowOff>
    </xdr:to>
    <xdr:cxnSp macro="">
      <xdr:nvCxnSpPr>
        <xdr:cNvPr id="43" name="直線矢印コネクタ 42">
          <a:extLst>
            <a:ext uri="{FF2B5EF4-FFF2-40B4-BE49-F238E27FC236}">
              <a16:creationId xmlns:a16="http://schemas.microsoft.com/office/drawing/2014/main" id="{EF58E233-9623-4087-B58E-294A5AC66FE4}"/>
            </a:ext>
          </a:extLst>
        </xdr:cNvPr>
        <xdr:cNvCxnSpPr/>
      </xdr:nvCxnSpPr>
      <xdr:spPr>
        <a:xfrm flipV="1">
          <a:off x="7397959" y="38984528"/>
          <a:ext cx="0" cy="233980"/>
        </a:xfrm>
        <a:prstGeom prst="straightConnector1">
          <a:avLst/>
        </a:prstGeom>
        <a:ln>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99102</xdr:colOff>
      <xdr:row>73</xdr:row>
      <xdr:rowOff>8055</xdr:rowOff>
    </xdr:from>
    <xdr:ext cx="254044" cy="254493"/>
    <xdr:sp macro="" textlink="">
      <xdr:nvSpPr>
        <xdr:cNvPr id="44" name="テキスト ボックス 43">
          <a:extLst>
            <a:ext uri="{FF2B5EF4-FFF2-40B4-BE49-F238E27FC236}">
              <a16:creationId xmlns:a16="http://schemas.microsoft.com/office/drawing/2014/main" id="{D4406A09-C1F7-4665-92DB-CBCA8D65CDC5}"/>
            </a:ext>
          </a:extLst>
        </xdr:cNvPr>
        <xdr:cNvSpPr txBox="1"/>
      </xdr:nvSpPr>
      <xdr:spPr>
        <a:xfrm>
          <a:off x="7414302" y="39136755"/>
          <a:ext cx="254044"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t'</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twoCellAnchor>
    <xdr:from>
      <xdr:col>26</xdr:col>
      <xdr:colOff>14287</xdr:colOff>
      <xdr:row>199</xdr:row>
      <xdr:rowOff>88540</xdr:rowOff>
    </xdr:from>
    <xdr:to>
      <xdr:col>30</xdr:col>
      <xdr:colOff>121444</xdr:colOff>
      <xdr:row>199</xdr:row>
      <xdr:rowOff>88540</xdr:rowOff>
    </xdr:to>
    <xdr:cxnSp macro="">
      <xdr:nvCxnSpPr>
        <xdr:cNvPr id="2" name="直線コネクタ 1">
          <a:extLst>
            <a:ext uri="{FF2B5EF4-FFF2-40B4-BE49-F238E27FC236}">
              <a16:creationId xmlns:a16="http://schemas.microsoft.com/office/drawing/2014/main" id="{547B6C86-E3CB-4157-A283-64E6C3709004}"/>
            </a:ext>
          </a:extLst>
        </xdr:cNvPr>
        <xdr:cNvCxnSpPr/>
      </xdr:nvCxnSpPr>
      <xdr:spPr>
        <a:xfrm>
          <a:off x="5957887" y="17547865"/>
          <a:ext cx="102155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14287</xdr:colOff>
      <xdr:row>203</xdr:row>
      <xdr:rowOff>97607</xdr:rowOff>
    </xdr:from>
    <xdr:to>
      <xdr:col>30</xdr:col>
      <xdr:colOff>123825</xdr:colOff>
      <xdr:row>203</xdr:row>
      <xdr:rowOff>97607</xdr:rowOff>
    </xdr:to>
    <xdr:cxnSp macro="">
      <xdr:nvCxnSpPr>
        <xdr:cNvPr id="3" name="直線コネクタ 2">
          <a:extLst>
            <a:ext uri="{FF2B5EF4-FFF2-40B4-BE49-F238E27FC236}">
              <a16:creationId xmlns:a16="http://schemas.microsoft.com/office/drawing/2014/main" id="{3F767C5E-B335-475E-9E54-0E6206A960F7}"/>
            </a:ext>
          </a:extLst>
        </xdr:cNvPr>
        <xdr:cNvCxnSpPr/>
      </xdr:nvCxnSpPr>
      <xdr:spPr>
        <a:xfrm>
          <a:off x="5957887" y="18509432"/>
          <a:ext cx="1023938"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14287</xdr:colOff>
      <xdr:row>199</xdr:row>
      <xdr:rowOff>218964</xdr:rowOff>
    </xdr:from>
    <xdr:to>
      <xdr:col>27</xdr:col>
      <xdr:colOff>205458</xdr:colOff>
      <xdr:row>199</xdr:row>
      <xdr:rowOff>219879</xdr:rowOff>
    </xdr:to>
    <xdr:cxnSp macro="">
      <xdr:nvCxnSpPr>
        <xdr:cNvPr id="45" name="直線コネクタ 44">
          <a:extLst>
            <a:ext uri="{FF2B5EF4-FFF2-40B4-BE49-F238E27FC236}">
              <a16:creationId xmlns:a16="http://schemas.microsoft.com/office/drawing/2014/main" id="{1D6C1AB3-D20B-434E-B7F9-0423F6B7D72E}"/>
            </a:ext>
          </a:extLst>
        </xdr:cNvPr>
        <xdr:cNvCxnSpPr>
          <a:endCxn id="55" idx="0"/>
        </xdr:cNvCxnSpPr>
      </xdr:nvCxnSpPr>
      <xdr:spPr>
        <a:xfrm flipV="1">
          <a:off x="5957887" y="17678289"/>
          <a:ext cx="419771" cy="91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14287</xdr:colOff>
      <xdr:row>202</xdr:row>
      <xdr:rowOff>208574</xdr:rowOff>
    </xdr:from>
    <xdr:to>
      <xdr:col>27</xdr:col>
      <xdr:colOff>204788</xdr:colOff>
      <xdr:row>202</xdr:row>
      <xdr:rowOff>208574</xdr:rowOff>
    </xdr:to>
    <xdr:cxnSp macro="">
      <xdr:nvCxnSpPr>
        <xdr:cNvPr id="46" name="直線コネクタ 45">
          <a:extLst>
            <a:ext uri="{FF2B5EF4-FFF2-40B4-BE49-F238E27FC236}">
              <a16:creationId xmlns:a16="http://schemas.microsoft.com/office/drawing/2014/main" id="{45FFB913-E7F1-4AC9-A017-B3F9761EBC8A}"/>
            </a:ext>
          </a:extLst>
        </xdr:cNvPr>
        <xdr:cNvCxnSpPr/>
      </xdr:nvCxnSpPr>
      <xdr:spPr>
        <a:xfrm>
          <a:off x="5957887" y="18382274"/>
          <a:ext cx="41910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155463</xdr:colOff>
      <xdr:row>199</xdr:row>
      <xdr:rowOff>219879</xdr:rowOff>
    </xdr:from>
    <xdr:to>
      <xdr:col>30</xdr:col>
      <xdr:colOff>123825</xdr:colOff>
      <xdr:row>199</xdr:row>
      <xdr:rowOff>219879</xdr:rowOff>
    </xdr:to>
    <xdr:cxnSp macro="">
      <xdr:nvCxnSpPr>
        <xdr:cNvPr id="47" name="直線コネクタ 46">
          <a:extLst>
            <a:ext uri="{FF2B5EF4-FFF2-40B4-BE49-F238E27FC236}">
              <a16:creationId xmlns:a16="http://schemas.microsoft.com/office/drawing/2014/main" id="{38AD6498-C60A-48AD-AA63-59AF5C1EF890}"/>
            </a:ext>
          </a:extLst>
        </xdr:cNvPr>
        <xdr:cNvCxnSpPr/>
      </xdr:nvCxnSpPr>
      <xdr:spPr>
        <a:xfrm>
          <a:off x="6556263" y="17679204"/>
          <a:ext cx="425562"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157844</xdr:colOff>
      <xdr:row>202</xdr:row>
      <xdr:rowOff>208574</xdr:rowOff>
    </xdr:from>
    <xdr:to>
      <xdr:col>30</xdr:col>
      <xdr:colOff>121444</xdr:colOff>
      <xdr:row>202</xdr:row>
      <xdr:rowOff>208574</xdr:rowOff>
    </xdr:to>
    <xdr:cxnSp macro="">
      <xdr:nvCxnSpPr>
        <xdr:cNvPr id="48" name="直線コネクタ 47">
          <a:extLst>
            <a:ext uri="{FF2B5EF4-FFF2-40B4-BE49-F238E27FC236}">
              <a16:creationId xmlns:a16="http://schemas.microsoft.com/office/drawing/2014/main" id="{05815A2F-C945-48E6-AA98-21AE71873341}"/>
            </a:ext>
          </a:extLst>
        </xdr:cNvPr>
        <xdr:cNvCxnSpPr/>
      </xdr:nvCxnSpPr>
      <xdr:spPr>
        <a:xfrm>
          <a:off x="6558644" y="18382274"/>
          <a:ext cx="4208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28028</xdr:colOff>
      <xdr:row>200</xdr:row>
      <xdr:rowOff>26630</xdr:rowOff>
    </xdr:from>
    <xdr:to>
      <xdr:col>28</xdr:col>
      <xdr:colOff>28028</xdr:colOff>
      <xdr:row>202</xdr:row>
      <xdr:rowOff>159978</xdr:rowOff>
    </xdr:to>
    <xdr:cxnSp macro="">
      <xdr:nvCxnSpPr>
        <xdr:cNvPr id="49" name="直線コネクタ 48">
          <a:extLst>
            <a:ext uri="{FF2B5EF4-FFF2-40B4-BE49-F238E27FC236}">
              <a16:creationId xmlns:a16="http://schemas.microsoft.com/office/drawing/2014/main" id="{7A7B91AD-B5C8-431B-BABC-92C7306223DF}"/>
            </a:ext>
          </a:extLst>
        </xdr:cNvPr>
        <xdr:cNvCxnSpPr/>
      </xdr:nvCxnSpPr>
      <xdr:spPr>
        <a:xfrm>
          <a:off x="6428828" y="17724080"/>
          <a:ext cx="0" cy="6095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104679</xdr:colOff>
      <xdr:row>200</xdr:row>
      <xdr:rowOff>28422</xdr:rowOff>
    </xdr:from>
    <xdr:to>
      <xdr:col>28</xdr:col>
      <xdr:colOff>104679</xdr:colOff>
      <xdr:row>202</xdr:row>
      <xdr:rowOff>159978</xdr:rowOff>
    </xdr:to>
    <xdr:cxnSp macro="">
      <xdr:nvCxnSpPr>
        <xdr:cNvPr id="50" name="直線コネクタ 49">
          <a:extLst>
            <a:ext uri="{FF2B5EF4-FFF2-40B4-BE49-F238E27FC236}">
              <a16:creationId xmlns:a16="http://schemas.microsoft.com/office/drawing/2014/main" id="{18B35C72-9A5A-4D28-89BC-BA0F8C022829}"/>
            </a:ext>
          </a:extLst>
        </xdr:cNvPr>
        <xdr:cNvCxnSpPr/>
      </xdr:nvCxnSpPr>
      <xdr:spPr>
        <a:xfrm>
          <a:off x="6505479" y="17725872"/>
          <a:ext cx="0" cy="60780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12437</xdr:colOff>
      <xdr:row>199</xdr:row>
      <xdr:rowOff>86187</xdr:rowOff>
    </xdr:from>
    <xdr:to>
      <xdr:col>26</xdr:col>
      <xdr:colOff>12437</xdr:colOff>
      <xdr:row>199</xdr:row>
      <xdr:rowOff>219568</xdr:rowOff>
    </xdr:to>
    <xdr:cxnSp macro="">
      <xdr:nvCxnSpPr>
        <xdr:cNvPr id="51" name="直線コネクタ 50">
          <a:extLst>
            <a:ext uri="{FF2B5EF4-FFF2-40B4-BE49-F238E27FC236}">
              <a16:creationId xmlns:a16="http://schemas.microsoft.com/office/drawing/2014/main" id="{291AAF3C-C9CC-4E45-9FC9-64200C3E44CC}"/>
            </a:ext>
          </a:extLst>
        </xdr:cNvPr>
        <xdr:cNvCxnSpPr/>
      </xdr:nvCxnSpPr>
      <xdr:spPr>
        <a:xfrm>
          <a:off x="5956037" y="17545512"/>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17272</xdr:colOff>
      <xdr:row>202</xdr:row>
      <xdr:rowOff>205101</xdr:rowOff>
    </xdr:from>
    <xdr:to>
      <xdr:col>26</xdr:col>
      <xdr:colOff>17272</xdr:colOff>
      <xdr:row>203</xdr:row>
      <xdr:rowOff>99371</xdr:rowOff>
    </xdr:to>
    <xdr:cxnSp macro="">
      <xdr:nvCxnSpPr>
        <xdr:cNvPr id="52" name="直線コネクタ 51">
          <a:extLst>
            <a:ext uri="{FF2B5EF4-FFF2-40B4-BE49-F238E27FC236}">
              <a16:creationId xmlns:a16="http://schemas.microsoft.com/office/drawing/2014/main" id="{5F66C44D-BE74-48D8-BA98-EC6844601540}"/>
            </a:ext>
          </a:extLst>
        </xdr:cNvPr>
        <xdr:cNvCxnSpPr/>
      </xdr:nvCxnSpPr>
      <xdr:spPr>
        <a:xfrm>
          <a:off x="5960872" y="18378801"/>
          <a:ext cx="0" cy="1323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122443</xdr:colOff>
      <xdr:row>199</xdr:row>
      <xdr:rowOff>86187</xdr:rowOff>
    </xdr:from>
    <xdr:to>
      <xdr:col>30</xdr:col>
      <xdr:colOff>122443</xdr:colOff>
      <xdr:row>199</xdr:row>
      <xdr:rowOff>219568</xdr:rowOff>
    </xdr:to>
    <xdr:cxnSp macro="">
      <xdr:nvCxnSpPr>
        <xdr:cNvPr id="53" name="直線コネクタ 52">
          <a:extLst>
            <a:ext uri="{FF2B5EF4-FFF2-40B4-BE49-F238E27FC236}">
              <a16:creationId xmlns:a16="http://schemas.microsoft.com/office/drawing/2014/main" id="{1BFFF157-58EE-4A34-A548-AAA02D497B33}"/>
            </a:ext>
          </a:extLst>
        </xdr:cNvPr>
        <xdr:cNvCxnSpPr/>
      </xdr:nvCxnSpPr>
      <xdr:spPr>
        <a:xfrm>
          <a:off x="6980443" y="17545512"/>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121913</xdr:colOff>
      <xdr:row>202</xdr:row>
      <xdr:rowOff>205101</xdr:rowOff>
    </xdr:from>
    <xdr:to>
      <xdr:col>30</xdr:col>
      <xdr:colOff>121913</xdr:colOff>
      <xdr:row>203</xdr:row>
      <xdr:rowOff>99371</xdr:rowOff>
    </xdr:to>
    <xdr:cxnSp macro="">
      <xdr:nvCxnSpPr>
        <xdr:cNvPr id="54" name="直線コネクタ 53">
          <a:extLst>
            <a:ext uri="{FF2B5EF4-FFF2-40B4-BE49-F238E27FC236}">
              <a16:creationId xmlns:a16="http://schemas.microsoft.com/office/drawing/2014/main" id="{65351FA1-2B9D-4F53-B958-1F3AF239B3B1}"/>
            </a:ext>
          </a:extLst>
        </xdr:cNvPr>
        <xdr:cNvCxnSpPr/>
      </xdr:nvCxnSpPr>
      <xdr:spPr>
        <a:xfrm>
          <a:off x="6979913" y="18378801"/>
          <a:ext cx="0" cy="13239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154211</xdr:colOff>
      <xdr:row>199</xdr:row>
      <xdr:rowOff>218964</xdr:rowOff>
    </xdr:from>
    <xdr:to>
      <xdr:col>28</xdr:col>
      <xdr:colOff>28105</xdr:colOff>
      <xdr:row>200</xdr:row>
      <xdr:rowOff>80725</xdr:rowOff>
    </xdr:to>
    <xdr:sp macro="" textlink="">
      <xdr:nvSpPr>
        <xdr:cNvPr id="55" name="円弧 54">
          <a:extLst>
            <a:ext uri="{FF2B5EF4-FFF2-40B4-BE49-F238E27FC236}">
              <a16:creationId xmlns:a16="http://schemas.microsoft.com/office/drawing/2014/main" id="{2B6DA7E3-E63B-47B2-A0B4-1201410FEE18}"/>
            </a:ext>
          </a:extLst>
        </xdr:cNvPr>
        <xdr:cNvSpPr/>
      </xdr:nvSpPr>
      <xdr:spPr>
        <a:xfrm>
          <a:off x="6326411" y="17678289"/>
          <a:ext cx="102494" cy="99886"/>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104308</xdr:colOff>
      <xdr:row>199</xdr:row>
      <xdr:rowOff>223294</xdr:rowOff>
    </xdr:from>
    <xdr:to>
      <xdr:col>28</xdr:col>
      <xdr:colOff>207172</xdr:colOff>
      <xdr:row>200</xdr:row>
      <xdr:rowOff>85055</xdr:rowOff>
    </xdr:to>
    <xdr:sp macro="" textlink="">
      <xdr:nvSpPr>
        <xdr:cNvPr id="56" name="円弧 55">
          <a:extLst>
            <a:ext uri="{FF2B5EF4-FFF2-40B4-BE49-F238E27FC236}">
              <a16:creationId xmlns:a16="http://schemas.microsoft.com/office/drawing/2014/main" id="{CF2939EA-4C69-4E0F-85A4-19AC90B03663}"/>
            </a:ext>
          </a:extLst>
        </xdr:cNvPr>
        <xdr:cNvSpPr/>
      </xdr:nvSpPr>
      <xdr:spPr>
        <a:xfrm flipH="1">
          <a:off x="6505108" y="17682619"/>
          <a:ext cx="102864" cy="99886"/>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104303</xdr:colOff>
      <xdr:row>202</xdr:row>
      <xdr:rowOff>100447</xdr:rowOff>
    </xdr:from>
    <xdr:to>
      <xdr:col>28</xdr:col>
      <xdr:colOff>216692</xdr:colOff>
      <xdr:row>202</xdr:row>
      <xdr:rowOff>209439</xdr:rowOff>
    </xdr:to>
    <xdr:sp macro="" textlink="">
      <xdr:nvSpPr>
        <xdr:cNvPr id="57" name="円弧 56">
          <a:extLst>
            <a:ext uri="{FF2B5EF4-FFF2-40B4-BE49-F238E27FC236}">
              <a16:creationId xmlns:a16="http://schemas.microsoft.com/office/drawing/2014/main" id="{157B633A-25F5-4A57-AEC4-335097175D5D}"/>
            </a:ext>
          </a:extLst>
        </xdr:cNvPr>
        <xdr:cNvSpPr/>
      </xdr:nvSpPr>
      <xdr:spPr>
        <a:xfrm flipH="1" flipV="1">
          <a:off x="6505103" y="18274147"/>
          <a:ext cx="112389" cy="10899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150018</xdr:colOff>
      <xdr:row>202</xdr:row>
      <xdr:rowOff>100446</xdr:rowOff>
    </xdr:from>
    <xdr:to>
      <xdr:col>28</xdr:col>
      <xdr:colOff>28102</xdr:colOff>
      <xdr:row>202</xdr:row>
      <xdr:rowOff>209438</xdr:rowOff>
    </xdr:to>
    <xdr:sp macro="" textlink="">
      <xdr:nvSpPr>
        <xdr:cNvPr id="58" name="円弧 57">
          <a:extLst>
            <a:ext uri="{FF2B5EF4-FFF2-40B4-BE49-F238E27FC236}">
              <a16:creationId xmlns:a16="http://schemas.microsoft.com/office/drawing/2014/main" id="{A6A5119B-384C-4400-9604-DC7773BE1AF2}"/>
            </a:ext>
          </a:extLst>
        </xdr:cNvPr>
        <xdr:cNvSpPr/>
      </xdr:nvSpPr>
      <xdr:spPr>
        <a:xfrm flipV="1">
          <a:off x="6322218" y="18274146"/>
          <a:ext cx="106684" cy="108992"/>
        </a:xfrm>
        <a:prstGeom prst="arc">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20240</xdr:colOff>
      <xdr:row>197</xdr:row>
      <xdr:rowOff>163348</xdr:rowOff>
    </xdr:from>
    <xdr:to>
      <xdr:col>30</xdr:col>
      <xdr:colOff>121443</xdr:colOff>
      <xdr:row>197</xdr:row>
      <xdr:rowOff>163348</xdr:rowOff>
    </xdr:to>
    <xdr:cxnSp macro="">
      <xdr:nvCxnSpPr>
        <xdr:cNvPr id="59" name="直線矢印コネクタ 58">
          <a:extLst>
            <a:ext uri="{FF2B5EF4-FFF2-40B4-BE49-F238E27FC236}">
              <a16:creationId xmlns:a16="http://schemas.microsoft.com/office/drawing/2014/main" id="{B596A2AF-659C-4929-93FB-C3FA4A6AE7B1}"/>
            </a:ext>
          </a:extLst>
        </xdr:cNvPr>
        <xdr:cNvCxnSpPr/>
      </xdr:nvCxnSpPr>
      <xdr:spPr>
        <a:xfrm flipH="1">
          <a:off x="5963840" y="17146423"/>
          <a:ext cx="1015603"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122443</xdr:colOff>
      <xdr:row>197</xdr:row>
      <xdr:rowOff>105340</xdr:rowOff>
    </xdr:from>
    <xdr:to>
      <xdr:col>30</xdr:col>
      <xdr:colOff>122443</xdr:colOff>
      <xdr:row>198</xdr:row>
      <xdr:rowOff>596</xdr:rowOff>
    </xdr:to>
    <xdr:cxnSp macro="">
      <xdr:nvCxnSpPr>
        <xdr:cNvPr id="60" name="直線コネクタ 59">
          <a:extLst>
            <a:ext uri="{FF2B5EF4-FFF2-40B4-BE49-F238E27FC236}">
              <a16:creationId xmlns:a16="http://schemas.microsoft.com/office/drawing/2014/main" id="{C640A777-ED3B-4770-804D-A630DA93CC48}"/>
            </a:ext>
          </a:extLst>
        </xdr:cNvPr>
        <xdr:cNvCxnSpPr/>
      </xdr:nvCxnSpPr>
      <xdr:spPr>
        <a:xfrm>
          <a:off x="6980443" y="17088415"/>
          <a:ext cx="0" cy="13338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12437</xdr:colOff>
      <xdr:row>197</xdr:row>
      <xdr:rowOff>111293</xdr:rowOff>
    </xdr:from>
    <xdr:to>
      <xdr:col>26</xdr:col>
      <xdr:colOff>12437</xdr:colOff>
      <xdr:row>198</xdr:row>
      <xdr:rowOff>4478</xdr:rowOff>
    </xdr:to>
    <xdr:cxnSp macro="">
      <xdr:nvCxnSpPr>
        <xdr:cNvPr id="61" name="直線コネクタ 60">
          <a:extLst>
            <a:ext uri="{FF2B5EF4-FFF2-40B4-BE49-F238E27FC236}">
              <a16:creationId xmlns:a16="http://schemas.microsoft.com/office/drawing/2014/main" id="{13647780-519F-42E9-9A5C-DD68984E07DD}"/>
            </a:ext>
          </a:extLst>
        </xdr:cNvPr>
        <xdr:cNvCxnSpPr/>
      </xdr:nvCxnSpPr>
      <xdr:spPr>
        <a:xfrm>
          <a:off x="5956037" y="17094368"/>
          <a:ext cx="0" cy="13131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122443</xdr:colOff>
      <xdr:row>198</xdr:row>
      <xdr:rowOff>99387</xdr:rowOff>
    </xdr:from>
    <xdr:to>
      <xdr:col>30</xdr:col>
      <xdr:colOff>122443</xdr:colOff>
      <xdr:row>198</xdr:row>
      <xdr:rowOff>231474</xdr:rowOff>
    </xdr:to>
    <xdr:cxnSp macro="">
      <xdr:nvCxnSpPr>
        <xdr:cNvPr id="62" name="直線コネクタ 61">
          <a:extLst>
            <a:ext uri="{FF2B5EF4-FFF2-40B4-BE49-F238E27FC236}">
              <a16:creationId xmlns:a16="http://schemas.microsoft.com/office/drawing/2014/main" id="{76546C8C-847B-421D-8B47-31517D36FA6C}"/>
            </a:ext>
          </a:extLst>
        </xdr:cNvPr>
        <xdr:cNvCxnSpPr/>
      </xdr:nvCxnSpPr>
      <xdr:spPr>
        <a:xfrm>
          <a:off x="6980443" y="17320587"/>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110536</xdr:colOff>
      <xdr:row>198</xdr:row>
      <xdr:rowOff>99387</xdr:rowOff>
    </xdr:from>
    <xdr:to>
      <xdr:col>28</xdr:col>
      <xdr:colOff>110536</xdr:colOff>
      <xdr:row>198</xdr:row>
      <xdr:rowOff>231474</xdr:rowOff>
    </xdr:to>
    <xdr:cxnSp macro="">
      <xdr:nvCxnSpPr>
        <xdr:cNvPr id="63" name="直線コネクタ 62">
          <a:extLst>
            <a:ext uri="{FF2B5EF4-FFF2-40B4-BE49-F238E27FC236}">
              <a16:creationId xmlns:a16="http://schemas.microsoft.com/office/drawing/2014/main" id="{3173761D-D96E-4FE3-AE8C-335D0F8F585A}"/>
            </a:ext>
          </a:extLst>
        </xdr:cNvPr>
        <xdr:cNvCxnSpPr/>
      </xdr:nvCxnSpPr>
      <xdr:spPr>
        <a:xfrm>
          <a:off x="6511336" y="17320587"/>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33145</xdr:colOff>
      <xdr:row>198</xdr:row>
      <xdr:rowOff>99387</xdr:rowOff>
    </xdr:from>
    <xdr:to>
      <xdr:col>28</xdr:col>
      <xdr:colOff>33145</xdr:colOff>
      <xdr:row>198</xdr:row>
      <xdr:rowOff>231474</xdr:rowOff>
    </xdr:to>
    <xdr:cxnSp macro="">
      <xdr:nvCxnSpPr>
        <xdr:cNvPr id="64" name="直線コネクタ 63">
          <a:extLst>
            <a:ext uri="{FF2B5EF4-FFF2-40B4-BE49-F238E27FC236}">
              <a16:creationId xmlns:a16="http://schemas.microsoft.com/office/drawing/2014/main" id="{0CC3FDAC-91FC-4F15-9EED-AE86D783F4D0}"/>
            </a:ext>
          </a:extLst>
        </xdr:cNvPr>
        <xdr:cNvCxnSpPr/>
      </xdr:nvCxnSpPr>
      <xdr:spPr>
        <a:xfrm>
          <a:off x="6433945" y="17320587"/>
          <a:ext cx="0" cy="1320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12437</xdr:colOff>
      <xdr:row>198</xdr:row>
      <xdr:rowOff>117246</xdr:rowOff>
    </xdr:from>
    <xdr:to>
      <xdr:col>26</xdr:col>
      <xdr:colOff>12437</xdr:colOff>
      <xdr:row>199</xdr:row>
      <xdr:rowOff>9138</xdr:rowOff>
    </xdr:to>
    <xdr:cxnSp macro="">
      <xdr:nvCxnSpPr>
        <xdr:cNvPr id="65" name="直線コネクタ 64">
          <a:extLst>
            <a:ext uri="{FF2B5EF4-FFF2-40B4-BE49-F238E27FC236}">
              <a16:creationId xmlns:a16="http://schemas.microsoft.com/office/drawing/2014/main" id="{1490D4A5-FC16-49A2-AD73-B5964D201C26}"/>
            </a:ext>
          </a:extLst>
        </xdr:cNvPr>
        <xdr:cNvCxnSpPr/>
      </xdr:nvCxnSpPr>
      <xdr:spPr>
        <a:xfrm>
          <a:off x="5956037" y="17338446"/>
          <a:ext cx="0" cy="13001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20240</xdr:colOff>
      <xdr:row>198</xdr:row>
      <xdr:rowOff>155324</xdr:rowOff>
    </xdr:from>
    <xdr:to>
      <xdr:col>28</xdr:col>
      <xdr:colOff>32147</xdr:colOff>
      <xdr:row>198</xdr:row>
      <xdr:rowOff>155324</xdr:rowOff>
    </xdr:to>
    <xdr:cxnSp macro="">
      <xdr:nvCxnSpPr>
        <xdr:cNvPr id="66" name="直線矢印コネクタ 65">
          <a:extLst>
            <a:ext uri="{FF2B5EF4-FFF2-40B4-BE49-F238E27FC236}">
              <a16:creationId xmlns:a16="http://schemas.microsoft.com/office/drawing/2014/main" id="{F9A86041-339F-4A27-8A0A-DAD4883AEEC8}"/>
            </a:ext>
          </a:extLst>
        </xdr:cNvPr>
        <xdr:cNvCxnSpPr/>
      </xdr:nvCxnSpPr>
      <xdr:spPr>
        <a:xfrm flipH="1">
          <a:off x="5963840" y="17376524"/>
          <a:ext cx="469107"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109537</xdr:colOff>
      <xdr:row>198</xdr:row>
      <xdr:rowOff>155324</xdr:rowOff>
    </xdr:from>
    <xdr:to>
      <xdr:col>30</xdr:col>
      <xdr:colOff>121443</xdr:colOff>
      <xdr:row>198</xdr:row>
      <xdr:rowOff>155324</xdr:rowOff>
    </xdr:to>
    <xdr:cxnSp macro="">
      <xdr:nvCxnSpPr>
        <xdr:cNvPr id="67" name="直線矢印コネクタ 66">
          <a:extLst>
            <a:ext uri="{FF2B5EF4-FFF2-40B4-BE49-F238E27FC236}">
              <a16:creationId xmlns:a16="http://schemas.microsoft.com/office/drawing/2014/main" id="{430FB56D-9F68-40C3-8FF7-4D4D6C684D59}"/>
            </a:ext>
          </a:extLst>
        </xdr:cNvPr>
        <xdr:cNvCxnSpPr/>
      </xdr:nvCxnSpPr>
      <xdr:spPr>
        <a:xfrm flipH="1">
          <a:off x="6510337" y="17376524"/>
          <a:ext cx="469106"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1116</xdr:colOff>
      <xdr:row>199</xdr:row>
      <xdr:rowOff>93953</xdr:rowOff>
    </xdr:from>
    <xdr:to>
      <xdr:col>33</xdr:col>
      <xdr:colOff>1116</xdr:colOff>
      <xdr:row>203</xdr:row>
      <xdr:rowOff>105097</xdr:rowOff>
    </xdr:to>
    <xdr:cxnSp macro="">
      <xdr:nvCxnSpPr>
        <xdr:cNvPr id="68" name="直線矢印コネクタ 67">
          <a:extLst>
            <a:ext uri="{FF2B5EF4-FFF2-40B4-BE49-F238E27FC236}">
              <a16:creationId xmlns:a16="http://schemas.microsoft.com/office/drawing/2014/main" id="{AB475BDF-83B0-40B6-B3D8-6F599C65F6BE}"/>
            </a:ext>
          </a:extLst>
        </xdr:cNvPr>
        <xdr:cNvCxnSpPr/>
      </xdr:nvCxnSpPr>
      <xdr:spPr>
        <a:xfrm flipV="1">
          <a:off x="7544916" y="17553278"/>
          <a:ext cx="0" cy="963644"/>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74719</xdr:colOff>
      <xdr:row>199</xdr:row>
      <xdr:rowOff>88540</xdr:rowOff>
    </xdr:from>
    <xdr:to>
      <xdr:col>33</xdr:col>
      <xdr:colOff>67142</xdr:colOff>
      <xdr:row>199</xdr:row>
      <xdr:rowOff>88540</xdr:rowOff>
    </xdr:to>
    <xdr:cxnSp macro="">
      <xdr:nvCxnSpPr>
        <xdr:cNvPr id="69" name="直線コネクタ 68">
          <a:extLst>
            <a:ext uri="{FF2B5EF4-FFF2-40B4-BE49-F238E27FC236}">
              <a16:creationId xmlns:a16="http://schemas.microsoft.com/office/drawing/2014/main" id="{C8E476F0-C89D-4F5F-B193-E153910771E2}"/>
            </a:ext>
          </a:extLst>
        </xdr:cNvPr>
        <xdr:cNvCxnSpPr/>
      </xdr:nvCxnSpPr>
      <xdr:spPr>
        <a:xfrm>
          <a:off x="7389919" y="17547865"/>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92037</xdr:colOff>
      <xdr:row>203</xdr:row>
      <xdr:rowOff>97607</xdr:rowOff>
    </xdr:from>
    <xdr:to>
      <xdr:col>33</xdr:col>
      <xdr:colOff>86841</xdr:colOff>
      <xdr:row>203</xdr:row>
      <xdr:rowOff>97607</xdr:rowOff>
    </xdr:to>
    <xdr:cxnSp macro="">
      <xdr:nvCxnSpPr>
        <xdr:cNvPr id="70" name="直線コネクタ 69">
          <a:extLst>
            <a:ext uri="{FF2B5EF4-FFF2-40B4-BE49-F238E27FC236}">
              <a16:creationId xmlns:a16="http://schemas.microsoft.com/office/drawing/2014/main" id="{F93CB497-8066-4405-9EB5-70F9D3422B89}"/>
            </a:ext>
          </a:extLst>
        </xdr:cNvPr>
        <xdr:cNvCxnSpPr/>
      </xdr:nvCxnSpPr>
      <xdr:spPr>
        <a:xfrm>
          <a:off x="7407237" y="18509432"/>
          <a:ext cx="223404"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27</xdr:col>
      <xdr:colOff>176640</xdr:colOff>
      <xdr:row>196</xdr:row>
      <xdr:rowOff>189530</xdr:rowOff>
    </xdr:from>
    <xdr:ext cx="270843" cy="254493"/>
    <xdr:sp macro="" textlink="">
      <xdr:nvSpPr>
        <xdr:cNvPr id="71" name="テキスト ボックス 70">
          <a:extLst>
            <a:ext uri="{FF2B5EF4-FFF2-40B4-BE49-F238E27FC236}">
              <a16:creationId xmlns:a16="http://schemas.microsoft.com/office/drawing/2014/main" id="{8E9FA3FD-424C-445C-B70F-AA4B36A4FDD7}"/>
            </a:ext>
          </a:extLst>
        </xdr:cNvPr>
        <xdr:cNvSpPr txBox="1"/>
      </xdr:nvSpPr>
      <xdr:spPr>
        <a:xfrm>
          <a:off x="6348840" y="16934480"/>
          <a:ext cx="27084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28</xdr:col>
      <xdr:colOff>190504</xdr:colOff>
      <xdr:row>197</xdr:row>
      <xdr:rowOff>188560</xdr:rowOff>
    </xdr:from>
    <xdr:ext cx="285399" cy="254493"/>
    <xdr:sp macro="" textlink="">
      <xdr:nvSpPr>
        <xdr:cNvPr id="72" name="テキスト ボックス 71">
          <a:extLst>
            <a:ext uri="{FF2B5EF4-FFF2-40B4-BE49-F238E27FC236}">
              <a16:creationId xmlns:a16="http://schemas.microsoft.com/office/drawing/2014/main" id="{20C71F18-3B81-4A71-8430-071D343A8DAB}"/>
            </a:ext>
          </a:extLst>
        </xdr:cNvPr>
        <xdr:cNvSpPr txBox="1"/>
      </xdr:nvSpPr>
      <xdr:spPr>
        <a:xfrm>
          <a:off x="6591304" y="17171635"/>
          <a:ext cx="285399"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26</xdr:col>
      <xdr:colOff>100447</xdr:colOff>
      <xdr:row>197</xdr:row>
      <xdr:rowOff>189437</xdr:rowOff>
    </xdr:from>
    <xdr:ext cx="285399" cy="254493"/>
    <xdr:sp macro="" textlink="">
      <xdr:nvSpPr>
        <xdr:cNvPr id="73" name="テキスト ボックス 72">
          <a:extLst>
            <a:ext uri="{FF2B5EF4-FFF2-40B4-BE49-F238E27FC236}">
              <a16:creationId xmlns:a16="http://schemas.microsoft.com/office/drawing/2014/main" id="{7865DAE8-E8E3-4021-AF1E-B719739C7679}"/>
            </a:ext>
          </a:extLst>
        </xdr:cNvPr>
        <xdr:cNvSpPr txBox="1"/>
      </xdr:nvSpPr>
      <xdr:spPr>
        <a:xfrm>
          <a:off x="6044047" y="17172512"/>
          <a:ext cx="285399"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b'</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oneCellAnchor>
    <xdr:from>
      <xdr:col>32</xdr:col>
      <xdr:colOff>203733</xdr:colOff>
      <xdr:row>200</xdr:row>
      <xdr:rowOff>182602</xdr:rowOff>
    </xdr:from>
    <xdr:ext cx="286553" cy="254493"/>
    <xdr:sp macro="" textlink="">
      <xdr:nvSpPr>
        <xdr:cNvPr id="74" name="テキスト ボックス 73">
          <a:extLst>
            <a:ext uri="{FF2B5EF4-FFF2-40B4-BE49-F238E27FC236}">
              <a16:creationId xmlns:a16="http://schemas.microsoft.com/office/drawing/2014/main" id="{C2F7059A-F78F-46E7-BFC9-4DC5A7E5DB04}"/>
            </a:ext>
          </a:extLst>
        </xdr:cNvPr>
        <xdr:cNvSpPr txBox="1"/>
      </xdr:nvSpPr>
      <xdr:spPr>
        <a:xfrm>
          <a:off x="7518933" y="17880052"/>
          <a:ext cx="286553"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H</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twoCellAnchor>
    <xdr:from>
      <xdr:col>25</xdr:col>
      <xdr:colOff>193963</xdr:colOff>
      <xdr:row>201</xdr:row>
      <xdr:rowOff>76616</xdr:rowOff>
    </xdr:from>
    <xdr:to>
      <xdr:col>30</xdr:col>
      <xdr:colOff>202623</xdr:colOff>
      <xdr:row>201</xdr:row>
      <xdr:rowOff>76616</xdr:rowOff>
    </xdr:to>
    <xdr:cxnSp macro="">
      <xdr:nvCxnSpPr>
        <xdr:cNvPr id="75" name="直線コネクタ 74">
          <a:extLst>
            <a:ext uri="{FF2B5EF4-FFF2-40B4-BE49-F238E27FC236}">
              <a16:creationId xmlns:a16="http://schemas.microsoft.com/office/drawing/2014/main" id="{04ADF673-642A-40E9-9015-0A7FB056AFDF}"/>
            </a:ext>
          </a:extLst>
        </xdr:cNvPr>
        <xdr:cNvCxnSpPr/>
      </xdr:nvCxnSpPr>
      <xdr:spPr>
        <a:xfrm>
          <a:off x="5908963" y="18012191"/>
          <a:ext cx="1151660" cy="0"/>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64075</xdr:colOff>
      <xdr:row>199</xdr:row>
      <xdr:rowOff>7358</xdr:rowOff>
    </xdr:from>
    <xdr:to>
      <xdr:col>28</xdr:col>
      <xdr:colOff>68405</xdr:colOff>
      <xdr:row>203</xdr:row>
      <xdr:rowOff>211072</xdr:rowOff>
    </xdr:to>
    <xdr:cxnSp macro="">
      <xdr:nvCxnSpPr>
        <xdr:cNvPr id="76" name="直線コネクタ 75">
          <a:extLst>
            <a:ext uri="{FF2B5EF4-FFF2-40B4-BE49-F238E27FC236}">
              <a16:creationId xmlns:a16="http://schemas.microsoft.com/office/drawing/2014/main" id="{69558C7C-A0E8-4784-92EB-DEB66CA2A603}"/>
            </a:ext>
          </a:extLst>
        </xdr:cNvPr>
        <xdr:cNvCxnSpPr/>
      </xdr:nvCxnSpPr>
      <xdr:spPr>
        <a:xfrm flipH="1">
          <a:off x="6464875" y="17466683"/>
          <a:ext cx="4330" cy="1156214"/>
        </a:xfrm>
        <a:prstGeom prst="line">
          <a:avLst/>
        </a:prstGeom>
        <a:ln>
          <a:prstDash val="dashDot"/>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3574</xdr:colOff>
      <xdr:row>200</xdr:row>
      <xdr:rowOff>148830</xdr:rowOff>
    </xdr:from>
    <xdr:ext cx="768159" cy="328423"/>
    <xdr:sp macro="" textlink="">
      <xdr:nvSpPr>
        <xdr:cNvPr id="77" name="テキスト ボックス 76">
          <a:extLst>
            <a:ext uri="{FF2B5EF4-FFF2-40B4-BE49-F238E27FC236}">
              <a16:creationId xmlns:a16="http://schemas.microsoft.com/office/drawing/2014/main" id="{ABECAB2E-8954-4156-8733-4EEDB67C0C0D}"/>
            </a:ext>
          </a:extLst>
        </xdr:cNvPr>
        <xdr:cNvSpPr txBox="1"/>
      </xdr:nvSpPr>
      <xdr:spPr>
        <a:xfrm>
          <a:off x="5261374" y="17846280"/>
          <a:ext cx="7681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強軸</a:t>
          </a:r>
          <a:r>
            <a:rPr kumimoji="1" lang="en-US" altLang="ja-JP" sz="1100">
              <a:latin typeface="Times New Roman" panose="02020603050405020304" pitchFamily="18" charset="0"/>
              <a:cs typeface="Times New Roman" panose="02020603050405020304" pitchFamily="18" charset="0"/>
            </a:rPr>
            <a:t>(y</a:t>
          </a:r>
          <a:r>
            <a:rPr kumimoji="1" lang="ja-JP" altLang="en-US" sz="1100"/>
            <a:t>軸</a:t>
          </a:r>
          <a:r>
            <a:rPr kumimoji="1" lang="en-US" altLang="ja-JP" sz="1100"/>
            <a:t>)</a:t>
          </a:r>
        </a:p>
      </xdr:txBody>
    </xdr:sp>
    <xdr:clientData/>
  </xdr:oneCellAnchor>
  <xdr:oneCellAnchor>
    <xdr:from>
      <xdr:col>26</xdr:col>
      <xdr:colOff>219077</xdr:colOff>
      <xdr:row>203</xdr:row>
      <xdr:rowOff>132160</xdr:rowOff>
    </xdr:from>
    <xdr:ext cx="760208" cy="328423"/>
    <xdr:sp macro="" textlink="">
      <xdr:nvSpPr>
        <xdr:cNvPr id="78" name="テキスト ボックス 77">
          <a:extLst>
            <a:ext uri="{FF2B5EF4-FFF2-40B4-BE49-F238E27FC236}">
              <a16:creationId xmlns:a16="http://schemas.microsoft.com/office/drawing/2014/main" id="{6C0B768E-2DB6-443F-A5CA-E72245FA54B8}"/>
            </a:ext>
          </a:extLst>
        </xdr:cNvPr>
        <xdr:cNvSpPr txBox="1"/>
      </xdr:nvSpPr>
      <xdr:spPr>
        <a:xfrm>
          <a:off x="6162677" y="18543985"/>
          <a:ext cx="760208"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弱</a:t>
          </a:r>
          <a:r>
            <a:rPr kumimoji="1" lang="ja-JP" altLang="ja-JP" sz="1100">
              <a:solidFill>
                <a:schemeClr val="tx1"/>
              </a:solidFill>
              <a:effectLst/>
              <a:latin typeface="+mn-lt"/>
              <a:ea typeface="+mn-ea"/>
              <a:cs typeface="+mn-cs"/>
            </a:rPr>
            <a:t>軸</a:t>
          </a:r>
          <a:r>
            <a:rPr kumimoji="1" lang="en-US" altLang="ja-JP" sz="1100">
              <a:latin typeface="Times New Roman" panose="02020603050405020304" pitchFamily="18" charset="0"/>
              <a:cs typeface="Times New Roman" panose="02020603050405020304" pitchFamily="18" charset="0"/>
            </a:rPr>
            <a:t>(z</a:t>
          </a:r>
          <a:r>
            <a:rPr kumimoji="1" lang="ja-JP" altLang="en-US" sz="1100"/>
            <a:t>軸</a:t>
          </a:r>
          <a:r>
            <a:rPr kumimoji="1" lang="en-US" altLang="ja-JP" sz="1100"/>
            <a:t>)</a:t>
          </a:r>
        </a:p>
      </xdr:txBody>
    </xdr:sp>
    <xdr:clientData/>
  </xdr:oneCellAnchor>
  <xdr:twoCellAnchor>
    <xdr:from>
      <xdr:col>30</xdr:col>
      <xdr:colOff>172689</xdr:colOff>
      <xdr:row>199</xdr:row>
      <xdr:rowOff>88540</xdr:rowOff>
    </xdr:from>
    <xdr:to>
      <xdr:col>31</xdr:col>
      <xdr:colOff>165112</xdr:colOff>
      <xdr:row>199</xdr:row>
      <xdr:rowOff>88540</xdr:rowOff>
    </xdr:to>
    <xdr:cxnSp macro="">
      <xdr:nvCxnSpPr>
        <xdr:cNvPr id="79" name="直線コネクタ 78">
          <a:extLst>
            <a:ext uri="{FF2B5EF4-FFF2-40B4-BE49-F238E27FC236}">
              <a16:creationId xmlns:a16="http://schemas.microsoft.com/office/drawing/2014/main" id="{DE3ECCCB-2600-4994-8F6C-E0172BBDF365}"/>
            </a:ext>
          </a:extLst>
        </xdr:cNvPr>
        <xdr:cNvCxnSpPr/>
      </xdr:nvCxnSpPr>
      <xdr:spPr>
        <a:xfrm>
          <a:off x="7030689" y="17547865"/>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172689</xdr:colOff>
      <xdr:row>199</xdr:row>
      <xdr:rowOff>217807</xdr:rowOff>
    </xdr:from>
    <xdr:to>
      <xdr:col>31</xdr:col>
      <xdr:colOff>165112</xdr:colOff>
      <xdr:row>199</xdr:row>
      <xdr:rowOff>217807</xdr:rowOff>
    </xdr:to>
    <xdr:cxnSp macro="">
      <xdr:nvCxnSpPr>
        <xdr:cNvPr id="80" name="直線コネクタ 79">
          <a:extLst>
            <a:ext uri="{FF2B5EF4-FFF2-40B4-BE49-F238E27FC236}">
              <a16:creationId xmlns:a16="http://schemas.microsoft.com/office/drawing/2014/main" id="{FBB54255-63AA-4FD5-BF74-A73417BC37D5}"/>
            </a:ext>
          </a:extLst>
        </xdr:cNvPr>
        <xdr:cNvCxnSpPr/>
      </xdr:nvCxnSpPr>
      <xdr:spPr>
        <a:xfrm>
          <a:off x="7030689" y="17677132"/>
          <a:ext cx="22102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82759</xdr:colOff>
      <xdr:row>199</xdr:row>
      <xdr:rowOff>217778</xdr:rowOff>
    </xdr:from>
    <xdr:to>
      <xdr:col>31</xdr:col>
      <xdr:colOff>82759</xdr:colOff>
      <xdr:row>200</xdr:row>
      <xdr:rowOff>213632</xdr:rowOff>
    </xdr:to>
    <xdr:cxnSp macro="">
      <xdr:nvCxnSpPr>
        <xdr:cNvPr id="81" name="直線矢印コネクタ 80">
          <a:extLst>
            <a:ext uri="{FF2B5EF4-FFF2-40B4-BE49-F238E27FC236}">
              <a16:creationId xmlns:a16="http://schemas.microsoft.com/office/drawing/2014/main" id="{3F647AE3-ADEC-43D3-B311-D25D8B464108}"/>
            </a:ext>
          </a:extLst>
        </xdr:cNvPr>
        <xdr:cNvCxnSpPr/>
      </xdr:nvCxnSpPr>
      <xdr:spPr>
        <a:xfrm flipV="1">
          <a:off x="7169359" y="17677103"/>
          <a:ext cx="0" cy="233979"/>
        </a:xfrm>
        <a:prstGeom prst="straightConnector1">
          <a:avLst/>
        </a:prstGeom>
        <a:ln>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82759</xdr:colOff>
      <xdr:row>198</xdr:row>
      <xdr:rowOff>93953</xdr:rowOff>
    </xdr:from>
    <xdr:to>
      <xdr:col>31</xdr:col>
      <xdr:colOff>82759</xdr:colOff>
      <xdr:row>199</xdr:row>
      <xdr:rowOff>89808</xdr:rowOff>
    </xdr:to>
    <xdr:cxnSp macro="">
      <xdr:nvCxnSpPr>
        <xdr:cNvPr id="82" name="直線矢印コネクタ 81">
          <a:extLst>
            <a:ext uri="{FF2B5EF4-FFF2-40B4-BE49-F238E27FC236}">
              <a16:creationId xmlns:a16="http://schemas.microsoft.com/office/drawing/2014/main" id="{4AC186C4-CC18-4FA2-82E6-57D958E95B82}"/>
            </a:ext>
          </a:extLst>
        </xdr:cNvPr>
        <xdr:cNvCxnSpPr/>
      </xdr:nvCxnSpPr>
      <xdr:spPr>
        <a:xfrm flipV="1">
          <a:off x="7169359" y="17315153"/>
          <a:ext cx="0" cy="233980"/>
        </a:xfrm>
        <a:prstGeom prst="straightConnector1">
          <a:avLst/>
        </a:prstGeom>
        <a:ln>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99102</xdr:colOff>
      <xdr:row>199</xdr:row>
      <xdr:rowOff>8055</xdr:rowOff>
    </xdr:from>
    <xdr:ext cx="254044" cy="254493"/>
    <xdr:sp macro="" textlink="">
      <xdr:nvSpPr>
        <xdr:cNvPr id="83" name="テキスト ボックス 82">
          <a:extLst>
            <a:ext uri="{FF2B5EF4-FFF2-40B4-BE49-F238E27FC236}">
              <a16:creationId xmlns:a16="http://schemas.microsoft.com/office/drawing/2014/main" id="{9C4A9A66-9E49-4278-9577-B01F3C729572}"/>
            </a:ext>
          </a:extLst>
        </xdr:cNvPr>
        <xdr:cNvSpPr txBox="1"/>
      </xdr:nvSpPr>
      <xdr:spPr>
        <a:xfrm>
          <a:off x="7185702" y="17467380"/>
          <a:ext cx="254044" cy="2544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i="1">
              <a:latin typeface="Times New Roman" panose="02020603050405020304" pitchFamily="18" charset="0"/>
              <a:cs typeface="Times New Roman" panose="02020603050405020304" pitchFamily="18" charset="0"/>
            </a:rPr>
            <a:t>t'</a:t>
          </a:r>
          <a:endParaRPr kumimoji="1" lang="ja-JP" altLang="en-US" sz="1100" i="1">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e-note.com/kasetsu-kiri-ko-sj-rk-2d"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12"/>
  <sheetViews>
    <sheetView tabSelected="1" showOutlineSymbols="0" zoomScaleNormal="100" workbookViewId="0">
      <selection activeCell="A2" sqref="A2"/>
    </sheetView>
  </sheetViews>
  <sheetFormatPr defaultRowHeight="18.75"/>
  <cols>
    <col min="1" max="36" width="3" style="1" customWidth="1"/>
    <col min="37" max="16384" width="9" style="1"/>
  </cols>
  <sheetData>
    <row r="1" spans="1:35">
      <c r="A1" s="1" t="s">
        <v>801</v>
      </c>
      <c r="AA1" s="346" t="s">
        <v>846</v>
      </c>
    </row>
    <row r="3" spans="1:35">
      <c r="B3" s="435" t="s">
        <v>803</v>
      </c>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435"/>
    </row>
    <row r="5" spans="1:35">
      <c r="A5" s="1" t="s">
        <v>385</v>
      </c>
    </row>
    <row r="7" spans="1:35">
      <c r="B7" s="1" t="s">
        <v>98</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row>
    <row r="8" spans="1:35">
      <c r="B8" s="13"/>
      <c r="C8" s="13" t="s">
        <v>807</v>
      </c>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row>
    <row r="9" spans="1:35">
      <c r="B9" s="13"/>
      <c r="C9" s="9"/>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1"/>
    </row>
    <row r="10" spans="1:35">
      <c r="B10" s="13"/>
      <c r="C10" s="12"/>
      <c r="D10" s="13" t="s">
        <v>0</v>
      </c>
      <c r="E10" s="13"/>
      <c r="F10" s="13"/>
      <c r="G10" s="13"/>
      <c r="H10" s="13"/>
      <c r="I10" s="13"/>
      <c r="J10" s="13"/>
      <c r="K10" s="13"/>
      <c r="L10" s="13"/>
      <c r="M10" s="13"/>
      <c r="N10" s="13"/>
      <c r="O10" s="34" t="s">
        <v>1</v>
      </c>
      <c r="P10" s="13"/>
      <c r="Q10" s="13" t="s">
        <v>2</v>
      </c>
      <c r="R10" s="377">
        <f>F25</f>
        <v>7</v>
      </c>
      <c r="S10" s="378"/>
      <c r="T10" s="379"/>
      <c r="U10" s="13" t="s">
        <v>3</v>
      </c>
      <c r="V10" s="13"/>
      <c r="W10" s="13"/>
      <c r="X10" s="13"/>
      <c r="Y10" s="13"/>
      <c r="Z10" s="13"/>
      <c r="AA10" s="13"/>
      <c r="AB10" s="13"/>
      <c r="AC10" s="13"/>
      <c r="AD10" s="13"/>
      <c r="AE10" s="13"/>
      <c r="AF10" s="13"/>
      <c r="AG10" s="13"/>
      <c r="AH10" s="13"/>
      <c r="AI10" s="15"/>
    </row>
    <row r="11" spans="1:35">
      <c r="B11" s="13"/>
      <c r="C11" s="12"/>
      <c r="D11" s="13" t="s">
        <v>72</v>
      </c>
      <c r="E11" s="13"/>
      <c r="F11" s="13"/>
      <c r="G11" s="13"/>
      <c r="H11" s="13"/>
      <c r="I11" s="13"/>
      <c r="J11" s="13"/>
      <c r="K11" s="13"/>
      <c r="L11" s="13"/>
      <c r="M11" s="13"/>
      <c r="N11" s="13"/>
      <c r="O11" s="34" t="s">
        <v>87</v>
      </c>
      <c r="P11" s="13"/>
      <c r="Q11" s="13" t="s">
        <v>2</v>
      </c>
      <c r="R11" s="429">
        <v>36</v>
      </c>
      <c r="S11" s="430"/>
      <c r="T11" s="431"/>
      <c r="U11" s="13" t="s">
        <v>3</v>
      </c>
      <c r="V11" s="13"/>
      <c r="W11" s="13"/>
      <c r="X11" s="13"/>
      <c r="Y11" s="13"/>
      <c r="Z11" s="13"/>
      <c r="AA11" s="13"/>
      <c r="AB11" s="13"/>
      <c r="AC11" s="13"/>
      <c r="AD11" s="13"/>
      <c r="AE11" s="13"/>
      <c r="AF11" s="13"/>
      <c r="AG11" s="13"/>
      <c r="AH11" s="13"/>
      <c r="AI11" s="15"/>
    </row>
    <row r="12" spans="1:35">
      <c r="B12" s="13"/>
      <c r="C12" s="12"/>
      <c r="D12" s="13" t="s">
        <v>97</v>
      </c>
      <c r="E12" s="13"/>
      <c r="F12" s="13"/>
      <c r="G12" s="13"/>
      <c r="H12" s="13"/>
      <c r="I12" s="13"/>
      <c r="J12" s="13"/>
      <c r="K12" s="13"/>
      <c r="L12" s="13"/>
      <c r="M12" s="13"/>
      <c r="N12" s="13"/>
      <c r="O12" s="34" t="s">
        <v>88</v>
      </c>
      <c r="P12" s="13"/>
      <c r="Q12" s="13" t="s">
        <v>2</v>
      </c>
      <c r="R12" s="429">
        <v>7.2</v>
      </c>
      <c r="S12" s="430"/>
      <c r="T12" s="431"/>
      <c r="U12" s="13" t="s">
        <v>3</v>
      </c>
      <c r="V12" s="13"/>
      <c r="W12" s="13"/>
      <c r="X12" s="13"/>
      <c r="Y12" s="13"/>
      <c r="Z12" s="13"/>
      <c r="AA12" s="13"/>
      <c r="AB12" s="13"/>
      <c r="AC12" s="13"/>
      <c r="AD12" s="13"/>
      <c r="AE12" s="13"/>
      <c r="AF12" s="13"/>
      <c r="AG12" s="13"/>
      <c r="AH12" s="13"/>
      <c r="AI12" s="15"/>
    </row>
    <row r="13" spans="1:35" ht="20.25">
      <c r="B13" s="13"/>
      <c r="C13" s="12"/>
      <c r="D13" s="13" t="s">
        <v>5</v>
      </c>
      <c r="E13" s="13"/>
      <c r="F13" s="13"/>
      <c r="G13" s="13"/>
      <c r="H13" s="13"/>
      <c r="I13" s="13"/>
      <c r="J13" s="13"/>
      <c r="K13" s="13"/>
      <c r="L13" s="13"/>
      <c r="M13" s="13"/>
      <c r="N13" s="13"/>
      <c r="O13" s="34" t="s">
        <v>6</v>
      </c>
      <c r="P13" s="13"/>
      <c r="Q13" s="13" t="s">
        <v>2</v>
      </c>
      <c r="R13" s="426">
        <v>10</v>
      </c>
      <c r="S13" s="427"/>
      <c r="T13" s="428"/>
      <c r="U13" s="13" t="s">
        <v>41</v>
      </c>
      <c r="V13" s="13"/>
      <c r="W13" s="13"/>
      <c r="X13" s="13"/>
      <c r="Y13" s="13" t="s">
        <v>419</v>
      </c>
      <c r="Z13" s="13"/>
      <c r="AA13" s="13"/>
      <c r="AB13" s="13"/>
      <c r="AC13" s="13"/>
      <c r="AD13" s="13"/>
      <c r="AE13" s="13"/>
      <c r="AF13" s="13"/>
      <c r="AG13" s="13"/>
      <c r="AH13" s="13"/>
      <c r="AI13" s="15"/>
    </row>
    <row r="14" spans="1:35">
      <c r="B14" s="13"/>
      <c r="C14" s="12"/>
      <c r="D14" s="13" t="s">
        <v>4</v>
      </c>
      <c r="E14" s="13"/>
      <c r="F14" s="13"/>
      <c r="G14" s="13"/>
      <c r="H14" s="13"/>
      <c r="I14" s="13"/>
      <c r="J14" s="13"/>
      <c r="K14" s="13"/>
      <c r="L14" s="13"/>
      <c r="M14" s="13"/>
      <c r="N14" s="13"/>
      <c r="O14" s="34" t="s">
        <v>115</v>
      </c>
      <c r="P14" s="13"/>
      <c r="Q14" s="13" t="s">
        <v>2</v>
      </c>
      <c r="R14" s="377">
        <f>-(F25-L25)</f>
        <v>-2.5</v>
      </c>
      <c r="S14" s="378"/>
      <c r="T14" s="379"/>
      <c r="U14" s="13" t="s">
        <v>3</v>
      </c>
      <c r="V14" s="13"/>
      <c r="W14" s="13"/>
      <c r="X14" s="13"/>
      <c r="Y14" s="13"/>
      <c r="Z14" s="13"/>
      <c r="AA14" s="13"/>
      <c r="AB14" s="13"/>
      <c r="AC14" s="13"/>
      <c r="AD14" s="13"/>
      <c r="AE14" s="13"/>
      <c r="AF14" s="13"/>
      <c r="AG14" s="13"/>
      <c r="AH14" s="13"/>
      <c r="AI14" s="15"/>
    </row>
    <row r="15" spans="1:35">
      <c r="B15" s="13"/>
      <c r="C15" s="16"/>
      <c r="D15" s="17"/>
      <c r="E15" s="17"/>
      <c r="F15" s="17"/>
      <c r="G15" s="17"/>
      <c r="H15" s="17"/>
      <c r="I15" s="17"/>
      <c r="J15" s="17"/>
      <c r="K15" s="17"/>
      <c r="L15" s="17"/>
      <c r="M15" s="17"/>
      <c r="N15" s="17"/>
      <c r="O15" s="17"/>
      <c r="P15" s="17"/>
      <c r="Q15" s="17"/>
      <c r="R15" s="18"/>
      <c r="S15" s="18"/>
      <c r="T15" s="18"/>
      <c r="U15" s="17"/>
      <c r="V15" s="17"/>
      <c r="W15" s="17"/>
      <c r="X15" s="17"/>
      <c r="Y15" s="17"/>
      <c r="Z15" s="17"/>
      <c r="AA15" s="17"/>
      <c r="AB15" s="17"/>
      <c r="AC15" s="17"/>
      <c r="AD15" s="17"/>
      <c r="AE15" s="17"/>
      <c r="AF15" s="17"/>
      <c r="AG15" s="17"/>
      <c r="AH15" s="17"/>
      <c r="AI15" s="19"/>
    </row>
    <row r="16" spans="1:35">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row>
    <row r="17" spans="2:35">
      <c r="B17" s="13"/>
      <c r="C17" t="s">
        <v>808</v>
      </c>
      <c r="D17"/>
      <c r="E17"/>
      <c r="F17"/>
      <c r="G17"/>
      <c r="H17"/>
      <c r="I17"/>
      <c r="J17"/>
      <c r="K17"/>
      <c r="L17"/>
      <c r="M17"/>
      <c r="N17"/>
      <c r="O17"/>
      <c r="P17"/>
      <c r="Q17"/>
      <c r="R17"/>
      <c r="S17"/>
      <c r="T17"/>
      <c r="U17"/>
      <c r="V17"/>
      <c r="W17"/>
      <c r="X17"/>
      <c r="Y17"/>
      <c r="Z17"/>
      <c r="AA17"/>
      <c r="AB17"/>
      <c r="AC17"/>
      <c r="AD17"/>
      <c r="AE17" t="s">
        <v>7</v>
      </c>
      <c r="AF17"/>
      <c r="AG17"/>
      <c r="AH17"/>
    </row>
    <row r="18" spans="2:35">
      <c r="B18" s="13"/>
      <c r="C18" s="2"/>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11"/>
    </row>
    <row r="19" spans="2:35">
      <c r="B19" s="13"/>
      <c r="C19" s="5"/>
      <c r="D19"/>
      <c r="E19"/>
      <c r="F19" s="410" t="s">
        <v>8</v>
      </c>
      <c r="G19" s="411"/>
      <c r="H19" s="410" t="s">
        <v>9</v>
      </c>
      <c r="I19" s="411"/>
      <c r="J19" s="410" t="s">
        <v>10</v>
      </c>
      <c r="K19" s="412"/>
      <c r="L19" s="412"/>
      <c r="M19" s="411"/>
      <c r="N19" s="412" t="s">
        <v>11</v>
      </c>
      <c r="O19" s="411"/>
      <c r="P19" s="413" t="s">
        <v>12</v>
      </c>
      <c r="Q19" s="414"/>
      <c r="R19" s="414"/>
      <c r="S19" s="415"/>
      <c r="T19" s="413" t="s">
        <v>121</v>
      </c>
      <c r="U19" s="414"/>
      <c r="V19" s="414"/>
      <c r="W19" s="415"/>
      <c r="X19" s="413" t="s">
        <v>13</v>
      </c>
      <c r="Y19" s="414"/>
      <c r="Z19" s="414"/>
      <c r="AA19" s="415"/>
      <c r="AB19" s="413" t="s">
        <v>128</v>
      </c>
      <c r="AC19" s="414"/>
      <c r="AD19" s="414"/>
      <c r="AE19" s="415"/>
      <c r="AF19" s="413" t="s">
        <v>14</v>
      </c>
      <c r="AG19" s="415"/>
      <c r="AH19"/>
      <c r="AI19" s="15"/>
    </row>
    <row r="20" spans="2:35">
      <c r="B20" s="13"/>
      <c r="C20" s="5"/>
      <c r="D20"/>
      <c r="E20"/>
      <c r="F20" s="421" t="s">
        <v>15</v>
      </c>
      <c r="G20" s="422"/>
      <c r="H20" s="423"/>
      <c r="I20" s="424"/>
      <c r="J20" s="423"/>
      <c r="K20" s="425"/>
      <c r="L20" s="425"/>
      <c r="M20" s="424"/>
      <c r="N20" s="425"/>
      <c r="O20" s="424"/>
      <c r="P20" s="416" t="s">
        <v>16</v>
      </c>
      <c r="Q20" s="380"/>
      <c r="R20" s="380"/>
      <c r="S20" s="417"/>
      <c r="T20" s="432" t="s">
        <v>119</v>
      </c>
      <c r="U20" s="433"/>
      <c r="V20" s="433"/>
      <c r="W20" s="434"/>
      <c r="X20" s="416" t="s">
        <v>17</v>
      </c>
      <c r="Y20" s="380"/>
      <c r="Z20" s="380"/>
      <c r="AA20" s="417"/>
      <c r="AB20" s="416" t="s">
        <v>18</v>
      </c>
      <c r="AC20" s="380"/>
      <c r="AD20" s="380"/>
      <c r="AE20" s="417"/>
      <c r="AF20" s="421" t="s">
        <v>19</v>
      </c>
      <c r="AG20" s="422"/>
      <c r="AH20"/>
      <c r="AI20" s="15"/>
    </row>
    <row r="21" spans="2:35" ht="20.25">
      <c r="B21" s="13"/>
      <c r="C21" s="5"/>
      <c r="D21"/>
      <c r="E21"/>
      <c r="F21" s="418" t="s">
        <v>20</v>
      </c>
      <c r="G21" s="419"/>
      <c r="H21" s="418"/>
      <c r="I21" s="420"/>
      <c r="J21" s="418"/>
      <c r="K21" s="419"/>
      <c r="L21" s="419" t="s">
        <v>20</v>
      </c>
      <c r="M21" s="420"/>
      <c r="N21" s="419"/>
      <c r="O21" s="420"/>
      <c r="P21" s="418" t="s">
        <v>40</v>
      </c>
      <c r="Q21" s="419"/>
      <c r="R21" s="419"/>
      <c r="S21" s="420"/>
      <c r="T21" s="418" t="s">
        <v>120</v>
      </c>
      <c r="U21" s="419"/>
      <c r="V21" s="419"/>
      <c r="W21" s="420"/>
      <c r="X21" s="418" t="s">
        <v>40</v>
      </c>
      <c r="Y21" s="419"/>
      <c r="Z21" s="419"/>
      <c r="AA21" s="420"/>
      <c r="AB21" s="418" t="s">
        <v>129</v>
      </c>
      <c r="AC21" s="419"/>
      <c r="AD21" s="419"/>
      <c r="AE21" s="420"/>
      <c r="AF21" s="418" t="s">
        <v>36</v>
      </c>
      <c r="AG21" s="420"/>
      <c r="AH21"/>
      <c r="AI21" s="15"/>
    </row>
    <row r="22" spans="2:35">
      <c r="B22" s="13"/>
      <c r="C22" s="5"/>
      <c r="D22" s="398" t="s">
        <v>21</v>
      </c>
      <c r="E22" s="398"/>
      <c r="F22" s="406">
        <v>1</v>
      </c>
      <c r="G22" s="406"/>
      <c r="H22" s="401" t="s">
        <v>29</v>
      </c>
      <c r="I22" s="401"/>
      <c r="J22" s="402" t="s">
        <v>43</v>
      </c>
      <c r="K22" s="403"/>
      <c r="L22" s="397" t="str">
        <f>IF(J22="なし","-",F22)</f>
        <v>-</v>
      </c>
      <c r="M22" s="397"/>
      <c r="N22" s="401">
        <v>15</v>
      </c>
      <c r="O22" s="401"/>
      <c r="P22" s="401">
        <v>18</v>
      </c>
      <c r="Q22" s="401"/>
      <c r="R22" s="401"/>
      <c r="S22" s="401"/>
      <c r="T22" s="402" t="s">
        <v>122</v>
      </c>
      <c r="U22" s="405"/>
      <c r="V22" s="405"/>
      <c r="W22" s="403"/>
      <c r="X22" s="398" t="str">
        <f>IF(L22="-","-",P22-9)</f>
        <v>-</v>
      </c>
      <c r="Y22" s="398"/>
      <c r="Z22" s="398"/>
      <c r="AA22" s="398"/>
      <c r="AB22" s="401">
        <v>30</v>
      </c>
      <c r="AC22" s="401"/>
      <c r="AD22" s="401"/>
      <c r="AE22" s="401"/>
      <c r="AF22" s="401">
        <v>0</v>
      </c>
      <c r="AG22" s="401"/>
      <c r="AH22"/>
      <c r="AI22" s="15"/>
    </row>
    <row r="23" spans="2:35">
      <c r="B23" s="13"/>
      <c r="C23" s="5"/>
      <c r="D23" s="398" t="s">
        <v>22</v>
      </c>
      <c r="E23" s="398"/>
      <c r="F23" s="406">
        <v>1.5</v>
      </c>
      <c r="G23" s="406"/>
      <c r="H23" s="401" t="s">
        <v>29</v>
      </c>
      <c r="I23" s="401"/>
      <c r="J23" s="402" t="s">
        <v>43</v>
      </c>
      <c r="K23" s="403"/>
      <c r="L23" s="397" t="str">
        <f>IF(J23="なし","-",F23)</f>
        <v>-</v>
      </c>
      <c r="M23" s="397"/>
      <c r="N23" s="401">
        <v>15</v>
      </c>
      <c r="O23" s="401"/>
      <c r="P23" s="401">
        <v>18</v>
      </c>
      <c r="Q23" s="401"/>
      <c r="R23" s="401"/>
      <c r="S23" s="401"/>
      <c r="T23" s="402" t="s">
        <v>122</v>
      </c>
      <c r="U23" s="405"/>
      <c r="V23" s="405"/>
      <c r="W23" s="403"/>
      <c r="X23" s="398" t="str">
        <f>IF(L23="-","-",P23-9)</f>
        <v>-</v>
      </c>
      <c r="Y23" s="398"/>
      <c r="Z23" s="398"/>
      <c r="AA23" s="398"/>
      <c r="AB23" s="401">
        <v>30</v>
      </c>
      <c r="AC23" s="401"/>
      <c r="AD23" s="401"/>
      <c r="AE23" s="401"/>
      <c r="AF23" s="401">
        <v>0</v>
      </c>
      <c r="AG23" s="401"/>
      <c r="AH23"/>
      <c r="AI23" s="15"/>
    </row>
    <row r="24" spans="2:35">
      <c r="B24" s="13"/>
      <c r="C24" s="5"/>
      <c r="D24" s="398" t="s">
        <v>94</v>
      </c>
      <c r="E24" s="398"/>
      <c r="F24" s="406">
        <v>4.5</v>
      </c>
      <c r="G24" s="406"/>
      <c r="H24" s="401" t="s">
        <v>96</v>
      </c>
      <c r="I24" s="401"/>
      <c r="J24" s="402" t="s">
        <v>44</v>
      </c>
      <c r="K24" s="403"/>
      <c r="L24" s="397">
        <f>IF(J24="なし","-",F24)</f>
        <v>4.5</v>
      </c>
      <c r="M24" s="397"/>
      <c r="N24" s="401">
        <v>15</v>
      </c>
      <c r="O24" s="401"/>
      <c r="P24" s="401">
        <v>18</v>
      </c>
      <c r="Q24" s="401"/>
      <c r="R24" s="401"/>
      <c r="S24" s="401"/>
      <c r="T24" s="402">
        <v>-9</v>
      </c>
      <c r="U24" s="405"/>
      <c r="V24" s="405"/>
      <c r="W24" s="403"/>
      <c r="X24" s="398">
        <f>IF(L24="-","-",P24+T24)</f>
        <v>9</v>
      </c>
      <c r="Y24" s="398"/>
      <c r="Z24" s="398"/>
      <c r="AA24" s="398"/>
      <c r="AB24" s="401">
        <v>30</v>
      </c>
      <c r="AC24" s="401"/>
      <c r="AD24" s="401"/>
      <c r="AE24" s="401"/>
      <c r="AF24" s="401">
        <v>0</v>
      </c>
      <c r="AG24" s="401"/>
      <c r="AH24"/>
      <c r="AI24" s="15"/>
    </row>
    <row r="25" spans="2:35">
      <c r="B25" s="13"/>
      <c r="C25" s="5"/>
      <c r="D25" s="396" t="s">
        <v>95</v>
      </c>
      <c r="E25" s="396"/>
      <c r="F25" s="397">
        <f>SUM(F22:G24)</f>
        <v>7</v>
      </c>
      <c r="G25" s="397"/>
      <c r="H25" s="398"/>
      <c r="I25" s="398"/>
      <c r="J25" s="399"/>
      <c r="K25" s="400"/>
      <c r="L25" s="397">
        <f>SUM(L22:M24)</f>
        <v>4.5</v>
      </c>
      <c r="M25" s="397"/>
      <c r="N25" s="398"/>
      <c r="O25" s="399"/>
      <c r="P25" s="400"/>
      <c r="Q25" s="398"/>
      <c r="R25" s="398"/>
      <c r="S25" s="399"/>
      <c r="T25" s="404"/>
      <c r="U25" s="404"/>
      <c r="V25" s="404"/>
      <c r="W25" s="404"/>
      <c r="X25" s="400"/>
      <c r="Y25" s="398"/>
      <c r="Z25" s="398"/>
      <c r="AA25" s="399"/>
      <c r="AB25" s="400"/>
      <c r="AC25" s="398"/>
      <c r="AD25" s="398"/>
      <c r="AE25" s="399"/>
      <c r="AF25" s="400"/>
      <c r="AG25" s="398"/>
      <c r="AH25"/>
      <c r="AI25" s="15"/>
    </row>
    <row r="26" spans="2:35">
      <c r="B26" s="13"/>
      <c r="C26" s="5"/>
      <c r="D26" s="398" t="s">
        <v>114</v>
      </c>
      <c r="E26" s="398"/>
      <c r="F26" s="406">
        <v>3</v>
      </c>
      <c r="G26" s="406"/>
      <c r="H26" s="401" t="s">
        <v>29</v>
      </c>
      <c r="I26" s="401"/>
      <c r="J26" s="402" t="s">
        <v>44</v>
      </c>
      <c r="K26" s="403"/>
      <c r="L26" s="397">
        <f>IF(J26="なし","-",F26)</f>
        <v>3</v>
      </c>
      <c r="M26" s="397"/>
      <c r="N26" s="401">
        <v>15</v>
      </c>
      <c r="O26" s="401"/>
      <c r="P26" s="401">
        <v>18</v>
      </c>
      <c r="Q26" s="401"/>
      <c r="R26" s="401"/>
      <c r="S26" s="401"/>
      <c r="T26" s="402">
        <v>-9</v>
      </c>
      <c r="U26" s="405"/>
      <c r="V26" s="405"/>
      <c r="W26" s="403"/>
      <c r="X26" s="398">
        <f>IF(L26="-","-",P26+T26)</f>
        <v>9</v>
      </c>
      <c r="Y26" s="398"/>
      <c r="Z26" s="398"/>
      <c r="AA26" s="398"/>
      <c r="AB26" s="401">
        <v>30</v>
      </c>
      <c r="AC26" s="401"/>
      <c r="AD26" s="401"/>
      <c r="AE26" s="401"/>
      <c r="AF26" s="401">
        <v>0</v>
      </c>
      <c r="AG26" s="401"/>
      <c r="AH26"/>
      <c r="AI26" s="15"/>
    </row>
    <row r="27" spans="2:35">
      <c r="B27" s="13"/>
      <c r="C27" s="5"/>
      <c r="D27" s="398" t="s">
        <v>418</v>
      </c>
      <c r="E27" s="398"/>
      <c r="F27" s="406">
        <v>7</v>
      </c>
      <c r="G27" s="406"/>
      <c r="H27" s="401" t="s">
        <v>29</v>
      </c>
      <c r="I27" s="401"/>
      <c r="J27" s="402" t="s">
        <v>44</v>
      </c>
      <c r="K27" s="403"/>
      <c r="L27" s="397">
        <f>IF(J27="なし","-",F27)</f>
        <v>7</v>
      </c>
      <c r="M27" s="397"/>
      <c r="N27" s="401">
        <v>27</v>
      </c>
      <c r="O27" s="401"/>
      <c r="P27" s="401">
        <v>18</v>
      </c>
      <c r="Q27" s="401"/>
      <c r="R27" s="401"/>
      <c r="S27" s="401"/>
      <c r="T27" s="402">
        <v>-9</v>
      </c>
      <c r="U27" s="405"/>
      <c r="V27" s="405"/>
      <c r="W27" s="403"/>
      <c r="X27" s="398">
        <f>IF(L27="-","-",P27+T27)</f>
        <v>9</v>
      </c>
      <c r="Y27" s="398"/>
      <c r="Z27" s="398"/>
      <c r="AA27" s="398"/>
      <c r="AB27" s="401">
        <v>35</v>
      </c>
      <c r="AC27" s="401"/>
      <c r="AD27" s="401"/>
      <c r="AE27" s="401"/>
      <c r="AF27" s="401">
        <v>0</v>
      </c>
      <c r="AG27" s="401"/>
      <c r="AH27"/>
      <c r="AI27" s="15"/>
    </row>
    <row r="28" spans="2:35">
      <c r="B28" s="13"/>
      <c r="C28" s="16"/>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9"/>
    </row>
    <row r="29" spans="2:35">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row>
    <row r="30" spans="2:35" s="234" customFormat="1" ht="20.25" customHeight="1">
      <c r="B30" s="117"/>
      <c r="C30" s="117" t="s">
        <v>809</v>
      </c>
      <c r="D30" s="117"/>
      <c r="E30" s="117"/>
      <c r="F30" s="117"/>
      <c r="G30" s="117"/>
      <c r="H30" s="117"/>
      <c r="I30" s="117"/>
      <c r="J30" s="117"/>
      <c r="K30" s="117"/>
      <c r="L30" s="339"/>
      <c r="M30" s="339"/>
      <c r="N30" s="117"/>
      <c r="O30" s="117"/>
      <c r="P30" s="117"/>
      <c r="Q30" s="117"/>
      <c r="R30" s="117"/>
      <c r="S30" s="117"/>
      <c r="T30" s="117"/>
      <c r="U30" s="117"/>
      <c r="V30" s="117"/>
      <c r="W30"/>
      <c r="X30" t="s">
        <v>804</v>
      </c>
      <c r="Y30"/>
      <c r="Z30" s="117"/>
      <c r="AA30" s="117"/>
      <c r="AB30" s="117"/>
      <c r="AC30" s="117"/>
      <c r="AD30" s="117"/>
    </row>
    <row r="31" spans="2:35" s="234" customFormat="1">
      <c r="B31" s="117"/>
      <c r="C31" s="337"/>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338"/>
    </row>
    <row r="32" spans="2:35" ht="20.25">
      <c r="B32" s="13"/>
      <c r="C32" s="12"/>
      <c r="D32" s="13" t="s">
        <v>805</v>
      </c>
      <c r="E32" s="13"/>
      <c r="F32" s="13"/>
      <c r="G32" s="13"/>
      <c r="H32" s="13"/>
      <c r="I32" s="13"/>
      <c r="J32" s="13"/>
      <c r="K32" s="360" t="s">
        <v>802</v>
      </c>
      <c r="L32" s="360"/>
      <c r="M32" s="13" t="s">
        <v>2</v>
      </c>
      <c r="N32" s="13"/>
      <c r="O32" s="387">
        <v>0.3</v>
      </c>
      <c r="P32" s="388"/>
      <c r="Q32" s="389"/>
      <c r="R32" s="13" t="s">
        <v>3</v>
      </c>
      <c r="S32" s="13" t="s">
        <v>315</v>
      </c>
      <c r="T32" s="13"/>
      <c r="U32" s="13"/>
      <c r="V32" s="13"/>
      <c r="W32" s="13"/>
      <c r="X32" s="13"/>
      <c r="Y32" s="13"/>
      <c r="Z32" s="13"/>
      <c r="AA32" s="13"/>
      <c r="AB32" s="13"/>
      <c r="AC32" s="13"/>
      <c r="AD32" s="13"/>
      <c r="AE32" s="13"/>
      <c r="AF32" s="13"/>
      <c r="AG32" s="13"/>
      <c r="AH32" s="13"/>
      <c r="AI32" s="15"/>
    </row>
    <row r="33" spans="2:35">
      <c r="B33" s="13"/>
      <c r="C33" s="16"/>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9"/>
    </row>
    <row r="35" spans="2:35">
      <c r="B35" s="1" t="s">
        <v>282</v>
      </c>
      <c r="Z35" s="1" t="s">
        <v>46</v>
      </c>
    </row>
    <row r="36" spans="2:35">
      <c r="C36" s="9"/>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1"/>
    </row>
    <row r="37" spans="2:35">
      <c r="C37" s="12"/>
      <c r="D37" s="13" t="s">
        <v>85</v>
      </c>
      <c r="E37" s="13"/>
      <c r="F37" s="13"/>
      <c r="G37" s="13"/>
      <c r="H37" s="13"/>
      <c r="I37" s="13"/>
      <c r="J37" s="13"/>
      <c r="K37" s="13"/>
      <c r="L37" s="13"/>
      <c r="M37" s="13"/>
      <c r="N37" s="13"/>
      <c r="O37" s="13"/>
      <c r="P37" s="13"/>
      <c r="Q37" s="13"/>
      <c r="R37" s="13"/>
      <c r="S37" s="13"/>
      <c r="T37" s="390" t="s">
        <v>62</v>
      </c>
      <c r="U37" s="391"/>
      <c r="V37" s="392"/>
      <c r="W37" s="13"/>
      <c r="X37" s="13"/>
      <c r="Y37" s="13"/>
      <c r="Z37" s="13"/>
      <c r="AA37" s="13"/>
      <c r="AB37" s="13"/>
      <c r="AC37" s="13"/>
      <c r="AD37" s="13"/>
      <c r="AE37" s="13"/>
      <c r="AF37" s="13"/>
      <c r="AG37" s="186" t="s">
        <v>271</v>
      </c>
      <c r="AH37" s="187">
        <v>8740</v>
      </c>
      <c r="AI37" s="188">
        <v>874</v>
      </c>
    </row>
    <row r="38" spans="2:35" ht="20.25">
      <c r="C38" s="12"/>
      <c r="D38" s="13" t="s">
        <v>49</v>
      </c>
      <c r="E38" s="13"/>
      <c r="F38" s="13"/>
      <c r="G38" s="13"/>
      <c r="H38" s="13"/>
      <c r="I38" s="13"/>
      <c r="J38" s="13"/>
      <c r="K38" s="13"/>
      <c r="L38" s="13"/>
      <c r="M38" s="13"/>
      <c r="N38" s="13"/>
      <c r="O38" s="13"/>
      <c r="P38" s="13"/>
      <c r="Q38" s="360" t="s">
        <v>57</v>
      </c>
      <c r="R38" s="360"/>
      <c r="S38" s="13" t="s">
        <v>2</v>
      </c>
      <c r="T38" s="407">
        <f>VLOOKUP(T37,AG37:AI40,2)</f>
        <v>16800</v>
      </c>
      <c r="U38" s="408"/>
      <c r="V38" s="409"/>
      <c r="W38" s="13" t="s">
        <v>306</v>
      </c>
      <c r="X38" s="13"/>
      <c r="Y38" s="13"/>
      <c r="Z38" s="13"/>
      <c r="AA38" s="13"/>
      <c r="AB38" s="13" t="s">
        <v>53</v>
      </c>
      <c r="AC38" s="13"/>
      <c r="AD38" s="13"/>
      <c r="AE38" s="13"/>
      <c r="AF38" s="13"/>
      <c r="AG38" s="186" t="s">
        <v>62</v>
      </c>
      <c r="AH38" s="187">
        <v>16800</v>
      </c>
      <c r="AI38" s="188">
        <v>1340</v>
      </c>
    </row>
    <row r="39" spans="2:35" ht="20.25">
      <c r="C39" s="12"/>
      <c r="D39" s="13" t="s">
        <v>50</v>
      </c>
      <c r="E39" s="13"/>
      <c r="F39" s="13"/>
      <c r="G39" s="13"/>
      <c r="H39" s="13"/>
      <c r="I39" s="13"/>
      <c r="J39" s="13"/>
      <c r="K39" s="13"/>
      <c r="L39" s="13"/>
      <c r="M39" s="13"/>
      <c r="N39" s="13"/>
      <c r="O39" s="13"/>
      <c r="P39" s="13"/>
      <c r="Q39" s="360" t="s">
        <v>59</v>
      </c>
      <c r="R39" s="360"/>
      <c r="S39" s="13" t="s">
        <v>2</v>
      </c>
      <c r="T39" s="407">
        <f>VLOOKUP(T37,AG37:AI40,3)</f>
        <v>1340</v>
      </c>
      <c r="U39" s="408"/>
      <c r="V39" s="409"/>
      <c r="W39" s="13" t="s">
        <v>305</v>
      </c>
      <c r="X39" s="13"/>
      <c r="Y39" s="13"/>
      <c r="Z39" s="13"/>
      <c r="AA39" s="13"/>
      <c r="AB39" s="13" t="s">
        <v>53</v>
      </c>
      <c r="AC39" s="13"/>
      <c r="AD39" s="13"/>
      <c r="AE39" s="13"/>
      <c r="AF39" s="13"/>
      <c r="AG39" s="186" t="s">
        <v>63</v>
      </c>
      <c r="AH39" s="187">
        <v>38600</v>
      </c>
      <c r="AI39" s="188">
        <v>2270</v>
      </c>
    </row>
    <row r="40" spans="2:35" ht="21">
      <c r="C40" s="12"/>
      <c r="D40" s="13" t="s">
        <v>47</v>
      </c>
      <c r="E40" s="13"/>
      <c r="F40" s="13"/>
      <c r="G40" s="13"/>
      <c r="H40" s="13"/>
      <c r="I40" s="13"/>
      <c r="J40" s="13"/>
      <c r="K40" s="13"/>
      <c r="L40" s="13"/>
      <c r="M40" s="13"/>
      <c r="N40" s="13"/>
      <c r="O40" s="13"/>
      <c r="P40" s="13"/>
      <c r="Q40" s="360" t="s">
        <v>86</v>
      </c>
      <c r="R40" s="360"/>
      <c r="S40" s="13" t="s">
        <v>2</v>
      </c>
      <c r="T40" s="374">
        <v>270</v>
      </c>
      <c r="U40" s="375"/>
      <c r="V40" s="376"/>
      <c r="W40" s="13" t="s">
        <v>48</v>
      </c>
      <c r="X40" s="13"/>
      <c r="Y40" s="13"/>
      <c r="Z40" s="13"/>
      <c r="AA40" s="13"/>
      <c r="AB40" s="13" t="s">
        <v>45</v>
      </c>
      <c r="AC40" s="13"/>
      <c r="AD40" s="13"/>
      <c r="AE40" s="13"/>
      <c r="AF40" s="13"/>
      <c r="AG40" s="186" t="s">
        <v>400</v>
      </c>
      <c r="AH40" s="187">
        <v>63000</v>
      </c>
      <c r="AI40" s="188">
        <v>3150</v>
      </c>
    </row>
    <row r="41" spans="2:35" ht="20.25">
      <c r="C41" s="12"/>
      <c r="D41" s="13" t="s">
        <v>51</v>
      </c>
      <c r="E41" s="13"/>
      <c r="F41" s="13"/>
      <c r="G41" s="13"/>
      <c r="H41" s="13"/>
      <c r="I41" s="13"/>
      <c r="J41" s="13"/>
      <c r="K41" s="13"/>
      <c r="L41" s="13"/>
      <c r="M41" s="13"/>
      <c r="N41" s="13"/>
      <c r="O41" s="13"/>
      <c r="P41" s="13"/>
      <c r="Q41" s="360" t="s">
        <v>58</v>
      </c>
      <c r="R41" s="360"/>
      <c r="S41" s="13" t="s">
        <v>2</v>
      </c>
      <c r="T41" s="374">
        <v>200000</v>
      </c>
      <c r="U41" s="375"/>
      <c r="V41" s="376"/>
      <c r="W41" s="13" t="s">
        <v>48</v>
      </c>
      <c r="X41" s="13"/>
      <c r="Y41" s="13"/>
      <c r="Z41" s="13"/>
      <c r="AA41" s="13"/>
      <c r="AB41" s="13" t="s">
        <v>54</v>
      </c>
      <c r="AC41" s="13"/>
      <c r="AD41" s="13"/>
      <c r="AE41" s="13"/>
      <c r="AF41" s="13"/>
      <c r="AG41" s="13"/>
      <c r="AH41" s="13"/>
      <c r="AI41" s="15"/>
    </row>
    <row r="42" spans="2:35">
      <c r="C42" s="12"/>
      <c r="D42" s="13"/>
      <c r="E42" s="13"/>
      <c r="F42" s="13"/>
      <c r="G42" s="13"/>
      <c r="H42" s="13"/>
      <c r="I42" s="13"/>
      <c r="J42" s="13"/>
      <c r="K42" s="13"/>
      <c r="L42" s="13"/>
      <c r="M42" s="13"/>
      <c r="N42" s="13"/>
      <c r="O42" s="13"/>
      <c r="P42" s="13"/>
      <c r="Q42" s="360" t="s">
        <v>701</v>
      </c>
      <c r="R42" s="360"/>
      <c r="S42" s="13" t="s">
        <v>690</v>
      </c>
      <c r="T42" s="374">
        <v>100</v>
      </c>
      <c r="U42" s="375"/>
      <c r="V42" s="376"/>
      <c r="W42" s="13" t="s">
        <v>702</v>
      </c>
      <c r="X42" s="13"/>
      <c r="Y42" s="13"/>
      <c r="Z42" s="13"/>
      <c r="AA42" s="13"/>
      <c r="AB42" s="13" t="s">
        <v>703</v>
      </c>
      <c r="AC42" s="13"/>
      <c r="AD42" s="13"/>
      <c r="AE42" s="13"/>
      <c r="AF42" s="13"/>
      <c r="AG42" s="13"/>
      <c r="AH42" s="13"/>
      <c r="AI42" s="15"/>
    </row>
    <row r="43" spans="2:35">
      <c r="C43" s="12"/>
      <c r="D43" s="13" t="s">
        <v>61</v>
      </c>
      <c r="E43" s="13"/>
      <c r="F43" s="13"/>
      <c r="G43" s="13"/>
      <c r="H43" s="13"/>
      <c r="I43" s="13"/>
      <c r="J43" s="13"/>
      <c r="K43" s="13"/>
      <c r="L43" s="13"/>
      <c r="M43" s="13"/>
      <c r="N43" s="13"/>
      <c r="O43" s="13"/>
      <c r="P43" s="13"/>
      <c r="Q43" s="13"/>
      <c r="R43" s="13"/>
      <c r="S43" s="13"/>
      <c r="T43" s="393">
        <v>0.45</v>
      </c>
      <c r="U43" s="394"/>
      <c r="V43" s="395"/>
      <c r="W43" s="13"/>
      <c r="X43" s="13"/>
      <c r="Y43" s="13"/>
      <c r="Z43" s="13"/>
      <c r="AA43" s="13"/>
      <c r="AB43" s="13" t="s">
        <v>55</v>
      </c>
      <c r="AC43" s="13"/>
      <c r="AD43" s="13"/>
      <c r="AE43" s="13"/>
      <c r="AF43" s="13"/>
      <c r="AG43" s="13"/>
      <c r="AH43" s="13"/>
      <c r="AI43" s="15"/>
    </row>
    <row r="44" spans="2:35">
      <c r="C44" s="12"/>
      <c r="D44" s="13" t="s">
        <v>60</v>
      </c>
      <c r="E44" s="13"/>
      <c r="F44" s="13"/>
      <c r="G44" s="13"/>
      <c r="H44" s="13"/>
      <c r="I44" s="13"/>
      <c r="J44" s="13"/>
      <c r="K44" s="13"/>
      <c r="L44" s="13"/>
      <c r="M44" s="13"/>
      <c r="N44" s="13"/>
      <c r="O44" s="13"/>
      <c r="P44" s="13"/>
      <c r="Q44" s="13"/>
      <c r="R44" s="13"/>
      <c r="S44" s="13"/>
      <c r="T44" s="393">
        <v>0.6</v>
      </c>
      <c r="U44" s="394"/>
      <c r="V44" s="395"/>
      <c r="W44" s="13"/>
      <c r="X44" s="13"/>
      <c r="Y44" s="13"/>
      <c r="Z44" s="13"/>
      <c r="AA44" s="13"/>
      <c r="AB44" s="13" t="s">
        <v>56</v>
      </c>
      <c r="AC44" s="13"/>
      <c r="AD44" s="13"/>
      <c r="AE44" s="13"/>
      <c r="AF44" s="13"/>
      <c r="AG44" s="13"/>
      <c r="AH44" s="13"/>
      <c r="AI44" s="15"/>
    </row>
    <row r="45" spans="2:35">
      <c r="C45" s="16"/>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9"/>
    </row>
    <row r="47" spans="2:35">
      <c r="B47" s="1" t="s">
        <v>379</v>
      </c>
    </row>
    <row r="48" spans="2:35">
      <c r="C48" s="9"/>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1"/>
    </row>
    <row r="49" spans="2:35">
      <c r="B49" s="13"/>
      <c r="C49" s="12"/>
      <c r="D49" s="13" t="s">
        <v>810</v>
      </c>
      <c r="E49" s="13"/>
      <c r="F49" s="13"/>
      <c r="G49" s="13"/>
      <c r="H49" s="13"/>
      <c r="I49" s="13"/>
      <c r="J49" s="13"/>
      <c r="K49" s="13"/>
      <c r="L49" s="13"/>
      <c r="M49" s="13"/>
      <c r="N49" s="13"/>
      <c r="O49" s="13"/>
      <c r="P49" s="13"/>
      <c r="Q49" s="34" t="s">
        <v>115</v>
      </c>
      <c r="R49" s="13"/>
      <c r="S49" s="13" t="s">
        <v>2</v>
      </c>
      <c r="T49" s="349">
        <v>-1</v>
      </c>
      <c r="U49" s="350"/>
      <c r="V49" s="351"/>
      <c r="W49" s="13" t="s">
        <v>3</v>
      </c>
      <c r="X49" s="13"/>
      <c r="Y49" s="13"/>
      <c r="Z49" s="13"/>
      <c r="AA49" s="13"/>
      <c r="AB49" s="13"/>
      <c r="AC49" s="13"/>
      <c r="AD49" s="13"/>
      <c r="AE49" s="13"/>
      <c r="AF49" s="13"/>
      <c r="AG49" s="13"/>
      <c r="AH49" s="13"/>
      <c r="AI49" s="15"/>
    </row>
    <row r="50" spans="2:35">
      <c r="B50" s="13"/>
      <c r="C50" s="12"/>
      <c r="D50" s="13" t="s">
        <v>811</v>
      </c>
      <c r="E50" s="13"/>
      <c r="F50" s="13"/>
      <c r="G50" s="13"/>
      <c r="H50" s="13"/>
      <c r="I50" s="13"/>
      <c r="J50" s="13"/>
      <c r="K50" s="13"/>
      <c r="L50" s="13"/>
      <c r="M50" s="13"/>
      <c r="N50" s="13"/>
      <c r="O50" s="13"/>
      <c r="P50" s="13"/>
      <c r="Q50" s="34" t="s">
        <v>115</v>
      </c>
      <c r="R50" s="13"/>
      <c r="S50" s="13" t="s">
        <v>2</v>
      </c>
      <c r="T50" s="349">
        <v>-4</v>
      </c>
      <c r="U50" s="350"/>
      <c r="V50" s="351"/>
      <c r="W50" s="13" t="s">
        <v>3</v>
      </c>
      <c r="X50" s="13"/>
      <c r="Y50" s="13"/>
      <c r="Z50" s="13"/>
      <c r="AA50" s="13"/>
      <c r="AB50" s="13"/>
      <c r="AC50" s="13"/>
      <c r="AD50" s="13"/>
      <c r="AE50" s="13"/>
      <c r="AF50" s="13"/>
      <c r="AG50" s="13"/>
      <c r="AH50" s="13"/>
      <c r="AI50" s="15"/>
    </row>
    <row r="51" spans="2:35">
      <c r="C51" s="12"/>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5"/>
    </row>
    <row r="52" spans="2:35">
      <c r="C52" s="12"/>
      <c r="D52" s="13"/>
      <c r="E52" s="13"/>
      <c r="F52" s="13"/>
      <c r="G52" s="13"/>
      <c r="H52" s="13"/>
      <c r="I52" s="13"/>
      <c r="J52" s="13"/>
      <c r="K52" s="13"/>
      <c r="L52" s="13"/>
      <c r="M52" s="13"/>
      <c r="N52" s="348" t="s">
        <v>812</v>
      </c>
      <c r="O52" s="348"/>
      <c r="P52" s="348"/>
      <c r="Q52" s="348"/>
      <c r="R52" s="348"/>
      <c r="S52" s="348"/>
      <c r="T52" s="348" t="s">
        <v>813</v>
      </c>
      <c r="U52" s="348"/>
      <c r="V52" s="348"/>
      <c r="W52" s="348"/>
      <c r="X52" s="348"/>
      <c r="Y52" s="348"/>
      <c r="Z52" s="13"/>
      <c r="AA52" s="13"/>
      <c r="AB52" s="13"/>
      <c r="AC52" s="13"/>
      <c r="AD52" s="13"/>
      <c r="AE52" s="13"/>
      <c r="AF52" s="13"/>
      <c r="AG52" s="13"/>
      <c r="AH52" s="13"/>
      <c r="AI52" s="15"/>
    </row>
    <row r="53" spans="2:35" ht="19.5" thickBot="1">
      <c r="C53" s="12"/>
      <c r="D53" s="13"/>
      <c r="E53" s="13"/>
      <c r="F53" s="13"/>
      <c r="G53" s="13"/>
      <c r="H53" s="13"/>
      <c r="I53" s="13"/>
      <c r="J53" s="13"/>
      <c r="K53" s="13"/>
      <c r="L53" s="13"/>
      <c r="M53" s="13"/>
      <c r="N53" s="347" t="s">
        <v>761</v>
      </c>
      <c r="O53" s="347"/>
      <c r="P53" s="347"/>
      <c r="Q53" s="347" t="s">
        <v>762</v>
      </c>
      <c r="R53" s="347"/>
      <c r="S53" s="347"/>
      <c r="T53" s="347" t="s">
        <v>761</v>
      </c>
      <c r="U53" s="347"/>
      <c r="V53" s="347"/>
      <c r="W53" s="347" t="s">
        <v>762</v>
      </c>
      <c r="X53" s="347"/>
      <c r="Y53" s="347"/>
      <c r="Z53" s="13"/>
      <c r="AA53" s="13"/>
      <c r="AB53" s="13"/>
      <c r="AC53" s="13"/>
      <c r="AD53" s="13"/>
      <c r="AE53" s="13"/>
      <c r="AF53" s="13"/>
      <c r="AG53" s="13"/>
      <c r="AH53" s="13"/>
      <c r="AI53" s="15"/>
    </row>
    <row r="54" spans="2:35" ht="19.5" thickTop="1">
      <c r="C54" s="12"/>
      <c r="D54" s="13" t="s">
        <v>750</v>
      </c>
      <c r="E54" s="13"/>
      <c r="F54" s="13"/>
      <c r="G54" s="13"/>
      <c r="H54" s="13"/>
      <c r="I54" s="13"/>
      <c r="J54" s="13"/>
      <c r="K54" s="13"/>
      <c r="L54" s="13"/>
      <c r="M54" s="13"/>
      <c r="N54" s="356">
        <v>1</v>
      </c>
      <c r="O54" s="357"/>
      <c r="P54" s="358"/>
      <c r="Q54" s="356">
        <v>1</v>
      </c>
      <c r="R54" s="357"/>
      <c r="S54" s="358"/>
      <c r="T54" s="356">
        <v>1</v>
      </c>
      <c r="U54" s="357"/>
      <c r="V54" s="358"/>
      <c r="W54" s="356">
        <v>2</v>
      </c>
      <c r="X54" s="357"/>
      <c r="Y54" s="358"/>
      <c r="Z54" s="13"/>
      <c r="AA54" s="13"/>
      <c r="AB54" s="13"/>
      <c r="AC54" s="13"/>
      <c r="AD54" s="13"/>
      <c r="AE54" s="13"/>
      <c r="AF54" s="13"/>
      <c r="AG54" s="13"/>
      <c r="AH54" s="13"/>
      <c r="AI54" s="15"/>
    </row>
    <row r="55" spans="2:35">
      <c r="C55" s="12"/>
      <c r="D55" s="13" t="s">
        <v>374</v>
      </c>
      <c r="E55" s="13"/>
      <c r="F55" s="13"/>
      <c r="G55" s="13"/>
      <c r="H55" s="13"/>
      <c r="I55" s="13"/>
      <c r="J55" s="13"/>
      <c r="K55" s="13"/>
      <c r="L55" s="13"/>
      <c r="M55" s="13"/>
      <c r="N55" s="352" t="s">
        <v>723</v>
      </c>
      <c r="O55" s="352"/>
      <c r="P55" s="352"/>
      <c r="Q55" s="352" t="s">
        <v>723</v>
      </c>
      <c r="R55" s="352"/>
      <c r="S55" s="352"/>
      <c r="T55" s="352" t="s">
        <v>749</v>
      </c>
      <c r="U55" s="352"/>
      <c r="V55" s="352"/>
      <c r="W55" s="352" t="s">
        <v>723</v>
      </c>
      <c r="X55" s="352"/>
      <c r="Y55" s="352"/>
      <c r="Z55" s="13"/>
      <c r="AA55" s="13"/>
      <c r="AB55" s="13"/>
      <c r="AC55" s="13"/>
      <c r="AD55" s="13"/>
      <c r="AE55" s="13"/>
      <c r="AF55" s="13"/>
      <c r="AG55" s="54"/>
      <c r="AH55" s="54"/>
      <c r="AI55" s="55"/>
    </row>
    <row r="56" spans="2:35">
      <c r="C56" s="12"/>
      <c r="D56" s="13" t="s">
        <v>289</v>
      </c>
      <c r="E56" s="13"/>
      <c r="F56" s="13"/>
      <c r="G56" s="13"/>
      <c r="I56" s="13" t="s">
        <v>290</v>
      </c>
      <c r="J56" s="13"/>
      <c r="K56" s="359" t="s">
        <v>1</v>
      </c>
      <c r="L56" s="360"/>
      <c r="M56" s="13" t="s">
        <v>2</v>
      </c>
      <c r="N56" s="353">
        <f>VLOOKUP(N55,C108:Y112,4)</f>
        <v>350</v>
      </c>
      <c r="O56" s="354"/>
      <c r="P56" s="355"/>
      <c r="Q56" s="353">
        <f>VLOOKUP(Q55,C108:Y112,4)</f>
        <v>350</v>
      </c>
      <c r="R56" s="354"/>
      <c r="S56" s="355"/>
      <c r="T56" s="353">
        <f>VLOOKUP(T55,C108:Y112,4)</f>
        <v>400</v>
      </c>
      <c r="U56" s="354"/>
      <c r="V56" s="355"/>
      <c r="W56" s="353">
        <f>VLOOKUP(W55,C108:Y112,4)</f>
        <v>350</v>
      </c>
      <c r="X56" s="354"/>
      <c r="Y56" s="355"/>
      <c r="Z56" s="13"/>
      <c r="AA56" s="13"/>
      <c r="AB56" s="13" t="s">
        <v>53</v>
      </c>
      <c r="AC56" s="13"/>
      <c r="AD56" s="13"/>
      <c r="AE56" s="13"/>
      <c r="AG56" s="56"/>
      <c r="AH56" s="56"/>
      <c r="AI56" s="55"/>
    </row>
    <row r="57" spans="2:35">
      <c r="C57" s="12"/>
      <c r="D57" s="13" t="s">
        <v>291</v>
      </c>
      <c r="E57" s="13"/>
      <c r="F57" s="13"/>
      <c r="G57" s="13"/>
      <c r="I57" s="13" t="s">
        <v>290</v>
      </c>
      <c r="J57" s="13"/>
      <c r="K57" s="359" t="s">
        <v>241</v>
      </c>
      <c r="L57" s="360"/>
      <c r="M57" s="13" t="s">
        <v>2</v>
      </c>
      <c r="N57" s="353">
        <f>VLOOKUP(N55,C108:Y112,6)</f>
        <v>350</v>
      </c>
      <c r="O57" s="354"/>
      <c r="P57" s="355"/>
      <c r="Q57" s="353">
        <f>VLOOKUP(Q55,C108:Y112,6)</f>
        <v>350</v>
      </c>
      <c r="R57" s="354"/>
      <c r="S57" s="355"/>
      <c r="T57" s="353">
        <f>VLOOKUP(T55,C108:Y112,6)</f>
        <v>400</v>
      </c>
      <c r="U57" s="354"/>
      <c r="V57" s="355"/>
      <c r="W57" s="353">
        <f>VLOOKUP(W55,C108:Y112,6)</f>
        <v>350</v>
      </c>
      <c r="X57" s="354"/>
      <c r="Y57" s="355"/>
      <c r="Z57" s="13"/>
      <c r="AA57" s="13"/>
      <c r="AB57" s="13" t="s">
        <v>53</v>
      </c>
      <c r="AC57" s="13"/>
      <c r="AD57" s="13"/>
      <c r="AE57" s="13"/>
      <c r="AG57" s="56"/>
      <c r="AH57" s="56"/>
      <c r="AI57" s="55"/>
    </row>
    <row r="58" spans="2:35">
      <c r="C58" s="12"/>
      <c r="D58" s="13" t="s">
        <v>337</v>
      </c>
      <c r="E58" s="13"/>
      <c r="F58" s="13"/>
      <c r="G58" s="13"/>
      <c r="I58" s="13" t="s">
        <v>290</v>
      </c>
      <c r="J58" s="13"/>
      <c r="K58" s="359" t="s">
        <v>292</v>
      </c>
      <c r="L58" s="360"/>
      <c r="M58" s="13" t="s">
        <v>2</v>
      </c>
      <c r="N58" s="353">
        <f>VLOOKUP(N55,C108:Y112,8)</f>
        <v>12</v>
      </c>
      <c r="O58" s="354"/>
      <c r="P58" s="355"/>
      <c r="Q58" s="353">
        <f>VLOOKUP(Q55,C108:Y112,8)</f>
        <v>12</v>
      </c>
      <c r="R58" s="354"/>
      <c r="S58" s="355"/>
      <c r="T58" s="353">
        <f>VLOOKUP(T55,C108:Y112,8)</f>
        <v>13</v>
      </c>
      <c r="U58" s="354"/>
      <c r="V58" s="355"/>
      <c r="W58" s="353">
        <f>VLOOKUP(W55,C108:Y112,8)</f>
        <v>12</v>
      </c>
      <c r="X58" s="354"/>
      <c r="Y58" s="355"/>
      <c r="Z58" s="13"/>
      <c r="AA58" s="13"/>
      <c r="AB58" s="13" t="s">
        <v>53</v>
      </c>
      <c r="AC58" s="13"/>
      <c r="AD58" s="13"/>
      <c r="AE58" s="13"/>
      <c r="AG58" s="56"/>
      <c r="AH58" s="56"/>
      <c r="AI58" s="55"/>
    </row>
    <row r="59" spans="2:35" ht="21" customHeight="1">
      <c r="C59" s="12"/>
      <c r="D59" s="13" t="s">
        <v>338</v>
      </c>
      <c r="E59" s="13"/>
      <c r="F59" s="13"/>
      <c r="G59" s="13"/>
      <c r="I59" s="13" t="s">
        <v>290</v>
      </c>
      <c r="J59" s="13"/>
      <c r="K59" s="359" t="s">
        <v>401</v>
      </c>
      <c r="L59" s="360"/>
      <c r="M59" s="13" t="s">
        <v>2</v>
      </c>
      <c r="N59" s="353">
        <f>VLOOKUP(N55,C108:Y112,10)</f>
        <v>19</v>
      </c>
      <c r="O59" s="354"/>
      <c r="P59" s="355"/>
      <c r="Q59" s="353">
        <f>VLOOKUP(Q55,C108:Y112,10)</f>
        <v>19</v>
      </c>
      <c r="R59" s="354"/>
      <c r="S59" s="355"/>
      <c r="T59" s="353">
        <f>VLOOKUP(T55,C108:Y112,10)</f>
        <v>21</v>
      </c>
      <c r="U59" s="354"/>
      <c r="V59" s="355"/>
      <c r="W59" s="353">
        <f>VLOOKUP(W55,C108:Y112,10)</f>
        <v>19</v>
      </c>
      <c r="X59" s="354"/>
      <c r="Y59" s="355"/>
      <c r="Z59" s="13"/>
      <c r="AA59" s="13"/>
      <c r="AB59" s="13" t="s">
        <v>53</v>
      </c>
      <c r="AC59" s="13"/>
      <c r="AD59" s="13"/>
      <c r="AE59" s="13"/>
      <c r="AG59" s="56"/>
      <c r="AH59" s="56"/>
      <c r="AI59" s="55"/>
    </row>
    <row r="60" spans="2:35" ht="20.25">
      <c r="C60" s="12"/>
      <c r="D60" s="13" t="s">
        <v>299</v>
      </c>
      <c r="E60" s="13"/>
      <c r="F60" s="13"/>
      <c r="G60" s="13"/>
      <c r="I60" s="13" t="s">
        <v>300</v>
      </c>
      <c r="J60" s="13"/>
      <c r="K60" s="359" t="s">
        <v>240</v>
      </c>
      <c r="L60" s="360"/>
      <c r="M60" s="13" t="s">
        <v>2</v>
      </c>
      <c r="N60" s="361">
        <f>VLOOKUP(N55,C108:Y112,12)</f>
        <v>154.9</v>
      </c>
      <c r="O60" s="362"/>
      <c r="P60" s="363"/>
      <c r="Q60" s="361">
        <f>VLOOKUP(Q55,C108:Y112,12)</f>
        <v>154.9</v>
      </c>
      <c r="R60" s="362"/>
      <c r="S60" s="363"/>
      <c r="T60" s="361">
        <f>VLOOKUP(T55,C108:Y112,12)</f>
        <v>197.7</v>
      </c>
      <c r="U60" s="362"/>
      <c r="V60" s="363"/>
      <c r="W60" s="361">
        <f>VLOOKUP(W55,C108:Y112,12)</f>
        <v>154.9</v>
      </c>
      <c r="X60" s="362"/>
      <c r="Y60" s="363"/>
      <c r="Z60" s="13"/>
      <c r="AA60" s="13"/>
      <c r="AB60" s="13" t="s">
        <v>53</v>
      </c>
      <c r="AC60" s="13"/>
      <c r="AD60" s="13"/>
      <c r="AE60" s="13"/>
      <c r="AG60" s="56"/>
      <c r="AH60" s="56"/>
      <c r="AI60" s="55"/>
    </row>
    <row r="61" spans="2:35">
      <c r="C61" s="12"/>
      <c r="D61" s="13" t="s">
        <v>301</v>
      </c>
      <c r="E61" s="13"/>
      <c r="F61" s="13"/>
      <c r="G61" s="13"/>
      <c r="I61" s="13" t="s">
        <v>304</v>
      </c>
      <c r="J61" s="13"/>
      <c r="K61" s="359" t="s">
        <v>302</v>
      </c>
      <c r="L61" s="360"/>
      <c r="M61" s="13" t="s">
        <v>2</v>
      </c>
      <c r="N61" s="361">
        <f>VLOOKUP(N55,C108:Y112,15)</f>
        <v>15.1</v>
      </c>
      <c r="O61" s="362"/>
      <c r="P61" s="363"/>
      <c r="Q61" s="361">
        <f>VLOOKUP(Q55,C108:Y112,15)</f>
        <v>15.1</v>
      </c>
      <c r="R61" s="362"/>
      <c r="S61" s="363"/>
      <c r="T61" s="361">
        <f>VLOOKUP(T55,C108:Y112,15)</f>
        <v>17.3</v>
      </c>
      <c r="U61" s="362"/>
      <c r="V61" s="363"/>
      <c r="W61" s="361">
        <f>VLOOKUP(W55,C108:Y112,15)</f>
        <v>15.1</v>
      </c>
      <c r="X61" s="362"/>
      <c r="Y61" s="363"/>
      <c r="Z61" s="13"/>
      <c r="AA61" s="13"/>
      <c r="AB61" s="13" t="s">
        <v>53</v>
      </c>
      <c r="AC61" s="13"/>
      <c r="AD61" s="13"/>
      <c r="AE61" s="13"/>
      <c r="AG61" s="56"/>
      <c r="AH61" s="56"/>
      <c r="AI61" s="55"/>
    </row>
    <row r="62" spans="2:35" ht="21" customHeight="1">
      <c r="C62" s="12"/>
      <c r="D62" s="13"/>
      <c r="E62" s="13"/>
      <c r="F62" s="13"/>
      <c r="G62" s="13"/>
      <c r="I62" s="13" t="s">
        <v>304</v>
      </c>
      <c r="J62" s="13"/>
      <c r="K62" s="359" t="s">
        <v>303</v>
      </c>
      <c r="L62" s="360"/>
      <c r="M62" s="13" t="s">
        <v>2</v>
      </c>
      <c r="N62" s="361">
        <f>VLOOKUP(N55,C108:Y112,18)</f>
        <v>8.99</v>
      </c>
      <c r="O62" s="362"/>
      <c r="P62" s="363"/>
      <c r="Q62" s="361">
        <f>VLOOKUP(Q55,C108:Y112,18)</f>
        <v>8.99</v>
      </c>
      <c r="R62" s="362"/>
      <c r="S62" s="363"/>
      <c r="T62" s="361">
        <f>VLOOKUP(T55,C108:Y112,18)</f>
        <v>10.1</v>
      </c>
      <c r="U62" s="362"/>
      <c r="V62" s="363"/>
      <c r="W62" s="361">
        <f>VLOOKUP(W55,C108:Y112,18)</f>
        <v>8.99</v>
      </c>
      <c r="X62" s="362"/>
      <c r="Y62" s="363"/>
      <c r="Z62" s="13"/>
      <c r="AA62" s="13"/>
      <c r="AB62" s="13" t="s">
        <v>53</v>
      </c>
      <c r="AC62" s="13"/>
      <c r="AD62" s="13"/>
      <c r="AE62" s="13"/>
      <c r="AG62" s="56"/>
      <c r="AH62" s="56"/>
      <c r="AI62" s="55"/>
    </row>
    <row r="63" spans="2:35" ht="20.25">
      <c r="C63" s="12"/>
      <c r="D63" s="13" t="s">
        <v>50</v>
      </c>
      <c r="E63" s="13"/>
      <c r="F63" s="13"/>
      <c r="G63" s="13"/>
      <c r="I63" s="13" t="s">
        <v>305</v>
      </c>
      <c r="J63" s="13"/>
      <c r="K63" s="360" t="s">
        <v>59</v>
      </c>
      <c r="L63" s="360"/>
      <c r="M63" s="13" t="s">
        <v>2</v>
      </c>
      <c r="N63" s="353">
        <f>VLOOKUP(N55,C108:Y112,21)</f>
        <v>2000</v>
      </c>
      <c r="O63" s="354"/>
      <c r="P63" s="355"/>
      <c r="Q63" s="353">
        <f>VLOOKUP(Q55,C108:Y112,21)</f>
        <v>2000</v>
      </c>
      <c r="R63" s="354"/>
      <c r="S63" s="355"/>
      <c r="T63" s="353">
        <f>VLOOKUP(T55,C108:Y112,21)</f>
        <v>2950</v>
      </c>
      <c r="U63" s="354"/>
      <c r="V63" s="355"/>
      <c r="W63" s="353">
        <f>VLOOKUP(W55,C108:Y112,21)</f>
        <v>2000</v>
      </c>
      <c r="X63" s="354"/>
      <c r="Y63" s="355"/>
      <c r="Z63" s="13"/>
      <c r="AA63" s="13"/>
      <c r="AB63" s="13" t="s">
        <v>53</v>
      </c>
      <c r="AC63" s="13"/>
      <c r="AD63" s="13"/>
      <c r="AE63" s="13"/>
      <c r="AF63" s="13"/>
      <c r="AG63" s="54"/>
      <c r="AH63" s="54"/>
      <c r="AI63" s="55"/>
    </row>
    <row r="64" spans="2:35">
      <c r="C64" s="12"/>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5"/>
    </row>
    <row r="65" spans="2:35" ht="20.25">
      <c r="C65" s="12"/>
      <c r="D65" s="13" t="s">
        <v>287</v>
      </c>
      <c r="E65" s="13"/>
      <c r="F65" s="13"/>
      <c r="G65" s="13"/>
      <c r="H65" s="13"/>
      <c r="I65" s="13"/>
      <c r="J65" s="13"/>
      <c r="K65" s="359" t="s">
        <v>288</v>
      </c>
      <c r="L65" s="360"/>
      <c r="M65" s="13" t="s">
        <v>2</v>
      </c>
      <c r="N65" s="352">
        <v>120</v>
      </c>
      <c r="O65" s="352"/>
      <c r="P65" s="352"/>
      <c r="Q65" s="289"/>
      <c r="R65" s="289"/>
      <c r="S65" s="289"/>
      <c r="T65" s="289"/>
      <c r="U65" s="289"/>
      <c r="V65" s="289"/>
      <c r="W65" s="289"/>
      <c r="X65" s="289"/>
      <c r="Y65" s="289"/>
      <c r="Z65" s="13"/>
      <c r="AA65" s="13"/>
      <c r="AB65" s="13" t="s">
        <v>286</v>
      </c>
      <c r="AC65" s="13"/>
      <c r="AD65" s="13"/>
      <c r="AE65" s="13"/>
      <c r="AG65" s="56"/>
      <c r="AH65" s="56"/>
      <c r="AI65" s="55"/>
    </row>
    <row r="66" spans="2:35">
      <c r="C66" s="16"/>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9"/>
    </row>
    <row r="67" spans="2:35">
      <c r="Z67" s="13"/>
    </row>
    <row r="68" spans="2:35">
      <c r="B68" s="1" t="s">
        <v>380</v>
      </c>
    </row>
    <row r="69" spans="2:35">
      <c r="C69" s="9"/>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1"/>
    </row>
    <row r="70" spans="2:35" ht="19.5" thickBot="1">
      <c r="C70" s="12"/>
      <c r="D70" s="13"/>
      <c r="E70" s="13"/>
      <c r="F70" s="13"/>
      <c r="G70" s="13"/>
      <c r="H70" s="13"/>
      <c r="I70" s="13"/>
      <c r="J70" s="13"/>
      <c r="K70" s="13"/>
      <c r="L70" s="13"/>
      <c r="M70" s="13"/>
      <c r="N70" s="13"/>
      <c r="O70" s="13"/>
      <c r="P70" s="13"/>
      <c r="Q70" s="347" t="s">
        <v>814</v>
      </c>
      <c r="R70" s="347"/>
      <c r="S70" s="347"/>
      <c r="T70" s="347" t="s">
        <v>762</v>
      </c>
      <c r="U70" s="347"/>
      <c r="V70" s="347"/>
      <c r="W70" s="13"/>
      <c r="X70" s="13"/>
      <c r="Y70" s="13"/>
      <c r="Z70" s="13"/>
      <c r="AA70" s="13"/>
      <c r="AB70" s="13"/>
      <c r="AC70" s="13"/>
      <c r="AD70" s="13"/>
      <c r="AE70" s="13"/>
      <c r="AF70" s="13"/>
      <c r="AG70" s="13"/>
      <c r="AH70" s="13"/>
      <c r="AI70" s="15"/>
    </row>
    <row r="71" spans="2:35" ht="19.5" thickTop="1">
      <c r="C71" s="12"/>
      <c r="D71" s="13" t="s">
        <v>279</v>
      </c>
      <c r="E71" s="13"/>
      <c r="F71" s="13"/>
      <c r="G71" s="13"/>
      <c r="H71" s="13"/>
      <c r="I71" s="13"/>
      <c r="J71" s="13" t="s">
        <v>280</v>
      </c>
      <c r="K71" s="13"/>
      <c r="L71" s="13"/>
      <c r="M71" s="13"/>
      <c r="N71" s="360" t="s">
        <v>241</v>
      </c>
      <c r="O71" s="360"/>
      <c r="P71" s="13" t="s">
        <v>2</v>
      </c>
      <c r="Q71" s="364">
        <v>5</v>
      </c>
      <c r="R71" s="365"/>
      <c r="S71" s="366"/>
      <c r="T71" s="364">
        <v>5</v>
      </c>
      <c r="U71" s="365"/>
      <c r="V71" s="366"/>
      <c r="X71" s="13"/>
      <c r="Y71" s="13" t="s">
        <v>774</v>
      </c>
      <c r="Z71" s="13"/>
      <c r="AA71" s="13"/>
      <c r="AB71" s="13"/>
      <c r="AC71" s="13"/>
      <c r="AD71" s="13"/>
      <c r="AE71" s="13"/>
      <c r="AF71" s="13"/>
      <c r="AG71" s="13"/>
      <c r="AH71" s="13"/>
      <c r="AI71" s="15"/>
    </row>
    <row r="72" spans="2:35">
      <c r="C72" s="12"/>
      <c r="D72" s="13" t="s">
        <v>298</v>
      </c>
      <c r="E72" s="13"/>
      <c r="F72" s="13"/>
      <c r="G72" s="13"/>
      <c r="H72" s="13"/>
      <c r="I72" s="13"/>
      <c r="J72" s="13" t="s">
        <v>280</v>
      </c>
      <c r="K72" s="13"/>
      <c r="L72" s="13"/>
      <c r="M72" s="13"/>
      <c r="N72" s="360" t="s">
        <v>71</v>
      </c>
      <c r="O72" s="360"/>
      <c r="P72" s="13" t="s">
        <v>2</v>
      </c>
      <c r="Q72" s="367">
        <f>R12-T42*2/1000-N56*2/1000</f>
        <v>6.3</v>
      </c>
      <c r="R72" s="368"/>
      <c r="S72" s="369"/>
      <c r="T72" s="367">
        <f>R12-T42*2/1000-Q56*2/1000</f>
        <v>6.3</v>
      </c>
      <c r="U72" s="368"/>
      <c r="V72" s="369"/>
      <c r="X72" s="13"/>
      <c r="Y72" s="13"/>
      <c r="Z72" s="13"/>
      <c r="AA72" s="13"/>
      <c r="AB72" s="13"/>
      <c r="AC72" s="13"/>
      <c r="AD72" s="13"/>
      <c r="AE72" s="13"/>
      <c r="AF72" s="13"/>
      <c r="AG72" s="13"/>
      <c r="AH72" s="13"/>
      <c r="AI72" s="15"/>
    </row>
    <row r="73" spans="2:35">
      <c r="C73" s="12"/>
      <c r="D73" s="13"/>
      <c r="E73" s="13"/>
      <c r="F73" s="13"/>
      <c r="G73" s="13"/>
      <c r="H73" s="13"/>
      <c r="I73" s="13"/>
      <c r="J73" s="13"/>
      <c r="K73" s="13"/>
      <c r="L73" s="13"/>
      <c r="M73" s="13"/>
      <c r="N73" s="35"/>
      <c r="O73" s="35"/>
      <c r="P73" s="13"/>
      <c r="Q73" s="190"/>
      <c r="R73" s="190"/>
      <c r="S73" s="190"/>
      <c r="T73" s="190"/>
      <c r="U73" s="190"/>
      <c r="V73" s="190"/>
      <c r="X73" s="13"/>
      <c r="Y73" s="13"/>
      <c r="Z73" s="13"/>
      <c r="AA73" s="13"/>
      <c r="AB73" s="13"/>
      <c r="AC73" s="13"/>
      <c r="AD73" s="13"/>
      <c r="AE73" s="13"/>
      <c r="AF73" s="13"/>
      <c r="AG73" s="13"/>
      <c r="AH73" s="13"/>
      <c r="AI73" s="15"/>
    </row>
    <row r="74" spans="2:35">
      <c r="C74" s="12"/>
      <c r="D74" s="13" t="s">
        <v>374</v>
      </c>
      <c r="E74" s="13"/>
      <c r="F74" s="13"/>
      <c r="G74" s="13"/>
      <c r="H74" s="13"/>
      <c r="I74" s="13"/>
      <c r="J74" s="13"/>
      <c r="K74" s="13"/>
      <c r="L74" s="13"/>
      <c r="M74" s="13"/>
      <c r="N74" s="13"/>
      <c r="O74" s="13"/>
      <c r="P74" s="13"/>
      <c r="Q74" s="352" t="s">
        <v>772</v>
      </c>
      <c r="R74" s="352"/>
      <c r="S74" s="352"/>
      <c r="T74" s="352" t="s">
        <v>772</v>
      </c>
      <c r="U74" s="352"/>
      <c r="V74" s="352"/>
      <c r="X74" s="13"/>
      <c r="Y74" s="13" t="s">
        <v>775</v>
      </c>
      <c r="Z74" s="13"/>
      <c r="AA74" s="13"/>
      <c r="AB74" s="13"/>
      <c r="AC74" s="13"/>
      <c r="AD74" s="13"/>
      <c r="AE74" s="13"/>
      <c r="AF74" s="13"/>
      <c r="AG74" s="54"/>
      <c r="AH74" s="54"/>
      <c r="AI74" s="55"/>
    </row>
    <row r="75" spans="2:35">
      <c r="C75" s="12"/>
      <c r="D75" s="13" t="s">
        <v>289</v>
      </c>
      <c r="E75" s="13"/>
      <c r="F75" s="13"/>
      <c r="G75" s="13"/>
      <c r="H75" s="13"/>
      <c r="I75" s="13"/>
      <c r="J75" s="13" t="s">
        <v>290</v>
      </c>
      <c r="K75" s="13"/>
      <c r="L75" s="13"/>
      <c r="M75" s="13"/>
      <c r="N75" s="359" t="s">
        <v>1</v>
      </c>
      <c r="O75" s="360"/>
      <c r="P75" s="13" t="s">
        <v>2</v>
      </c>
      <c r="Q75" s="353">
        <f>VLOOKUP(Q74,C108:Y112,4)</f>
        <v>300</v>
      </c>
      <c r="R75" s="354"/>
      <c r="S75" s="355"/>
      <c r="T75" s="353">
        <f>VLOOKUP(T74,C108:Y112,4)</f>
        <v>300</v>
      </c>
      <c r="U75" s="354"/>
      <c r="V75" s="355"/>
      <c r="X75" s="13"/>
      <c r="Y75" s="13"/>
      <c r="Z75" s="13"/>
      <c r="AA75" s="13"/>
      <c r="AB75" s="13" t="s">
        <v>53</v>
      </c>
      <c r="AC75" s="13"/>
      <c r="AD75" s="13"/>
      <c r="AE75" s="13"/>
      <c r="AG75" s="56"/>
      <c r="AH75" s="56"/>
      <c r="AI75" s="55"/>
    </row>
    <row r="76" spans="2:35">
      <c r="C76" s="12"/>
      <c r="D76" s="13" t="s">
        <v>291</v>
      </c>
      <c r="E76" s="13"/>
      <c r="F76" s="13"/>
      <c r="G76" s="13"/>
      <c r="H76" s="13"/>
      <c r="I76" s="13"/>
      <c r="J76" s="13" t="s">
        <v>290</v>
      </c>
      <c r="K76" s="13"/>
      <c r="L76" s="13"/>
      <c r="M76" s="13"/>
      <c r="N76" s="359" t="s">
        <v>241</v>
      </c>
      <c r="O76" s="360"/>
      <c r="P76" s="13" t="s">
        <v>2</v>
      </c>
      <c r="Q76" s="353">
        <f>VLOOKUP(Q74,C108:Y112,6)</f>
        <v>300</v>
      </c>
      <c r="R76" s="354"/>
      <c r="S76" s="355"/>
      <c r="T76" s="353">
        <f>VLOOKUP(T74,C108:Y112,6)</f>
        <v>300</v>
      </c>
      <c r="U76" s="354"/>
      <c r="V76" s="355"/>
      <c r="X76" s="13"/>
      <c r="Y76" s="13"/>
      <c r="Z76" s="13"/>
      <c r="AA76" s="13"/>
      <c r="AB76" s="13" t="s">
        <v>53</v>
      </c>
      <c r="AC76" s="13"/>
      <c r="AD76" s="13"/>
      <c r="AE76" s="13"/>
      <c r="AG76" s="56"/>
      <c r="AH76" s="56"/>
      <c r="AI76" s="55"/>
    </row>
    <row r="77" spans="2:35">
      <c r="C77" s="12"/>
      <c r="D77" s="13" t="s">
        <v>293</v>
      </c>
      <c r="E77" s="13"/>
      <c r="F77" s="13"/>
      <c r="G77" s="13"/>
      <c r="H77" s="13"/>
      <c r="I77" s="13"/>
      <c r="J77" s="13" t="s">
        <v>290</v>
      </c>
      <c r="K77" s="13"/>
      <c r="L77" s="13"/>
      <c r="M77" s="13"/>
      <c r="N77" s="359" t="s">
        <v>292</v>
      </c>
      <c r="O77" s="360"/>
      <c r="P77" s="13" t="s">
        <v>2</v>
      </c>
      <c r="Q77" s="353">
        <f>VLOOKUP(Q74,C108:Y112,8)</f>
        <v>10</v>
      </c>
      <c r="R77" s="354"/>
      <c r="S77" s="355"/>
      <c r="T77" s="353">
        <f>VLOOKUP(T74,C108:Y112,8)</f>
        <v>10</v>
      </c>
      <c r="U77" s="354"/>
      <c r="V77" s="355"/>
      <c r="X77" s="13"/>
      <c r="Y77" s="13"/>
      <c r="Z77" s="13"/>
      <c r="AA77" s="13"/>
      <c r="AB77" s="13" t="s">
        <v>53</v>
      </c>
      <c r="AC77" s="13"/>
      <c r="AD77" s="13"/>
      <c r="AE77" s="13"/>
      <c r="AG77" s="56"/>
      <c r="AH77" s="56"/>
      <c r="AI77" s="55"/>
    </row>
    <row r="78" spans="2:35" ht="21" customHeight="1">
      <c r="C78" s="12"/>
      <c r="D78" s="13" t="s">
        <v>294</v>
      </c>
      <c r="E78" s="13"/>
      <c r="F78" s="13"/>
      <c r="G78" s="13"/>
      <c r="H78" s="13"/>
      <c r="I78" s="13"/>
      <c r="J78" s="13" t="s">
        <v>290</v>
      </c>
      <c r="K78" s="13"/>
      <c r="L78" s="13"/>
      <c r="M78" s="13"/>
      <c r="N78" s="359" t="s">
        <v>295</v>
      </c>
      <c r="O78" s="360"/>
      <c r="P78" s="13" t="s">
        <v>2</v>
      </c>
      <c r="Q78" s="353">
        <f>VLOOKUP(Q74,C108:Y112,10)</f>
        <v>15</v>
      </c>
      <c r="R78" s="354"/>
      <c r="S78" s="355"/>
      <c r="T78" s="353">
        <f>VLOOKUP(T74,C108:Y112,10)</f>
        <v>15</v>
      </c>
      <c r="U78" s="354"/>
      <c r="V78" s="355"/>
      <c r="X78" s="13"/>
      <c r="Y78" s="13"/>
      <c r="Z78" s="13"/>
      <c r="AA78" s="13"/>
      <c r="AB78" s="13" t="s">
        <v>53</v>
      </c>
      <c r="AC78" s="13"/>
      <c r="AD78" s="13"/>
      <c r="AE78" s="13"/>
      <c r="AG78" s="56"/>
      <c r="AH78" s="56"/>
      <c r="AI78" s="55"/>
    </row>
    <row r="79" spans="2:35" ht="20.25">
      <c r="C79" s="12"/>
      <c r="D79" s="13" t="s">
        <v>299</v>
      </c>
      <c r="E79" s="13"/>
      <c r="F79" s="13"/>
      <c r="G79" s="13"/>
      <c r="H79" s="13"/>
      <c r="I79" s="13"/>
      <c r="J79" s="13" t="s">
        <v>300</v>
      </c>
      <c r="K79" s="13"/>
      <c r="L79" s="13"/>
      <c r="M79" s="13"/>
      <c r="N79" s="359" t="s">
        <v>240</v>
      </c>
      <c r="O79" s="360"/>
      <c r="P79" s="13" t="s">
        <v>2</v>
      </c>
      <c r="Q79" s="361">
        <f>VLOOKUP(Q74,C108:Y112,12)</f>
        <v>104.8</v>
      </c>
      <c r="R79" s="362"/>
      <c r="S79" s="363"/>
      <c r="T79" s="361">
        <f>VLOOKUP(T74,C108:Y112,12)</f>
        <v>104.8</v>
      </c>
      <c r="U79" s="362"/>
      <c r="V79" s="363"/>
      <c r="X79" s="13"/>
      <c r="Y79" s="13"/>
      <c r="Z79" s="13"/>
      <c r="AA79" s="13"/>
      <c r="AB79" s="13" t="s">
        <v>53</v>
      </c>
      <c r="AC79" s="13"/>
      <c r="AD79" s="13"/>
      <c r="AE79" s="13"/>
      <c r="AG79" s="56"/>
      <c r="AH79" s="56"/>
      <c r="AI79" s="55"/>
    </row>
    <row r="80" spans="2:35">
      <c r="C80" s="12"/>
      <c r="D80" s="13" t="s">
        <v>301</v>
      </c>
      <c r="E80" s="13"/>
      <c r="F80" s="13"/>
      <c r="G80" s="13"/>
      <c r="H80" s="13"/>
      <c r="I80" s="13"/>
      <c r="J80" s="13" t="s">
        <v>304</v>
      </c>
      <c r="K80" s="13"/>
      <c r="L80" s="13"/>
      <c r="M80" s="13"/>
      <c r="N80" s="359" t="s">
        <v>302</v>
      </c>
      <c r="O80" s="360"/>
      <c r="P80" s="13" t="s">
        <v>2</v>
      </c>
      <c r="Q80" s="361">
        <f>VLOOKUP(Q74,C108:Y112,15)</f>
        <v>12.9</v>
      </c>
      <c r="R80" s="362"/>
      <c r="S80" s="363"/>
      <c r="T80" s="361">
        <f>VLOOKUP(T74,C108:Y112,15)</f>
        <v>12.9</v>
      </c>
      <c r="U80" s="362"/>
      <c r="V80" s="363"/>
      <c r="X80" s="13"/>
      <c r="Y80" s="13"/>
      <c r="Z80" s="13"/>
      <c r="AA80" s="13"/>
      <c r="AB80" s="13" t="s">
        <v>53</v>
      </c>
      <c r="AC80" s="13"/>
      <c r="AD80" s="13"/>
      <c r="AE80" s="13"/>
      <c r="AG80" s="56"/>
      <c r="AH80" s="56"/>
      <c r="AI80" s="55"/>
    </row>
    <row r="81" spans="2:35" ht="21" customHeight="1">
      <c r="C81" s="12"/>
      <c r="D81" s="13"/>
      <c r="E81" s="13"/>
      <c r="F81" s="13"/>
      <c r="G81" s="13"/>
      <c r="H81" s="13"/>
      <c r="I81" s="13"/>
      <c r="J81" s="13" t="s">
        <v>304</v>
      </c>
      <c r="K81" s="13"/>
      <c r="L81" s="13"/>
      <c r="M81" s="13"/>
      <c r="N81" s="359" t="s">
        <v>303</v>
      </c>
      <c r="O81" s="360"/>
      <c r="P81" s="13" t="s">
        <v>2</v>
      </c>
      <c r="Q81" s="361">
        <f>VLOOKUP(Q74,C108:Y112,18)</f>
        <v>7.51</v>
      </c>
      <c r="R81" s="362"/>
      <c r="S81" s="363"/>
      <c r="T81" s="361">
        <f>VLOOKUP(T74,C108:Y112,18)</f>
        <v>7.51</v>
      </c>
      <c r="U81" s="362"/>
      <c r="V81" s="363"/>
      <c r="X81" s="13"/>
      <c r="Y81" s="13"/>
      <c r="Z81" s="13"/>
      <c r="AA81" s="13"/>
      <c r="AB81" s="13" t="s">
        <v>53</v>
      </c>
      <c r="AC81" s="13"/>
      <c r="AD81" s="13"/>
      <c r="AE81" s="13"/>
      <c r="AG81" s="56"/>
      <c r="AH81" s="56"/>
      <c r="AI81" s="55"/>
    </row>
    <row r="82" spans="2:35" ht="20.25">
      <c r="C82" s="12"/>
      <c r="D82" s="13" t="s">
        <v>50</v>
      </c>
      <c r="E82" s="13"/>
      <c r="F82" s="13"/>
      <c r="G82" s="13"/>
      <c r="H82" s="13"/>
      <c r="I82" s="13"/>
      <c r="J82" s="13" t="s">
        <v>305</v>
      </c>
      <c r="K82" s="13"/>
      <c r="L82" s="13"/>
      <c r="M82" s="13"/>
      <c r="N82" s="360" t="s">
        <v>59</v>
      </c>
      <c r="O82" s="360"/>
      <c r="P82" s="13" t="s">
        <v>2</v>
      </c>
      <c r="Q82" s="353">
        <f>VLOOKUP(Q74,C108:Y112,21)</f>
        <v>1150</v>
      </c>
      <c r="R82" s="354"/>
      <c r="S82" s="355"/>
      <c r="T82" s="353">
        <f>VLOOKUP(T74,C108:Y112,21)</f>
        <v>1150</v>
      </c>
      <c r="U82" s="354"/>
      <c r="V82" s="355"/>
      <c r="X82" s="13"/>
      <c r="Y82" s="13"/>
      <c r="Z82" s="13"/>
      <c r="AA82" s="13"/>
      <c r="AB82" s="13" t="s">
        <v>53</v>
      </c>
      <c r="AC82" s="13"/>
      <c r="AD82" s="13"/>
      <c r="AE82" s="13"/>
      <c r="AF82" s="13"/>
      <c r="AG82" s="54"/>
      <c r="AH82" s="54"/>
      <c r="AI82" s="55"/>
    </row>
    <row r="83" spans="2:35">
      <c r="C83" s="16"/>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9"/>
    </row>
    <row r="84" spans="2:35">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row>
    <row r="85" spans="2:35">
      <c r="B85" s="1" t="s">
        <v>684</v>
      </c>
    </row>
    <row r="86" spans="2:35">
      <c r="C86" s="9"/>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1"/>
    </row>
    <row r="87" spans="2:35">
      <c r="C87" s="12"/>
      <c r="D87" s="13" t="s">
        <v>685</v>
      </c>
      <c r="E87" s="13"/>
      <c r="F87" s="13"/>
      <c r="G87" s="13"/>
      <c r="H87" s="13"/>
      <c r="I87" s="13"/>
      <c r="J87" s="13"/>
      <c r="K87" s="13"/>
      <c r="L87" s="13"/>
      <c r="M87" s="13"/>
      <c r="N87" s="13"/>
      <c r="O87" s="13"/>
      <c r="P87" s="13"/>
      <c r="Q87" s="380" t="s">
        <v>686</v>
      </c>
      <c r="R87" s="380"/>
      <c r="S87" s="13" t="s">
        <v>2</v>
      </c>
      <c r="T87" s="381">
        <v>1.5</v>
      </c>
      <c r="U87" s="382"/>
      <c r="V87" s="383"/>
      <c r="W87" s="13" t="s">
        <v>280</v>
      </c>
      <c r="X87" s="13"/>
      <c r="Y87" s="13"/>
      <c r="Z87" s="13"/>
      <c r="AA87" s="13"/>
      <c r="AB87" s="13"/>
      <c r="AC87" s="13"/>
      <c r="AD87" s="13"/>
      <c r="AE87" s="13"/>
      <c r="AF87" s="13"/>
      <c r="AG87" s="13"/>
      <c r="AH87" s="13"/>
      <c r="AI87" s="15"/>
    </row>
    <row r="88" spans="2:35">
      <c r="C88" s="12"/>
      <c r="D88" s="13" t="s">
        <v>742</v>
      </c>
      <c r="E88" s="13"/>
      <c r="F88" s="13"/>
      <c r="G88" s="13"/>
      <c r="H88" s="13"/>
      <c r="I88" s="13"/>
      <c r="J88" s="13"/>
      <c r="K88" s="13"/>
      <c r="L88" s="13"/>
      <c r="M88" s="13"/>
      <c r="N88" s="13"/>
      <c r="O88" s="13"/>
      <c r="P88" s="13"/>
      <c r="Q88" s="380" t="s">
        <v>743</v>
      </c>
      <c r="R88" s="380"/>
      <c r="S88" s="13" t="s">
        <v>2</v>
      </c>
      <c r="T88" s="381">
        <v>2</v>
      </c>
      <c r="U88" s="382"/>
      <c r="V88" s="383"/>
      <c r="W88" s="13" t="s">
        <v>280</v>
      </c>
      <c r="X88" s="13"/>
      <c r="Y88" s="13"/>
      <c r="Z88" s="13"/>
      <c r="AA88" s="13"/>
      <c r="AB88" s="13"/>
      <c r="AC88" s="13"/>
      <c r="AD88" s="13"/>
      <c r="AE88" s="13"/>
      <c r="AF88" s="13"/>
      <c r="AG88" s="13"/>
      <c r="AH88" s="13"/>
      <c r="AI88" s="15"/>
    </row>
    <row r="89" spans="2:35">
      <c r="C89" s="12"/>
      <c r="D89" s="13" t="s">
        <v>687</v>
      </c>
      <c r="E89" s="13"/>
      <c r="F89" s="13"/>
      <c r="G89" s="13"/>
      <c r="H89" s="13"/>
      <c r="I89" s="13"/>
      <c r="J89" s="13"/>
      <c r="K89" s="13"/>
      <c r="L89" s="13"/>
      <c r="M89" s="13"/>
      <c r="N89" s="13"/>
      <c r="O89" s="13"/>
      <c r="P89" s="13"/>
      <c r="Q89" s="380" t="s">
        <v>201</v>
      </c>
      <c r="R89" s="380"/>
      <c r="S89" s="13" t="s">
        <v>2</v>
      </c>
      <c r="T89" s="384">
        <v>45</v>
      </c>
      <c r="U89" s="385"/>
      <c r="V89" s="386"/>
      <c r="W89" s="13" t="s">
        <v>688</v>
      </c>
      <c r="X89" s="13"/>
      <c r="Y89" s="13"/>
      <c r="Z89" s="13"/>
      <c r="AA89" s="13"/>
      <c r="AB89" s="13"/>
      <c r="AC89" s="13"/>
      <c r="AD89" s="13"/>
      <c r="AE89" s="13"/>
      <c r="AF89" s="13"/>
      <c r="AG89" s="13"/>
      <c r="AH89" s="13"/>
      <c r="AI89" s="15"/>
    </row>
    <row r="90" spans="2:35">
      <c r="C90" s="12"/>
      <c r="D90" s="13"/>
      <c r="E90" s="13"/>
      <c r="F90" s="13"/>
      <c r="G90" s="13"/>
      <c r="H90" s="13"/>
      <c r="I90" s="13"/>
      <c r="J90" s="13"/>
      <c r="K90" s="13"/>
      <c r="L90" s="13"/>
      <c r="M90" s="13"/>
      <c r="N90" s="13"/>
      <c r="O90" s="13"/>
      <c r="P90" s="13"/>
      <c r="Q90" s="35"/>
      <c r="R90" s="35"/>
      <c r="S90" s="13"/>
      <c r="T90" s="190"/>
      <c r="U90" s="190"/>
      <c r="V90" s="190"/>
      <c r="W90" s="13"/>
      <c r="X90" s="13"/>
      <c r="Y90" s="13"/>
      <c r="Z90" s="13"/>
      <c r="AA90" s="13"/>
      <c r="AB90" s="13"/>
      <c r="AC90" s="13"/>
      <c r="AD90" s="13"/>
      <c r="AE90" s="13"/>
      <c r="AF90" s="13"/>
      <c r="AG90" s="13"/>
      <c r="AH90" s="13"/>
      <c r="AI90" s="15"/>
    </row>
    <row r="91" spans="2:35">
      <c r="C91" s="12"/>
      <c r="D91" s="13" t="s">
        <v>420</v>
      </c>
      <c r="E91" s="13"/>
      <c r="F91" s="13"/>
      <c r="G91" s="13"/>
      <c r="H91" s="13"/>
      <c r="I91" s="13"/>
      <c r="J91" s="13"/>
      <c r="K91" s="13"/>
      <c r="L91" s="13"/>
      <c r="M91" s="13"/>
      <c r="N91" s="13"/>
      <c r="O91" s="13"/>
      <c r="P91" s="13"/>
      <c r="Q91" s="34" t="s">
        <v>115</v>
      </c>
      <c r="R91" s="13"/>
      <c r="S91" s="13" t="s">
        <v>2</v>
      </c>
      <c r="T91" s="377">
        <f>T49</f>
        <v>-1</v>
      </c>
      <c r="U91" s="378"/>
      <c r="V91" s="379"/>
      <c r="W91" s="13" t="s">
        <v>3</v>
      </c>
      <c r="X91" s="13"/>
      <c r="Y91" s="13"/>
      <c r="Z91" s="13"/>
      <c r="AA91" s="13"/>
      <c r="AB91" s="13"/>
      <c r="AC91" s="13"/>
      <c r="AD91" s="13"/>
      <c r="AE91" s="13"/>
      <c r="AF91" s="13"/>
      <c r="AG91" s="13"/>
      <c r="AH91" s="13"/>
      <c r="AI91" s="15"/>
    </row>
    <row r="92" spans="2:35">
      <c r="C92" s="12"/>
      <c r="D92" s="13" t="s">
        <v>421</v>
      </c>
      <c r="E92" s="13"/>
      <c r="F92" s="13"/>
      <c r="G92" s="13"/>
      <c r="H92" s="13"/>
      <c r="I92" s="13"/>
      <c r="J92" s="13"/>
      <c r="K92" s="13"/>
      <c r="L92" s="13"/>
      <c r="M92" s="13"/>
      <c r="N92" s="13"/>
      <c r="O92" s="13"/>
      <c r="P92" s="13"/>
      <c r="Q92" s="34" t="s">
        <v>115</v>
      </c>
      <c r="R92" s="13"/>
      <c r="S92" s="13" t="s">
        <v>2</v>
      </c>
      <c r="T92" s="377">
        <f>T50</f>
        <v>-4</v>
      </c>
      <c r="U92" s="378"/>
      <c r="V92" s="379"/>
      <c r="W92" s="13" t="s">
        <v>3</v>
      </c>
      <c r="X92" s="13"/>
      <c r="Y92" s="13"/>
      <c r="Z92" s="13"/>
      <c r="AA92" s="13"/>
      <c r="AB92" s="13"/>
      <c r="AC92" s="13"/>
      <c r="AD92" s="13"/>
      <c r="AE92" s="13"/>
      <c r="AF92" s="13"/>
      <c r="AG92" s="13"/>
      <c r="AH92" s="13"/>
      <c r="AI92" s="15"/>
    </row>
    <row r="93" spans="2:35">
      <c r="C93" s="12"/>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5"/>
    </row>
    <row r="94" spans="2:35">
      <c r="C94" s="12"/>
      <c r="D94" s="13" t="s">
        <v>374</v>
      </c>
      <c r="E94" s="13"/>
      <c r="F94" s="13"/>
      <c r="G94" s="13"/>
      <c r="H94" s="13"/>
      <c r="I94" s="13"/>
      <c r="J94" s="13"/>
      <c r="K94" s="13"/>
      <c r="L94" s="13"/>
      <c r="M94" s="13"/>
      <c r="N94" s="13"/>
      <c r="O94" s="13"/>
      <c r="P94" s="13"/>
      <c r="Q94" s="13"/>
      <c r="R94" s="13"/>
      <c r="S94" s="13"/>
      <c r="T94" s="352" t="s">
        <v>772</v>
      </c>
      <c r="U94" s="352"/>
      <c r="V94" s="352"/>
      <c r="W94" s="13"/>
      <c r="X94" s="13"/>
      <c r="Y94" s="13"/>
      <c r="Z94" s="13"/>
      <c r="AA94" s="13"/>
      <c r="AB94" s="13"/>
      <c r="AC94" s="13"/>
      <c r="AD94" s="13"/>
      <c r="AE94" s="13"/>
      <c r="AF94" s="13"/>
      <c r="AG94" s="54"/>
      <c r="AH94" s="54"/>
      <c r="AI94" s="55"/>
    </row>
    <row r="95" spans="2:35">
      <c r="C95" s="12"/>
      <c r="D95" s="13" t="s">
        <v>289</v>
      </c>
      <c r="E95" s="13"/>
      <c r="F95" s="13"/>
      <c r="G95" s="13"/>
      <c r="H95" s="13"/>
      <c r="I95" s="13"/>
      <c r="J95" s="13"/>
      <c r="K95" s="13"/>
      <c r="L95" s="13"/>
      <c r="M95" s="13"/>
      <c r="N95" s="13"/>
      <c r="O95" s="13"/>
      <c r="P95" s="13"/>
      <c r="Q95" s="359" t="s">
        <v>1</v>
      </c>
      <c r="R95" s="360"/>
      <c r="S95" s="13" t="s">
        <v>2</v>
      </c>
      <c r="T95" s="353">
        <f>VLOOKUP(T94,C108:Y112,4)</f>
        <v>300</v>
      </c>
      <c r="U95" s="354"/>
      <c r="V95" s="355"/>
      <c r="W95" s="13" t="s">
        <v>290</v>
      </c>
      <c r="X95" s="13"/>
      <c r="Y95" s="13"/>
      <c r="Z95" s="13"/>
      <c r="AA95" s="13"/>
      <c r="AB95" s="13" t="s">
        <v>53</v>
      </c>
      <c r="AC95" s="13"/>
      <c r="AD95" s="13"/>
      <c r="AE95" s="13"/>
      <c r="AG95" s="56"/>
      <c r="AH95" s="56"/>
      <c r="AI95" s="55"/>
    </row>
    <row r="96" spans="2:35">
      <c r="C96" s="12"/>
      <c r="D96" s="13" t="s">
        <v>291</v>
      </c>
      <c r="E96" s="13"/>
      <c r="F96" s="13"/>
      <c r="G96" s="13"/>
      <c r="H96" s="13"/>
      <c r="I96" s="13"/>
      <c r="J96" s="13"/>
      <c r="K96" s="13"/>
      <c r="L96" s="13"/>
      <c r="M96" s="13"/>
      <c r="N96" s="13"/>
      <c r="O96" s="13"/>
      <c r="P96" s="13"/>
      <c r="Q96" s="359" t="s">
        <v>241</v>
      </c>
      <c r="R96" s="360"/>
      <c r="S96" s="13" t="s">
        <v>2</v>
      </c>
      <c r="T96" s="353">
        <f>VLOOKUP(T94,C108:Y112,6)</f>
        <v>300</v>
      </c>
      <c r="U96" s="354"/>
      <c r="V96" s="355"/>
      <c r="W96" s="13" t="s">
        <v>290</v>
      </c>
      <c r="X96" s="13"/>
      <c r="Y96" s="13"/>
      <c r="Z96" s="13"/>
      <c r="AA96" s="13"/>
      <c r="AB96" s="13" t="s">
        <v>53</v>
      </c>
      <c r="AC96" s="13"/>
      <c r="AD96" s="13"/>
      <c r="AE96" s="13"/>
      <c r="AG96" s="56"/>
      <c r="AH96" s="56"/>
      <c r="AI96" s="55"/>
    </row>
    <row r="97" spans="3:35">
      <c r="C97" s="12"/>
      <c r="D97" s="13" t="s">
        <v>293</v>
      </c>
      <c r="E97" s="13"/>
      <c r="F97" s="13"/>
      <c r="G97" s="13"/>
      <c r="H97" s="13"/>
      <c r="I97" s="13"/>
      <c r="J97" s="13"/>
      <c r="K97" s="13"/>
      <c r="L97" s="13"/>
      <c r="M97" s="13"/>
      <c r="N97" s="13"/>
      <c r="O97" s="13"/>
      <c r="P97" s="13"/>
      <c r="Q97" s="359" t="s">
        <v>292</v>
      </c>
      <c r="R97" s="360"/>
      <c r="S97" s="13" t="s">
        <v>2</v>
      </c>
      <c r="T97" s="353">
        <f>VLOOKUP(T94,C108:Y112,8)</f>
        <v>10</v>
      </c>
      <c r="U97" s="354"/>
      <c r="V97" s="355"/>
      <c r="W97" s="13" t="s">
        <v>290</v>
      </c>
      <c r="X97" s="13"/>
      <c r="Y97" s="13"/>
      <c r="Z97" s="13"/>
      <c r="AA97" s="13"/>
      <c r="AB97" s="13" t="s">
        <v>53</v>
      </c>
      <c r="AC97" s="13"/>
      <c r="AD97" s="13"/>
      <c r="AE97" s="13"/>
      <c r="AG97" s="56"/>
      <c r="AH97" s="56"/>
      <c r="AI97" s="55"/>
    </row>
    <row r="98" spans="3:35" ht="21" customHeight="1">
      <c r="C98" s="12"/>
      <c r="D98" s="13" t="s">
        <v>294</v>
      </c>
      <c r="E98" s="13"/>
      <c r="F98" s="13"/>
      <c r="G98" s="13"/>
      <c r="H98" s="13"/>
      <c r="I98" s="13"/>
      <c r="J98" s="13"/>
      <c r="K98" s="13"/>
      <c r="L98" s="13"/>
      <c r="M98" s="13"/>
      <c r="N98" s="13"/>
      <c r="O98" s="13"/>
      <c r="P98" s="13"/>
      <c r="Q98" s="359" t="s">
        <v>295</v>
      </c>
      <c r="R98" s="360"/>
      <c r="S98" s="13" t="s">
        <v>2</v>
      </c>
      <c r="T98" s="353">
        <f>VLOOKUP(T94,C108:Y112,10)</f>
        <v>15</v>
      </c>
      <c r="U98" s="354"/>
      <c r="V98" s="355"/>
      <c r="W98" s="13" t="s">
        <v>290</v>
      </c>
      <c r="X98" s="13"/>
      <c r="Y98" s="13"/>
      <c r="Z98" s="13"/>
      <c r="AA98" s="13"/>
      <c r="AB98" s="13" t="s">
        <v>53</v>
      </c>
      <c r="AC98" s="13"/>
      <c r="AD98" s="13"/>
      <c r="AE98" s="13"/>
      <c r="AG98" s="56"/>
      <c r="AH98" s="56"/>
      <c r="AI98" s="55"/>
    </row>
    <row r="99" spans="3:35" ht="20.25">
      <c r="C99" s="12"/>
      <c r="D99" s="13" t="s">
        <v>299</v>
      </c>
      <c r="E99" s="13"/>
      <c r="F99" s="13"/>
      <c r="G99" s="13"/>
      <c r="H99" s="13"/>
      <c r="I99" s="13"/>
      <c r="J99" s="13"/>
      <c r="K99" s="13"/>
      <c r="L99" s="13"/>
      <c r="M99" s="13"/>
      <c r="N99" s="13"/>
      <c r="O99" s="13"/>
      <c r="P99" s="13"/>
      <c r="Q99" s="359" t="s">
        <v>240</v>
      </c>
      <c r="R99" s="360"/>
      <c r="S99" s="13" t="s">
        <v>2</v>
      </c>
      <c r="T99" s="361">
        <f>VLOOKUP(T94,C108:Y112,12)</f>
        <v>104.8</v>
      </c>
      <c r="U99" s="362"/>
      <c r="V99" s="363"/>
      <c r="W99" s="13" t="s">
        <v>300</v>
      </c>
      <c r="X99" s="13"/>
      <c r="Y99" s="13"/>
      <c r="Z99" s="13"/>
      <c r="AA99" s="13"/>
      <c r="AB99" s="13" t="s">
        <v>53</v>
      </c>
      <c r="AC99" s="13"/>
      <c r="AD99" s="13"/>
      <c r="AE99" s="13"/>
      <c r="AG99" s="56"/>
      <c r="AH99" s="56"/>
      <c r="AI99" s="55"/>
    </row>
    <row r="100" spans="3:35">
      <c r="C100" s="12"/>
      <c r="D100" s="13" t="s">
        <v>301</v>
      </c>
      <c r="E100" s="13"/>
      <c r="F100" s="13"/>
      <c r="G100" s="13"/>
      <c r="H100" s="13"/>
      <c r="I100" s="13"/>
      <c r="J100" s="13"/>
      <c r="K100" s="13"/>
      <c r="L100" s="13"/>
      <c r="M100" s="13"/>
      <c r="N100" s="13"/>
      <c r="O100" s="13"/>
      <c r="P100" s="13"/>
      <c r="Q100" s="359" t="s">
        <v>302</v>
      </c>
      <c r="R100" s="360"/>
      <c r="S100" s="13" t="s">
        <v>2</v>
      </c>
      <c r="T100" s="361">
        <f>VLOOKUP(T94,C108:Y112,15)</f>
        <v>12.9</v>
      </c>
      <c r="U100" s="362"/>
      <c r="V100" s="363"/>
      <c r="W100" s="13" t="s">
        <v>304</v>
      </c>
      <c r="X100" s="13"/>
      <c r="Y100" s="13"/>
      <c r="Z100" s="13"/>
      <c r="AA100" s="13"/>
      <c r="AB100" s="13" t="s">
        <v>53</v>
      </c>
      <c r="AC100" s="13"/>
      <c r="AD100" s="13"/>
      <c r="AE100" s="13"/>
      <c r="AG100" s="56"/>
      <c r="AH100" s="56"/>
      <c r="AI100" s="55"/>
    </row>
    <row r="101" spans="3:35" ht="21" customHeight="1">
      <c r="C101" s="12"/>
      <c r="D101" s="13"/>
      <c r="E101" s="13"/>
      <c r="F101" s="13"/>
      <c r="G101" s="13"/>
      <c r="H101" s="13"/>
      <c r="I101" s="13"/>
      <c r="J101" s="13"/>
      <c r="K101" s="13"/>
      <c r="L101" s="13"/>
      <c r="M101" s="13"/>
      <c r="N101" s="13"/>
      <c r="O101" s="13"/>
      <c r="P101" s="13"/>
      <c r="Q101" s="359" t="s">
        <v>303</v>
      </c>
      <c r="R101" s="360"/>
      <c r="S101" s="13" t="s">
        <v>2</v>
      </c>
      <c r="T101" s="361">
        <f>VLOOKUP(T94,C108:Y112,18)</f>
        <v>7.51</v>
      </c>
      <c r="U101" s="362"/>
      <c r="V101" s="363"/>
      <c r="W101" s="13" t="s">
        <v>304</v>
      </c>
      <c r="X101" s="13"/>
      <c r="Y101" s="13"/>
      <c r="Z101" s="13"/>
      <c r="AA101" s="13"/>
      <c r="AB101" s="13" t="s">
        <v>53</v>
      </c>
      <c r="AC101" s="13"/>
      <c r="AD101" s="13"/>
      <c r="AE101" s="13"/>
      <c r="AG101" s="56"/>
      <c r="AH101" s="56"/>
      <c r="AI101" s="55"/>
    </row>
    <row r="102" spans="3:35" ht="20.25">
      <c r="C102" s="12"/>
      <c r="D102" s="13" t="s">
        <v>50</v>
      </c>
      <c r="E102" s="13"/>
      <c r="F102" s="13"/>
      <c r="G102" s="13"/>
      <c r="H102" s="13"/>
      <c r="I102" s="13"/>
      <c r="J102" s="13"/>
      <c r="K102" s="13"/>
      <c r="L102" s="13"/>
      <c r="M102" s="13"/>
      <c r="N102" s="13"/>
      <c r="O102" s="13"/>
      <c r="P102" s="13"/>
      <c r="Q102" s="360" t="s">
        <v>59</v>
      </c>
      <c r="R102" s="360"/>
      <c r="S102" s="13" t="s">
        <v>2</v>
      </c>
      <c r="T102" s="353">
        <f>VLOOKUP(T94,C108:Y112,21)</f>
        <v>1150</v>
      </c>
      <c r="U102" s="354"/>
      <c r="V102" s="355"/>
      <c r="W102" s="13" t="s">
        <v>305</v>
      </c>
      <c r="X102" s="13"/>
      <c r="Y102" s="13"/>
      <c r="Z102" s="13"/>
      <c r="AA102" s="13"/>
      <c r="AB102" s="13" t="s">
        <v>53</v>
      </c>
      <c r="AC102" s="13"/>
      <c r="AD102" s="13"/>
      <c r="AE102" s="13"/>
      <c r="AF102" s="13"/>
      <c r="AG102" s="54"/>
      <c r="AH102" s="54"/>
      <c r="AI102" s="55"/>
    </row>
    <row r="103" spans="3:35">
      <c r="C103" s="16"/>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9"/>
    </row>
    <row r="104" spans="3:35">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row>
    <row r="106" spans="3:35">
      <c r="C106" s="1" t="s">
        <v>378</v>
      </c>
    </row>
    <row r="107" spans="3:35">
      <c r="F107" s="370" t="s">
        <v>1</v>
      </c>
      <c r="G107" s="371"/>
      <c r="H107" s="370" t="s">
        <v>241</v>
      </c>
      <c r="I107" s="371"/>
      <c r="J107" s="370" t="s">
        <v>292</v>
      </c>
      <c r="K107" s="371"/>
      <c r="L107" s="370" t="s">
        <v>295</v>
      </c>
      <c r="M107" s="371"/>
      <c r="N107" s="370" t="s">
        <v>240</v>
      </c>
      <c r="O107" s="370"/>
      <c r="P107" s="370"/>
      <c r="Q107" s="370" t="s">
        <v>302</v>
      </c>
      <c r="R107" s="370"/>
      <c r="S107" s="370"/>
      <c r="T107" s="370" t="s">
        <v>303</v>
      </c>
      <c r="U107" s="370"/>
      <c r="V107" s="370"/>
      <c r="W107" s="348" t="s">
        <v>59</v>
      </c>
      <c r="X107" s="348"/>
      <c r="Y107" s="348"/>
    </row>
    <row r="108" spans="3:35">
      <c r="C108" s="183" t="s">
        <v>165</v>
      </c>
      <c r="D108" s="183"/>
      <c r="E108" s="183"/>
      <c r="F108" s="372">
        <v>200</v>
      </c>
      <c r="G108" s="372"/>
      <c r="H108" s="372">
        <v>200</v>
      </c>
      <c r="I108" s="372"/>
      <c r="J108" s="372">
        <v>8</v>
      </c>
      <c r="K108" s="372"/>
      <c r="L108" s="372">
        <v>12</v>
      </c>
      <c r="M108" s="372"/>
      <c r="N108" s="373">
        <v>51.53</v>
      </c>
      <c r="O108" s="373"/>
      <c r="P108" s="373"/>
      <c r="Q108" s="373">
        <v>8.43</v>
      </c>
      <c r="R108" s="373"/>
      <c r="S108" s="373"/>
      <c r="T108" s="373">
        <v>4.22</v>
      </c>
      <c r="U108" s="373"/>
      <c r="V108" s="373"/>
      <c r="W108" s="372">
        <v>366</v>
      </c>
      <c r="X108" s="372"/>
      <c r="Y108" s="372"/>
    </row>
    <row r="109" spans="3:35">
      <c r="C109" s="183" t="s">
        <v>283</v>
      </c>
      <c r="D109" s="183"/>
      <c r="E109" s="183"/>
      <c r="F109" s="372">
        <v>250</v>
      </c>
      <c r="G109" s="372"/>
      <c r="H109" s="372">
        <v>250</v>
      </c>
      <c r="I109" s="372"/>
      <c r="J109" s="372">
        <v>9</v>
      </c>
      <c r="K109" s="372"/>
      <c r="L109" s="372">
        <v>14</v>
      </c>
      <c r="M109" s="372"/>
      <c r="N109" s="373">
        <v>78.180000000000007</v>
      </c>
      <c r="O109" s="373"/>
      <c r="P109" s="373"/>
      <c r="Q109" s="373">
        <v>10.6</v>
      </c>
      <c r="R109" s="373"/>
      <c r="S109" s="373"/>
      <c r="T109" s="373">
        <v>6.05</v>
      </c>
      <c r="U109" s="373"/>
      <c r="V109" s="373"/>
      <c r="W109" s="372">
        <v>708</v>
      </c>
      <c r="X109" s="372"/>
      <c r="Y109" s="372"/>
    </row>
    <row r="110" spans="3:35">
      <c r="C110" s="183" t="s">
        <v>375</v>
      </c>
      <c r="D110" s="183"/>
      <c r="E110" s="183"/>
      <c r="F110" s="372">
        <v>300</v>
      </c>
      <c r="G110" s="372"/>
      <c r="H110" s="372">
        <v>300</v>
      </c>
      <c r="I110" s="372"/>
      <c r="J110" s="372">
        <v>10</v>
      </c>
      <c r="K110" s="372"/>
      <c r="L110" s="372">
        <v>15</v>
      </c>
      <c r="M110" s="372"/>
      <c r="N110" s="373">
        <v>104.8</v>
      </c>
      <c r="O110" s="373"/>
      <c r="P110" s="373"/>
      <c r="Q110" s="373">
        <v>12.9</v>
      </c>
      <c r="R110" s="373"/>
      <c r="S110" s="373"/>
      <c r="T110" s="373">
        <v>7.51</v>
      </c>
      <c r="U110" s="373"/>
      <c r="V110" s="373"/>
      <c r="W110" s="372">
        <v>1150</v>
      </c>
      <c r="X110" s="372"/>
      <c r="Y110" s="372"/>
    </row>
    <row r="111" spans="3:35">
      <c r="C111" s="183" t="s">
        <v>376</v>
      </c>
      <c r="D111" s="183"/>
      <c r="E111" s="183"/>
      <c r="F111" s="372">
        <v>350</v>
      </c>
      <c r="G111" s="372"/>
      <c r="H111" s="372">
        <v>350</v>
      </c>
      <c r="I111" s="372"/>
      <c r="J111" s="372">
        <v>12</v>
      </c>
      <c r="K111" s="372"/>
      <c r="L111" s="372">
        <v>19</v>
      </c>
      <c r="M111" s="372"/>
      <c r="N111" s="373">
        <v>154.9</v>
      </c>
      <c r="O111" s="373"/>
      <c r="P111" s="373"/>
      <c r="Q111" s="373">
        <v>15.1</v>
      </c>
      <c r="R111" s="373"/>
      <c r="S111" s="373"/>
      <c r="T111" s="373">
        <v>8.99</v>
      </c>
      <c r="U111" s="373"/>
      <c r="V111" s="373"/>
      <c r="W111" s="372">
        <v>2000</v>
      </c>
      <c r="X111" s="372"/>
      <c r="Y111" s="372"/>
    </row>
    <row r="112" spans="3:35">
      <c r="C112" s="183" t="s">
        <v>377</v>
      </c>
      <c r="D112" s="183"/>
      <c r="E112" s="183"/>
      <c r="F112" s="372">
        <v>400</v>
      </c>
      <c r="G112" s="372"/>
      <c r="H112" s="372">
        <v>400</v>
      </c>
      <c r="I112" s="372"/>
      <c r="J112" s="372">
        <v>13</v>
      </c>
      <c r="K112" s="372"/>
      <c r="L112" s="372">
        <v>21</v>
      </c>
      <c r="M112" s="372"/>
      <c r="N112" s="373">
        <v>197.7</v>
      </c>
      <c r="O112" s="373"/>
      <c r="P112" s="373"/>
      <c r="Q112" s="373">
        <v>17.3</v>
      </c>
      <c r="R112" s="373"/>
      <c r="S112" s="373"/>
      <c r="T112" s="373">
        <v>10.1</v>
      </c>
      <c r="U112" s="373"/>
      <c r="V112" s="373"/>
      <c r="W112" s="372">
        <v>2950</v>
      </c>
      <c r="X112" s="372"/>
      <c r="Y112" s="372"/>
    </row>
  </sheetData>
  <sheetProtection sheet="1" objects="1" scenarios="1"/>
  <mergeCells count="281">
    <mergeCell ref="F112:G112"/>
    <mergeCell ref="H112:I112"/>
    <mergeCell ref="J112:K112"/>
    <mergeCell ref="L112:M112"/>
    <mergeCell ref="N112:P112"/>
    <mergeCell ref="Q112:S112"/>
    <mergeCell ref="T112:V112"/>
    <mergeCell ref="W59:Y59"/>
    <mergeCell ref="W60:Y60"/>
    <mergeCell ref="W63:Y63"/>
    <mergeCell ref="W61:Y61"/>
    <mergeCell ref="W62:Y62"/>
    <mergeCell ref="N75:O75"/>
    <mergeCell ref="N76:O76"/>
    <mergeCell ref="N81:O81"/>
    <mergeCell ref="Q81:S81"/>
    <mergeCell ref="Q63:S63"/>
    <mergeCell ref="Q61:S61"/>
    <mergeCell ref="Q62:S62"/>
    <mergeCell ref="W112:Y112"/>
    <mergeCell ref="N72:O72"/>
    <mergeCell ref="Q72:S72"/>
    <mergeCell ref="N71:O71"/>
    <mergeCell ref="Q71:S71"/>
    <mergeCell ref="N82:O82"/>
    <mergeCell ref="Q82:S82"/>
    <mergeCell ref="N77:O77"/>
    <mergeCell ref="Q77:S77"/>
    <mergeCell ref="N78:O78"/>
    <mergeCell ref="Q78:S78"/>
    <mergeCell ref="Q75:S75"/>
    <mergeCell ref="Q98:R98"/>
    <mergeCell ref="N80:O80"/>
    <mergeCell ref="Q80:S80"/>
    <mergeCell ref="T98:V98"/>
    <mergeCell ref="T79:V79"/>
    <mergeCell ref="T76:V76"/>
    <mergeCell ref="Q89:R89"/>
    <mergeCell ref="AB25:AE25"/>
    <mergeCell ref="X26:AA26"/>
    <mergeCell ref="J23:K23"/>
    <mergeCell ref="T44:V44"/>
    <mergeCell ref="W57:Y57"/>
    <mergeCell ref="W58:Y58"/>
    <mergeCell ref="W54:Y54"/>
    <mergeCell ref="T60:V60"/>
    <mergeCell ref="T63:V63"/>
    <mergeCell ref="T61:V61"/>
    <mergeCell ref="T62:V62"/>
    <mergeCell ref="W55:Y55"/>
    <mergeCell ref="Q54:S54"/>
    <mergeCell ref="T54:V54"/>
    <mergeCell ref="Q55:S55"/>
    <mergeCell ref="Q56:S56"/>
    <mergeCell ref="N24:O24"/>
    <mergeCell ref="P24:S24"/>
    <mergeCell ref="X24:AA24"/>
    <mergeCell ref="T42:V42"/>
    <mergeCell ref="X20:AA20"/>
    <mergeCell ref="B3:AI3"/>
    <mergeCell ref="D27:E27"/>
    <mergeCell ref="F27:G27"/>
    <mergeCell ref="H27:I27"/>
    <mergeCell ref="J27:K27"/>
    <mergeCell ref="L27:M27"/>
    <mergeCell ref="N27:O27"/>
    <mergeCell ref="P27:S27"/>
    <mergeCell ref="T27:W27"/>
    <mergeCell ref="X27:AA27"/>
    <mergeCell ref="AB27:AE27"/>
    <mergeCell ref="AF27:AG27"/>
    <mergeCell ref="X25:AA25"/>
    <mergeCell ref="AB26:AE26"/>
    <mergeCell ref="X21:AA21"/>
    <mergeCell ref="AF21:AG21"/>
    <mergeCell ref="H21:I21"/>
    <mergeCell ref="AF22:AG22"/>
    <mergeCell ref="AF23:AG23"/>
    <mergeCell ref="AB22:AE22"/>
    <mergeCell ref="AB20:AE20"/>
    <mergeCell ref="AF20:AG20"/>
    <mergeCell ref="J20:K20"/>
    <mergeCell ref="AF26:AG26"/>
    <mergeCell ref="AF25:AG25"/>
    <mergeCell ref="R10:T10"/>
    <mergeCell ref="R14:T14"/>
    <mergeCell ref="R13:T13"/>
    <mergeCell ref="AB19:AE19"/>
    <mergeCell ref="AB21:AE21"/>
    <mergeCell ref="AB23:AE23"/>
    <mergeCell ref="L22:M22"/>
    <mergeCell ref="N22:O22"/>
    <mergeCell ref="P22:S22"/>
    <mergeCell ref="X22:AA22"/>
    <mergeCell ref="R12:T12"/>
    <mergeCell ref="R11:T11"/>
    <mergeCell ref="X23:AA23"/>
    <mergeCell ref="P23:S23"/>
    <mergeCell ref="AF19:AG19"/>
    <mergeCell ref="J19:M19"/>
    <mergeCell ref="AF24:AG24"/>
    <mergeCell ref="AB24:AE24"/>
    <mergeCell ref="X19:AA19"/>
    <mergeCell ref="T19:W19"/>
    <mergeCell ref="T20:W20"/>
    <mergeCell ref="N23:O23"/>
    <mergeCell ref="D24:E24"/>
    <mergeCell ref="F24:G24"/>
    <mergeCell ref="H24:I24"/>
    <mergeCell ref="J24:K24"/>
    <mergeCell ref="F21:G21"/>
    <mergeCell ref="D23:E23"/>
    <mergeCell ref="F23:G23"/>
    <mergeCell ref="H23:I23"/>
    <mergeCell ref="L23:M23"/>
    <mergeCell ref="J22:K22"/>
    <mergeCell ref="D22:E22"/>
    <mergeCell ref="F22:G22"/>
    <mergeCell ref="T21:W21"/>
    <mergeCell ref="T22:W22"/>
    <mergeCell ref="T23:W23"/>
    <mergeCell ref="T24:W24"/>
    <mergeCell ref="F20:G20"/>
    <mergeCell ref="H20:I20"/>
    <mergeCell ref="L20:M20"/>
    <mergeCell ref="N20:O20"/>
    <mergeCell ref="L24:M24"/>
    <mergeCell ref="F19:G19"/>
    <mergeCell ref="H19:I19"/>
    <mergeCell ref="N19:O19"/>
    <mergeCell ref="P19:S19"/>
    <mergeCell ref="P20:S20"/>
    <mergeCell ref="H22:I22"/>
    <mergeCell ref="J21:K21"/>
    <mergeCell ref="L21:M21"/>
    <mergeCell ref="N21:O21"/>
    <mergeCell ref="P21:S21"/>
    <mergeCell ref="Q42:R42"/>
    <mergeCell ref="K32:L32"/>
    <mergeCell ref="O32:Q32"/>
    <mergeCell ref="T37:V37"/>
    <mergeCell ref="T43:V43"/>
    <mergeCell ref="D25:E25"/>
    <mergeCell ref="F25:G25"/>
    <mergeCell ref="H25:I25"/>
    <mergeCell ref="L25:M25"/>
    <mergeCell ref="N25:O25"/>
    <mergeCell ref="P25:S25"/>
    <mergeCell ref="P26:S26"/>
    <mergeCell ref="N26:O26"/>
    <mergeCell ref="J25:K25"/>
    <mergeCell ref="J26:K26"/>
    <mergeCell ref="T25:W25"/>
    <mergeCell ref="T26:W26"/>
    <mergeCell ref="L26:M26"/>
    <mergeCell ref="D26:E26"/>
    <mergeCell ref="F26:G26"/>
    <mergeCell ref="H26:I26"/>
    <mergeCell ref="T41:V41"/>
    <mergeCell ref="T38:V38"/>
    <mergeCell ref="T39:V39"/>
    <mergeCell ref="Q38:R38"/>
    <mergeCell ref="Q39:R39"/>
    <mergeCell ref="Q41:R41"/>
    <mergeCell ref="T40:V40"/>
    <mergeCell ref="Q40:R40"/>
    <mergeCell ref="W107:Y107"/>
    <mergeCell ref="Q109:S109"/>
    <mergeCell ref="T109:V109"/>
    <mergeCell ref="W109:Y109"/>
    <mergeCell ref="T91:V91"/>
    <mergeCell ref="T92:V92"/>
    <mergeCell ref="T94:V94"/>
    <mergeCell ref="T78:V78"/>
    <mergeCell ref="T81:V81"/>
    <mergeCell ref="Q87:R87"/>
    <mergeCell ref="T87:V87"/>
    <mergeCell ref="T89:V89"/>
    <mergeCell ref="T82:V82"/>
    <mergeCell ref="T80:V80"/>
    <mergeCell ref="Q88:R88"/>
    <mergeCell ref="T88:V88"/>
    <mergeCell ref="T100:V100"/>
    <mergeCell ref="Q101:R101"/>
    <mergeCell ref="T101:V101"/>
    <mergeCell ref="Q110:S110"/>
    <mergeCell ref="T110:V110"/>
    <mergeCell ref="W108:Y108"/>
    <mergeCell ref="Q108:S108"/>
    <mergeCell ref="F111:G111"/>
    <mergeCell ref="H111:I111"/>
    <mergeCell ref="J111:K111"/>
    <mergeCell ref="L111:M111"/>
    <mergeCell ref="N111:P111"/>
    <mergeCell ref="Q111:S111"/>
    <mergeCell ref="T111:V111"/>
    <mergeCell ref="F110:G110"/>
    <mergeCell ref="H110:I110"/>
    <mergeCell ref="J110:K110"/>
    <mergeCell ref="L110:M110"/>
    <mergeCell ref="N110:P110"/>
    <mergeCell ref="F109:G109"/>
    <mergeCell ref="H109:I109"/>
    <mergeCell ref="J109:K109"/>
    <mergeCell ref="L109:M109"/>
    <mergeCell ref="N109:P109"/>
    <mergeCell ref="W111:Y111"/>
    <mergeCell ref="W110:Y110"/>
    <mergeCell ref="L107:M107"/>
    <mergeCell ref="N107:P107"/>
    <mergeCell ref="F108:G108"/>
    <mergeCell ref="H108:I108"/>
    <mergeCell ref="J108:K108"/>
    <mergeCell ref="L108:M108"/>
    <mergeCell ref="N108:P108"/>
    <mergeCell ref="T108:V108"/>
    <mergeCell ref="Q95:R95"/>
    <mergeCell ref="T95:V95"/>
    <mergeCell ref="Q96:R96"/>
    <mergeCell ref="T96:V96"/>
    <mergeCell ref="Q97:R97"/>
    <mergeCell ref="T97:V97"/>
    <mergeCell ref="Q107:S107"/>
    <mergeCell ref="T107:V107"/>
    <mergeCell ref="F107:G107"/>
    <mergeCell ref="H107:I107"/>
    <mergeCell ref="J107:K107"/>
    <mergeCell ref="Q99:R99"/>
    <mergeCell ref="T99:V99"/>
    <mergeCell ref="Q102:R102"/>
    <mergeCell ref="T102:V102"/>
    <mergeCell ref="Q100:R100"/>
    <mergeCell ref="K65:L65"/>
    <mergeCell ref="N65:P65"/>
    <mergeCell ref="Q76:S76"/>
    <mergeCell ref="N79:O79"/>
    <mergeCell ref="Q79:S79"/>
    <mergeCell ref="T59:V59"/>
    <mergeCell ref="Q59:S59"/>
    <mergeCell ref="Q60:S60"/>
    <mergeCell ref="T71:V71"/>
    <mergeCell ref="T72:V72"/>
    <mergeCell ref="T77:V77"/>
    <mergeCell ref="T74:V74"/>
    <mergeCell ref="T75:V75"/>
    <mergeCell ref="K63:L63"/>
    <mergeCell ref="N63:P63"/>
    <mergeCell ref="K62:L62"/>
    <mergeCell ref="N62:P62"/>
    <mergeCell ref="Q74:S74"/>
    <mergeCell ref="K56:L56"/>
    <mergeCell ref="N56:P56"/>
    <mergeCell ref="K57:L57"/>
    <mergeCell ref="K60:L60"/>
    <mergeCell ref="N60:P60"/>
    <mergeCell ref="K61:L61"/>
    <mergeCell ref="N61:P61"/>
    <mergeCell ref="N57:P57"/>
    <mergeCell ref="K59:L59"/>
    <mergeCell ref="N59:P59"/>
    <mergeCell ref="N58:P58"/>
    <mergeCell ref="K58:L58"/>
    <mergeCell ref="N53:P53"/>
    <mergeCell ref="Q53:S53"/>
    <mergeCell ref="T53:V53"/>
    <mergeCell ref="W53:Y53"/>
    <mergeCell ref="N52:S52"/>
    <mergeCell ref="T52:Y52"/>
    <mergeCell ref="Q70:S70"/>
    <mergeCell ref="T70:V70"/>
    <mergeCell ref="T49:V49"/>
    <mergeCell ref="T50:V50"/>
    <mergeCell ref="T55:V55"/>
    <mergeCell ref="T56:V56"/>
    <mergeCell ref="T57:V57"/>
    <mergeCell ref="T58:V58"/>
    <mergeCell ref="N55:P55"/>
    <mergeCell ref="W56:Y56"/>
    <mergeCell ref="Q57:S57"/>
    <mergeCell ref="Q58:S58"/>
    <mergeCell ref="N54:P54"/>
  </mergeCells>
  <phoneticPr fontId="3"/>
  <dataValidations count="5">
    <dataValidation type="list" allowBlank="1" showInputMessage="1" showErrorMessage="1" sqref="T37:V37" xr:uid="{62F51796-C1F2-459A-A2C7-EA3CC95BCA97}">
      <formula1>$AG$36:$AG$40</formula1>
    </dataValidation>
    <dataValidation type="list" allowBlank="1" showInputMessage="1" showErrorMessage="1" sqref="H22:I27" xr:uid="{056491C3-9CB1-4476-BAD2-CA3942C9017F}">
      <formula1>"砂質, 粘性"</formula1>
    </dataValidation>
    <dataValidation type="list" allowBlank="1" showInputMessage="1" showErrorMessage="1" sqref="J22:K27" xr:uid="{6226F16F-FC63-4765-B405-9CA0B2C5C174}">
      <formula1>"なし,有"</formula1>
    </dataValidation>
    <dataValidation type="list" allowBlank="1" showInputMessage="1" showErrorMessage="1" sqref="T94:V94 N55:Y55" xr:uid="{D8DC579B-7697-46F4-9060-F6135826B021}">
      <formula1>$C$108:$C$112</formula1>
    </dataValidation>
    <dataValidation type="list" allowBlank="1" showInputMessage="1" showErrorMessage="1" sqref="Q74:V74" xr:uid="{8E210A8B-1271-4694-8411-19DEE8B4AA0D}">
      <formula1>$C$110:$C$112</formula1>
    </dataValidation>
  </dataValidations>
  <hyperlinks>
    <hyperlink ref="AA1" r:id="rId1" xr:uid="{6FA1425E-A2FE-4616-8332-DE1CB48018B4}"/>
  </hyperlinks>
  <pageMargins left="0.70866141732283472" right="0.70866141732283472" top="0.74803149606299213" bottom="0.74803149606299213" header="0.31496062992125984" footer="0.31496062992125984"/>
  <pageSetup paperSize="9" scale="75"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E85EE-7343-4A74-AA82-1EB5C2575E85}">
  <dimension ref="A2:AH28"/>
  <sheetViews>
    <sheetView showOutlineSymbols="0" workbookViewId="0"/>
  </sheetViews>
  <sheetFormatPr defaultRowHeight="18.75"/>
  <cols>
    <col min="1" max="36" width="3" style="1" customWidth="1"/>
    <col min="37" max="16384" width="9" style="1"/>
  </cols>
  <sheetData>
    <row r="2" spans="1:34">
      <c r="A2" s="1" t="s">
        <v>788</v>
      </c>
    </row>
    <row r="3" spans="1:34">
      <c r="B3" s="13" t="s">
        <v>368</v>
      </c>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row>
    <row r="4" spans="1:34">
      <c r="A4" s="13"/>
      <c r="B4" s="13"/>
      <c r="C4" s="9"/>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1"/>
    </row>
    <row r="5" spans="1:34">
      <c r="A5" s="13"/>
      <c r="B5" s="13"/>
      <c r="C5" s="12"/>
      <c r="D5" s="13" t="s">
        <v>85</v>
      </c>
      <c r="E5" s="13"/>
      <c r="F5" s="13"/>
      <c r="G5" s="348" t="str">
        <f>'1.設計条件'!T37</f>
        <v>Ⅲ型</v>
      </c>
      <c r="H5" s="348"/>
      <c r="I5" s="13"/>
      <c r="J5" s="13"/>
      <c r="K5" s="13"/>
      <c r="L5" s="13" t="s">
        <v>111</v>
      </c>
      <c r="M5" s="13"/>
      <c r="N5" s="13"/>
      <c r="O5" s="13"/>
      <c r="P5" s="348">
        <f>'2.根入れ長'!F435</f>
        <v>12</v>
      </c>
      <c r="Q5" s="348"/>
      <c r="R5" s="13" t="s">
        <v>3</v>
      </c>
      <c r="S5" s="13"/>
      <c r="T5" s="13"/>
      <c r="U5" s="13"/>
      <c r="V5" s="13" t="s">
        <v>110</v>
      </c>
      <c r="W5" s="13"/>
      <c r="X5" s="13"/>
      <c r="Y5" s="13"/>
      <c r="Z5" s="437">
        <f>'2.根入れ長'!U427</f>
        <v>4.8683783193512449</v>
      </c>
      <c r="AA5" s="439"/>
      <c r="AB5" s="13" t="s">
        <v>3</v>
      </c>
      <c r="AC5" s="13"/>
      <c r="AD5" s="13"/>
      <c r="AE5" s="13"/>
      <c r="AF5" s="13"/>
      <c r="AG5" s="13"/>
      <c r="AH5" s="15"/>
    </row>
    <row r="6" spans="1:34">
      <c r="A6" s="13"/>
      <c r="B6" s="13"/>
      <c r="C6" s="12"/>
      <c r="D6" s="13" t="s">
        <v>112</v>
      </c>
      <c r="E6" s="13"/>
      <c r="F6" s="13"/>
      <c r="G6" s="13"/>
      <c r="H6" s="13"/>
      <c r="I6" s="13"/>
      <c r="J6" s="13"/>
      <c r="K6" s="13"/>
      <c r="L6" s="13"/>
      <c r="M6" s="13"/>
      <c r="N6" s="13"/>
      <c r="O6" s="13"/>
      <c r="P6" s="13"/>
      <c r="Q6" s="13" t="str">
        <f>'2.根入れ長'!N446</f>
        <v>OK</v>
      </c>
      <c r="R6" s="13"/>
      <c r="S6" s="13"/>
      <c r="W6" s="13"/>
      <c r="X6" s="13"/>
      <c r="Y6" s="13"/>
      <c r="Z6" s="13"/>
      <c r="AA6" s="13"/>
      <c r="AB6" s="13"/>
      <c r="AC6" s="117"/>
      <c r="AD6" s="117"/>
      <c r="AE6" s="117"/>
      <c r="AF6" s="117"/>
      <c r="AG6" s="117"/>
      <c r="AH6" s="15"/>
    </row>
    <row r="7" spans="1:34">
      <c r="A7" s="13"/>
      <c r="B7" s="13"/>
      <c r="C7" s="12"/>
      <c r="D7" s="13" t="s">
        <v>113</v>
      </c>
      <c r="E7" s="13"/>
      <c r="F7" s="13"/>
      <c r="G7" s="13"/>
      <c r="H7" s="13"/>
      <c r="I7" s="13"/>
      <c r="J7" s="13"/>
      <c r="K7" s="13"/>
      <c r="L7" s="13"/>
      <c r="M7" s="13"/>
      <c r="N7" s="13"/>
      <c r="O7" s="13"/>
      <c r="P7" s="13"/>
      <c r="Q7" s="13" t="str">
        <f>'2.根入れ長'!N448</f>
        <v>OK</v>
      </c>
      <c r="R7" s="13"/>
      <c r="S7" s="13"/>
      <c r="W7" s="13"/>
      <c r="X7" s="13"/>
      <c r="Y7" s="13"/>
      <c r="Z7" s="13"/>
      <c r="AA7" s="13"/>
      <c r="AB7" s="13"/>
      <c r="AC7" s="13"/>
      <c r="AD7" s="13"/>
      <c r="AE7" s="13"/>
      <c r="AF7" s="13"/>
      <c r="AG7" s="13"/>
      <c r="AH7" s="15"/>
    </row>
    <row r="8" spans="1:34">
      <c r="A8" s="13"/>
      <c r="B8" s="13"/>
      <c r="C8" s="12"/>
      <c r="D8" s="13" t="s">
        <v>789</v>
      </c>
      <c r="E8" s="13"/>
      <c r="F8" s="13"/>
      <c r="G8" s="13"/>
      <c r="H8" s="13"/>
      <c r="I8" s="13"/>
      <c r="J8" s="13"/>
      <c r="K8" s="13"/>
      <c r="L8" s="13"/>
      <c r="M8" s="13"/>
      <c r="N8" s="13"/>
      <c r="O8" s="13"/>
      <c r="P8" s="13"/>
      <c r="Q8" s="13" t="str">
        <f>'3.断面力1'!Y224</f>
        <v>OK</v>
      </c>
      <c r="R8" s="13"/>
      <c r="S8" s="13"/>
      <c r="U8" s="13"/>
      <c r="V8" s="13"/>
      <c r="W8" s="13"/>
      <c r="X8" s="13"/>
      <c r="Y8" s="13"/>
      <c r="Z8" s="13"/>
      <c r="AA8" s="13"/>
      <c r="AB8" s="13"/>
      <c r="AC8" s="13"/>
      <c r="AD8" s="13"/>
      <c r="AE8" s="13"/>
      <c r="AF8" s="13"/>
      <c r="AG8" s="13"/>
      <c r="AH8" s="15"/>
    </row>
    <row r="9" spans="1:34">
      <c r="A9" s="13"/>
      <c r="B9" s="13"/>
      <c r="C9" s="12"/>
      <c r="D9" s="13" t="s">
        <v>790</v>
      </c>
      <c r="E9" s="13"/>
      <c r="F9" s="13"/>
      <c r="G9" s="13"/>
      <c r="H9" s="13"/>
      <c r="I9" s="13"/>
      <c r="J9" s="13"/>
      <c r="K9" s="13"/>
      <c r="L9" s="13"/>
      <c r="M9" s="13"/>
      <c r="N9" s="13"/>
      <c r="O9" s="13"/>
      <c r="P9" s="13"/>
      <c r="Q9" s="13" t="str">
        <f>'3.断面力2'!Y227</f>
        <v>OK</v>
      </c>
      <c r="R9" s="13"/>
      <c r="S9" s="13"/>
      <c r="T9" s="13"/>
      <c r="W9" s="13"/>
      <c r="X9" s="13"/>
      <c r="Y9" s="13"/>
      <c r="Z9" s="13"/>
      <c r="AA9" s="13"/>
      <c r="AB9" s="13"/>
      <c r="AC9" s="13"/>
      <c r="AD9" s="13"/>
      <c r="AE9" s="13"/>
      <c r="AF9" s="13"/>
      <c r="AG9" s="13"/>
      <c r="AH9" s="15"/>
    </row>
    <row r="10" spans="1:34">
      <c r="A10" s="13"/>
      <c r="B10" s="13"/>
      <c r="C10" s="12"/>
      <c r="D10" s="13" t="s">
        <v>791</v>
      </c>
      <c r="E10" s="13"/>
      <c r="F10" s="13"/>
      <c r="G10" s="13"/>
      <c r="H10" s="13"/>
      <c r="I10" s="13"/>
      <c r="J10" s="13"/>
      <c r="K10" s="13"/>
      <c r="L10" s="13"/>
      <c r="M10" s="13"/>
      <c r="N10" s="13"/>
      <c r="O10" s="13"/>
      <c r="P10" s="13"/>
      <c r="Q10" s="13" t="str">
        <f>'4.変位量'!AA134</f>
        <v>OK</v>
      </c>
      <c r="R10" s="13"/>
      <c r="S10" s="13"/>
      <c r="T10" s="13"/>
      <c r="U10" s="13"/>
      <c r="V10" s="13"/>
      <c r="W10" s="13"/>
      <c r="X10" s="13"/>
      <c r="Y10" s="13"/>
      <c r="Z10" s="13"/>
      <c r="AA10" s="13"/>
      <c r="AB10" s="13"/>
      <c r="AC10" s="13"/>
      <c r="AD10" s="13"/>
      <c r="AE10" s="13"/>
      <c r="AF10" s="13"/>
      <c r="AG10" s="13"/>
      <c r="AH10" s="15"/>
    </row>
    <row r="11" spans="1:34">
      <c r="A11" s="13"/>
      <c r="B11" s="13"/>
      <c r="C11" s="16"/>
      <c r="D11" s="17" t="s">
        <v>800</v>
      </c>
      <c r="E11" s="17"/>
      <c r="F11" s="17"/>
      <c r="G11" s="17"/>
      <c r="H11" s="17"/>
      <c r="I11" s="17"/>
      <c r="J11" s="17"/>
      <c r="K11" s="17"/>
      <c r="L11" s="17"/>
      <c r="M11" s="17"/>
      <c r="N11" s="17"/>
      <c r="O11" s="17"/>
      <c r="P11" s="336">
        <f>'2.根入れ長'!AE396</f>
        <v>0</v>
      </c>
      <c r="Q11" s="17" t="str">
        <f>IF(AND(P11&lt;0.001, P11&gt;-0.001),"OK","2.根入れ計算のボイリングを見直しのこと")</f>
        <v>OK</v>
      </c>
      <c r="R11" s="17"/>
      <c r="S11" s="17"/>
      <c r="T11" s="17"/>
      <c r="U11" s="17"/>
      <c r="V11" s="17"/>
      <c r="W11" s="17"/>
      <c r="X11" s="17"/>
      <c r="Y11" s="17"/>
      <c r="Z11" s="17"/>
      <c r="AA11" s="17"/>
      <c r="AB11" s="17"/>
      <c r="AC11" s="17"/>
      <c r="AD11" s="17"/>
      <c r="AE11" s="17"/>
      <c r="AF11" s="17"/>
      <c r="AG11" s="17"/>
      <c r="AH11" s="19"/>
    </row>
    <row r="12" spans="1:34">
      <c r="A12" s="13"/>
      <c r="B12" s="1" t="s">
        <v>369</v>
      </c>
      <c r="D12" s="13"/>
      <c r="E12" s="13"/>
      <c r="F12" s="13"/>
      <c r="G12" s="13"/>
      <c r="H12" s="13"/>
      <c r="L12" s="13"/>
      <c r="M12" s="13"/>
      <c r="N12" s="13"/>
      <c r="P12" s="13"/>
      <c r="Q12" s="13"/>
      <c r="R12" s="13"/>
      <c r="S12" s="13"/>
      <c r="T12" s="13"/>
      <c r="U12" s="13"/>
      <c r="V12" s="13"/>
      <c r="W12" s="13"/>
      <c r="X12" s="13"/>
      <c r="Y12" s="13"/>
      <c r="Z12" s="13"/>
      <c r="AA12" s="13"/>
      <c r="AB12" s="13"/>
      <c r="AC12" s="13"/>
      <c r="AD12" s="13"/>
      <c r="AE12" s="13"/>
      <c r="AF12" s="13"/>
      <c r="AG12" s="13"/>
      <c r="AH12" s="13"/>
    </row>
    <row r="13" spans="1:34">
      <c r="A13" s="13"/>
      <c r="B13" s="13"/>
      <c r="C13" s="9"/>
      <c r="D13" s="10"/>
      <c r="E13" s="10"/>
      <c r="F13" s="10"/>
      <c r="G13" s="10"/>
      <c r="H13" s="10"/>
      <c r="I13" s="10"/>
      <c r="J13" s="10"/>
      <c r="K13" s="10"/>
      <c r="L13" s="10"/>
      <c r="M13" s="10"/>
      <c r="N13" s="10"/>
      <c r="O13" s="10"/>
      <c r="P13" s="10"/>
      <c r="Q13" s="10"/>
      <c r="R13" s="11"/>
      <c r="S13" s="9"/>
      <c r="T13" s="10"/>
      <c r="U13" s="10"/>
      <c r="V13" s="10"/>
      <c r="W13" s="10"/>
      <c r="X13" s="10"/>
      <c r="Y13" s="10"/>
      <c r="Z13" s="10"/>
      <c r="AA13" s="10"/>
      <c r="AB13" s="10"/>
      <c r="AC13" s="10"/>
      <c r="AD13" s="10"/>
      <c r="AE13" s="10"/>
      <c r="AF13" s="10"/>
      <c r="AG13" s="10"/>
      <c r="AH13" s="11"/>
    </row>
    <row r="14" spans="1:34">
      <c r="A14" s="13"/>
      <c r="B14" s="13"/>
      <c r="C14" s="12"/>
      <c r="D14" s="930" t="s">
        <v>792</v>
      </c>
      <c r="E14" s="930"/>
      <c r="F14" s="930"/>
      <c r="G14" s="930"/>
      <c r="H14" s="930"/>
      <c r="I14" s="930"/>
      <c r="J14" s="436" t="s">
        <v>761</v>
      </c>
      <c r="K14" s="436"/>
      <c r="L14" s="13"/>
      <c r="M14" s="462" t="str">
        <f>'1.設計条件'!N55</f>
        <v>H-350</v>
      </c>
      <c r="N14" s="463"/>
      <c r="O14" s="464"/>
      <c r="P14" s="334">
        <f>'1.設計条件'!N54</f>
        <v>1</v>
      </c>
      <c r="Q14" s="80" t="s">
        <v>751</v>
      </c>
      <c r="R14" s="15"/>
      <c r="S14" s="12"/>
      <c r="T14" s="930" t="s">
        <v>793</v>
      </c>
      <c r="U14" s="930"/>
      <c r="V14" s="930"/>
      <c r="W14" s="930"/>
      <c r="X14" s="930"/>
      <c r="Y14" s="930"/>
      <c r="Z14" s="436" t="s">
        <v>761</v>
      </c>
      <c r="AA14" s="436"/>
      <c r="AB14" s="13"/>
      <c r="AC14" s="462" t="str">
        <f>'1.設計条件'!T55</f>
        <v>H-400</v>
      </c>
      <c r="AD14" s="463"/>
      <c r="AE14" s="464"/>
      <c r="AF14" s="334">
        <f>'1.設計条件'!T54</f>
        <v>1</v>
      </c>
      <c r="AG14" s="80" t="s">
        <v>751</v>
      </c>
      <c r="AH14" s="15"/>
    </row>
    <row r="15" spans="1:34">
      <c r="A15" s="13"/>
      <c r="B15" s="13"/>
      <c r="C15" s="12"/>
      <c r="D15" s="13"/>
      <c r="E15" s="13"/>
      <c r="F15" s="13"/>
      <c r="G15" s="13"/>
      <c r="H15" s="13"/>
      <c r="I15" s="13"/>
      <c r="J15" s="13"/>
      <c r="K15" s="13"/>
      <c r="L15" s="13"/>
      <c r="M15" s="13" t="s">
        <v>796</v>
      </c>
      <c r="N15" s="13"/>
      <c r="O15" s="13"/>
      <c r="P15" s="13"/>
      <c r="Q15" s="13" t="str">
        <f>'5.腹起一般'!M214</f>
        <v>OK</v>
      </c>
      <c r="R15" s="15"/>
      <c r="S15" s="12"/>
      <c r="T15" s="13"/>
      <c r="U15" s="13"/>
      <c r="V15" s="13"/>
      <c r="W15" s="13"/>
      <c r="X15" s="13"/>
      <c r="Y15" s="13"/>
      <c r="Z15" s="13"/>
      <c r="AA15" s="13"/>
      <c r="AB15" s="13"/>
      <c r="AC15" s="13" t="s">
        <v>796</v>
      </c>
      <c r="AD15" s="13"/>
      <c r="AE15" s="13"/>
      <c r="AF15" s="13"/>
      <c r="AG15" s="13" t="str">
        <f>'5.腹起端部'!M182</f>
        <v>OK</v>
      </c>
      <c r="AH15" s="15"/>
    </row>
    <row r="16" spans="1:34">
      <c r="A16" s="13"/>
      <c r="B16" s="13"/>
      <c r="C16" s="12"/>
      <c r="D16" s="112"/>
      <c r="E16" s="112"/>
      <c r="F16" s="112"/>
      <c r="G16" s="112"/>
      <c r="H16" s="112"/>
      <c r="I16" s="112"/>
      <c r="J16" s="14"/>
      <c r="K16" s="14"/>
      <c r="L16" s="13"/>
      <c r="M16" s="13" t="s">
        <v>797</v>
      </c>
      <c r="N16" s="13"/>
      <c r="O16" s="13"/>
      <c r="P16" s="13"/>
      <c r="Q16" s="13" t="str">
        <f>'5.腹起一般'!R225</f>
        <v>OK</v>
      </c>
      <c r="R16" s="15"/>
      <c r="S16" s="12"/>
      <c r="T16" s="112"/>
      <c r="U16" s="112"/>
      <c r="V16" s="112"/>
      <c r="W16" s="112"/>
      <c r="X16" s="112"/>
      <c r="Y16" s="112"/>
      <c r="Z16" s="14"/>
      <c r="AA16" s="14"/>
      <c r="AB16" s="13"/>
      <c r="AC16" s="13" t="s">
        <v>797</v>
      </c>
      <c r="AD16" s="13"/>
      <c r="AE16" s="13"/>
      <c r="AF16" s="13"/>
      <c r="AG16" s="13" t="str">
        <f>'5.腹起端部'!R193</f>
        <v>OK</v>
      </c>
      <c r="AH16" s="15"/>
    </row>
    <row r="17" spans="1:34">
      <c r="A17" s="13"/>
      <c r="B17" s="13"/>
      <c r="C17" s="12"/>
      <c r="D17" s="112"/>
      <c r="E17" s="112"/>
      <c r="F17" s="112"/>
      <c r="G17" s="112"/>
      <c r="H17" s="112"/>
      <c r="I17" s="112"/>
      <c r="J17" s="14"/>
      <c r="K17" s="14"/>
      <c r="L17" s="13"/>
      <c r="M17" s="13" t="s">
        <v>798</v>
      </c>
      <c r="N17" s="13"/>
      <c r="O17" s="13"/>
      <c r="P17" s="13"/>
      <c r="Q17" s="13" t="str">
        <f>'5.腹起一般'!AB233</f>
        <v>OK</v>
      </c>
      <c r="R17" s="15"/>
      <c r="S17" s="12"/>
      <c r="T17" s="112"/>
      <c r="U17" s="112"/>
      <c r="V17" s="112"/>
      <c r="W17" s="112"/>
      <c r="X17" s="112"/>
      <c r="Y17" s="112"/>
      <c r="Z17" s="14"/>
      <c r="AA17" s="14"/>
      <c r="AB17" s="13"/>
      <c r="AC17" s="13" t="s">
        <v>798</v>
      </c>
      <c r="AD17" s="13"/>
      <c r="AE17" s="13"/>
      <c r="AF17" s="13"/>
      <c r="AG17" s="13" t="str">
        <f>'5.腹起端部'!AB201</f>
        <v>OK</v>
      </c>
      <c r="AH17" s="15"/>
    </row>
    <row r="18" spans="1:34">
      <c r="A18" s="13"/>
      <c r="B18" s="13"/>
      <c r="C18" s="12"/>
      <c r="D18" s="112"/>
      <c r="E18" s="112"/>
      <c r="F18" s="112"/>
      <c r="G18" s="112"/>
      <c r="H18" s="112"/>
      <c r="I18" s="112"/>
      <c r="J18" s="436" t="s">
        <v>762</v>
      </c>
      <c r="K18" s="436"/>
      <c r="L18" s="13"/>
      <c r="M18" s="462" t="str">
        <f>'1.設計条件'!Q55</f>
        <v>H-350</v>
      </c>
      <c r="N18" s="463"/>
      <c r="O18" s="464"/>
      <c r="P18" s="334">
        <f>'1.設計条件'!Q54</f>
        <v>1</v>
      </c>
      <c r="Q18" s="80" t="s">
        <v>751</v>
      </c>
      <c r="R18" s="15"/>
      <c r="S18" s="12"/>
      <c r="T18" s="112"/>
      <c r="U18" s="112"/>
      <c r="V18" s="112"/>
      <c r="W18" s="112"/>
      <c r="X18" s="112"/>
      <c r="Y18" s="112"/>
      <c r="Z18" s="436" t="s">
        <v>762</v>
      </c>
      <c r="AA18" s="436"/>
      <c r="AB18" s="13"/>
      <c r="AC18" s="462" t="str">
        <f>'1.設計条件'!W55</f>
        <v>H-350</v>
      </c>
      <c r="AD18" s="463"/>
      <c r="AE18" s="464"/>
      <c r="AF18" s="334">
        <f>'1.設計条件'!W54</f>
        <v>2</v>
      </c>
      <c r="AG18" s="80" t="s">
        <v>751</v>
      </c>
      <c r="AH18" s="15"/>
    </row>
    <row r="19" spans="1:34">
      <c r="A19" s="13"/>
      <c r="B19" s="13"/>
      <c r="C19" s="12"/>
      <c r="D19" s="13"/>
      <c r="E19" s="13"/>
      <c r="F19" s="13"/>
      <c r="G19" s="13"/>
      <c r="H19" s="13"/>
      <c r="I19" s="13"/>
      <c r="J19" s="13"/>
      <c r="K19" s="13"/>
      <c r="L19" s="13"/>
      <c r="M19" s="13" t="s">
        <v>796</v>
      </c>
      <c r="N19" s="13"/>
      <c r="O19" s="13"/>
      <c r="P19" s="13"/>
      <c r="Q19" s="13" t="str">
        <f>'5.腹起一般'!M338</f>
        <v>OK</v>
      </c>
      <c r="R19" s="15"/>
      <c r="S19" s="12"/>
      <c r="T19" s="13"/>
      <c r="U19" s="13"/>
      <c r="V19" s="13"/>
      <c r="W19" s="13"/>
      <c r="X19" s="13"/>
      <c r="Y19" s="13"/>
      <c r="Z19" s="13"/>
      <c r="AA19" s="13"/>
      <c r="AB19" s="13"/>
      <c r="AC19" s="13" t="s">
        <v>796</v>
      </c>
      <c r="AD19" s="13"/>
      <c r="AE19" s="13"/>
      <c r="AF19" s="13"/>
      <c r="AG19" s="13" t="str">
        <f>'5.腹起端部'!M306</f>
        <v>OK</v>
      </c>
      <c r="AH19" s="15"/>
    </row>
    <row r="20" spans="1:34">
      <c r="A20" s="13"/>
      <c r="B20" s="13"/>
      <c r="C20" s="12"/>
      <c r="D20" s="13"/>
      <c r="E20" s="13"/>
      <c r="F20" s="13"/>
      <c r="G20" s="13"/>
      <c r="H20" s="13"/>
      <c r="I20" s="13"/>
      <c r="J20" s="14"/>
      <c r="K20" s="14"/>
      <c r="L20" s="13"/>
      <c r="M20" s="13" t="s">
        <v>797</v>
      </c>
      <c r="N20" s="13"/>
      <c r="O20" s="13"/>
      <c r="P20" s="13"/>
      <c r="Q20" s="13" t="str">
        <f>'5.腹起一般'!R349</f>
        <v>OK</v>
      </c>
      <c r="R20" s="15"/>
      <c r="S20" s="12"/>
      <c r="T20" s="13"/>
      <c r="U20" s="13"/>
      <c r="V20" s="13"/>
      <c r="W20" s="13"/>
      <c r="X20" s="13"/>
      <c r="Y20" s="13"/>
      <c r="Z20" s="14"/>
      <c r="AA20" s="14"/>
      <c r="AB20" s="13"/>
      <c r="AC20" s="13" t="s">
        <v>797</v>
      </c>
      <c r="AD20" s="13"/>
      <c r="AE20" s="13"/>
      <c r="AF20" s="13"/>
      <c r="AG20" s="13" t="str">
        <f>'5.腹起端部'!R317</f>
        <v>OK</v>
      </c>
      <c r="AH20" s="15"/>
    </row>
    <row r="21" spans="1:34">
      <c r="A21" s="13"/>
      <c r="B21" s="13"/>
      <c r="C21" s="16"/>
      <c r="D21" s="335"/>
      <c r="E21" s="335"/>
      <c r="F21" s="335"/>
      <c r="G21" s="335"/>
      <c r="H21" s="335"/>
      <c r="I21" s="335"/>
      <c r="J21" s="18"/>
      <c r="K21" s="18"/>
      <c r="L21" s="17"/>
      <c r="M21" s="17" t="s">
        <v>798</v>
      </c>
      <c r="N21" s="17"/>
      <c r="O21" s="17"/>
      <c r="P21" s="17"/>
      <c r="Q21" s="17" t="str">
        <f>'5.腹起一般'!AB357</f>
        <v>OK</v>
      </c>
      <c r="R21" s="19"/>
      <c r="S21" s="16"/>
      <c r="T21" s="335"/>
      <c r="U21" s="335"/>
      <c r="V21" s="335"/>
      <c r="W21" s="335"/>
      <c r="X21" s="335"/>
      <c r="Y21" s="335"/>
      <c r="Z21" s="18"/>
      <c r="AA21" s="18"/>
      <c r="AB21" s="17"/>
      <c r="AC21" s="17" t="s">
        <v>798</v>
      </c>
      <c r="AD21" s="17"/>
      <c r="AE21" s="17"/>
      <c r="AF21" s="17"/>
      <c r="AG21" s="17" t="str">
        <f>'5.腹起端部'!AB325</f>
        <v>OK</v>
      </c>
      <c r="AH21" s="19"/>
    </row>
    <row r="22" spans="1:34">
      <c r="A22" s="13"/>
      <c r="B22" s="13"/>
      <c r="C22" s="12"/>
      <c r="D22" s="13"/>
      <c r="E22" s="13"/>
      <c r="F22" s="13"/>
      <c r="G22" s="13"/>
      <c r="H22" s="13"/>
      <c r="I22" s="13"/>
      <c r="J22" s="13"/>
      <c r="K22" s="13"/>
      <c r="L22" s="13"/>
      <c r="M22" s="13"/>
      <c r="N22" s="13"/>
      <c r="O22" s="13"/>
      <c r="P22" s="13"/>
      <c r="Q22" s="13"/>
      <c r="R22" s="15"/>
      <c r="S22" s="9"/>
      <c r="T22" s="10"/>
      <c r="U22" s="10"/>
      <c r="V22" s="10"/>
      <c r="W22" s="10"/>
      <c r="X22" s="10"/>
      <c r="Y22" s="10"/>
      <c r="Z22" s="10"/>
      <c r="AA22" s="10"/>
      <c r="AB22" s="10"/>
      <c r="AC22" s="10"/>
      <c r="AD22" s="10"/>
      <c r="AE22" s="10"/>
      <c r="AF22" s="10"/>
      <c r="AG22" s="10"/>
      <c r="AH22" s="11"/>
    </row>
    <row r="23" spans="1:34">
      <c r="A23" s="13"/>
      <c r="B23" s="13"/>
      <c r="C23" s="12"/>
      <c r="D23" s="930" t="s">
        <v>794</v>
      </c>
      <c r="E23" s="930"/>
      <c r="F23" s="930"/>
      <c r="G23" s="930"/>
      <c r="H23" s="930"/>
      <c r="I23" s="930"/>
      <c r="J23" s="436" t="s">
        <v>761</v>
      </c>
      <c r="K23" s="436"/>
      <c r="L23" s="13"/>
      <c r="M23" s="462" t="str">
        <f>'1.設計条件'!Q74</f>
        <v>H-300</v>
      </c>
      <c r="N23" s="463"/>
      <c r="O23" s="464"/>
      <c r="P23" s="31"/>
      <c r="Q23" s="13"/>
      <c r="R23" s="15"/>
      <c r="S23" s="12"/>
      <c r="T23" s="930" t="s">
        <v>795</v>
      </c>
      <c r="U23" s="930"/>
      <c r="V23" s="930"/>
      <c r="W23" s="930"/>
      <c r="X23" s="930"/>
      <c r="Y23" s="930"/>
      <c r="Z23" s="13"/>
      <c r="AA23" s="13"/>
      <c r="AB23" s="13"/>
      <c r="AC23" s="462" t="str">
        <f>'1.設計条件'!T94</f>
        <v>H-300</v>
      </c>
      <c r="AD23" s="463"/>
      <c r="AE23" s="464"/>
      <c r="AF23" s="13"/>
      <c r="AG23" s="13"/>
      <c r="AH23" s="15"/>
    </row>
    <row r="24" spans="1:34">
      <c r="A24" s="13"/>
      <c r="B24" s="13"/>
      <c r="C24" s="12"/>
      <c r="D24" s="13"/>
      <c r="E24" s="13"/>
      <c r="F24" s="13"/>
      <c r="G24" s="13"/>
      <c r="H24" s="13"/>
      <c r="I24" s="13"/>
      <c r="J24" s="13"/>
      <c r="K24" s="13"/>
      <c r="L24" s="13"/>
      <c r="M24" s="13" t="s">
        <v>796</v>
      </c>
      <c r="N24" s="13"/>
      <c r="O24" s="13"/>
      <c r="P24" s="13"/>
      <c r="Q24" s="13" t="str">
        <f>'6.切ばり'!L162</f>
        <v>OK</v>
      </c>
      <c r="R24" s="15"/>
      <c r="S24" s="12"/>
      <c r="T24" s="13"/>
      <c r="U24" s="13"/>
      <c r="V24" s="13"/>
      <c r="W24" s="13"/>
      <c r="X24" s="13"/>
      <c r="Y24" s="13"/>
      <c r="Z24" s="436" t="s">
        <v>761</v>
      </c>
      <c r="AA24" s="436"/>
      <c r="AB24" s="13"/>
      <c r="AC24" s="13" t="s">
        <v>799</v>
      </c>
      <c r="AD24" s="13"/>
      <c r="AE24" s="13"/>
      <c r="AF24" s="13"/>
      <c r="AG24" s="13" t="str">
        <f>'7.火打ち'!Y62</f>
        <v>OK</v>
      </c>
      <c r="AH24" s="15"/>
    </row>
    <row r="25" spans="1:34">
      <c r="A25" s="13"/>
      <c r="B25" s="13"/>
      <c r="C25" s="12"/>
      <c r="D25" s="112"/>
      <c r="E25" s="112"/>
      <c r="F25" s="112"/>
      <c r="G25" s="112"/>
      <c r="H25" s="112"/>
      <c r="I25" s="112"/>
      <c r="J25" s="14"/>
      <c r="K25" s="14"/>
      <c r="L25" s="13"/>
      <c r="M25" s="13" t="s">
        <v>797</v>
      </c>
      <c r="N25" s="13"/>
      <c r="O25" s="13"/>
      <c r="P25" s="13"/>
      <c r="Q25" s="13" t="str">
        <f>'6.切ばり'!Q173</f>
        <v>OK</v>
      </c>
      <c r="R25" s="15"/>
      <c r="S25" s="12"/>
      <c r="T25" s="13"/>
      <c r="U25" s="13"/>
      <c r="V25" s="13"/>
      <c r="W25" s="13"/>
      <c r="X25" s="13"/>
      <c r="Y25" s="13"/>
      <c r="Z25" s="436" t="s">
        <v>762</v>
      </c>
      <c r="AA25" s="436"/>
      <c r="AB25" s="13"/>
      <c r="AC25" s="13" t="s">
        <v>799</v>
      </c>
      <c r="AD25" s="13"/>
      <c r="AE25" s="13"/>
      <c r="AF25" s="13"/>
      <c r="AG25" s="13" t="str">
        <f>'7.火打ち'!Y89</f>
        <v>OK</v>
      </c>
      <c r="AH25" s="15"/>
    </row>
    <row r="26" spans="1:34">
      <c r="A26" s="13"/>
      <c r="B26" s="13"/>
      <c r="C26" s="12"/>
      <c r="D26" s="112"/>
      <c r="E26" s="112"/>
      <c r="F26" s="112"/>
      <c r="G26" s="112"/>
      <c r="H26" s="112"/>
      <c r="I26" s="112"/>
      <c r="J26" s="436" t="s">
        <v>762</v>
      </c>
      <c r="K26" s="436"/>
      <c r="L26" s="13"/>
      <c r="M26" s="462" t="str">
        <f>'1.設計条件'!T74</f>
        <v>H-300</v>
      </c>
      <c r="N26" s="463"/>
      <c r="O26" s="464"/>
      <c r="P26" s="31"/>
      <c r="Q26" s="13"/>
      <c r="R26" s="15"/>
      <c r="S26" s="12"/>
      <c r="T26" s="13"/>
      <c r="U26" s="13"/>
      <c r="V26" s="13"/>
      <c r="W26" s="13"/>
      <c r="X26" s="13"/>
      <c r="Y26" s="13"/>
      <c r="Z26" s="13"/>
      <c r="AA26" s="13"/>
      <c r="AB26" s="13"/>
      <c r="AC26" s="13"/>
      <c r="AD26" s="13"/>
      <c r="AE26" s="13"/>
      <c r="AF26" s="13"/>
      <c r="AG26" s="13"/>
      <c r="AH26" s="15"/>
    </row>
    <row r="27" spans="1:34">
      <c r="A27" s="13"/>
      <c r="B27" s="13"/>
      <c r="C27" s="12"/>
      <c r="D27" s="13"/>
      <c r="E27" s="13"/>
      <c r="F27" s="13"/>
      <c r="G27" s="13"/>
      <c r="H27" s="13"/>
      <c r="I27" s="13"/>
      <c r="J27" s="13"/>
      <c r="K27" s="13"/>
      <c r="L27" s="13"/>
      <c r="M27" s="13" t="s">
        <v>796</v>
      </c>
      <c r="N27" s="13"/>
      <c r="O27" s="13"/>
      <c r="P27" s="13"/>
      <c r="Q27" s="13" t="str">
        <f>'6.切ばり'!L288</f>
        <v>OK</v>
      </c>
      <c r="R27" s="15"/>
      <c r="S27" s="12"/>
      <c r="T27" s="13"/>
      <c r="U27" s="13"/>
      <c r="V27" s="13"/>
      <c r="W27" s="13"/>
      <c r="X27" s="13"/>
      <c r="Y27" s="13"/>
      <c r="Z27" s="13"/>
      <c r="AA27" s="13"/>
      <c r="AB27" s="13"/>
      <c r="AC27" s="13"/>
      <c r="AD27" s="13"/>
      <c r="AE27" s="13"/>
      <c r="AF27" s="13"/>
      <c r="AG27" s="13"/>
      <c r="AH27" s="15"/>
    </row>
    <row r="28" spans="1:34">
      <c r="A28" s="13"/>
      <c r="B28" s="13"/>
      <c r="C28" s="16"/>
      <c r="D28" s="17"/>
      <c r="E28" s="17"/>
      <c r="F28" s="17"/>
      <c r="G28" s="17"/>
      <c r="H28" s="17"/>
      <c r="I28" s="17"/>
      <c r="J28" s="18"/>
      <c r="K28" s="18"/>
      <c r="L28" s="17"/>
      <c r="M28" s="17" t="s">
        <v>797</v>
      </c>
      <c r="N28" s="17"/>
      <c r="O28" s="17"/>
      <c r="P28" s="17"/>
      <c r="Q28" s="17" t="str">
        <f>'6.切ばり'!Q299</f>
        <v>OK</v>
      </c>
      <c r="R28" s="19"/>
      <c r="S28" s="16"/>
      <c r="T28" s="17"/>
      <c r="U28" s="17"/>
      <c r="V28" s="17"/>
      <c r="W28" s="17"/>
      <c r="X28" s="17"/>
      <c r="Y28" s="17"/>
      <c r="Z28" s="17"/>
      <c r="AA28" s="17"/>
      <c r="AB28" s="17"/>
      <c r="AC28" s="17"/>
      <c r="AD28" s="17"/>
      <c r="AE28" s="17"/>
      <c r="AF28" s="17"/>
      <c r="AG28" s="17"/>
      <c r="AH28" s="19"/>
    </row>
  </sheetData>
  <sheetProtection sheet="1" objects="1" scenarios="1"/>
  <mergeCells count="22">
    <mergeCell ref="J14:K14"/>
    <mergeCell ref="J18:K18"/>
    <mergeCell ref="G5:H5"/>
    <mergeCell ref="P5:Q5"/>
    <mergeCell ref="Z5:AA5"/>
    <mergeCell ref="D14:I14"/>
    <mergeCell ref="T14:Y14"/>
    <mergeCell ref="J23:K23"/>
    <mergeCell ref="M23:O23"/>
    <mergeCell ref="J26:K26"/>
    <mergeCell ref="M26:O26"/>
    <mergeCell ref="D23:I23"/>
    <mergeCell ref="AC23:AE23"/>
    <mergeCell ref="T23:Y23"/>
    <mergeCell ref="Z24:AA24"/>
    <mergeCell ref="Z25:AA25"/>
    <mergeCell ref="M14:O14"/>
    <mergeCell ref="M18:O18"/>
    <mergeCell ref="Z14:AA14"/>
    <mergeCell ref="AC14:AE14"/>
    <mergeCell ref="Z18:AA18"/>
    <mergeCell ref="AC18:AE18"/>
  </mergeCells>
  <phoneticPr fontId="3"/>
  <conditionalFormatting sqref="Q6:Q11 Q15:Q17 AG15:AG17 Q19:Q21 Q24:Q25 AG24:AG25 Q27:Q28">
    <cfRule type="cellIs" dxfId="1" priority="1" operator="equal">
      <formula>"NG"</formula>
    </cfRule>
  </conditionalFormatting>
  <conditionalFormatting sqref="AG19:AG21">
    <cfRule type="cellIs" dxfId="0" priority="2" operator="equal">
      <formula>"NG"</formula>
    </cfRule>
  </conditionalFormatting>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A0241-4019-4F00-A5BC-45DD011927A8}">
  <dimension ref="A2:AO449"/>
  <sheetViews>
    <sheetView showOutlineSymbols="0" zoomScaleNormal="100" workbookViewId="0"/>
  </sheetViews>
  <sheetFormatPr defaultRowHeight="18.75"/>
  <cols>
    <col min="1" max="35" width="3" style="1" customWidth="1"/>
    <col min="36" max="36" width="1" style="1" customWidth="1"/>
    <col min="37" max="16384" width="9" style="1"/>
  </cols>
  <sheetData>
    <row r="2" spans="1:38">
      <c r="A2" s="1" t="s">
        <v>844</v>
      </c>
      <c r="W2"/>
    </row>
    <row r="3" spans="1:38">
      <c r="B3" s="1" t="s">
        <v>387</v>
      </c>
      <c r="C3" s="13"/>
      <c r="D3" s="13"/>
      <c r="E3" s="13"/>
      <c r="F3" s="13"/>
      <c r="G3" s="13"/>
      <c r="H3" s="13"/>
      <c r="I3" s="13"/>
      <c r="J3" s="13"/>
      <c r="K3" s="13"/>
      <c r="L3" s="13"/>
      <c r="M3" s="13"/>
      <c r="N3" s="13"/>
      <c r="O3" s="13"/>
      <c r="P3" s="13"/>
      <c r="Q3" s="13"/>
      <c r="R3" s="13"/>
      <c r="S3" s="13"/>
      <c r="T3" s="13"/>
      <c r="U3" s="13"/>
      <c r="V3" s="13"/>
      <c r="W3" t="s">
        <v>64</v>
      </c>
      <c r="X3" s="13"/>
      <c r="Y3" s="13"/>
      <c r="Z3" s="13"/>
      <c r="AA3" s="13"/>
      <c r="AB3" s="13"/>
      <c r="AC3" s="13"/>
      <c r="AD3" s="13"/>
      <c r="AE3" s="13"/>
      <c r="AF3" s="13"/>
      <c r="AG3" s="13"/>
      <c r="AH3" s="13"/>
      <c r="AI3" s="13"/>
    </row>
    <row r="4" spans="1:38">
      <c r="B4" s="13"/>
      <c r="C4" s="13"/>
      <c r="D4" s="13"/>
      <c r="E4" s="13"/>
      <c r="F4" s="13"/>
      <c r="G4" s="13"/>
      <c r="H4" s="13"/>
      <c r="I4" s="13"/>
      <c r="J4" s="13"/>
      <c r="K4" s="13"/>
      <c r="L4" s="13"/>
      <c r="M4" s="13"/>
      <c r="N4" s="13"/>
      <c r="O4" s="13"/>
      <c r="P4" s="13"/>
      <c r="Q4" s="13"/>
      <c r="R4" s="13"/>
      <c r="S4" s="13"/>
      <c r="T4" s="13"/>
      <c r="U4" s="13"/>
      <c r="V4" s="13"/>
      <c r="W4"/>
      <c r="X4" s="13"/>
      <c r="Y4" s="13"/>
      <c r="Z4" s="13"/>
      <c r="AA4" s="13"/>
      <c r="AB4" s="13"/>
      <c r="AC4" s="13"/>
      <c r="AD4" s="13"/>
      <c r="AE4" s="13"/>
      <c r="AF4" s="13"/>
      <c r="AG4" s="13"/>
      <c r="AH4" s="13"/>
      <c r="AI4" s="13"/>
    </row>
    <row r="5" spans="1:38">
      <c r="B5" s="13"/>
      <c r="C5" s="596" t="s">
        <v>163</v>
      </c>
      <c r="D5" s="596"/>
      <c r="E5" s="596"/>
      <c r="F5" s="596"/>
      <c r="G5" s="596"/>
      <c r="H5" s="596"/>
      <c r="I5" s="596"/>
      <c r="J5" s="596"/>
      <c r="K5" s="596"/>
      <c r="L5" s="596"/>
      <c r="M5" s="596"/>
      <c r="N5" s="596"/>
      <c r="O5" s="596"/>
      <c r="P5" s="596"/>
      <c r="Q5" s="596"/>
      <c r="R5" s="596"/>
      <c r="S5" s="596"/>
      <c r="T5" s="596"/>
      <c r="U5" s="596"/>
      <c r="V5" s="596"/>
      <c r="W5" s="596"/>
      <c r="X5" s="596"/>
      <c r="Y5" s="596"/>
      <c r="Z5" s="596"/>
      <c r="AA5" s="596"/>
      <c r="AB5" s="596"/>
      <c r="AC5" s="596"/>
      <c r="AD5" s="469">
        <v>1.2</v>
      </c>
      <c r="AE5" s="470"/>
      <c r="AF5" s="459" t="s">
        <v>164</v>
      </c>
      <c r="AG5" s="454"/>
      <c r="AH5" s="454"/>
      <c r="AI5" s="454"/>
    </row>
    <row r="6" spans="1:38" ht="20.25">
      <c r="B6" s="13"/>
      <c r="C6" s="112" t="s">
        <v>223</v>
      </c>
      <c r="D6" s="57"/>
      <c r="E6" s="57"/>
      <c r="F6" s="57"/>
      <c r="G6" s="454" t="s">
        <v>225</v>
      </c>
      <c r="H6" s="454"/>
      <c r="I6" s="112" t="s">
        <v>224</v>
      </c>
      <c r="J6" s="57"/>
      <c r="K6" s="57"/>
      <c r="L6" s="57"/>
      <c r="M6" s="57"/>
      <c r="N6" s="57"/>
      <c r="O6" s="57"/>
      <c r="P6" s="57"/>
      <c r="Q6" s="57"/>
      <c r="R6" s="57"/>
      <c r="S6" s="57"/>
      <c r="T6" s="57"/>
      <c r="U6" s="57"/>
      <c r="V6" s="57"/>
      <c r="W6" s="57"/>
      <c r="X6" s="57"/>
      <c r="Y6" s="57"/>
      <c r="Z6" s="57"/>
      <c r="AA6" s="57"/>
      <c r="AB6" s="57"/>
      <c r="AC6" s="57"/>
      <c r="AD6" s="40"/>
      <c r="AE6" s="40"/>
      <c r="AF6" s="42"/>
      <c r="AG6" s="42"/>
      <c r="AH6" s="42"/>
      <c r="AI6" s="42"/>
    </row>
    <row r="7" spans="1:38">
      <c r="B7" s="13"/>
      <c r="C7" s="112"/>
      <c r="D7" s="57"/>
      <c r="E7" s="57"/>
      <c r="F7" s="57"/>
      <c r="G7" s="42"/>
      <c r="H7" s="42"/>
      <c r="I7" s="112"/>
      <c r="J7" s="57"/>
      <c r="K7" s="57"/>
      <c r="L7" s="57"/>
      <c r="M7" s="57"/>
      <c r="N7" s="57"/>
      <c r="O7" s="57"/>
      <c r="P7" s="57"/>
      <c r="Q7" s="57"/>
      <c r="R7" s="57"/>
      <c r="S7" s="57"/>
      <c r="T7" s="57"/>
      <c r="U7" s="57"/>
      <c r="V7" s="57"/>
      <c r="W7" s="57"/>
      <c r="X7" s="57"/>
      <c r="Y7" s="57"/>
      <c r="Z7" s="57"/>
      <c r="AA7" s="57"/>
      <c r="AB7" s="57"/>
      <c r="AC7" s="57"/>
      <c r="AD7" s="40"/>
      <c r="AE7" s="40"/>
      <c r="AF7" s="42"/>
      <c r="AG7" s="42"/>
      <c r="AH7" s="42"/>
      <c r="AI7" s="42"/>
    </row>
    <row r="8" spans="1:38">
      <c r="B8" s="13"/>
      <c r="C8" s="13" t="s">
        <v>594</v>
      </c>
      <c r="D8" s="57"/>
      <c r="E8" s="57"/>
      <c r="F8" s="57"/>
      <c r="G8" s="57"/>
      <c r="H8" s="57"/>
      <c r="I8" s="57"/>
      <c r="J8" s="57"/>
      <c r="K8" s="57"/>
      <c r="L8" s="57"/>
      <c r="M8" s="57"/>
      <c r="N8" s="57"/>
      <c r="O8" s="57"/>
      <c r="P8" s="57"/>
      <c r="Q8" s="57"/>
      <c r="R8" s="57"/>
      <c r="S8" s="57"/>
      <c r="T8" s="57"/>
      <c r="U8" s="57"/>
      <c r="V8" s="57"/>
      <c r="W8"/>
      <c r="X8" s="57"/>
      <c r="Y8" s="57"/>
      <c r="Z8" s="57"/>
      <c r="AA8" s="57"/>
      <c r="AB8" s="57"/>
      <c r="AC8" s="57"/>
      <c r="AD8" s="40"/>
      <c r="AE8" s="40"/>
      <c r="AF8" s="42"/>
      <c r="AG8" s="42"/>
      <c r="AH8" s="42"/>
      <c r="AI8" s="42"/>
    </row>
    <row r="9" spans="1:38">
      <c r="B9" s="13"/>
      <c r="C9" s="13"/>
      <c r="D9" s="112" t="s">
        <v>423</v>
      </c>
      <c r="E9" s="57"/>
      <c r="F9" s="57"/>
      <c r="G9" s="57"/>
      <c r="H9" s="57"/>
      <c r="I9" s="57"/>
      <c r="J9" s="57"/>
      <c r="K9" s="57"/>
      <c r="L9" s="57"/>
      <c r="M9" s="57"/>
      <c r="N9" s="57"/>
      <c r="O9" s="57"/>
      <c r="P9" s="57"/>
      <c r="Q9" s="57"/>
      <c r="R9" s="57"/>
      <c r="S9" s="57"/>
      <c r="T9" s="57"/>
      <c r="U9" s="57"/>
      <c r="V9" s="57"/>
      <c r="W9"/>
      <c r="X9" s="57"/>
      <c r="Y9" s="57"/>
      <c r="Z9" s="57"/>
      <c r="AA9" s="57"/>
      <c r="AB9" s="57"/>
      <c r="AC9" s="57"/>
      <c r="AD9" s="40"/>
      <c r="AE9" s="40"/>
      <c r="AF9" s="42"/>
      <c r="AG9" s="42"/>
      <c r="AH9" s="42"/>
      <c r="AI9" s="42"/>
    </row>
    <row r="10" spans="1:38">
      <c r="B10" s="13"/>
      <c r="C10" s="13"/>
      <c r="D10" s="596" t="s">
        <v>424</v>
      </c>
      <c r="E10" s="596"/>
      <c r="F10" s="596"/>
      <c r="G10" s="596"/>
      <c r="H10" s="596"/>
      <c r="I10" s="596"/>
      <c r="J10" s="596"/>
      <c r="K10" s="596"/>
      <c r="L10" s="596"/>
      <c r="M10" s="596"/>
      <c r="N10" s="596"/>
      <c r="O10" s="596"/>
      <c r="P10" s="596"/>
      <c r="Q10" s="596"/>
      <c r="R10" s="596"/>
      <c r="S10" s="596"/>
      <c r="T10" s="596"/>
      <c r="U10" s="596"/>
      <c r="V10" s="612">
        <f>'1.設計条件'!T50</f>
        <v>-4</v>
      </c>
      <c r="W10" s="612"/>
      <c r="X10" s="612"/>
      <c r="Y10" s="612">
        <v>-1</v>
      </c>
      <c r="Z10" s="612"/>
      <c r="AA10" s="57" t="s">
        <v>2</v>
      </c>
      <c r="AB10" s="613">
        <f>V10+Y10</f>
        <v>-5</v>
      </c>
      <c r="AC10" s="614"/>
      <c r="AD10" s="615"/>
      <c r="AE10" s="191" t="s">
        <v>237</v>
      </c>
      <c r="AF10" s="42"/>
      <c r="AG10" s="42"/>
      <c r="AH10" s="42"/>
      <c r="AI10" s="42"/>
    </row>
    <row r="11" spans="1:38">
      <c r="B11" s="13"/>
      <c r="C11" s="13"/>
      <c r="D11" s="57"/>
      <c r="E11" s="57"/>
      <c r="F11" s="57"/>
      <c r="G11" s="57"/>
      <c r="H11" s="57"/>
      <c r="I11" s="57"/>
      <c r="J11" s="57"/>
      <c r="K11" s="57"/>
      <c r="L11" s="57"/>
      <c r="M11" s="57"/>
      <c r="N11" s="57"/>
      <c r="O11" s="57"/>
      <c r="P11" s="57"/>
      <c r="Q11" s="57"/>
      <c r="R11" s="57"/>
      <c r="S11" s="57"/>
      <c r="T11" s="57"/>
      <c r="U11" s="57"/>
      <c r="V11" s="57"/>
      <c r="W11"/>
      <c r="X11" s="57"/>
      <c r="Y11" s="57"/>
      <c r="Z11" s="57"/>
      <c r="AA11" s="57"/>
      <c r="AB11" s="57"/>
      <c r="AC11" s="57"/>
      <c r="AD11" s="40"/>
      <c r="AE11" s="40"/>
      <c r="AF11" s="42"/>
      <c r="AG11" s="42"/>
      <c r="AH11" s="42"/>
      <c r="AI11" s="42"/>
    </row>
    <row r="12" spans="1:38">
      <c r="C12" s="13"/>
      <c r="D12" s="9" t="s">
        <v>388</v>
      </c>
      <c r="E12" s="10"/>
      <c r="F12" s="10"/>
      <c r="G12" s="10"/>
      <c r="H12" s="10"/>
      <c r="I12" s="10"/>
      <c r="J12" s="10"/>
      <c r="K12" s="10"/>
      <c r="L12" s="10"/>
      <c r="M12" s="10"/>
      <c r="N12" s="10"/>
      <c r="O12" s="10"/>
      <c r="P12" s="10"/>
      <c r="Q12" s="10"/>
      <c r="R12" s="10"/>
      <c r="S12" s="10"/>
      <c r="T12" s="10"/>
      <c r="U12" s="10"/>
      <c r="V12" s="10"/>
      <c r="W12" s="10"/>
      <c r="X12" s="10"/>
      <c r="Y12" s="10"/>
      <c r="Z12" s="10"/>
      <c r="AA12" s="10"/>
      <c r="AB12" s="3" t="s">
        <v>422</v>
      </c>
      <c r="AC12" s="10"/>
      <c r="AD12" s="10"/>
      <c r="AE12" s="10"/>
      <c r="AF12" s="10"/>
      <c r="AG12" s="10"/>
      <c r="AH12" s="10"/>
      <c r="AI12" s="10"/>
      <c r="AJ12" s="11"/>
    </row>
    <row r="13" spans="1:38">
      <c r="C13" s="13"/>
      <c r="D13" s="12"/>
      <c r="E13" s="13"/>
      <c r="F13" s="13"/>
      <c r="G13" s="13"/>
      <c r="H13"/>
      <c r="I13" s="410" t="s">
        <v>23</v>
      </c>
      <c r="J13" s="411"/>
      <c r="K13" s="410" t="s">
        <v>9</v>
      </c>
      <c r="L13" s="411"/>
      <c r="M13" s="413" t="s">
        <v>28</v>
      </c>
      <c r="N13" s="414"/>
      <c r="O13" s="415"/>
      <c r="P13" s="410"/>
      <c r="Q13" s="411"/>
      <c r="R13" s="410"/>
      <c r="S13" s="412"/>
      <c r="T13" s="412"/>
      <c r="U13" s="410"/>
      <c r="V13" s="412"/>
      <c r="W13" s="411"/>
      <c r="X13" s="602" t="s">
        <v>77</v>
      </c>
      <c r="Y13" s="603"/>
      <c r="Z13" s="604"/>
      <c r="AA13" s="410" t="s">
        <v>24</v>
      </c>
      <c r="AB13" s="412"/>
      <c r="AC13" s="411"/>
      <c r="AD13" s="410" t="s">
        <v>25</v>
      </c>
      <c r="AE13" s="412"/>
      <c r="AF13" s="412"/>
      <c r="AG13" s="412"/>
      <c r="AH13" s="412"/>
      <c r="AI13" s="411"/>
      <c r="AJ13" s="93"/>
      <c r="AK13" s="13"/>
      <c r="AL13" s="13"/>
    </row>
    <row r="14" spans="1:38" ht="20.25">
      <c r="C14" s="13"/>
      <c r="D14" s="12"/>
      <c r="E14" s="13"/>
      <c r="F14" s="13"/>
      <c r="G14" s="13"/>
      <c r="H14"/>
      <c r="I14" s="421" t="s">
        <v>15</v>
      </c>
      <c r="J14" s="422"/>
      <c r="K14" s="423"/>
      <c r="L14" s="424"/>
      <c r="M14" s="421" t="s">
        <v>37</v>
      </c>
      <c r="N14" s="360"/>
      <c r="O14" s="422"/>
      <c r="P14" s="416" t="s">
        <v>16</v>
      </c>
      <c r="Q14" s="417"/>
      <c r="R14" s="601" t="s">
        <v>76</v>
      </c>
      <c r="S14" s="360"/>
      <c r="T14" s="422"/>
      <c r="U14" s="421" t="s">
        <v>38</v>
      </c>
      <c r="V14" s="360"/>
      <c r="W14" s="422"/>
      <c r="X14" s="421" t="s">
        <v>39</v>
      </c>
      <c r="Y14" s="360"/>
      <c r="Z14" s="422"/>
      <c r="AA14" s="421" t="s">
        <v>78</v>
      </c>
      <c r="AB14" s="360"/>
      <c r="AC14" s="422"/>
      <c r="AD14" s="421" t="s">
        <v>116</v>
      </c>
      <c r="AE14" s="360"/>
      <c r="AF14" s="360"/>
      <c r="AG14" s="360"/>
      <c r="AH14" s="360"/>
      <c r="AI14" s="422"/>
      <c r="AJ14" s="93"/>
      <c r="AK14" s="13"/>
      <c r="AL14" s="13"/>
    </row>
    <row r="15" spans="1:38" ht="20.25">
      <c r="C15" s="13"/>
      <c r="D15" s="12"/>
      <c r="E15" s="13"/>
      <c r="F15" s="13"/>
      <c r="G15" s="13"/>
      <c r="H15"/>
      <c r="I15" s="498" t="s">
        <v>20</v>
      </c>
      <c r="J15" s="499"/>
      <c r="K15" s="498"/>
      <c r="L15" s="499"/>
      <c r="M15" s="7"/>
      <c r="N15" s="81"/>
      <c r="O15" s="8"/>
      <c r="P15" s="418" t="s">
        <v>40</v>
      </c>
      <c r="Q15" s="420"/>
      <c r="R15" s="418" t="s">
        <v>36</v>
      </c>
      <c r="S15" s="419"/>
      <c r="T15" s="419"/>
      <c r="U15" s="418" t="s">
        <v>36</v>
      </c>
      <c r="V15" s="419"/>
      <c r="W15" s="419"/>
      <c r="X15" s="418" t="s">
        <v>36</v>
      </c>
      <c r="Y15" s="419"/>
      <c r="Z15" s="419"/>
      <c r="AA15" s="418" t="s">
        <v>36</v>
      </c>
      <c r="AB15" s="419"/>
      <c r="AC15" s="419"/>
      <c r="AD15" s="498" t="s">
        <v>36</v>
      </c>
      <c r="AE15" s="500"/>
      <c r="AF15" s="500"/>
      <c r="AG15" s="500"/>
      <c r="AH15" s="500"/>
      <c r="AI15" s="499"/>
      <c r="AJ15" s="93"/>
      <c r="AK15" s="13"/>
      <c r="AL15" s="13"/>
    </row>
    <row r="16" spans="1:38">
      <c r="C16" s="13"/>
      <c r="D16" s="12"/>
      <c r="E16" s="497" t="s">
        <v>21</v>
      </c>
      <c r="F16" s="497"/>
      <c r="G16" s="413" t="s">
        <v>130</v>
      </c>
      <c r="H16" s="415"/>
      <c r="I16" s="487">
        <f>'1.設計条件'!F22</f>
        <v>1</v>
      </c>
      <c r="J16" s="489"/>
      <c r="K16" s="483" t="str">
        <f>'1.設計条件'!H22</f>
        <v>砂質</v>
      </c>
      <c r="L16" s="484"/>
      <c r="M16" s="483">
        <f>ROUND(TAN(RADIANS(45-'1.設計条件'!AB22/2))^2,3)</f>
        <v>0.33300000000000002</v>
      </c>
      <c r="N16" s="495"/>
      <c r="O16" s="484"/>
      <c r="P16" s="483">
        <f>IF('1.設計条件'!L22="-",'1.設計条件'!P22,'1.設計条件'!X22)</f>
        <v>18</v>
      </c>
      <c r="Q16" s="484"/>
      <c r="R16" s="493">
        <f>'1.設計条件'!R$13</f>
        <v>10</v>
      </c>
      <c r="S16" s="494"/>
      <c r="T16" s="494"/>
      <c r="U16" s="483">
        <f>2*'1.設計条件'!AF22*SQRT(M16)</f>
        <v>0</v>
      </c>
      <c r="V16" s="495"/>
      <c r="W16" s="484"/>
      <c r="X16" s="493">
        <f>M16*R16-U16</f>
        <v>3.33</v>
      </c>
      <c r="Y16" s="494"/>
      <c r="Z16" s="494"/>
      <c r="AA16" s="493">
        <v>0</v>
      </c>
      <c r="AB16" s="494"/>
      <c r="AC16" s="494"/>
      <c r="AD16" s="502" t="s">
        <v>132</v>
      </c>
      <c r="AE16" s="503"/>
      <c r="AF16" s="503"/>
      <c r="AG16" s="504">
        <f>IF(K16="砂質",X16, IF(X16&gt;AA16,X16,AA16))</f>
        <v>3.33</v>
      </c>
      <c r="AH16" s="504"/>
      <c r="AI16" s="505"/>
      <c r="AJ16" s="93"/>
      <c r="AK16" s="13"/>
      <c r="AL16" s="13"/>
    </row>
    <row r="17" spans="3:38">
      <c r="C17" s="13"/>
      <c r="D17" s="12"/>
      <c r="E17" s="497"/>
      <c r="F17" s="497"/>
      <c r="G17" s="418" t="s">
        <v>131</v>
      </c>
      <c r="H17" s="420"/>
      <c r="I17" s="490"/>
      <c r="J17" s="492"/>
      <c r="K17" s="485"/>
      <c r="L17" s="486"/>
      <c r="M17" s="485"/>
      <c r="N17" s="496"/>
      <c r="O17" s="486"/>
      <c r="P17" s="485"/>
      <c r="Q17" s="486"/>
      <c r="R17" s="511">
        <f>I16*P16+'1.設計条件'!R$13</f>
        <v>28</v>
      </c>
      <c r="S17" s="512"/>
      <c r="T17" s="512"/>
      <c r="U17" s="485"/>
      <c r="V17" s="496"/>
      <c r="W17" s="486"/>
      <c r="X17" s="511">
        <f>M16*R17-U16</f>
        <v>9.3239999999999998</v>
      </c>
      <c r="Y17" s="512"/>
      <c r="Z17" s="512"/>
      <c r="AA17" s="511">
        <f>0.3*I16*P16</f>
        <v>5.3999999999999995</v>
      </c>
      <c r="AB17" s="512"/>
      <c r="AC17" s="512"/>
      <c r="AD17" s="513" t="s">
        <v>141</v>
      </c>
      <c r="AE17" s="514"/>
      <c r="AF17" s="514"/>
      <c r="AG17" s="515">
        <f>IF(K16="砂質",X17, IF(X17&gt;AA17,X17,AA17))</f>
        <v>9.3239999999999998</v>
      </c>
      <c r="AH17" s="515"/>
      <c r="AI17" s="516"/>
      <c r="AJ17" s="93"/>
      <c r="AK17" s="13"/>
      <c r="AL17" s="13"/>
    </row>
    <row r="18" spans="3:38">
      <c r="C18" s="13"/>
      <c r="D18" s="12"/>
      <c r="E18" s="497" t="s">
        <v>22</v>
      </c>
      <c r="F18" s="497"/>
      <c r="G18" s="413" t="s">
        <v>130</v>
      </c>
      <c r="H18" s="415"/>
      <c r="I18" s="487">
        <f>'1.設計条件'!F23</f>
        <v>1.5</v>
      </c>
      <c r="J18" s="489"/>
      <c r="K18" s="487" t="str">
        <f>'1.設計条件'!H23</f>
        <v>砂質</v>
      </c>
      <c r="L18" s="489"/>
      <c r="M18" s="483">
        <f>ROUND(TAN(RADIANS(45-'1.設計条件'!AB23/2))^2,3)</f>
        <v>0.33300000000000002</v>
      </c>
      <c r="N18" s="495"/>
      <c r="O18" s="484"/>
      <c r="P18" s="483">
        <f>IF('1.設計条件'!L23="-",'1.設計条件'!P23,'1.設計条件'!X23)</f>
        <v>18</v>
      </c>
      <c r="Q18" s="484"/>
      <c r="R18" s="493">
        <f>R17</f>
        <v>28</v>
      </c>
      <c r="S18" s="494"/>
      <c r="T18" s="494"/>
      <c r="U18" s="483">
        <f>2*'1.設計条件'!AF23*SQRT(M18)</f>
        <v>0</v>
      </c>
      <c r="V18" s="495"/>
      <c r="W18" s="484"/>
      <c r="X18" s="493">
        <f>M18*R18-U18</f>
        <v>9.3239999999999998</v>
      </c>
      <c r="Y18" s="494"/>
      <c r="Z18" s="494"/>
      <c r="AA18" s="493">
        <f>AA17</f>
        <v>5.3999999999999995</v>
      </c>
      <c r="AB18" s="494"/>
      <c r="AC18" s="494"/>
      <c r="AD18" s="502" t="s">
        <v>133</v>
      </c>
      <c r="AE18" s="503"/>
      <c r="AF18" s="503"/>
      <c r="AG18" s="504">
        <f t="shared" ref="AG18" si="0">IF(K18="砂質",X18, IF(X18&gt;AA18,X18,AA18))</f>
        <v>9.3239999999999998</v>
      </c>
      <c r="AH18" s="504"/>
      <c r="AI18" s="505"/>
      <c r="AJ18" s="93"/>
      <c r="AK18" s="13"/>
      <c r="AL18" s="13"/>
    </row>
    <row r="19" spans="3:38">
      <c r="C19" s="13"/>
      <c r="D19" s="12"/>
      <c r="E19" s="497"/>
      <c r="F19" s="497"/>
      <c r="G19" s="418" t="s">
        <v>131</v>
      </c>
      <c r="H19" s="420"/>
      <c r="I19" s="490"/>
      <c r="J19" s="492"/>
      <c r="K19" s="490"/>
      <c r="L19" s="492"/>
      <c r="M19" s="485"/>
      <c r="N19" s="496"/>
      <c r="O19" s="486"/>
      <c r="P19" s="485"/>
      <c r="Q19" s="486"/>
      <c r="R19" s="511">
        <f>I18*P18+R18</f>
        <v>55</v>
      </c>
      <c r="S19" s="512"/>
      <c r="T19" s="512"/>
      <c r="U19" s="485"/>
      <c r="V19" s="496"/>
      <c r="W19" s="486"/>
      <c r="X19" s="511">
        <f>M18*R19-U18</f>
        <v>18.315000000000001</v>
      </c>
      <c r="Y19" s="512"/>
      <c r="Z19" s="512"/>
      <c r="AA19" s="511">
        <f>0.3*I18*P18+AA18</f>
        <v>13.5</v>
      </c>
      <c r="AB19" s="512"/>
      <c r="AC19" s="512"/>
      <c r="AD19" s="513" t="s">
        <v>134</v>
      </c>
      <c r="AE19" s="514"/>
      <c r="AF19" s="514"/>
      <c r="AG19" s="515">
        <f>IF(K18="砂質",X19, IF(X19&gt;AA19,X19,AA19))</f>
        <v>18.315000000000001</v>
      </c>
      <c r="AH19" s="515"/>
      <c r="AI19" s="516"/>
      <c r="AJ19" s="93"/>
      <c r="AK19" s="13"/>
      <c r="AL19" s="13"/>
    </row>
    <row r="20" spans="3:38">
      <c r="C20" s="13"/>
      <c r="D20" s="12"/>
      <c r="E20" s="497" t="s">
        <v>444</v>
      </c>
      <c r="F20" s="497"/>
      <c r="G20" s="413" t="s">
        <v>130</v>
      </c>
      <c r="H20" s="415"/>
      <c r="I20" s="487">
        <f>-AB10-I16-I18</f>
        <v>2.5</v>
      </c>
      <c r="J20" s="489"/>
      <c r="K20" s="620" t="str">
        <f>'1.設計条件'!H24</f>
        <v>砂質</v>
      </c>
      <c r="L20" s="621"/>
      <c r="M20" s="605">
        <f>ROUND(TAN(RADIANS(45-'1.設計条件'!AB24/2))^2,3)</f>
        <v>0.33300000000000002</v>
      </c>
      <c r="N20" s="525"/>
      <c r="O20" s="606"/>
      <c r="P20" s="605">
        <f>IF('1.設計条件'!L24="-",'1.設計条件'!P24,'1.設計条件'!X24)</f>
        <v>9</v>
      </c>
      <c r="Q20" s="606"/>
      <c r="R20" s="599">
        <f>R19</f>
        <v>55</v>
      </c>
      <c r="S20" s="600"/>
      <c r="T20" s="600"/>
      <c r="U20" s="605">
        <f>2*'1.設計条件'!AF24*SQRT(M20)</f>
        <v>0</v>
      </c>
      <c r="V20" s="525"/>
      <c r="W20" s="606"/>
      <c r="X20" s="599">
        <f>M20*R20-U20</f>
        <v>18.315000000000001</v>
      </c>
      <c r="Y20" s="600"/>
      <c r="Z20" s="600"/>
      <c r="AA20" s="599">
        <f>AA19</f>
        <v>13.5</v>
      </c>
      <c r="AB20" s="600"/>
      <c r="AC20" s="600"/>
      <c r="AD20" s="502" t="s">
        <v>440</v>
      </c>
      <c r="AE20" s="503"/>
      <c r="AF20" s="503"/>
      <c r="AG20" s="591">
        <f>IF(K20="砂質",X20, IF(X20&gt;AA20,X20,AA20))</f>
        <v>18.315000000000001</v>
      </c>
      <c r="AH20" s="591"/>
      <c r="AI20" s="578"/>
      <c r="AJ20" s="93"/>
      <c r="AK20" s="13"/>
      <c r="AL20" s="13"/>
    </row>
    <row r="21" spans="3:38" ht="19.5" thickBot="1">
      <c r="C21" s="13"/>
      <c r="D21" s="12"/>
      <c r="E21" s="581"/>
      <c r="F21" s="581"/>
      <c r="G21" s="579" t="s">
        <v>131</v>
      </c>
      <c r="H21" s="580"/>
      <c r="I21" s="610"/>
      <c r="J21" s="611"/>
      <c r="K21" s="610"/>
      <c r="L21" s="611"/>
      <c r="M21" s="607"/>
      <c r="N21" s="608"/>
      <c r="O21" s="609"/>
      <c r="P21" s="607"/>
      <c r="Q21" s="609"/>
      <c r="R21" s="597">
        <f>I20*P20+R20</f>
        <v>77.5</v>
      </c>
      <c r="S21" s="598"/>
      <c r="T21" s="598"/>
      <c r="U21" s="607"/>
      <c r="V21" s="608"/>
      <c r="W21" s="609"/>
      <c r="X21" s="597">
        <f>M20*R21-U20</f>
        <v>25.807500000000001</v>
      </c>
      <c r="Y21" s="598"/>
      <c r="Z21" s="598"/>
      <c r="AA21" s="597">
        <f>0.3*I20*P20+AA20</f>
        <v>20.25</v>
      </c>
      <c r="AB21" s="598"/>
      <c r="AC21" s="598"/>
      <c r="AD21" s="575" t="s">
        <v>441</v>
      </c>
      <c r="AE21" s="576"/>
      <c r="AF21" s="576"/>
      <c r="AG21" s="592">
        <f>IF(K20="砂質",X21, IF(X21&gt;AA21,X21,AA21))</f>
        <v>25.807500000000001</v>
      </c>
      <c r="AH21" s="592"/>
      <c r="AI21" s="593"/>
      <c r="AJ21" s="93"/>
      <c r="AK21" s="13"/>
      <c r="AL21" s="13"/>
    </row>
    <row r="22" spans="3:38" ht="18.75" customHeight="1" thickTop="1">
      <c r="C22" s="13"/>
      <c r="D22" s="12"/>
      <c r="E22" s="501" t="s">
        <v>445</v>
      </c>
      <c r="F22" s="501"/>
      <c r="G22" s="413" t="s">
        <v>130</v>
      </c>
      <c r="H22" s="415"/>
      <c r="I22" s="479" t="s">
        <v>225</v>
      </c>
      <c r="J22" s="480"/>
      <c r="K22" s="483" t="str">
        <f>'1.設計条件'!H26</f>
        <v>砂質</v>
      </c>
      <c r="L22" s="484"/>
      <c r="M22" s="483">
        <f>ROUND(TAN(RADIANS(45-'1.設計条件'!AB26/2))^2,3)</f>
        <v>0.33300000000000002</v>
      </c>
      <c r="N22" s="495"/>
      <c r="O22" s="484"/>
      <c r="P22" s="483">
        <f>IF('1.設計条件'!L26="-",'1.設計条件'!P26,'1.設計条件'!X26)</f>
        <v>9</v>
      </c>
      <c r="Q22" s="484"/>
      <c r="R22" s="493">
        <f>R21</f>
        <v>77.5</v>
      </c>
      <c r="S22" s="494"/>
      <c r="T22" s="494"/>
      <c r="U22" s="483">
        <f>2*'1.設計条件'!AF26*SQRT(M22)</f>
        <v>0</v>
      </c>
      <c r="V22" s="495"/>
      <c r="W22" s="484"/>
      <c r="X22" s="493">
        <f>M22*R22-U22</f>
        <v>25.807500000000001</v>
      </c>
      <c r="Y22" s="494"/>
      <c r="Z22" s="494"/>
      <c r="AA22" s="493">
        <f>AA21</f>
        <v>20.25</v>
      </c>
      <c r="AB22" s="494"/>
      <c r="AC22" s="494"/>
      <c r="AD22" s="502" t="s">
        <v>442</v>
      </c>
      <c r="AE22" s="503"/>
      <c r="AF22" s="503"/>
      <c r="AG22" s="504">
        <f t="shared" ref="AG22" si="1">IF(K22="砂質",X22, IF(X22&gt;AA22,X22,AA22))</f>
        <v>25.807500000000001</v>
      </c>
      <c r="AH22" s="504"/>
      <c r="AI22" s="505"/>
      <c r="AJ22" s="93"/>
      <c r="AK22" s="13"/>
      <c r="AL22" s="13"/>
    </row>
    <row r="23" spans="3:38">
      <c r="C23" s="13"/>
      <c r="D23" s="12"/>
      <c r="E23" s="497"/>
      <c r="F23" s="497"/>
      <c r="G23" s="418" t="s">
        <v>131</v>
      </c>
      <c r="H23" s="420"/>
      <c r="I23" s="481"/>
      <c r="J23" s="482"/>
      <c r="K23" s="485"/>
      <c r="L23" s="486"/>
      <c r="M23" s="485"/>
      <c r="N23" s="496"/>
      <c r="O23" s="486"/>
      <c r="P23" s="485"/>
      <c r="Q23" s="486"/>
      <c r="R23" s="511"/>
      <c r="S23" s="512"/>
      <c r="T23" s="512"/>
      <c r="U23" s="485"/>
      <c r="V23" s="496"/>
      <c r="W23" s="486"/>
      <c r="X23" s="511"/>
      <c r="Y23" s="512"/>
      <c r="Z23" s="512"/>
      <c r="AA23" s="511"/>
      <c r="AB23" s="512"/>
      <c r="AC23" s="512"/>
      <c r="AD23" s="513" t="s">
        <v>443</v>
      </c>
      <c r="AE23" s="514"/>
      <c r="AF23" s="514"/>
      <c r="AG23" s="515" t="s">
        <v>455</v>
      </c>
      <c r="AH23" s="515"/>
      <c r="AI23" s="516"/>
      <c r="AJ23" s="93"/>
      <c r="AK23" s="13"/>
      <c r="AL23" s="13"/>
    </row>
    <row r="24" spans="3:38">
      <c r="C24" s="13"/>
      <c r="D24" s="12"/>
      <c r="E24" s="97"/>
      <c r="F24" s="96"/>
      <c r="G24" s="96"/>
      <c r="H24" s="96"/>
      <c r="I24" s="96"/>
      <c r="J24" s="96"/>
      <c r="K24" s="94"/>
      <c r="L24" s="94"/>
      <c r="M24" s="94"/>
      <c r="N24" s="94"/>
      <c r="O24" s="94"/>
      <c r="P24" s="95"/>
      <c r="Q24" s="95"/>
      <c r="R24" s="95"/>
      <c r="S24" s="95"/>
      <c r="T24" s="94"/>
      <c r="U24" s="94"/>
      <c r="V24" s="96"/>
      <c r="W24" s="96"/>
      <c r="X24" s="96"/>
      <c r="Y24" s="81"/>
      <c r="Z24" s="81"/>
      <c r="AA24" s="81"/>
      <c r="AB24"/>
      <c r="AC24" s="98"/>
      <c r="AD24" s="99"/>
      <c r="AE24" s="96"/>
      <c r="AF24" s="96"/>
      <c r="AG24" s="13"/>
      <c r="AH24" s="13"/>
      <c r="AI24" s="13"/>
      <c r="AJ24" s="15"/>
    </row>
    <row r="25" spans="3:38">
      <c r="C25" s="13"/>
      <c r="D25" s="12"/>
      <c r="E25" s="563" t="s">
        <v>819</v>
      </c>
      <c r="F25" s="563"/>
      <c r="G25" s="563"/>
      <c r="H25" s="600" t="s">
        <v>815</v>
      </c>
      <c r="I25" s="600"/>
      <c r="J25" s="600"/>
      <c r="K25" s="600"/>
      <c r="L25" s="600"/>
      <c r="M25" s="600"/>
      <c r="N25" s="340" t="s">
        <v>816</v>
      </c>
      <c r="S25" s="100"/>
      <c r="T25" s="81"/>
      <c r="U25" s="94"/>
      <c r="V25" s="96"/>
      <c r="W25" s="96"/>
      <c r="X25" s="96"/>
      <c r="Y25" s="567"/>
      <c r="Z25" s="567"/>
      <c r="AA25" s="567"/>
      <c r="AB25" s="525"/>
      <c r="AC25" s="525"/>
      <c r="AD25" s="99"/>
      <c r="AE25" s="96"/>
      <c r="AF25" s="96"/>
      <c r="AG25" s="13"/>
      <c r="AH25" s="13"/>
      <c r="AI25" s="13"/>
      <c r="AJ25" s="15"/>
    </row>
    <row r="26" spans="3:38">
      <c r="C26" s="13"/>
      <c r="D26" s="12"/>
      <c r="E26" s="563" t="s">
        <v>2</v>
      </c>
      <c r="F26" s="563"/>
      <c r="G26" s="563"/>
      <c r="H26" s="616">
        <f>M22</f>
        <v>0.33300000000000002</v>
      </c>
      <c r="I26" s="616"/>
      <c r="J26" s="616"/>
      <c r="K26" s="1" t="s">
        <v>27</v>
      </c>
      <c r="L26" s="1" t="s">
        <v>69</v>
      </c>
      <c r="M26" s="617">
        <f>P22</f>
        <v>9</v>
      </c>
      <c r="N26" s="617"/>
      <c r="O26" s="451" t="s">
        <v>817</v>
      </c>
      <c r="P26" s="451"/>
      <c r="Q26" s="1" t="s">
        <v>68</v>
      </c>
      <c r="R26" s="618">
        <f>R22</f>
        <v>77.5</v>
      </c>
      <c r="S26" s="618"/>
      <c r="T26" s="618"/>
      <c r="U26" s="1" t="s">
        <v>83</v>
      </c>
      <c r="V26" s="96" t="s">
        <v>122</v>
      </c>
      <c r="W26" s="104">
        <f>U22</f>
        <v>0</v>
      </c>
      <c r="AD26" s="99"/>
      <c r="AE26" s="96"/>
      <c r="AF26" s="96"/>
      <c r="AG26" s="13"/>
      <c r="AH26" s="13"/>
      <c r="AI26" s="13"/>
      <c r="AJ26" s="15"/>
    </row>
    <row r="27" spans="3:38" ht="20.25">
      <c r="C27" s="15"/>
      <c r="D27" s="13"/>
      <c r="E27" s="563" t="s">
        <v>2</v>
      </c>
      <c r="F27" s="563"/>
      <c r="G27" s="563"/>
      <c r="H27" s="564">
        <f>M22*P22</f>
        <v>2.9970000000000003</v>
      </c>
      <c r="I27" s="565"/>
      <c r="J27" s="566"/>
      <c r="K27" s="525" t="s">
        <v>226</v>
      </c>
      <c r="L27" s="525"/>
      <c r="M27" s="517">
        <f>M22*R22</f>
        <v>25.807500000000001</v>
      </c>
      <c r="N27" s="518"/>
      <c r="O27" s="518"/>
      <c r="P27" s="518"/>
      <c r="Q27" s="518"/>
      <c r="R27" s="519"/>
      <c r="S27" s="100" t="s">
        <v>36</v>
      </c>
      <c r="T27" s="81"/>
      <c r="U27" s="94"/>
      <c r="V27" s="13"/>
      <c r="W27" s="13"/>
      <c r="X27" s="13"/>
      <c r="Y27" s="13"/>
      <c r="Z27" s="13"/>
      <c r="AA27" s="13"/>
      <c r="AB27" s="13"/>
      <c r="AC27" s="13"/>
      <c r="AD27" s="13"/>
      <c r="AE27" s="13"/>
      <c r="AF27" s="13"/>
      <c r="AG27" s="13"/>
      <c r="AH27" s="13"/>
      <c r="AI27" s="13"/>
      <c r="AJ27" s="15"/>
    </row>
    <row r="28" spans="3:38">
      <c r="C28" s="15"/>
      <c r="D28" s="13"/>
      <c r="E28" s="28"/>
      <c r="F28" s="28"/>
      <c r="G28" s="166"/>
      <c r="H28" s="166"/>
      <c r="I28" s="96"/>
      <c r="J28" s="81"/>
      <c r="K28" s="96"/>
      <c r="L28" s="81"/>
      <c r="M28" s="134"/>
      <c r="N28" s="134"/>
      <c r="O28" s="134"/>
      <c r="P28" s="96"/>
      <c r="Q28" s="96"/>
      <c r="R28" s="96"/>
      <c r="S28" s="13"/>
      <c r="T28" s="13"/>
      <c r="U28" s="13"/>
      <c r="V28" s="13"/>
      <c r="W28" s="13"/>
      <c r="X28" s="13"/>
      <c r="Y28" s="13"/>
      <c r="Z28" s="13"/>
      <c r="AA28" s="13"/>
      <c r="AB28" s="13"/>
      <c r="AC28" s="13"/>
      <c r="AD28" s="13"/>
      <c r="AE28" s="13"/>
      <c r="AF28" s="13"/>
      <c r="AG28" s="13"/>
      <c r="AH28" s="13"/>
      <c r="AI28" s="13"/>
      <c r="AJ28" s="15"/>
    </row>
    <row r="29" spans="3:38">
      <c r="C29" s="15"/>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5"/>
    </row>
    <row r="30" spans="3:38" s="234" customFormat="1">
      <c r="C30" s="117"/>
      <c r="D30" s="314" t="s">
        <v>389</v>
      </c>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t="s">
        <v>422</v>
      </c>
      <c r="AC30" s="117"/>
      <c r="AD30" s="117"/>
      <c r="AE30" s="117"/>
      <c r="AF30" s="117"/>
      <c r="AG30" s="117"/>
      <c r="AH30" s="117"/>
      <c r="AI30" s="117"/>
      <c r="AJ30" s="315"/>
    </row>
    <row r="31" spans="3:38">
      <c r="C31" s="13"/>
      <c r="D31" s="12"/>
      <c r="E31" s="13"/>
      <c r="F31" s="13"/>
      <c r="G31" s="13"/>
      <c r="H31"/>
      <c r="I31" s="410" t="s">
        <v>23</v>
      </c>
      <c r="J31" s="411"/>
      <c r="K31" s="410" t="s">
        <v>9</v>
      </c>
      <c r="L31" s="411"/>
      <c r="M31" s="413" t="s">
        <v>168</v>
      </c>
      <c r="N31" s="414"/>
      <c r="O31" s="415"/>
      <c r="P31" s="410"/>
      <c r="Q31" s="411"/>
      <c r="R31" s="410"/>
      <c r="S31" s="412"/>
      <c r="T31" s="412"/>
      <c r="U31" s="410"/>
      <c r="V31" s="412"/>
      <c r="W31" s="411"/>
      <c r="X31" s="602" t="s">
        <v>408</v>
      </c>
      <c r="Y31" s="603"/>
      <c r="Z31" s="604"/>
      <c r="AA31" s="410"/>
      <c r="AB31" s="412"/>
      <c r="AC31" s="411"/>
      <c r="AD31" s="410" t="s">
        <v>167</v>
      </c>
      <c r="AE31" s="412"/>
      <c r="AF31" s="412"/>
      <c r="AG31" s="412"/>
      <c r="AH31" s="412"/>
      <c r="AI31" s="411"/>
      <c r="AJ31" s="93"/>
      <c r="AK31" s="13"/>
      <c r="AL31" s="13"/>
    </row>
    <row r="32" spans="3:38" ht="20.25">
      <c r="C32" s="13"/>
      <c r="D32" s="12"/>
      <c r="E32" s="13"/>
      <c r="F32" s="13"/>
      <c r="G32" s="13"/>
      <c r="H32"/>
      <c r="I32" s="421" t="s">
        <v>409</v>
      </c>
      <c r="J32" s="422"/>
      <c r="K32" s="423"/>
      <c r="L32" s="424"/>
      <c r="M32" s="421" t="s">
        <v>169</v>
      </c>
      <c r="N32" s="360"/>
      <c r="O32" s="422"/>
      <c r="P32" s="416" t="s">
        <v>16</v>
      </c>
      <c r="Q32" s="417"/>
      <c r="R32" s="601" t="s">
        <v>429</v>
      </c>
      <c r="S32" s="360"/>
      <c r="T32" s="422"/>
      <c r="U32" s="34" t="s">
        <v>171</v>
      </c>
      <c r="V32" s="34"/>
      <c r="W32" s="58"/>
      <c r="X32" s="421" t="s">
        <v>170</v>
      </c>
      <c r="Y32" s="360"/>
      <c r="Z32" s="422"/>
      <c r="AA32" s="421"/>
      <c r="AB32" s="360"/>
      <c r="AC32" s="422"/>
      <c r="AD32" s="588" t="s">
        <v>412</v>
      </c>
      <c r="AE32" s="589"/>
      <c r="AF32" s="589"/>
      <c r="AG32" s="589"/>
      <c r="AH32" s="589"/>
      <c r="AI32" s="590"/>
      <c r="AJ32" s="93"/>
      <c r="AK32" s="13"/>
      <c r="AL32" s="13"/>
    </row>
    <row r="33" spans="3:38" ht="20.25">
      <c r="C33" s="13"/>
      <c r="D33" s="12"/>
      <c r="E33" s="13"/>
      <c r="F33" s="13"/>
      <c r="G33" s="13"/>
      <c r="H33"/>
      <c r="I33" s="498" t="s">
        <v>20</v>
      </c>
      <c r="J33" s="499"/>
      <c r="K33" s="498"/>
      <c r="L33" s="499"/>
      <c r="M33" s="7"/>
      <c r="N33" s="81"/>
      <c r="O33" s="8"/>
      <c r="P33" s="418" t="s">
        <v>40</v>
      </c>
      <c r="Q33" s="420"/>
      <c r="R33" s="418" t="s">
        <v>36</v>
      </c>
      <c r="S33" s="419"/>
      <c r="T33" s="419"/>
      <c r="U33" s="418" t="s">
        <v>36</v>
      </c>
      <c r="V33" s="419"/>
      <c r="W33" s="419"/>
      <c r="X33" s="418" t="s">
        <v>36</v>
      </c>
      <c r="Y33" s="419"/>
      <c r="Z33" s="419"/>
      <c r="AA33" s="418"/>
      <c r="AB33" s="419"/>
      <c r="AC33" s="419"/>
      <c r="AD33" s="498" t="s">
        <v>36</v>
      </c>
      <c r="AE33" s="500"/>
      <c r="AF33" s="500"/>
      <c r="AG33" s="500"/>
      <c r="AH33" s="500"/>
      <c r="AI33" s="499"/>
      <c r="AJ33" s="93"/>
      <c r="AK33" s="13"/>
      <c r="AL33" s="13"/>
    </row>
    <row r="34" spans="3:38" ht="18.75" customHeight="1">
      <c r="C34" s="13"/>
      <c r="D34" s="12"/>
      <c r="E34" s="497" t="s">
        <v>445</v>
      </c>
      <c r="F34" s="497"/>
      <c r="G34" s="413" t="s">
        <v>130</v>
      </c>
      <c r="H34" s="415"/>
      <c r="I34" s="479" t="s">
        <v>225</v>
      </c>
      <c r="J34" s="480"/>
      <c r="K34" s="483" t="str">
        <f>'1.設計条件'!H26</f>
        <v>砂質</v>
      </c>
      <c r="L34" s="484"/>
      <c r="M34" s="487">
        <f>ROUND(TAN(RADIANS(45+'1.設計条件'!AB26/2))^2,3)</f>
        <v>3</v>
      </c>
      <c r="N34" s="488"/>
      <c r="O34" s="489"/>
      <c r="P34" s="483">
        <f>IF('1.設計条件'!L26="-",'1.設計条件'!P26,'1.設計条件'!X26)</f>
        <v>9</v>
      </c>
      <c r="Q34" s="484"/>
      <c r="R34" s="493">
        <v>0</v>
      </c>
      <c r="S34" s="494"/>
      <c r="T34" s="494"/>
      <c r="U34" s="483">
        <f>2*'1.設計条件'!AF26*SQRT(M34)</f>
        <v>0</v>
      </c>
      <c r="V34" s="495"/>
      <c r="W34" s="484"/>
      <c r="X34" s="493">
        <f>M34*R34+U34</f>
        <v>0</v>
      </c>
      <c r="Y34" s="494"/>
      <c r="Z34" s="494"/>
      <c r="AA34" s="493"/>
      <c r="AB34" s="494"/>
      <c r="AC34" s="559"/>
      <c r="AD34" s="502" t="s">
        <v>446</v>
      </c>
      <c r="AE34" s="503"/>
      <c r="AF34" s="503"/>
      <c r="AG34" s="504">
        <f>X34</f>
        <v>0</v>
      </c>
      <c r="AH34" s="504"/>
      <c r="AI34" s="505"/>
      <c r="AJ34" s="93"/>
      <c r="AK34" s="13"/>
      <c r="AL34" s="13"/>
    </row>
    <row r="35" spans="3:38">
      <c r="C35" s="13"/>
      <c r="D35" s="12"/>
      <c r="E35" s="497"/>
      <c r="F35" s="497"/>
      <c r="G35" s="418" t="s">
        <v>131</v>
      </c>
      <c r="H35" s="420"/>
      <c r="I35" s="481"/>
      <c r="J35" s="482"/>
      <c r="K35" s="485"/>
      <c r="L35" s="486"/>
      <c r="M35" s="490"/>
      <c r="N35" s="491"/>
      <c r="O35" s="492"/>
      <c r="P35" s="485"/>
      <c r="Q35" s="486"/>
      <c r="R35" s="511"/>
      <c r="S35" s="512"/>
      <c r="T35" s="512"/>
      <c r="U35" s="485"/>
      <c r="V35" s="496"/>
      <c r="W35" s="486"/>
      <c r="X35" s="511"/>
      <c r="Y35" s="512"/>
      <c r="Z35" s="512"/>
      <c r="AA35" s="511"/>
      <c r="AB35" s="512"/>
      <c r="AC35" s="512"/>
      <c r="AD35" s="513" t="s">
        <v>447</v>
      </c>
      <c r="AE35" s="514"/>
      <c r="AF35" s="514"/>
      <c r="AG35" s="515" t="s">
        <v>455</v>
      </c>
      <c r="AH35" s="515"/>
      <c r="AI35" s="516"/>
      <c r="AJ35" s="93"/>
      <c r="AK35" s="13"/>
      <c r="AL35" s="13"/>
    </row>
    <row r="36" spans="3:38">
      <c r="C36" s="13"/>
      <c r="D36" s="12"/>
      <c r="E36" s="97"/>
      <c r="F36" s="96"/>
      <c r="G36" s="96"/>
      <c r="H36" s="96"/>
      <c r="I36" s="96"/>
      <c r="J36" s="96"/>
      <c r="K36" s="94"/>
      <c r="L36" s="94"/>
      <c r="M36" s="94"/>
      <c r="N36" s="94"/>
      <c r="O36" s="94"/>
      <c r="P36" s="95"/>
      <c r="Q36" s="95"/>
      <c r="R36" s="95"/>
      <c r="S36" s="95"/>
      <c r="T36" s="94"/>
      <c r="U36" s="94"/>
      <c r="V36" s="96"/>
      <c r="W36" s="96"/>
      <c r="X36" s="96"/>
      <c r="Y36" s="81"/>
      <c r="Z36" s="81"/>
      <c r="AA36" s="81"/>
      <c r="AB36"/>
      <c r="AC36" s="98"/>
      <c r="AD36" s="99"/>
      <c r="AE36" s="96"/>
      <c r="AF36" s="96"/>
      <c r="AG36" s="13"/>
      <c r="AH36" s="13"/>
      <c r="AI36" s="13"/>
      <c r="AJ36" s="15"/>
    </row>
    <row r="37" spans="3:38">
      <c r="C37" s="13"/>
      <c r="D37" s="12"/>
      <c r="E37" s="563" t="s">
        <v>452</v>
      </c>
      <c r="F37" s="563"/>
      <c r="G37" s="563"/>
      <c r="H37" s="567" t="s">
        <v>173</v>
      </c>
      <c r="I37" s="567"/>
      <c r="J37" s="567"/>
      <c r="K37" s="568" t="s">
        <v>409</v>
      </c>
      <c r="L37" s="568"/>
      <c r="M37" s="100"/>
      <c r="N37" s="101"/>
      <c r="O37" s="101"/>
      <c r="P37" s="101"/>
      <c r="Q37" s="101"/>
      <c r="R37" s="101"/>
      <c r="S37" s="13"/>
      <c r="T37" s="81"/>
      <c r="U37" s="94"/>
      <c r="V37" s="96"/>
      <c r="W37" s="96"/>
      <c r="X37" s="96"/>
      <c r="Y37" s="81"/>
      <c r="Z37" s="81"/>
      <c r="AA37" s="81"/>
      <c r="AB37"/>
      <c r="AC37" s="98"/>
      <c r="AD37" s="99"/>
      <c r="AE37" s="96"/>
      <c r="AF37" s="96"/>
      <c r="AG37" s="13"/>
      <c r="AH37" s="13"/>
      <c r="AI37" s="13"/>
      <c r="AJ37" s="15"/>
    </row>
    <row r="38" spans="3:38" ht="20.25">
      <c r="C38" s="13"/>
      <c r="D38" s="12"/>
      <c r="E38" s="563" t="s">
        <v>2</v>
      </c>
      <c r="F38" s="563"/>
      <c r="G38" s="563"/>
      <c r="H38" s="564">
        <f>M34*P34</f>
        <v>27</v>
      </c>
      <c r="I38" s="565"/>
      <c r="J38" s="566"/>
      <c r="K38" s="525" t="s">
        <v>225</v>
      </c>
      <c r="L38" s="525"/>
      <c r="M38" s="100" t="s">
        <v>36</v>
      </c>
      <c r="N38" s="102"/>
      <c r="O38" s="102"/>
      <c r="P38" s="102"/>
      <c r="Q38" s="102"/>
      <c r="R38" s="102"/>
      <c r="S38" s="13"/>
      <c r="T38" s="81"/>
      <c r="U38" s="94"/>
      <c r="V38" s="96"/>
      <c r="W38" s="96"/>
      <c r="X38" s="96"/>
      <c r="Y38" s="81"/>
      <c r="Z38" s="81"/>
      <c r="AA38" s="81"/>
      <c r="AB38"/>
      <c r="AC38" s="98"/>
      <c r="AD38" s="99"/>
      <c r="AE38" s="96"/>
      <c r="AF38" s="96"/>
      <c r="AG38" s="13"/>
      <c r="AH38" s="13"/>
      <c r="AI38" s="13"/>
      <c r="AJ38" s="15"/>
    </row>
    <row r="39" spans="3:38">
      <c r="C39" s="15"/>
      <c r="D39" s="13"/>
      <c r="E39" s="28"/>
      <c r="F39" s="28"/>
      <c r="G39" s="166"/>
      <c r="H39" s="166"/>
      <c r="I39" s="96"/>
      <c r="J39" s="81"/>
      <c r="K39" s="96"/>
      <c r="L39" s="81"/>
      <c r="M39" s="134"/>
      <c r="N39" s="134"/>
      <c r="O39" s="134"/>
      <c r="P39" s="96"/>
      <c r="Q39" s="96"/>
      <c r="R39" s="96"/>
      <c r="S39" s="13"/>
      <c r="T39" s="13"/>
      <c r="U39" s="13"/>
      <c r="V39" s="13"/>
      <c r="W39" s="13"/>
      <c r="X39" s="13"/>
      <c r="Y39" s="13"/>
      <c r="Z39" s="13"/>
      <c r="AA39" s="13"/>
      <c r="AB39" s="13"/>
      <c r="AC39" s="13"/>
      <c r="AD39" s="13"/>
      <c r="AE39" s="13"/>
      <c r="AF39" s="13"/>
      <c r="AG39" s="13"/>
      <c r="AH39" s="13"/>
      <c r="AI39" s="13"/>
      <c r="AJ39" s="15"/>
    </row>
    <row r="40" spans="3:38">
      <c r="C40" s="15"/>
      <c r="D40" s="13"/>
      <c r="E40" s="97"/>
      <c r="F40" s="96"/>
      <c r="G40" s="96"/>
      <c r="H40" s="96"/>
      <c r="I40" s="96"/>
      <c r="J40" s="96"/>
      <c r="K40" s="94"/>
      <c r="L40" s="94"/>
      <c r="M40" s="94"/>
      <c r="N40" s="94"/>
      <c r="O40" s="94"/>
      <c r="P40" s="95"/>
      <c r="Q40" s="95"/>
      <c r="R40" s="95"/>
      <c r="S40" s="95"/>
      <c r="T40" s="94"/>
      <c r="U40" s="94"/>
      <c r="V40" s="96"/>
      <c r="W40" s="96"/>
      <c r="X40" s="96"/>
      <c r="Y40" s="81"/>
      <c r="Z40" s="81"/>
      <c r="AA40" s="81"/>
      <c r="AB40"/>
      <c r="AC40" s="98"/>
      <c r="AD40" s="99"/>
      <c r="AE40" s="96"/>
      <c r="AF40" s="96"/>
      <c r="AG40" s="13"/>
      <c r="AH40" s="13"/>
      <c r="AI40" s="13"/>
      <c r="AJ40" s="15"/>
    </row>
    <row r="41" spans="3:38">
      <c r="C41" s="15"/>
      <c r="D41" s="13" t="s">
        <v>390</v>
      </c>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5"/>
    </row>
    <row r="42" spans="3:38">
      <c r="C42" s="13"/>
      <c r="D42" s="12"/>
      <c r="E42" s="13"/>
      <c r="F42" s="13"/>
      <c r="G42" s="13"/>
      <c r="H42"/>
      <c r="I42" s="410" t="s">
        <v>23</v>
      </c>
      <c r="J42" s="411"/>
      <c r="K42" s="410" t="s">
        <v>30</v>
      </c>
      <c r="L42" s="411"/>
      <c r="M42" s="410" t="s">
        <v>31</v>
      </c>
      <c r="N42" s="412"/>
      <c r="O42" s="412"/>
      <c r="P42" s="412"/>
      <c r="Q42" s="412"/>
      <c r="R42" s="411"/>
      <c r="S42" s="13"/>
      <c r="T42" s="13"/>
      <c r="U42" s="13"/>
      <c r="V42" s="13"/>
      <c r="W42" s="13"/>
      <c r="X42" s="13"/>
      <c r="Y42" s="13"/>
      <c r="Z42" s="13"/>
      <c r="AA42" s="13"/>
      <c r="AB42" s="13"/>
      <c r="AC42" s="13"/>
      <c r="AD42" s="13"/>
      <c r="AE42" s="13"/>
      <c r="AF42" s="13"/>
      <c r="AG42" s="13"/>
      <c r="AH42" s="13"/>
      <c r="AI42" s="13"/>
      <c r="AJ42" s="15"/>
    </row>
    <row r="43" spans="3:38">
      <c r="C43" s="13"/>
      <c r="D43" s="12"/>
      <c r="E43" s="13"/>
      <c r="F43" s="13"/>
      <c r="G43" s="13"/>
      <c r="H43"/>
      <c r="I43" s="421" t="s">
        <v>15</v>
      </c>
      <c r="J43" s="422"/>
      <c r="K43" s="423"/>
      <c r="L43" s="424"/>
      <c r="M43" s="421" t="s">
        <v>148</v>
      </c>
      <c r="N43" s="360"/>
      <c r="O43" s="360"/>
      <c r="P43" s="360"/>
      <c r="Q43" s="360"/>
      <c r="R43" s="422"/>
      <c r="S43" s="13"/>
      <c r="T43" s="13"/>
      <c r="U43" s="13"/>
      <c r="V43" s="13"/>
      <c r="W43" s="13"/>
      <c r="X43" s="13"/>
      <c r="Y43" s="13"/>
      <c r="Z43" s="13"/>
      <c r="AA43" s="13"/>
      <c r="AB43" s="13"/>
      <c r="AC43" s="13"/>
      <c r="AD43" s="13"/>
      <c r="AE43" s="13"/>
      <c r="AF43" s="13"/>
      <c r="AG43" s="13"/>
      <c r="AH43" s="13"/>
      <c r="AI43" s="13"/>
      <c r="AJ43" s="15"/>
    </row>
    <row r="44" spans="3:38" ht="20.25">
      <c r="C44" s="13"/>
      <c r="D44" s="12"/>
      <c r="E44" s="13"/>
      <c r="F44" s="13"/>
      <c r="G44" s="13"/>
      <c r="H44"/>
      <c r="I44" s="498" t="s">
        <v>20</v>
      </c>
      <c r="J44" s="499"/>
      <c r="K44" s="498" t="s">
        <v>20</v>
      </c>
      <c r="L44" s="499"/>
      <c r="M44" s="498" t="s">
        <v>36</v>
      </c>
      <c r="N44" s="500"/>
      <c r="O44" s="500"/>
      <c r="P44" s="500"/>
      <c r="Q44" s="500"/>
      <c r="R44" s="499"/>
      <c r="S44" s="13"/>
      <c r="T44" s="13"/>
      <c r="U44" s="13"/>
      <c r="V44" s="13"/>
      <c r="W44" s="13"/>
      <c r="X44" s="13"/>
      <c r="Y44" s="13"/>
      <c r="Z44" s="13"/>
      <c r="AA44" s="13"/>
      <c r="AB44" s="13"/>
      <c r="AC44" s="13"/>
      <c r="AD44" s="13"/>
      <c r="AE44" s="13"/>
      <c r="AF44" s="13"/>
      <c r="AG44" s="13"/>
      <c r="AH44" s="13"/>
      <c r="AI44" s="13"/>
      <c r="AJ44" s="15"/>
    </row>
    <row r="45" spans="3:38">
      <c r="C45" s="13"/>
      <c r="D45" s="12"/>
      <c r="E45" s="497" t="s">
        <v>21</v>
      </c>
      <c r="F45" s="497"/>
      <c r="G45" s="413" t="s">
        <v>130</v>
      </c>
      <c r="H45" s="415"/>
      <c r="I45" s="410"/>
      <c r="J45" s="411"/>
      <c r="K45" s="410"/>
      <c r="L45" s="411"/>
      <c r="M45" s="502" t="s">
        <v>146</v>
      </c>
      <c r="N45" s="503"/>
      <c r="O45" s="503"/>
      <c r="P45" s="504">
        <v>0</v>
      </c>
      <c r="Q45" s="504"/>
      <c r="R45" s="505"/>
      <c r="S45" s="13"/>
      <c r="T45" s="13"/>
      <c r="U45" s="13"/>
      <c r="V45" s="13"/>
      <c r="W45" s="13"/>
      <c r="X45" s="13"/>
      <c r="Y45" s="13"/>
      <c r="Z45" s="13"/>
      <c r="AA45" s="13"/>
      <c r="AB45" s="13"/>
      <c r="AC45" s="13"/>
      <c r="AD45" s="13"/>
      <c r="AE45" s="13"/>
      <c r="AF45" s="13"/>
      <c r="AG45" s="13"/>
      <c r="AH45" s="13"/>
      <c r="AI45" s="13"/>
      <c r="AJ45" s="15"/>
    </row>
    <row r="46" spans="3:38">
      <c r="C46" s="13"/>
      <c r="D46" s="12"/>
      <c r="E46" s="497"/>
      <c r="F46" s="497"/>
      <c r="G46" s="418" t="s">
        <v>131</v>
      </c>
      <c r="H46" s="420"/>
      <c r="I46" s="560">
        <f>'1.設計条件'!F22</f>
        <v>1</v>
      </c>
      <c r="J46" s="499"/>
      <c r="K46" s="560" t="str">
        <f>'1.設計条件'!L22</f>
        <v>-</v>
      </c>
      <c r="L46" s="499"/>
      <c r="M46" s="513" t="s">
        <v>139</v>
      </c>
      <c r="N46" s="514"/>
      <c r="O46" s="514"/>
      <c r="P46" s="591">
        <f>IF(K46="-",0, 10*K46+P45)</f>
        <v>0</v>
      </c>
      <c r="Q46" s="591"/>
      <c r="R46" s="578"/>
      <c r="S46" s="13"/>
      <c r="T46" s="13"/>
      <c r="U46" s="13"/>
      <c r="V46" s="13"/>
      <c r="W46" s="13"/>
      <c r="X46" s="13"/>
      <c r="Y46" s="13"/>
      <c r="Z46" s="13"/>
      <c r="AA46" s="13"/>
      <c r="AB46" s="13"/>
      <c r="AC46" s="13"/>
      <c r="AD46" s="13"/>
      <c r="AE46" s="13"/>
      <c r="AF46" s="13"/>
      <c r="AG46" s="13"/>
      <c r="AH46" s="13"/>
      <c r="AI46" s="13"/>
      <c r="AJ46" s="15"/>
    </row>
    <row r="47" spans="3:38">
      <c r="C47" s="13"/>
      <c r="D47" s="12"/>
      <c r="E47" s="497" t="s">
        <v>22</v>
      </c>
      <c r="F47" s="497"/>
      <c r="G47" s="413" t="s">
        <v>130</v>
      </c>
      <c r="H47" s="415"/>
      <c r="I47" s="571"/>
      <c r="J47" s="505"/>
      <c r="K47" s="571"/>
      <c r="L47" s="505"/>
      <c r="M47" s="502" t="s">
        <v>140</v>
      </c>
      <c r="N47" s="503"/>
      <c r="O47" s="503"/>
      <c r="P47" s="504">
        <f>P46</f>
        <v>0</v>
      </c>
      <c r="Q47" s="504"/>
      <c r="R47" s="505"/>
      <c r="S47" s="13"/>
      <c r="T47" s="13"/>
      <c r="U47" s="13"/>
      <c r="V47" s="13"/>
      <c r="W47" s="13"/>
      <c r="X47" s="13"/>
      <c r="Y47" s="13"/>
      <c r="Z47" s="13"/>
      <c r="AA47" s="13"/>
      <c r="AB47" s="13"/>
      <c r="AC47" s="13"/>
      <c r="AD47" s="13"/>
      <c r="AE47" s="13"/>
      <c r="AF47" s="13"/>
      <c r="AG47" s="13"/>
      <c r="AH47" s="13"/>
      <c r="AI47" s="13"/>
      <c r="AJ47" s="15"/>
    </row>
    <row r="48" spans="3:38">
      <c r="C48" s="13"/>
      <c r="D48" s="12"/>
      <c r="E48" s="497"/>
      <c r="F48" s="497"/>
      <c r="G48" s="418" t="s">
        <v>131</v>
      </c>
      <c r="H48" s="420"/>
      <c r="I48" s="560">
        <f>'1.設計条件'!F23</f>
        <v>1.5</v>
      </c>
      <c r="J48" s="499"/>
      <c r="K48" s="560" t="str">
        <f>'1.設計条件'!L23</f>
        <v>-</v>
      </c>
      <c r="L48" s="499"/>
      <c r="M48" s="513" t="s">
        <v>147</v>
      </c>
      <c r="N48" s="514"/>
      <c r="O48" s="514"/>
      <c r="P48" s="515">
        <f>IF(K48="-",0, 10*K48+P47)</f>
        <v>0</v>
      </c>
      <c r="Q48" s="515"/>
      <c r="R48" s="516"/>
      <c r="S48" s="13"/>
      <c r="T48" s="13"/>
      <c r="U48" s="13"/>
      <c r="V48" s="13"/>
      <c r="W48" s="13"/>
      <c r="X48" s="13"/>
      <c r="Y48" s="13"/>
      <c r="Z48" s="13"/>
      <c r="AA48" s="13"/>
      <c r="AB48" s="13"/>
      <c r="AC48" s="13"/>
      <c r="AD48" s="13"/>
      <c r="AE48" s="13"/>
      <c r="AF48" s="13"/>
      <c r="AG48" s="13"/>
      <c r="AH48" s="13"/>
      <c r="AI48" s="13"/>
      <c r="AJ48" s="15"/>
    </row>
    <row r="49" spans="3:39">
      <c r="C49" s="13"/>
      <c r="D49" s="12"/>
      <c r="E49" s="497" t="s">
        <v>444</v>
      </c>
      <c r="F49" s="497"/>
      <c r="G49" s="413" t="s">
        <v>130</v>
      </c>
      <c r="H49" s="415"/>
      <c r="I49" s="577"/>
      <c r="J49" s="578"/>
      <c r="K49" s="577"/>
      <c r="L49" s="578"/>
      <c r="M49" s="502" t="s">
        <v>448</v>
      </c>
      <c r="N49" s="503"/>
      <c r="O49" s="503"/>
      <c r="P49" s="591">
        <f>P48</f>
        <v>0</v>
      </c>
      <c r="Q49" s="591"/>
      <c r="R49" s="578"/>
      <c r="S49" s="13"/>
      <c r="T49" s="13"/>
      <c r="U49" s="13"/>
      <c r="V49" s="13"/>
      <c r="W49" s="13"/>
      <c r="X49" s="13"/>
      <c r="Y49" s="13"/>
      <c r="Z49" s="13"/>
      <c r="AA49" s="13"/>
      <c r="AB49" s="13"/>
      <c r="AC49" s="13"/>
      <c r="AD49" s="13"/>
      <c r="AE49" s="13"/>
      <c r="AF49" s="13"/>
      <c r="AG49" s="13"/>
      <c r="AH49" s="13"/>
      <c r="AI49" s="13"/>
      <c r="AJ49" s="15"/>
    </row>
    <row r="50" spans="3:39" ht="19.5" thickBot="1">
      <c r="C50" s="13"/>
      <c r="D50" s="12"/>
      <c r="E50" s="581"/>
      <c r="F50" s="581"/>
      <c r="G50" s="579" t="s">
        <v>131</v>
      </c>
      <c r="H50" s="580"/>
      <c r="I50" s="573">
        <f>I20</f>
        <v>2.5</v>
      </c>
      <c r="J50" s="574"/>
      <c r="K50" s="573">
        <f>I50</f>
        <v>2.5</v>
      </c>
      <c r="L50" s="574"/>
      <c r="M50" s="575" t="s">
        <v>449</v>
      </c>
      <c r="N50" s="576"/>
      <c r="O50" s="576"/>
      <c r="P50" s="592">
        <f>IF(K50="-",0, 10*K50+P49)</f>
        <v>25</v>
      </c>
      <c r="Q50" s="592"/>
      <c r="R50" s="593"/>
      <c r="S50" s="13"/>
      <c r="T50" s="13"/>
      <c r="U50" s="13"/>
      <c r="V50" s="13"/>
      <c r="W50" s="13"/>
      <c r="X50" s="13"/>
      <c r="Y50" s="13"/>
      <c r="Z50" s="13"/>
      <c r="AA50" s="13"/>
      <c r="AB50" s="13"/>
      <c r="AC50" s="13"/>
      <c r="AD50" s="13"/>
      <c r="AE50" s="13"/>
      <c r="AF50" s="13"/>
      <c r="AG50" s="13"/>
      <c r="AH50" s="13"/>
      <c r="AI50" s="13"/>
      <c r="AJ50" s="15"/>
    </row>
    <row r="51" spans="3:39" ht="19.5" thickTop="1">
      <c r="C51" s="15"/>
      <c r="D51" s="13"/>
      <c r="E51" s="501" t="s">
        <v>445</v>
      </c>
      <c r="F51" s="501"/>
      <c r="G51" s="413" t="s">
        <v>130</v>
      </c>
      <c r="H51" s="415"/>
      <c r="I51" s="410"/>
      <c r="J51" s="411"/>
      <c r="K51" s="410"/>
      <c r="L51" s="411"/>
      <c r="M51" s="502" t="s">
        <v>450</v>
      </c>
      <c r="N51" s="503"/>
      <c r="O51" s="503"/>
      <c r="P51" s="504">
        <f>P50</f>
        <v>25</v>
      </c>
      <c r="Q51" s="504"/>
      <c r="R51" s="505"/>
      <c r="S51" s="13"/>
      <c r="T51" s="13"/>
      <c r="U51" s="13"/>
      <c r="V51" s="13"/>
      <c r="W51" s="13"/>
      <c r="X51" s="13"/>
      <c r="Y51" s="13"/>
      <c r="Z51" s="13"/>
      <c r="AA51" s="13"/>
      <c r="AB51" s="13"/>
      <c r="AC51" s="13"/>
      <c r="AD51" s="13"/>
      <c r="AE51" s="13"/>
      <c r="AF51" s="13"/>
      <c r="AG51" s="13"/>
      <c r="AH51" s="13"/>
      <c r="AI51" s="13"/>
      <c r="AJ51" s="15"/>
    </row>
    <row r="52" spans="3:39" ht="20.25">
      <c r="C52" s="15"/>
      <c r="D52" s="13"/>
      <c r="E52" s="497"/>
      <c r="F52" s="497"/>
      <c r="G52" s="418" t="s">
        <v>131</v>
      </c>
      <c r="H52" s="420"/>
      <c r="I52" s="560" t="s">
        <v>225</v>
      </c>
      <c r="J52" s="499"/>
      <c r="K52" s="560" t="s">
        <v>225</v>
      </c>
      <c r="L52" s="499"/>
      <c r="M52" s="513" t="s">
        <v>451</v>
      </c>
      <c r="N52" s="514"/>
      <c r="O52" s="514"/>
      <c r="P52" s="515">
        <v>0</v>
      </c>
      <c r="Q52" s="515"/>
      <c r="R52" s="516"/>
      <c r="S52" s="13"/>
      <c r="T52" s="13"/>
      <c r="U52" s="13"/>
      <c r="V52" s="13"/>
      <c r="W52" s="13"/>
      <c r="X52" s="13"/>
      <c r="Y52" s="13"/>
      <c r="Z52" s="13"/>
      <c r="AA52" s="13"/>
      <c r="AB52" s="13"/>
      <c r="AC52" s="13"/>
      <c r="AD52" s="13"/>
      <c r="AE52" s="13"/>
      <c r="AF52" s="13"/>
      <c r="AG52" s="13"/>
      <c r="AH52" s="13"/>
      <c r="AI52" s="13"/>
      <c r="AJ52" s="15"/>
    </row>
    <row r="53" spans="3:39">
      <c r="C53" s="15"/>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5"/>
    </row>
    <row r="54" spans="3:39">
      <c r="C54" s="13"/>
      <c r="D54" s="12" t="s">
        <v>391</v>
      </c>
      <c r="E54" s="97"/>
      <c r="F54" s="96"/>
      <c r="G54" s="96"/>
      <c r="H54" s="96"/>
      <c r="I54" s="96"/>
      <c r="J54" s="96"/>
      <c r="K54" s="94"/>
      <c r="L54" s="94"/>
      <c r="M54" s="94"/>
      <c r="N54" s="94"/>
      <c r="O54" s="94"/>
      <c r="P54" s="95"/>
      <c r="Q54" s="95"/>
      <c r="R54" s="95"/>
      <c r="S54" s="95"/>
      <c r="T54" s="94"/>
      <c r="U54" s="94"/>
      <c r="V54" s="96"/>
      <c r="W54" s="96"/>
      <c r="X54" s="96"/>
      <c r="Y54" s="81"/>
      <c r="Z54" s="81"/>
      <c r="AA54" s="81"/>
      <c r="AB54"/>
      <c r="AC54" s="98"/>
      <c r="AD54" s="99"/>
      <c r="AE54" s="96"/>
      <c r="AF54" s="96"/>
      <c r="AG54" s="13"/>
      <c r="AH54" s="13"/>
      <c r="AI54" s="13"/>
      <c r="AJ54" s="15"/>
    </row>
    <row r="55" spans="3:39">
      <c r="C55" s="13"/>
      <c r="D55" s="12"/>
      <c r="E55" s="97"/>
      <c r="F55" s="96"/>
      <c r="G55" s="96"/>
      <c r="H55" s="96"/>
      <c r="I55" s="540" t="s">
        <v>403</v>
      </c>
      <c r="J55" s="453"/>
      <c r="K55" s="453"/>
      <c r="L55" s="453"/>
      <c r="M55" s="453"/>
      <c r="N55" s="453"/>
      <c r="O55" s="453"/>
      <c r="P55" s="453"/>
      <c r="Q55" s="453"/>
      <c r="R55" s="453"/>
      <c r="S55" s="453"/>
      <c r="T55" s="453"/>
      <c r="U55" s="541"/>
      <c r="V55" s="410" t="s">
        <v>177</v>
      </c>
      <c r="W55" s="412"/>
      <c r="X55" s="412"/>
      <c r="Y55" s="412"/>
      <c r="Z55" s="412"/>
      <c r="AA55" s="412"/>
      <c r="AB55" s="412"/>
      <c r="AC55" s="412"/>
      <c r="AD55" s="412"/>
      <c r="AE55" s="412"/>
      <c r="AF55" s="412"/>
      <c r="AG55" s="412"/>
      <c r="AH55" s="412"/>
      <c r="AI55" s="411"/>
      <c r="AJ55" s="15"/>
    </row>
    <row r="56" spans="3:39">
      <c r="C56" s="13"/>
      <c r="D56" s="12"/>
      <c r="E56" s="13"/>
      <c r="F56" s="96"/>
      <c r="G56" s="96"/>
      <c r="H56" s="96"/>
      <c r="I56" s="547" t="s">
        <v>404</v>
      </c>
      <c r="J56" s="436"/>
      <c r="K56" s="436"/>
      <c r="L56" s="436"/>
      <c r="M56" s="436"/>
      <c r="N56" s="436"/>
      <c r="O56" s="436"/>
      <c r="P56" s="436"/>
      <c r="Q56" s="436"/>
      <c r="R56" s="436"/>
      <c r="S56" s="436"/>
      <c r="T56" s="436"/>
      <c r="U56" s="548"/>
      <c r="V56" s="508" t="s">
        <v>33</v>
      </c>
      <c r="W56" s="509"/>
      <c r="X56" s="509"/>
      <c r="Y56" s="509"/>
      <c r="Z56" s="509"/>
      <c r="AA56" s="509"/>
      <c r="AB56" s="509"/>
      <c r="AC56" s="509"/>
      <c r="AD56" s="509"/>
      <c r="AE56" s="509"/>
      <c r="AF56" s="509"/>
      <c r="AG56" s="509"/>
      <c r="AH56" s="509"/>
      <c r="AI56" s="510"/>
      <c r="AJ56" s="15"/>
    </row>
    <row r="57" spans="3:39">
      <c r="C57" s="13"/>
      <c r="D57" s="12"/>
      <c r="E57" s="97"/>
      <c r="F57" s="96"/>
      <c r="G57" s="96"/>
      <c r="H57" s="96"/>
      <c r="I57" s="16"/>
      <c r="J57" s="25"/>
      <c r="K57" s="25"/>
      <c r="L57" s="25"/>
      <c r="M57" s="25"/>
      <c r="N57" s="25"/>
      <c r="O57" s="25"/>
      <c r="P57" s="25"/>
      <c r="Q57" s="25"/>
      <c r="R57" s="25"/>
      <c r="S57" s="17"/>
      <c r="T57" s="21"/>
      <c r="U57" s="185"/>
      <c r="V57" s="498" t="s">
        <v>34</v>
      </c>
      <c r="W57" s="500"/>
      <c r="X57" s="500"/>
      <c r="Y57" s="500"/>
      <c r="Z57" s="500"/>
      <c r="AA57" s="500"/>
      <c r="AB57" s="500"/>
      <c r="AC57" s="500"/>
      <c r="AD57" s="500"/>
      <c r="AE57" s="500"/>
      <c r="AF57" s="500"/>
      <c r="AG57" s="500"/>
      <c r="AH57" s="500"/>
      <c r="AI57" s="499"/>
      <c r="AJ57" s="15"/>
    </row>
    <row r="58" spans="3:39">
      <c r="C58" s="13"/>
      <c r="D58" s="12"/>
      <c r="E58" s="554" t="s">
        <v>22</v>
      </c>
      <c r="F58" s="555"/>
      <c r="G58" s="544" t="s">
        <v>151</v>
      </c>
      <c r="H58" s="545"/>
      <c r="I58" s="506">
        <f>AG18</f>
        <v>9.3239999999999998</v>
      </c>
      <c r="J58" s="507"/>
      <c r="K58" s="30" t="s">
        <v>27</v>
      </c>
      <c r="L58" s="507">
        <f>I18</f>
        <v>1.5</v>
      </c>
      <c r="M58" s="507"/>
      <c r="N58" s="30" t="s">
        <v>70</v>
      </c>
      <c r="O58" s="64">
        <v>2</v>
      </c>
      <c r="P58" s="30" t="s">
        <v>2</v>
      </c>
      <c r="Q58" s="30"/>
      <c r="R58" s="30"/>
      <c r="S58" s="30"/>
      <c r="T58" s="65"/>
      <c r="U58" s="65"/>
      <c r="V58" s="437"/>
      <c r="W58" s="438"/>
      <c r="X58" s="438"/>
      <c r="Y58" s="67"/>
      <c r="Z58" s="68"/>
      <c r="AA58" s="66"/>
      <c r="AB58" s="438"/>
      <c r="AC58" s="438"/>
      <c r="AD58" s="438"/>
      <c r="AE58" s="30"/>
      <c r="AF58" s="30"/>
      <c r="AG58" s="438">
        <f>L58*I58/O58</f>
        <v>6.9930000000000003</v>
      </c>
      <c r="AH58" s="438"/>
      <c r="AI58" s="439"/>
      <c r="AJ58" s="15"/>
    </row>
    <row r="59" spans="3:39">
      <c r="C59" s="13"/>
      <c r="D59" s="12"/>
      <c r="E59" s="556"/>
      <c r="F59" s="557"/>
      <c r="G59" s="558" t="s">
        <v>152</v>
      </c>
      <c r="H59" s="558"/>
      <c r="I59" s="570">
        <f>AG19</f>
        <v>18.315000000000001</v>
      </c>
      <c r="J59" s="569"/>
      <c r="K59" s="17" t="s">
        <v>27</v>
      </c>
      <c r="L59" s="569">
        <f>I18</f>
        <v>1.5</v>
      </c>
      <c r="M59" s="569"/>
      <c r="N59" s="17" t="s">
        <v>70</v>
      </c>
      <c r="O59" s="49">
        <v>2</v>
      </c>
      <c r="P59" s="17" t="s">
        <v>2</v>
      </c>
      <c r="Q59" s="17"/>
      <c r="R59" s="17"/>
      <c r="S59" s="17"/>
      <c r="T59" s="21"/>
      <c r="U59" s="21"/>
      <c r="V59" s="595"/>
      <c r="W59" s="448"/>
      <c r="X59" s="448"/>
      <c r="Y59" s="98"/>
      <c r="Z59" s="99"/>
      <c r="AA59" s="96"/>
      <c r="AB59" s="448"/>
      <c r="AC59" s="448"/>
      <c r="AD59" s="448"/>
      <c r="AE59" s="13"/>
      <c r="AF59" s="13"/>
      <c r="AG59" s="448">
        <f>L59*I59/O59</f>
        <v>13.736250000000002</v>
      </c>
      <c r="AH59" s="448"/>
      <c r="AI59" s="594"/>
      <c r="AJ59" s="15"/>
    </row>
    <row r="60" spans="3:39">
      <c r="C60" s="13"/>
      <c r="D60" s="12"/>
      <c r="E60" s="554" t="s">
        <v>444</v>
      </c>
      <c r="F60" s="555"/>
      <c r="G60" s="494" t="s">
        <v>153</v>
      </c>
      <c r="H60" s="414"/>
      <c r="I60" s="626">
        <f>AG20</f>
        <v>18.315000000000001</v>
      </c>
      <c r="J60" s="625"/>
      <c r="K60" s="10" t="s">
        <v>27</v>
      </c>
      <c r="L60" s="625">
        <f>I20</f>
        <v>2.5</v>
      </c>
      <c r="M60" s="625"/>
      <c r="N60" s="10" t="s">
        <v>70</v>
      </c>
      <c r="O60" s="48">
        <v>2</v>
      </c>
      <c r="P60" s="10" t="s">
        <v>2</v>
      </c>
      <c r="Q60" s="10"/>
      <c r="R60" s="10"/>
      <c r="S60" s="10"/>
      <c r="T60" s="53"/>
      <c r="U60" s="53"/>
      <c r="V60" s="437"/>
      <c r="W60" s="438"/>
      <c r="X60" s="438"/>
      <c r="Y60" s="67"/>
      <c r="Z60" s="68"/>
      <c r="AA60" s="66"/>
      <c r="AB60" s="438"/>
      <c r="AC60" s="438"/>
      <c r="AD60" s="438"/>
      <c r="AE60" s="30"/>
      <c r="AF60" s="30"/>
      <c r="AG60" s="438">
        <f>L60*I60/O60</f>
        <v>22.893750000000001</v>
      </c>
      <c r="AH60" s="438"/>
      <c r="AI60" s="439"/>
      <c r="AJ60" s="15"/>
      <c r="AM60"/>
    </row>
    <row r="61" spans="3:39">
      <c r="C61" s="13"/>
      <c r="D61" s="12"/>
      <c r="E61" s="556"/>
      <c r="F61" s="557"/>
      <c r="G61" s="561" t="s">
        <v>154</v>
      </c>
      <c r="H61" s="562"/>
      <c r="I61" s="506">
        <f>AG21</f>
        <v>25.807500000000001</v>
      </c>
      <c r="J61" s="507"/>
      <c r="K61" s="30" t="s">
        <v>27</v>
      </c>
      <c r="L61" s="507">
        <f>I20</f>
        <v>2.5</v>
      </c>
      <c r="M61" s="507"/>
      <c r="N61" s="30" t="s">
        <v>70</v>
      </c>
      <c r="O61" s="64">
        <v>2</v>
      </c>
      <c r="P61" s="30" t="s">
        <v>2</v>
      </c>
      <c r="Q61" s="30"/>
      <c r="R61" s="30"/>
      <c r="S61" s="30"/>
      <c r="T61" s="65"/>
      <c r="U61" s="65"/>
      <c r="V61" s="595"/>
      <c r="W61" s="448"/>
      <c r="X61" s="448"/>
      <c r="Y61" s="98"/>
      <c r="Z61" s="99"/>
      <c r="AA61" s="96"/>
      <c r="AB61" s="448"/>
      <c r="AC61" s="448"/>
      <c r="AD61" s="448"/>
      <c r="AE61" s="13"/>
      <c r="AF61" s="13"/>
      <c r="AG61" s="448">
        <f>L61*I61/O61</f>
        <v>32.259374999999999</v>
      </c>
      <c r="AH61" s="448"/>
      <c r="AI61" s="594"/>
      <c r="AJ61" s="15"/>
    </row>
    <row r="62" spans="3:39" ht="20.25">
      <c r="C62" s="13"/>
      <c r="D62" s="12"/>
      <c r="E62" s="554" t="s">
        <v>445</v>
      </c>
      <c r="F62" s="555"/>
      <c r="G62" s="511" t="s">
        <v>155</v>
      </c>
      <c r="H62" s="419"/>
      <c r="I62" s="506">
        <f>AG22</f>
        <v>25.807500000000001</v>
      </c>
      <c r="J62" s="507"/>
      <c r="K62" s="30" t="s">
        <v>27</v>
      </c>
      <c r="L62" s="546" t="s">
        <v>225</v>
      </c>
      <c r="M62" s="404"/>
      <c r="N62" s="30" t="s">
        <v>70</v>
      </c>
      <c r="O62" s="64">
        <v>2</v>
      </c>
      <c r="P62" s="30" t="s">
        <v>2</v>
      </c>
      <c r="Q62" s="30"/>
      <c r="R62" s="30"/>
      <c r="S62" s="30"/>
      <c r="T62" s="65"/>
      <c r="U62" s="65"/>
      <c r="V62" s="437"/>
      <c r="W62" s="438"/>
      <c r="X62" s="438"/>
      <c r="Y62" s="10"/>
      <c r="Z62" s="60"/>
      <c r="AA62" s="52"/>
      <c r="AB62" s="475">
        <f>I62/O62</f>
        <v>12.90375</v>
      </c>
      <c r="AC62" s="475"/>
      <c r="AD62" s="475"/>
      <c r="AE62" s="59" t="s">
        <v>225</v>
      </c>
      <c r="AF62" s="10"/>
      <c r="AG62" s="438"/>
      <c r="AH62" s="438"/>
      <c r="AI62" s="439"/>
      <c r="AJ62" s="15"/>
    </row>
    <row r="63" spans="3:39" ht="21">
      <c r="C63" s="13"/>
      <c r="D63" s="12"/>
      <c r="E63" s="556"/>
      <c r="F63" s="557"/>
      <c r="G63" s="558" t="s">
        <v>156</v>
      </c>
      <c r="H63" s="558"/>
      <c r="I63" s="341" t="s">
        <v>69</v>
      </c>
      <c r="J63" s="569">
        <f>H27</f>
        <v>2.9970000000000003</v>
      </c>
      <c r="K63" s="569"/>
      <c r="L63" s="17" t="s">
        <v>226</v>
      </c>
      <c r="M63" s="49"/>
      <c r="N63" s="452">
        <f>M27</f>
        <v>25.807500000000001</v>
      </c>
      <c r="O63" s="452"/>
      <c r="P63" s="452"/>
      <c r="Q63" s="624" t="s">
        <v>818</v>
      </c>
      <c r="R63" s="624"/>
      <c r="S63" s="17" t="s">
        <v>70</v>
      </c>
      <c r="T63" s="21">
        <v>2</v>
      </c>
      <c r="U63" s="21" t="s">
        <v>2</v>
      </c>
      <c r="V63" s="437">
        <f>J63/T63</f>
        <v>1.4985000000000002</v>
      </c>
      <c r="W63" s="438"/>
      <c r="X63" s="438"/>
      <c r="Y63" s="67" t="s">
        <v>227</v>
      </c>
      <c r="Z63" s="68"/>
      <c r="AA63" s="66" t="s">
        <v>68</v>
      </c>
      <c r="AB63" s="546">
        <f>N63/T63</f>
        <v>12.90375</v>
      </c>
      <c r="AC63" s="546"/>
      <c r="AD63" s="546"/>
      <c r="AE63" s="67" t="s">
        <v>225</v>
      </c>
      <c r="AF63" s="30"/>
      <c r="AG63" s="438"/>
      <c r="AH63" s="438"/>
      <c r="AI63" s="439"/>
      <c r="AJ63" s="15"/>
    </row>
    <row r="64" spans="3:39">
      <c r="C64" s="13"/>
      <c r="D64" s="12"/>
      <c r="E64" s="554" t="s">
        <v>178</v>
      </c>
      <c r="F64" s="555"/>
      <c r="G64" s="544" t="s">
        <v>157</v>
      </c>
      <c r="H64" s="619"/>
      <c r="I64" s="507">
        <f>P50</f>
        <v>25</v>
      </c>
      <c r="J64" s="507"/>
      <c r="K64" s="30" t="s">
        <v>27</v>
      </c>
      <c r="L64" s="507">
        <f>I20</f>
        <v>2.5</v>
      </c>
      <c r="M64" s="507"/>
      <c r="N64" s="30" t="s">
        <v>70</v>
      </c>
      <c r="O64" s="64">
        <v>2</v>
      </c>
      <c r="P64" s="30" t="s">
        <v>2</v>
      </c>
      <c r="Q64" s="30"/>
      <c r="R64" s="30"/>
      <c r="S64" s="30"/>
      <c r="T64" s="65"/>
      <c r="U64" s="65"/>
      <c r="V64" s="437"/>
      <c r="W64" s="438"/>
      <c r="X64" s="438"/>
      <c r="Y64" s="26"/>
      <c r="Z64" s="23"/>
      <c r="AA64" s="22"/>
      <c r="AB64" s="546"/>
      <c r="AC64" s="546"/>
      <c r="AD64" s="546"/>
      <c r="AE64" s="17"/>
      <c r="AF64" s="17"/>
      <c r="AG64" s="452">
        <f>L64*I64/O64</f>
        <v>31.25</v>
      </c>
      <c r="AH64" s="452"/>
      <c r="AI64" s="523"/>
      <c r="AJ64" s="15"/>
    </row>
    <row r="65" spans="3:36" ht="20.25">
      <c r="C65" s="13"/>
      <c r="D65" s="12"/>
      <c r="E65" s="556"/>
      <c r="F65" s="557"/>
      <c r="G65" s="561" t="s">
        <v>158</v>
      </c>
      <c r="H65" s="623"/>
      <c r="I65" s="507">
        <f>P51</f>
        <v>25</v>
      </c>
      <c r="J65" s="507"/>
      <c r="K65" s="30" t="s">
        <v>27</v>
      </c>
      <c r="L65" s="546" t="s">
        <v>225</v>
      </c>
      <c r="M65" s="404"/>
      <c r="N65" s="30" t="s">
        <v>70</v>
      </c>
      <c r="O65" s="64">
        <v>2</v>
      </c>
      <c r="P65" s="30" t="s">
        <v>2</v>
      </c>
      <c r="Q65" s="30"/>
      <c r="R65" s="30"/>
      <c r="S65" s="30"/>
      <c r="T65" s="65"/>
      <c r="U65" s="65"/>
      <c r="V65" s="522"/>
      <c r="W65" s="452"/>
      <c r="X65" s="452"/>
      <c r="Y65" s="17"/>
      <c r="Z65" s="23"/>
      <c r="AA65" s="22"/>
      <c r="AB65" s="452">
        <f>I65/O65</f>
        <v>12.5</v>
      </c>
      <c r="AC65" s="452"/>
      <c r="AD65" s="452"/>
      <c r="AE65" s="67" t="s">
        <v>225</v>
      </c>
      <c r="AF65" s="17"/>
      <c r="AG65" s="452"/>
      <c r="AH65" s="452"/>
      <c r="AI65" s="523"/>
      <c r="AJ65" s="15"/>
    </row>
    <row r="66" spans="3:36">
      <c r="C66" s="13"/>
      <c r="D66" s="12"/>
      <c r="E66" s="97"/>
      <c r="F66" s="96"/>
      <c r="G66" s="96"/>
      <c r="H66" s="96"/>
      <c r="I66" s="96"/>
      <c r="J66" s="96"/>
      <c r="K66" s="94"/>
      <c r="L66" s="94"/>
      <c r="M66" s="94"/>
      <c r="N66" s="94"/>
      <c r="O66" s="94"/>
      <c r="P66" s="95"/>
      <c r="Q66" s="95"/>
      <c r="R66" s="95"/>
      <c r="S66" s="95"/>
      <c r="T66" s="94"/>
      <c r="U66" s="94"/>
      <c r="V66" s="96"/>
      <c r="W66" s="96"/>
      <c r="X66" s="96"/>
      <c r="Y66" s="51"/>
      <c r="Z66" s="51"/>
      <c r="AA66" s="51"/>
      <c r="AB66" s="3"/>
      <c r="AC66" s="59"/>
      <c r="AD66" s="60"/>
      <c r="AE66" s="52"/>
      <c r="AF66" s="52"/>
      <c r="AG66" s="10"/>
      <c r="AH66" s="10"/>
      <c r="AI66" s="10"/>
      <c r="AJ66" s="15"/>
    </row>
    <row r="67" spans="3:36">
      <c r="C67" s="13"/>
      <c r="D67" s="12"/>
      <c r="E67" s="97"/>
      <c r="F67" s="96"/>
      <c r="G67" s="96"/>
      <c r="H67" s="96"/>
      <c r="I67" s="540" t="s">
        <v>403</v>
      </c>
      <c r="J67" s="453"/>
      <c r="K67" s="453"/>
      <c r="L67" s="453"/>
      <c r="M67" s="453"/>
      <c r="N67" s="453"/>
      <c r="O67" s="453"/>
      <c r="P67" s="453"/>
      <c r="Q67" s="453"/>
      <c r="R67" s="453"/>
      <c r="S67" s="453"/>
      <c r="T67" s="453"/>
      <c r="U67" s="541"/>
      <c r="V67" s="410" t="s">
        <v>180</v>
      </c>
      <c r="W67" s="412"/>
      <c r="X67" s="412"/>
      <c r="Y67" s="412"/>
      <c r="Z67" s="412"/>
      <c r="AA67" s="412"/>
      <c r="AB67" s="412"/>
      <c r="AC67" s="412"/>
      <c r="AD67" s="412"/>
      <c r="AE67" s="412"/>
      <c r="AF67" s="412"/>
      <c r="AG67" s="412"/>
      <c r="AH67" s="412"/>
      <c r="AI67" s="411"/>
      <c r="AJ67" s="15"/>
    </row>
    <row r="68" spans="3:36">
      <c r="C68" s="13"/>
      <c r="D68" s="12"/>
      <c r="E68" s="13"/>
      <c r="F68" s="96"/>
      <c r="G68" s="96"/>
      <c r="H68" s="96"/>
      <c r="I68" s="547" t="s">
        <v>404</v>
      </c>
      <c r="J68" s="436"/>
      <c r="K68" s="436"/>
      <c r="L68" s="436"/>
      <c r="M68" s="436"/>
      <c r="N68" s="436"/>
      <c r="O68" s="436"/>
      <c r="P68" s="436"/>
      <c r="Q68" s="436"/>
      <c r="R68" s="436"/>
      <c r="S68" s="436"/>
      <c r="T68" s="436"/>
      <c r="U68" s="548"/>
      <c r="V68" s="508" t="s">
        <v>33</v>
      </c>
      <c r="W68" s="509"/>
      <c r="X68" s="509"/>
      <c r="Y68" s="509"/>
      <c r="Z68" s="509"/>
      <c r="AA68" s="509"/>
      <c r="AB68" s="509"/>
      <c r="AC68" s="509"/>
      <c r="AD68" s="509"/>
      <c r="AE68" s="509"/>
      <c r="AF68" s="509"/>
      <c r="AG68" s="509"/>
      <c r="AH68" s="509"/>
      <c r="AI68" s="510"/>
      <c r="AJ68" s="15"/>
    </row>
    <row r="69" spans="3:36">
      <c r="C69" s="13"/>
      <c r="D69" s="12"/>
      <c r="E69" s="97"/>
      <c r="F69" s="96"/>
      <c r="G69" s="96"/>
      <c r="H69" s="96"/>
      <c r="I69" s="16"/>
      <c r="J69" s="25"/>
      <c r="K69" s="25"/>
      <c r="L69" s="25"/>
      <c r="M69" s="25"/>
      <c r="N69" s="25"/>
      <c r="O69" s="25"/>
      <c r="P69" s="25"/>
      <c r="Q69" s="25"/>
      <c r="R69" s="25"/>
      <c r="S69" s="17"/>
      <c r="T69" s="21"/>
      <c r="U69" s="185"/>
      <c r="V69" s="498" t="s">
        <v>34</v>
      </c>
      <c r="W69" s="500"/>
      <c r="X69" s="500"/>
      <c r="Y69" s="500"/>
      <c r="Z69" s="500"/>
      <c r="AA69" s="500"/>
      <c r="AB69" s="500"/>
      <c r="AC69" s="500"/>
      <c r="AD69" s="500"/>
      <c r="AE69" s="500"/>
      <c r="AF69" s="500"/>
      <c r="AG69" s="500"/>
      <c r="AH69" s="500"/>
      <c r="AI69" s="499"/>
      <c r="AJ69" s="15"/>
    </row>
    <row r="70" spans="3:36" ht="21">
      <c r="C70" s="13"/>
      <c r="D70" s="12"/>
      <c r="E70" s="542" t="s">
        <v>445</v>
      </c>
      <c r="F70" s="543"/>
      <c r="G70" s="544" t="s">
        <v>182</v>
      </c>
      <c r="H70" s="545"/>
      <c r="I70" s="506">
        <f>H38</f>
        <v>27</v>
      </c>
      <c r="J70" s="507"/>
      <c r="K70" s="30" t="s">
        <v>27</v>
      </c>
      <c r="L70" s="546" t="s">
        <v>225</v>
      </c>
      <c r="M70" s="404"/>
      <c r="N70" s="404" t="s">
        <v>229</v>
      </c>
      <c r="O70" s="404"/>
      <c r="P70" s="64">
        <v>2</v>
      </c>
      <c r="Q70" s="30" t="s">
        <v>2</v>
      </c>
      <c r="R70" s="30"/>
      <c r="S70" s="30"/>
      <c r="T70" s="65"/>
      <c r="U70" s="65"/>
      <c r="V70" s="437">
        <f>I70/P70</f>
        <v>13.5</v>
      </c>
      <c r="W70" s="438"/>
      <c r="X70" s="438"/>
      <c r="Y70" s="67" t="s">
        <v>227</v>
      </c>
      <c r="Z70" s="68"/>
      <c r="AA70" s="66"/>
      <c r="AB70" s="438"/>
      <c r="AC70" s="438"/>
      <c r="AD70" s="438"/>
      <c r="AE70" s="30"/>
      <c r="AF70" s="30"/>
      <c r="AG70" s="30"/>
      <c r="AH70" s="30"/>
      <c r="AI70" s="80"/>
      <c r="AJ70" s="15"/>
    </row>
    <row r="71" spans="3:36">
      <c r="C71" s="13"/>
      <c r="D71" s="12"/>
      <c r="E71" s="97"/>
      <c r="F71" s="96"/>
      <c r="G71" s="96"/>
      <c r="H71" s="96"/>
      <c r="I71" s="96"/>
      <c r="J71" s="96"/>
      <c r="K71" s="94"/>
      <c r="L71" s="94"/>
      <c r="M71" s="94"/>
      <c r="N71" s="94"/>
      <c r="O71" s="94"/>
      <c r="P71" s="95"/>
      <c r="Q71" s="95"/>
      <c r="R71" s="95"/>
      <c r="S71" s="95"/>
      <c r="T71" s="94"/>
      <c r="U71" s="94"/>
      <c r="V71" s="276"/>
      <c r="W71" s="276"/>
      <c r="X71" s="276"/>
      <c r="Y71" s="211"/>
      <c r="Z71" s="276"/>
      <c r="AA71" s="276"/>
      <c r="AB71" s="276"/>
      <c r="AC71" s="276"/>
      <c r="AD71" s="276"/>
      <c r="AE71" s="276"/>
      <c r="AF71" s="276"/>
      <c r="AG71" s="276"/>
      <c r="AH71" s="276"/>
      <c r="AI71" s="276"/>
      <c r="AJ71" s="15"/>
    </row>
    <row r="72" spans="3:36">
      <c r="C72" s="13"/>
      <c r="D72" s="12"/>
      <c r="E72" s="97"/>
      <c r="F72" s="96"/>
      <c r="G72" s="96"/>
      <c r="H72" s="96"/>
      <c r="I72" s="96"/>
      <c r="J72" s="96"/>
      <c r="K72" s="94"/>
      <c r="L72" s="94"/>
      <c r="M72" s="94"/>
      <c r="N72" s="94"/>
      <c r="O72" s="94"/>
      <c r="P72" s="95"/>
      <c r="Q72" s="95"/>
      <c r="R72" s="95"/>
      <c r="S72" s="95"/>
      <c r="T72" s="94"/>
      <c r="U72" s="94"/>
      <c r="V72" s="96"/>
      <c r="W72" s="96"/>
      <c r="X72" s="96"/>
      <c r="Y72" s="20"/>
      <c r="Z72" s="20"/>
      <c r="AA72" s="20"/>
      <c r="AB72" s="25"/>
      <c r="AC72" s="26"/>
      <c r="AD72" s="23"/>
      <c r="AE72" s="22"/>
      <c r="AF72" s="22"/>
      <c r="AG72" s="17"/>
      <c r="AH72" s="17"/>
      <c r="AI72" s="17"/>
      <c r="AJ72" s="15"/>
    </row>
    <row r="73" spans="3:36">
      <c r="C73" s="13"/>
      <c r="D73" s="12"/>
      <c r="E73" s="97"/>
      <c r="F73" s="96"/>
      <c r="G73" s="96"/>
      <c r="H73"/>
      <c r="I73" s="540" t="s">
        <v>403</v>
      </c>
      <c r="J73" s="453"/>
      <c r="K73" s="453"/>
      <c r="L73" s="453"/>
      <c r="M73" s="453"/>
      <c r="N73" s="453"/>
      <c r="O73" s="453"/>
      <c r="P73" s="453"/>
      <c r="Q73" s="453"/>
      <c r="R73" s="453"/>
      <c r="S73" s="453"/>
      <c r="T73" s="453"/>
      <c r="U73" s="541"/>
      <c r="V73" s="410" t="s">
        <v>32</v>
      </c>
      <c r="W73" s="412"/>
      <c r="X73" s="412"/>
      <c r="Y73" s="412"/>
      <c r="Z73" s="412"/>
      <c r="AA73" s="412"/>
      <c r="AB73" s="412"/>
      <c r="AC73" s="412"/>
      <c r="AD73" s="412"/>
      <c r="AE73" s="412"/>
      <c r="AF73" s="412"/>
      <c r="AG73" s="412"/>
      <c r="AH73" s="412"/>
      <c r="AI73" s="411"/>
      <c r="AJ73" s="15"/>
    </row>
    <row r="74" spans="3:36">
      <c r="C74" s="13"/>
      <c r="D74" s="12"/>
      <c r="E74" s="97"/>
      <c r="F74" s="96"/>
      <c r="G74" s="96"/>
      <c r="H74"/>
      <c r="I74" s="547" t="s">
        <v>405</v>
      </c>
      <c r="J74" s="436"/>
      <c r="K74" s="436"/>
      <c r="L74" s="436"/>
      <c r="M74" s="436"/>
      <c r="N74" s="436"/>
      <c r="O74" s="436"/>
      <c r="P74" s="436"/>
      <c r="Q74" s="436"/>
      <c r="R74" s="436"/>
      <c r="S74" s="436"/>
      <c r="T74" s="436"/>
      <c r="U74" s="548"/>
      <c r="V74" s="508" t="s">
        <v>150</v>
      </c>
      <c r="W74" s="509"/>
      <c r="X74" s="509"/>
      <c r="Y74" s="509"/>
      <c r="Z74" s="509"/>
      <c r="AA74" s="509"/>
      <c r="AB74" s="509"/>
      <c r="AC74" s="509"/>
      <c r="AD74" s="509"/>
      <c r="AE74" s="509"/>
      <c r="AF74" s="509"/>
      <c r="AG74" s="509"/>
      <c r="AH74" s="509"/>
      <c r="AI74" s="510"/>
      <c r="AJ74" s="15"/>
    </row>
    <row r="75" spans="3:36">
      <c r="C75" s="13"/>
      <c r="D75" s="12"/>
      <c r="E75" s="97"/>
      <c r="F75" s="96"/>
      <c r="G75" s="96"/>
      <c r="H75"/>
      <c r="I75" s="16"/>
      <c r="J75" s="25"/>
      <c r="K75" s="25"/>
      <c r="L75" s="25"/>
      <c r="M75" s="25"/>
      <c r="N75" s="25"/>
      <c r="O75" s="25"/>
      <c r="P75" s="25"/>
      <c r="Q75" s="25"/>
      <c r="R75" s="25"/>
      <c r="S75" s="17"/>
      <c r="T75" s="21"/>
      <c r="U75" s="185"/>
      <c r="V75" s="498" t="s">
        <v>20</v>
      </c>
      <c r="W75" s="500"/>
      <c r="X75" s="500"/>
      <c r="Y75" s="500"/>
      <c r="Z75" s="500"/>
      <c r="AA75" s="500"/>
      <c r="AB75" s="500"/>
      <c r="AC75" s="500"/>
      <c r="AD75" s="500"/>
      <c r="AE75" s="500"/>
      <c r="AF75" s="500"/>
      <c r="AG75" s="500"/>
      <c r="AH75" s="500"/>
      <c r="AI75" s="499"/>
      <c r="AJ75" s="15"/>
    </row>
    <row r="76" spans="3:36">
      <c r="C76" s="13"/>
      <c r="D76" s="12"/>
      <c r="E76" s="554" t="s">
        <v>22</v>
      </c>
      <c r="F76" s="555"/>
      <c r="G76" s="544" t="s">
        <v>151</v>
      </c>
      <c r="H76" s="545"/>
      <c r="I76" s="437">
        <f t="shared" ref="I76:I83" si="2">I$18</f>
        <v>1.5</v>
      </c>
      <c r="J76" s="438"/>
      <c r="K76" s="69"/>
      <c r="L76" s="438"/>
      <c r="M76" s="438"/>
      <c r="N76" s="30"/>
      <c r="O76" s="438"/>
      <c r="P76" s="438"/>
      <c r="Q76" s="30" t="s">
        <v>70</v>
      </c>
      <c r="R76" s="46">
        <v>3</v>
      </c>
      <c r="S76" s="30" t="s">
        <v>27</v>
      </c>
      <c r="T76" s="46">
        <v>1</v>
      </c>
      <c r="U76" s="30" t="s">
        <v>2</v>
      </c>
      <c r="V76" s="437"/>
      <c r="W76" s="438"/>
      <c r="X76" s="438"/>
      <c r="Y76" s="70"/>
      <c r="Z76" s="67"/>
      <c r="AA76" s="68"/>
      <c r="AB76" s="438"/>
      <c r="AC76" s="452"/>
      <c r="AD76" s="452"/>
      <c r="AE76" s="13"/>
      <c r="AF76" s="13"/>
      <c r="AG76" s="438">
        <f>I76/R76*T76</f>
        <v>0.5</v>
      </c>
      <c r="AH76" s="438"/>
      <c r="AI76" s="439"/>
      <c r="AJ76" s="15"/>
    </row>
    <row r="77" spans="3:36">
      <c r="C77" s="13"/>
      <c r="D77" s="12"/>
      <c r="E77" s="556"/>
      <c r="F77" s="557"/>
      <c r="G77" s="558" t="s">
        <v>152</v>
      </c>
      <c r="H77" s="558"/>
      <c r="I77" s="595">
        <f t="shared" si="2"/>
        <v>1.5</v>
      </c>
      <c r="J77" s="448"/>
      <c r="K77" s="47"/>
      <c r="L77" s="448"/>
      <c r="M77" s="448"/>
      <c r="N77" s="17"/>
      <c r="O77" s="448"/>
      <c r="P77" s="448"/>
      <c r="Q77" s="17" t="s">
        <v>70</v>
      </c>
      <c r="R77" s="29">
        <v>3</v>
      </c>
      <c r="S77" s="17" t="s">
        <v>27</v>
      </c>
      <c r="T77" s="29">
        <v>2</v>
      </c>
      <c r="U77" s="17" t="s">
        <v>2</v>
      </c>
      <c r="V77" s="522"/>
      <c r="W77" s="452"/>
      <c r="X77" s="452"/>
      <c r="Y77" s="70"/>
      <c r="Z77" s="67"/>
      <c r="AA77" s="68"/>
      <c r="AB77" s="452"/>
      <c r="AC77" s="452"/>
      <c r="AD77" s="452"/>
      <c r="AE77" s="30"/>
      <c r="AF77" s="30"/>
      <c r="AG77" s="452">
        <f>I77/R77*T77</f>
        <v>1</v>
      </c>
      <c r="AH77" s="452"/>
      <c r="AI77" s="523"/>
      <c r="AJ77" s="15"/>
    </row>
    <row r="78" spans="3:36">
      <c r="C78" s="13"/>
      <c r="D78" s="12"/>
      <c r="E78" s="554" t="s">
        <v>444</v>
      </c>
      <c r="F78" s="555"/>
      <c r="G78" s="494" t="s">
        <v>153</v>
      </c>
      <c r="H78" s="414"/>
      <c r="I78" s="622">
        <f t="shared" si="2"/>
        <v>1.5</v>
      </c>
      <c r="J78" s="475"/>
      <c r="K78" s="69" t="s">
        <v>68</v>
      </c>
      <c r="L78" s="438">
        <f t="shared" ref="L78:L83" si="3">I$20</f>
        <v>2.5</v>
      </c>
      <c r="M78" s="438"/>
      <c r="N78" s="30"/>
      <c r="O78" s="438"/>
      <c r="P78" s="438"/>
      <c r="Q78" s="30" t="s">
        <v>70</v>
      </c>
      <c r="R78" s="46">
        <v>3</v>
      </c>
      <c r="S78" s="30" t="s">
        <v>27</v>
      </c>
      <c r="T78" s="46">
        <v>1</v>
      </c>
      <c r="U78" s="30" t="s">
        <v>2</v>
      </c>
      <c r="V78" s="437"/>
      <c r="W78" s="438"/>
      <c r="X78" s="438"/>
      <c r="Y78" s="25"/>
      <c r="Z78" s="26"/>
      <c r="AA78" s="23"/>
      <c r="AB78" s="438"/>
      <c r="AC78" s="438"/>
      <c r="AD78" s="438"/>
      <c r="AE78" s="30"/>
      <c r="AF78" s="30"/>
      <c r="AG78" s="438">
        <f>I78+L78/R78*T78</f>
        <v>2.3333333333333335</v>
      </c>
      <c r="AH78" s="438"/>
      <c r="AI78" s="439"/>
      <c r="AJ78" s="15"/>
    </row>
    <row r="79" spans="3:36">
      <c r="C79" s="13"/>
      <c r="D79" s="12"/>
      <c r="E79" s="556"/>
      <c r="F79" s="557"/>
      <c r="G79" s="561" t="s">
        <v>154</v>
      </c>
      <c r="H79" s="562"/>
      <c r="I79" s="437">
        <f t="shared" si="2"/>
        <v>1.5</v>
      </c>
      <c r="J79" s="438"/>
      <c r="K79" s="47" t="s">
        <v>68</v>
      </c>
      <c r="L79" s="452">
        <f t="shared" si="3"/>
        <v>2.5</v>
      </c>
      <c r="M79" s="452"/>
      <c r="N79" s="17"/>
      <c r="O79" s="452"/>
      <c r="P79" s="452"/>
      <c r="Q79" s="17" t="s">
        <v>70</v>
      </c>
      <c r="R79" s="29">
        <v>3</v>
      </c>
      <c r="S79" s="17" t="s">
        <v>27</v>
      </c>
      <c r="T79" s="29">
        <v>2</v>
      </c>
      <c r="U79" s="17" t="s">
        <v>2</v>
      </c>
      <c r="V79" s="522"/>
      <c r="W79" s="452"/>
      <c r="X79" s="452"/>
      <c r="Y79" s="70"/>
      <c r="Z79" s="67"/>
      <c r="AA79" s="68"/>
      <c r="AB79" s="452"/>
      <c r="AC79" s="452"/>
      <c r="AD79" s="452"/>
      <c r="AE79" s="30"/>
      <c r="AF79" s="30"/>
      <c r="AG79" s="452">
        <f>I79+L79/R79*T79</f>
        <v>3.166666666666667</v>
      </c>
      <c r="AH79" s="452"/>
      <c r="AI79" s="523"/>
      <c r="AJ79" s="15"/>
    </row>
    <row r="80" spans="3:36" ht="20.25">
      <c r="C80" s="13"/>
      <c r="D80" s="12"/>
      <c r="E80" s="554" t="s">
        <v>453</v>
      </c>
      <c r="F80" s="555"/>
      <c r="G80" s="511" t="s">
        <v>155</v>
      </c>
      <c r="H80" s="419"/>
      <c r="I80" s="622">
        <f t="shared" si="2"/>
        <v>1.5</v>
      </c>
      <c r="J80" s="475"/>
      <c r="K80" s="69" t="s">
        <v>68</v>
      </c>
      <c r="L80" s="438">
        <f t="shared" si="3"/>
        <v>2.5</v>
      </c>
      <c r="M80" s="438"/>
      <c r="N80" s="30" t="s">
        <v>68</v>
      </c>
      <c r="O80" s="438" t="s">
        <v>225</v>
      </c>
      <c r="P80" s="438"/>
      <c r="Q80" s="30" t="s">
        <v>70</v>
      </c>
      <c r="R80" s="46">
        <v>3</v>
      </c>
      <c r="S80" s="30" t="s">
        <v>27</v>
      </c>
      <c r="T80" s="46">
        <v>1</v>
      </c>
      <c r="U80" s="30" t="s">
        <v>2</v>
      </c>
      <c r="V80" s="437"/>
      <c r="W80" s="438"/>
      <c r="X80" s="438"/>
      <c r="Y80" s="70"/>
      <c r="Z80" s="67"/>
      <c r="AA80" s="68"/>
      <c r="AB80" s="452">
        <f>1/R80*T80</f>
        <v>0.33333333333333331</v>
      </c>
      <c r="AC80" s="452"/>
      <c r="AD80" s="452"/>
      <c r="AE80" s="67" t="s">
        <v>226</v>
      </c>
      <c r="AF80" s="66"/>
      <c r="AG80" s="438">
        <f>I80+L80</f>
        <v>4</v>
      </c>
      <c r="AH80" s="438"/>
      <c r="AI80" s="439"/>
      <c r="AJ80" s="15"/>
    </row>
    <row r="81" spans="3:36" ht="20.25">
      <c r="C81" s="13"/>
      <c r="D81" s="12"/>
      <c r="E81" s="556"/>
      <c r="F81" s="557"/>
      <c r="G81" s="558" t="s">
        <v>156</v>
      </c>
      <c r="H81" s="558"/>
      <c r="I81" s="622">
        <f t="shared" si="2"/>
        <v>1.5</v>
      </c>
      <c r="J81" s="475"/>
      <c r="K81" s="47" t="s">
        <v>68</v>
      </c>
      <c r="L81" s="448">
        <f t="shared" si="3"/>
        <v>2.5</v>
      </c>
      <c r="M81" s="448"/>
      <c r="N81" s="17" t="s">
        <v>68</v>
      </c>
      <c r="O81" s="438" t="s">
        <v>225</v>
      </c>
      <c r="P81" s="438"/>
      <c r="Q81" s="17" t="s">
        <v>70</v>
      </c>
      <c r="R81" s="29">
        <v>3</v>
      </c>
      <c r="S81" s="17" t="s">
        <v>27</v>
      </c>
      <c r="T81" s="29">
        <v>2</v>
      </c>
      <c r="U81" s="17" t="s">
        <v>2</v>
      </c>
      <c r="V81" s="522"/>
      <c r="W81" s="452"/>
      <c r="X81" s="452"/>
      <c r="Y81" s="70"/>
      <c r="Z81" s="67"/>
      <c r="AA81" s="68"/>
      <c r="AB81" s="452">
        <f>1/R81*T81</f>
        <v>0.66666666666666663</v>
      </c>
      <c r="AC81" s="452"/>
      <c r="AD81" s="452"/>
      <c r="AE81" s="67" t="s">
        <v>226</v>
      </c>
      <c r="AF81" s="66"/>
      <c r="AG81" s="438">
        <f t="shared" ref="AG81:AG83" si="4">I81+L81</f>
        <v>4</v>
      </c>
      <c r="AH81" s="438"/>
      <c r="AI81" s="439"/>
      <c r="AJ81" s="15"/>
    </row>
    <row r="82" spans="3:36">
      <c r="C82" s="13"/>
      <c r="D82" s="12"/>
      <c r="E82" s="554" t="s">
        <v>178</v>
      </c>
      <c r="F82" s="555"/>
      <c r="G82" s="544" t="s">
        <v>157</v>
      </c>
      <c r="H82" s="619"/>
      <c r="I82" s="622">
        <f t="shared" si="2"/>
        <v>1.5</v>
      </c>
      <c r="J82" s="475"/>
      <c r="K82" s="69" t="s">
        <v>68</v>
      </c>
      <c r="L82" s="438">
        <f t="shared" si="3"/>
        <v>2.5</v>
      </c>
      <c r="M82" s="438"/>
      <c r="N82" s="30"/>
      <c r="O82" s="438"/>
      <c r="P82" s="438"/>
      <c r="Q82" s="30" t="s">
        <v>70</v>
      </c>
      <c r="R82" s="46">
        <v>3</v>
      </c>
      <c r="S82" s="30" t="s">
        <v>27</v>
      </c>
      <c r="T82" s="46">
        <v>2</v>
      </c>
      <c r="U82" s="30" t="s">
        <v>2</v>
      </c>
      <c r="V82" s="437"/>
      <c r="W82" s="438"/>
      <c r="X82" s="438"/>
      <c r="Y82" s="70"/>
      <c r="Z82" s="67"/>
      <c r="AA82" s="99"/>
      <c r="AB82" s="452"/>
      <c r="AC82" s="452"/>
      <c r="AD82" s="452"/>
      <c r="AE82" s="13"/>
      <c r="AF82" s="30"/>
      <c r="AG82" s="438">
        <f>I82+L82/R82*T82</f>
        <v>3.166666666666667</v>
      </c>
      <c r="AH82" s="438"/>
      <c r="AI82" s="439"/>
      <c r="AJ82" s="15"/>
    </row>
    <row r="83" spans="3:36" ht="20.25">
      <c r="C83" s="13"/>
      <c r="D83" s="12"/>
      <c r="E83" s="556"/>
      <c r="F83" s="557"/>
      <c r="G83" s="561" t="s">
        <v>158</v>
      </c>
      <c r="H83" s="623"/>
      <c r="I83" s="437">
        <f t="shared" si="2"/>
        <v>1.5</v>
      </c>
      <c r="J83" s="438"/>
      <c r="K83" s="47" t="s">
        <v>68</v>
      </c>
      <c r="L83" s="452">
        <f t="shared" si="3"/>
        <v>2.5</v>
      </c>
      <c r="M83" s="452"/>
      <c r="N83" s="17" t="s">
        <v>68</v>
      </c>
      <c r="O83" s="438" t="s">
        <v>225</v>
      </c>
      <c r="P83" s="438"/>
      <c r="Q83" s="17" t="s">
        <v>70</v>
      </c>
      <c r="R83" s="29">
        <v>3</v>
      </c>
      <c r="S83" s="17" t="s">
        <v>27</v>
      </c>
      <c r="T83" s="29">
        <v>1</v>
      </c>
      <c r="U83" s="17" t="s">
        <v>2</v>
      </c>
      <c r="V83" s="522"/>
      <c r="W83" s="452"/>
      <c r="X83" s="452"/>
      <c r="Y83" s="70"/>
      <c r="Z83" s="67"/>
      <c r="AA83" s="68"/>
      <c r="AB83" s="452">
        <f>1/R83*T83</f>
        <v>0.33333333333333331</v>
      </c>
      <c r="AC83" s="452"/>
      <c r="AD83" s="452"/>
      <c r="AE83" s="67" t="s">
        <v>226</v>
      </c>
      <c r="AF83" s="66"/>
      <c r="AG83" s="438">
        <f t="shared" si="4"/>
        <v>4</v>
      </c>
      <c r="AH83" s="438"/>
      <c r="AI83" s="439"/>
      <c r="AJ83" s="15"/>
    </row>
    <row r="84" spans="3:36">
      <c r="C84" s="13"/>
      <c r="D84" s="12"/>
      <c r="E84" s="97"/>
      <c r="F84" s="96"/>
      <c r="G84" s="96"/>
      <c r="H84" s="96"/>
      <c r="I84" s="96"/>
      <c r="J84" s="96"/>
      <c r="K84" s="94"/>
      <c r="L84" s="94"/>
      <c r="M84" s="94"/>
      <c r="N84" s="94"/>
      <c r="O84" s="94"/>
      <c r="P84" s="95"/>
      <c r="Q84" s="95"/>
      <c r="R84" s="95"/>
      <c r="S84" s="95"/>
      <c r="T84" s="94"/>
      <c r="U84" s="94"/>
      <c r="V84" s="96"/>
      <c r="W84" s="96"/>
      <c r="X84" s="96"/>
      <c r="Y84" s="20"/>
      <c r="Z84" s="20"/>
      <c r="AA84" s="20"/>
      <c r="AB84" s="25"/>
      <c r="AC84" s="26"/>
      <c r="AD84" s="23"/>
      <c r="AE84" s="22"/>
      <c r="AF84" s="22"/>
      <c r="AG84" s="17"/>
      <c r="AH84" s="17"/>
      <c r="AI84" s="17"/>
      <c r="AJ84" s="15"/>
    </row>
    <row r="85" spans="3:36">
      <c r="C85" s="13"/>
      <c r="D85" s="12"/>
      <c r="E85" s="97"/>
      <c r="F85" s="96"/>
      <c r="G85" s="96"/>
      <c r="H85"/>
      <c r="I85" s="540" t="s">
        <v>403</v>
      </c>
      <c r="J85" s="453"/>
      <c r="K85" s="453"/>
      <c r="L85" s="453"/>
      <c r="M85" s="453"/>
      <c r="N85" s="453"/>
      <c r="O85" s="453"/>
      <c r="P85" s="453"/>
      <c r="Q85" s="453"/>
      <c r="R85" s="453"/>
      <c r="S85" s="453"/>
      <c r="T85" s="453"/>
      <c r="U85" s="541"/>
      <c r="V85" s="410" t="s">
        <v>32</v>
      </c>
      <c r="W85" s="412"/>
      <c r="X85" s="412"/>
      <c r="Y85" s="412"/>
      <c r="Z85" s="412"/>
      <c r="AA85" s="412"/>
      <c r="AB85" s="412"/>
      <c r="AC85" s="412"/>
      <c r="AD85" s="412"/>
      <c r="AE85" s="412"/>
      <c r="AF85" s="412"/>
      <c r="AG85" s="412"/>
      <c r="AH85" s="412"/>
      <c r="AI85" s="411"/>
      <c r="AJ85" s="15"/>
    </row>
    <row r="86" spans="3:36">
      <c r="C86" s="13"/>
      <c r="D86" s="12"/>
      <c r="E86" s="97"/>
      <c r="F86" s="96"/>
      <c r="G86" s="96"/>
      <c r="H86"/>
      <c r="I86" s="547" t="s">
        <v>405</v>
      </c>
      <c r="J86" s="436"/>
      <c r="K86" s="436"/>
      <c r="L86" s="436"/>
      <c r="M86" s="436"/>
      <c r="N86" s="436"/>
      <c r="O86" s="436"/>
      <c r="P86" s="436"/>
      <c r="Q86" s="436"/>
      <c r="R86" s="436"/>
      <c r="S86" s="436"/>
      <c r="T86" s="436"/>
      <c r="U86" s="548"/>
      <c r="V86" s="508" t="s">
        <v>150</v>
      </c>
      <c r="W86" s="509"/>
      <c r="X86" s="509"/>
      <c r="Y86" s="509"/>
      <c r="Z86" s="509"/>
      <c r="AA86" s="509"/>
      <c r="AB86" s="509"/>
      <c r="AC86" s="509"/>
      <c r="AD86" s="509"/>
      <c r="AE86" s="509"/>
      <c r="AF86" s="509"/>
      <c r="AG86" s="509"/>
      <c r="AH86" s="509"/>
      <c r="AI86" s="510"/>
      <c r="AJ86" s="15"/>
    </row>
    <row r="87" spans="3:36">
      <c r="C87" s="13"/>
      <c r="D87" s="12"/>
      <c r="E87" s="97"/>
      <c r="F87" s="96"/>
      <c r="G87" s="96"/>
      <c r="H87"/>
      <c r="I87" s="16"/>
      <c r="J87" s="25"/>
      <c r="K87" s="25"/>
      <c r="L87" s="25"/>
      <c r="M87" s="25"/>
      <c r="N87" s="25"/>
      <c r="O87" s="25"/>
      <c r="P87" s="25"/>
      <c r="Q87" s="25"/>
      <c r="R87" s="25"/>
      <c r="S87" s="17"/>
      <c r="T87" s="21"/>
      <c r="U87" s="185"/>
      <c r="V87" s="498" t="s">
        <v>20</v>
      </c>
      <c r="W87" s="500"/>
      <c r="X87" s="500"/>
      <c r="Y87" s="500"/>
      <c r="Z87" s="500"/>
      <c r="AA87" s="500"/>
      <c r="AB87" s="500"/>
      <c r="AC87" s="500"/>
      <c r="AD87" s="500"/>
      <c r="AE87" s="500"/>
      <c r="AF87" s="500"/>
      <c r="AG87" s="500"/>
      <c r="AH87" s="500"/>
      <c r="AI87" s="499"/>
      <c r="AJ87" s="15"/>
    </row>
    <row r="88" spans="3:36" ht="20.25">
      <c r="C88" s="13"/>
      <c r="D88" s="12"/>
      <c r="E88" s="542" t="s">
        <v>445</v>
      </c>
      <c r="F88" s="543"/>
      <c r="G88" s="544" t="s">
        <v>182</v>
      </c>
      <c r="H88" s="545"/>
      <c r="I88" s="437">
        <f t="shared" ref="I88" si="5">I$18</f>
        <v>1.5</v>
      </c>
      <c r="J88" s="438"/>
      <c r="K88" s="69" t="s">
        <v>68</v>
      </c>
      <c r="L88" s="438">
        <f t="shared" ref="L88" si="6">I$20</f>
        <v>2.5</v>
      </c>
      <c r="M88" s="438"/>
      <c r="N88" s="30" t="s">
        <v>68</v>
      </c>
      <c r="O88" s="404" t="s">
        <v>229</v>
      </c>
      <c r="P88" s="404"/>
      <c r="Q88" s="30"/>
      <c r="R88" s="46">
        <v>3</v>
      </c>
      <c r="S88" s="30" t="s">
        <v>27</v>
      </c>
      <c r="T88" s="46">
        <v>2</v>
      </c>
      <c r="U88" s="30" t="s">
        <v>2</v>
      </c>
      <c r="V88" s="437"/>
      <c r="W88" s="438"/>
      <c r="X88" s="438"/>
      <c r="Y88" s="70"/>
      <c r="Z88" s="67"/>
      <c r="AA88" s="68"/>
      <c r="AB88" s="438">
        <f>1/R88*T88</f>
        <v>0.66666666666666663</v>
      </c>
      <c r="AC88" s="438"/>
      <c r="AD88" s="438"/>
      <c r="AE88" s="67" t="s">
        <v>226</v>
      </c>
      <c r="AF88" s="66"/>
      <c r="AG88" s="438">
        <f t="shared" ref="AG88" si="7">I88+L88</f>
        <v>4</v>
      </c>
      <c r="AH88" s="438"/>
      <c r="AI88" s="439"/>
      <c r="AJ88" s="15"/>
    </row>
    <row r="89" spans="3:36">
      <c r="C89" s="13"/>
      <c r="D89" s="12"/>
      <c r="E89" s="97"/>
      <c r="F89" s="96"/>
      <c r="G89" s="96"/>
      <c r="H89" s="96"/>
      <c r="I89" s="96"/>
      <c r="J89" s="96"/>
      <c r="K89" s="94"/>
      <c r="L89" s="94"/>
      <c r="M89" s="94"/>
      <c r="N89" s="94"/>
      <c r="O89" s="94"/>
      <c r="P89" s="95"/>
      <c r="Q89" s="95"/>
      <c r="R89" s="95"/>
      <c r="S89" s="95"/>
      <c r="T89" s="94"/>
      <c r="U89" s="94"/>
      <c r="V89" s="96"/>
      <c r="W89" s="96"/>
      <c r="X89" s="96"/>
      <c r="Y89" s="81"/>
      <c r="Z89" s="81"/>
      <c r="AA89" s="81"/>
      <c r="AB89"/>
      <c r="AC89" s="98"/>
      <c r="AD89" s="99"/>
      <c r="AE89" s="96"/>
      <c r="AF89" s="96"/>
      <c r="AG89" s="13"/>
      <c r="AH89" s="13"/>
      <c r="AI89" s="13"/>
      <c r="AJ89" s="15"/>
    </row>
    <row r="90" spans="3:36">
      <c r="C90" s="13"/>
      <c r="D90" s="12"/>
      <c r="E90" s="97"/>
      <c r="F90" s="96"/>
      <c r="G90" s="96"/>
      <c r="H90" s="96"/>
      <c r="I90" s="96"/>
      <c r="J90" s="96"/>
      <c r="K90" s="94"/>
      <c r="L90" s="94"/>
      <c r="M90" s="94"/>
      <c r="N90" s="94"/>
      <c r="O90" s="94"/>
      <c r="P90" s="95"/>
      <c r="Q90" s="95"/>
      <c r="R90" s="95"/>
      <c r="S90" s="95"/>
      <c r="T90" s="94"/>
      <c r="U90" s="94"/>
      <c r="V90" s="96"/>
      <c r="W90" s="96"/>
      <c r="X90" s="96"/>
      <c r="Y90" s="20"/>
      <c r="Z90" s="20"/>
      <c r="AA90" s="20"/>
      <c r="AB90" s="25"/>
      <c r="AC90" s="98"/>
      <c r="AD90" s="99"/>
      <c r="AE90" s="96"/>
      <c r="AF90" s="96"/>
      <c r="AG90" s="13"/>
      <c r="AH90" s="13"/>
      <c r="AI90" s="13"/>
      <c r="AJ90" s="15"/>
    </row>
    <row r="91" spans="3:36">
      <c r="C91" s="13"/>
      <c r="D91" s="12"/>
      <c r="E91" s="97"/>
      <c r="F91" s="96"/>
      <c r="G91" s="96"/>
      <c r="H91" s="96"/>
      <c r="I91" s="410" t="s">
        <v>402</v>
      </c>
      <c r="J91" s="412"/>
      <c r="K91" s="412"/>
      <c r="L91" s="412"/>
      <c r="M91" s="412"/>
      <c r="N91" s="412"/>
      <c r="O91" s="412"/>
      <c r="P91" s="412"/>
      <c r="Q91" s="412"/>
      <c r="R91" s="412"/>
      <c r="S91" s="412"/>
      <c r="T91" s="412"/>
      <c r="U91" s="412"/>
      <c r="V91" s="412"/>
      <c r="W91" s="412"/>
      <c r="X91" s="412"/>
      <c r="Y91" s="412"/>
      <c r="Z91" s="412"/>
      <c r="AA91" s="412"/>
      <c r="AB91" s="411"/>
      <c r="AC91" s="13"/>
      <c r="AD91" s="13"/>
      <c r="AE91" s="13"/>
      <c r="AF91" s="13"/>
      <c r="AG91" s="13"/>
      <c r="AH91" s="13"/>
      <c r="AI91" s="13"/>
      <c r="AJ91" s="15"/>
    </row>
    <row r="92" spans="3:36">
      <c r="C92" s="13"/>
      <c r="D92" s="12"/>
      <c r="E92" s="13"/>
      <c r="F92" s="96"/>
      <c r="G92" s="96"/>
      <c r="H92" s="96"/>
      <c r="I92" s="508" t="s">
        <v>183</v>
      </c>
      <c r="J92" s="509"/>
      <c r="K92" s="509"/>
      <c r="L92" s="509"/>
      <c r="M92" s="509"/>
      <c r="N92" s="509"/>
      <c r="O92" s="509"/>
      <c r="P92" s="509"/>
      <c r="Q92" s="509"/>
      <c r="R92" s="509"/>
      <c r="S92" s="509"/>
      <c r="T92" s="509"/>
      <c r="U92" s="509"/>
      <c r="V92" s="509"/>
      <c r="W92" s="509"/>
      <c r="X92" s="509"/>
      <c r="Y92" s="509"/>
      <c r="Z92" s="509"/>
      <c r="AA92" s="509"/>
      <c r="AB92" s="510"/>
      <c r="AC92" s="13"/>
      <c r="AD92" s="13"/>
      <c r="AE92" s="13"/>
      <c r="AF92" s="13"/>
      <c r="AG92" s="13"/>
      <c r="AH92" s="13"/>
      <c r="AI92" s="13"/>
      <c r="AJ92" s="15"/>
    </row>
    <row r="93" spans="3:36">
      <c r="C93" s="13"/>
      <c r="D93" s="12"/>
      <c r="E93" s="97"/>
      <c r="F93" s="96"/>
      <c r="G93" s="96"/>
      <c r="H93" s="96"/>
      <c r="I93" s="498" t="s">
        <v>35</v>
      </c>
      <c r="J93" s="500"/>
      <c r="K93" s="500"/>
      <c r="L93" s="500"/>
      <c r="M93" s="500"/>
      <c r="N93" s="500"/>
      <c r="O93" s="500"/>
      <c r="P93" s="500"/>
      <c r="Q93" s="500"/>
      <c r="R93" s="500"/>
      <c r="S93" s="500"/>
      <c r="T93" s="500"/>
      <c r="U93" s="500"/>
      <c r="V93" s="500"/>
      <c r="W93" s="500"/>
      <c r="X93" s="500"/>
      <c r="Y93" s="500"/>
      <c r="Z93" s="500"/>
      <c r="AA93" s="500"/>
      <c r="AB93" s="499"/>
      <c r="AC93" s="13"/>
      <c r="AD93" s="13"/>
      <c r="AE93" s="13"/>
      <c r="AF93" s="13"/>
      <c r="AG93" s="13"/>
      <c r="AH93" s="13"/>
      <c r="AI93" s="13"/>
      <c r="AJ93" s="15"/>
    </row>
    <row r="94" spans="3:36">
      <c r="C94" s="13"/>
      <c r="D94" s="12"/>
      <c r="E94" s="554" t="s">
        <v>22</v>
      </c>
      <c r="F94" s="555"/>
      <c r="G94" s="544" t="s">
        <v>151</v>
      </c>
      <c r="H94" s="545"/>
      <c r="I94" s="506"/>
      <c r="J94" s="507"/>
      <c r="K94" s="507"/>
      <c r="L94" s="63"/>
      <c r="M94" s="63"/>
      <c r="N94" s="30"/>
      <c r="O94" s="438"/>
      <c r="P94" s="438"/>
      <c r="Q94" s="438"/>
      <c r="R94" s="67"/>
      <c r="S94" s="68"/>
      <c r="T94" s="66"/>
      <c r="U94" s="438"/>
      <c r="V94" s="438"/>
      <c r="W94" s="438"/>
      <c r="X94" s="30"/>
      <c r="Y94" s="30"/>
      <c r="Z94" s="438">
        <f>AG58*AG76</f>
        <v>3.4965000000000002</v>
      </c>
      <c r="AA94" s="438"/>
      <c r="AB94" s="439"/>
      <c r="AC94" s="13"/>
      <c r="AD94" s="13"/>
      <c r="AE94" s="13"/>
      <c r="AF94" s="13"/>
      <c r="AG94" s="13"/>
      <c r="AH94" s="13"/>
      <c r="AI94" s="13"/>
      <c r="AJ94" s="15"/>
    </row>
    <row r="95" spans="3:36">
      <c r="C95" s="13"/>
      <c r="D95" s="12"/>
      <c r="E95" s="556"/>
      <c r="F95" s="557"/>
      <c r="G95" s="558" t="s">
        <v>152</v>
      </c>
      <c r="H95" s="558"/>
      <c r="I95" s="506"/>
      <c r="J95" s="507"/>
      <c r="K95" s="507"/>
      <c r="L95" s="62"/>
      <c r="M95" s="62"/>
      <c r="N95" s="17"/>
      <c r="O95" s="448"/>
      <c r="P95" s="448"/>
      <c r="Q95" s="448"/>
      <c r="R95" s="98"/>
      <c r="S95" s="99"/>
      <c r="T95" s="96"/>
      <c r="U95" s="448"/>
      <c r="V95" s="448"/>
      <c r="W95" s="448"/>
      <c r="X95" s="13"/>
      <c r="Y95" s="13"/>
      <c r="Z95" s="438">
        <f>AG59*AG77</f>
        <v>13.736250000000002</v>
      </c>
      <c r="AA95" s="438"/>
      <c r="AB95" s="439"/>
      <c r="AC95" s="13"/>
      <c r="AD95" s="13"/>
      <c r="AE95" s="13"/>
      <c r="AF95" s="13"/>
      <c r="AG95" s="13"/>
      <c r="AH95" s="13"/>
      <c r="AI95" s="13"/>
      <c r="AJ95" s="15"/>
    </row>
    <row r="96" spans="3:36">
      <c r="C96" s="13"/>
      <c r="D96" s="12"/>
      <c r="E96" s="554" t="s">
        <v>444</v>
      </c>
      <c r="F96" s="555"/>
      <c r="G96" s="494" t="s">
        <v>153</v>
      </c>
      <c r="H96" s="414"/>
      <c r="I96" s="506"/>
      <c r="J96" s="507"/>
      <c r="K96" s="507"/>
      <c r="L96" s="61"/>
      <c r="M96" s="61"/>
      <c r="N96" s="10"/>
      <c r="O96" s="438"/>
      <c r="P96" s="438"/>
      <c r="Q96" s="438"/>
      <c r="R96" s="67"/>
      <c r="S96" s="68"/>
      <c r="T96" s="66"/>
      <c r="U96" s="438"/>
      <c r="V96" s="438"/>
      <c r="W96" s="438"/>
      <c r="X96" s="30"/>
      <c r="Y96" s="30"/>
      <c r="Z96" s="438">
        <f>AG60*AG78</f>
        <v>53.418750000000003</v>
      </c>
      <c r="AA96" s="438"/>
      <c r="AB96" s="439"/>
      <c r="AC96" s="13"/>
      <c r="AD96" s="13"/>
      <c r="AE96" s="13"/>
      <c r="AF96" s="13"/>
      <c r="AG96" s="13"/>
      <c r="AH96" s="13"/>
      <c r="AI96" s="13"/>
      <c r="AJ96" s="15"/>
    </row>
    <row r="97" spans="3:36">
      <c r="C97" s="13"/>
      <c r="D97" s="12"/>
      <c r="E97" s="556"/>
      <c r="F97" s="557"/>
      <c r="G97" s="561" t="s">
        <v>154</v>
      </c>
      <c r="H97" s="562"/>
      <c r="I97" s="506"/>
      <c r="J97" s="507"/>
      <c r="K97" s="507"/>
      <c r="L97" s="63"/>
      <c r="M97" s="63"/>
      <c r="N97" s="30"/>
      <c r="O97" s="448"/>
      <c r="P97" s="448"/>
      <c r="Q97" s="448"/>
      <c r="R97" s="98"/>
      <c r="S97" s="99"/>
      <c r="T97" s="96"/>
      <c r="U97" s="448"/>
      <c r="V97" s="448"/>
      <c r="W97" s="448"/>
      <c r="X97" s="13"/>
      <c r="Y97" s="13"/>
      <c r="Z97" s="438">
        <f>AG61*AG79</f>
        <v>102.15468750000001</v>
      </c>
      <c r="AA97" s="438"/>
      <c r="AB97" s="439"/>
      <c r="AC97" s="13"/>
      <c r="AD97" s="13"/>
      <c r="AE97" s="13"/>
      <c r="AF97" s="13"/>
      <c r="AG97" s="13"/>
      <c r="AH97" s="13"/>
      <c r="AI97" s="13"/>
      <c r="AJ97" s="15"/>
    </row>
    <row r="98" spans="3:36" ht="21">
      <c r="C98" s="13"/>
      <c r="D98" s="12"/>
      <c r="E98" s="554" t="s">
        <v>445</v>
      </c>
      <c r="F98" s="555"/>
      <c r="G98" s="511" t="s">
        <v>155</v>
      </c>
      <c r="H98" s="419"/>
      <c r="I98" s="506"/>
      <c r="J98" s="507"/>
      <c r="K98" s="507"/>
      <c r="L98" s="63"/>
      <c r="M98" s="63"/>
      <c r="N98" s="30"/>
      <c r="O98" s="438">
        <f>AB62*AB80</f>
        <v>4.3012499999999996</v>
      </c>
      <c r="P98" s="438"/>
      <c r="Q98" s="438"/>
      <c r="R98" s="67" t="s">
        <v>227</v>
      </c>
      <c r="S98" s="60"/>
      <c r="T98" s="52" t="s">
        <v>68</v>
      </c>
      <c r="U98" s="475">
        <f>AB62*AG80</f>
        <v>51.615000000000002</v>
      </c>
      <c r="V98" s="475"/>
      <c r="W98" s="475"/>
      <c r="X98" s="67" t="s">
        <v>225</v>
      </c>
      <c r="Y98" s="10"/>
      <c r="Z98" s="438"/>
      <c r="AA98" s="438"/>
      <c r="AB98" s="439"/>
      <c r="AC98" s="13"/>
      <c r="AD98" s="13"/>
      <c r="AE98" s="13"/>
      <c r="AF98" s="13"/>
      <c r="AG98" s="13"/>
      <c r="AH98" s="13"/>
      <c r="AI98" s="13"/>
      <c r="AJ98" s="15"/>
    </row>
    <row r="99" spans="3:36" ht="21">
      <c r="C99" s="13"/>
      <c r="D99" s="12"/>
      <c r="E99" s="556"/>
      <c r="F99" s="557"/>
      <c r="G99" s="558" t="s">
        <v>156</v>
      </c>
      <c r="H99" s="558"/>
      <c r="I99" s="506">
        <f>V63*AB81</f>
        <v>0.99900000000000011</v>
      </c>
      <c r="J99" s="507"/>
      <c r="K99" s="507"/>
      <c r="L99" s="67" t="s">
        <v>228</v>
      </c>
      <c r="M99" s="13"/>
      <c r="N99" s="66" t="s">
        <v>68</v>
      </c>
      <c r="O99" s="438">
        <f>V63*AG81+AB63*AB81</f>
        <v>14.596499999999999</v>
      </c>
      <c r="P99" s="438"/>
      <c r="Q99" s="438"/>
      <c r="R99" s="67" t="s">
        <v>227</v>
      </c>
      <c r="S99" s="68"/>
      <c r="T99" s="66" t="s">
        <v>68</v>
      </c>
      <c r="U99" s="546">
        <f>AB63*AG81</f>
        <v>51.615000000000002</v>
      </c>
      <c r="V99" s="546"/>
      <c r="W99" s="546"/>
      <c r="X99" s="67" t="s">
        <v>225</v>
      </c>
      <c r="Y99" s="30"/>
      <c r="Z99" s="438"/>
      <c r="AA99" s="438"/>
      <c r="AB99" s="439"/>
      <c r="AC99" s="13"/>
      <c r="AD99" s="13"/>
      <c r="AE99" s="13"/>
      <c r="AF99" s="13"/>
      <c r="AG99" s="13"/>
      <c r="AH99" s="13"/>
      <c r="AI99" s="13"/>
      <c r="AJ99" s="15"/>
    </row>
    <row r="100" spans="3:36">
      <c r="C100" s="13"/>
      <c r="D100" s="12"/>
      <c r="E100" s="554" t="s">
        <v>178</v>
      </c>
      <c r="F100" s="555"/>
      <c r="G100" s="544" t="s">
        <v>157</v>
      </c>
      <c r="H100" s="619"/>
      <c r="I100" s="506"/>
      <c r="J100" s="507"/>
      <c r="K100" s="507"/>
      <c r="L100" s="63"/>
      <c r="M100" s="63"/>
      <c r="N100" s="30"/>
      <c r="O100" s="438"/>
      <c r="P100" s="438"/>
      <c r="Q100" s="438"/>
      <c r="R100" s="67"/>
      <c r="S100" s="68"/>
      <c r="T100" s="66"/>
      <c r="U100" s="546"/>
      <c r="V100" s="546"/>
      <c r="W100" s="546"/>
      <c r="X100" s="30"/>
      <c r="Y100" s="30"/>
      <c r="Z100" s="438">
        <f>AG64*AG82</f>
        <v>98.958333333333343</v>
      </c>
      <c r="AA100" s="438"/>
      <c r="AB100" s="439"/>
      <c r="AC100" s="13"/>
      <c r="AD100" s="13"/>
      <c r="AE100" s="13"/>
      <c r="AF100" s="13"/>
      <c r="AG100" s="13"/>
      <c r="AH100" s="13"/>
      <c r="AI100" s="13"/>
      <c r="AJ100" s="15"/>
    </row>
    <row r="101" spans="3:36" ht="21.75" thickBot="1">
      <c r="C101" s="13"/>
      <c r="D101" s="12"/>
      <c r="E101" s="629"/>
      <c r="F101" s="630"/>
      <c r="G101" s="549" t="s">
        <v>158</v>
      </c>
      <c r="H101" s="550"/>
      <c r="I101" s="552"/>
      <c r="J101" s="553"/>
      <c r="K101" s="553"/>
      <c r="L101" s="71"/>
      <c r="M101" s="71"/>
      <c r="N101" s="72"/>
      <c r="O101" s="532">
        <f>AB65*AB83</f>
        <v>4.1666666666666661</v>
      </c>
      <c r="P101" s="532"/>
      <c r="Q101" s="532"/>
      <c r="R101" s="73" t="s">
        <v>227</v>
      </c>
      <c r="S101" s="74"/>
      <c r="T101" s="75" t="s">
        <v>68</v>
      </c>
      <c r="U101" s="532">
        <f>AB65*AG83</f>
        <v>50</v>
      </c>
      <c r="V101" s="532"/>
      <c r="W101" s="532"/>
      <c r="X101" s="73" t="s">
        <v>225</v>
      </c>
      <c r="Y101" s="50"/>
      <c r="Z101" s="532"/>
      <c r="AA101" s="532"/>
      <c r="AB101" s="551"/>
      <c r="AC101" s="13"/>
      <c r="AD101" s="13"/>
      <c r="AE101" s="13"/>
      <c r="AF101" s="13"/>
      <c r="AG101" s="13"/>
      <c r="AH101" s="13"/>
      <c r="AI101" s="13"/>
      <c r="AJ101" s="15"/>
    </row>
    <row r="102" spans="3:36" ht="21.75" thickTop="1">
      <c r="C102" s="13"/>
      <c r="D102" s="12"/>
      <c r="E102" s="533" t="s">
        <v>184</v>
      </c>
      <c r="F102" s="534"/>
      <c r="G102" s="534"/>
      <c r="H102" s="535"/>
      <c r="I102" s="536">
        <f>SUM(I94:K101)</f>
        <v>0.99900000000000011</v>
      </c>
      <c r="J102" s="537"/>
      <c r="K102" s="537"/>
      <c r="L102" s="67" t="s">
        <v>228</v>
      </c>
      <c r="M102" s="77"/>
      <c r="N102" s="78" t="s">
        <v>68</v>
      </c>
      <c r="O102" s="537">
        <f>SUM(O94:Q101)</f>
        <v>23.064416666666666</v>
      </c>
      <c r="P102" s="537"/>
      <c r="Q102" s="537"/>
      <c r="R102" s="26" t="s">
        <v>227</v>
      </c>
      <c r="S102" s="79"/>
      <c r="T102" s="78" t="s">
        <v>68</v>
      </c>
      <c r="U102" s="537">
        <f>SUM(U94:W101)</f>
        <v>153.23000000000002</v>
      </c>
      <c r="V102" s="537"/>
      <c r="W102" s="537"/>
      <c r="X102" s="26" t="s">
        <v>225</v>
      </c>
      <c r="Y102" s="78" t="s">
        <v>68</v>
      </c>
      <c r="Z102" s="537">
        <f>SUM(Z94:AB101)</f>
        <v>271.76452083333334</v>
      </c>
      <c r="AA102" s="537"/>
      <c r="AB102" s="538"/>
      <c r="AC102" s="98"/>
      <c r="AD102" s="99"/>
      <c r="AE102" s="96"/>
      <c r="AF102" s="96"/>
      <c r="AG102" s="13"/>
      <c r="AH102" s="13"/>
      <c r="AI102" s="13"/>
      <c r="AJ102" s="15"/>
    </row>
    <row r="103" spans="3:36">
      <c r="C103" s="13"/>
      <c r="D103" s="12"/>
      <c r="E103" s="97"/>
      <c r="F103" s="96"/>
      <c r="G103" s="96"/>
      <c r="H103" s="96"/>
      <c r="I103" s="96"/>
      <c r="J103" s="96"/>
      <c r="K103" s="94"/>
      <c r="L103" s="94"/>
      <c r="M103" s="94"/>
      <c r="N103" s="94"/>
      <c r="O103" s="94"/>
      <c r="P103" s="95"/>
      <c r="Q103" s="95"/>
      <c r="R103" s="95"/>
      <c r="S103" s="95"/>
      <c r="T103" s="94"/>
      <c r="U103" s="94"/>
      <c r="V103" s="96"/>
      <c r="W103" s="96"/>
      <c r="X103" s="96"/>
      <c r="Y103" s="81"/>
      <c r="Z103" s="81"/>
      <c r="AA103" s="81"/>
      <c r="AB103"/>
      <c r="AC103" s="98"/>
      <c r="AD103" s="99"/>
      <c r="AE103" s="96"/>
      <c r="AF103" s="96"/>
      <c r="AG103" s="13"/>
      <c r="AH103" s="13"/>
      <c r="AI103" s="13"/>
      <c r="AJ103" s="15"/>
    </row>
    <row r="104" spans="3:36">
      <c r="C104" s="13"/>
      <c r="D104" s="12"/>
      <c r="E104" s="97"/>
      <c r="F104" s="96"/>
      <c r="G104" s="96"/>
      <c r="H104" s="96"/>
      <c r="I104" s="96"/>
      <c r="J104" s="96"/>
      <c r="K104" s="94"/>
      <c r="L104" s="94"/>
      <c r="M104" s="94"/>
      <c r="N104" s="94"/>
      <c r="O104" s="94"/>
      <c r="P104" s="95"/>
      <c r="Q104" s="95"/>
      <c r="R104" s="95"/>
      <c r="S104" s="95"/>
      <c r="T104" s="94"/>
      <c r="U104" s="94"/>
      <c r="V104" s="96"/>
      <c r="W104" s="96"/>
      <c r="X104" s="96"/>
      <c r="Y104" s="81"/>
      <c r="Z104" s="81"/>
      <c r="AA104" s="81"/>
      <c r="AB104"/>
      <c r="AC104" s="98"/>
      <c r="AD104" s="99"/>
      <c r="AE104" s="96"/>
      <c r="AF104" s="96"/>
      <c r="AG104" s="13"/>
      <c r="AH104" s="13"/>
      <c r="AI104" s="13"/>
      <c r="AJ104" s="15"/>
    </row>
    <row r="105" spans="3:36">
      <c r="C105" s="13"/>
      <c r="D105" s="12"/>
      <c r="E105" s="97"/>
      <c r="F105" s="96"/>
      <c r="G105" s="96"/>
      <c r="H105" s="96"/>
      <c r="I105" s="410" t="s">
        <v>189</v>
      </c>
      <c r="J105" s="412"/>
      <c r="K105" s="412"/>
      <c r="L105" s="412"/>
      <c r="M105" s="412"/>
      <c r="N105" s="412"/>
      <c r="O105" s="412"/>
      <c r="P105" s="412"/>
      <c r="Q105" s="412"/>
      <c r="R105" s="412"/>
      <c r="S105" s="412"/>
      <c r="T105" s="412"/>
      <c r="U105" s="412"/>
      <c r="V105" s="412"/>
      <c r="W105" s="412"/>
      <c r="X105" s="412"/>
      <c r="Y105" s="412"/>
      <c r="Z105" s="412"/>
      <c r="AA105" s="412"/>
      <c r="AB105" s="411"/>
      <c r="AC105" s="13"/>
      <c r="AD105" s="13"/>
      <c r="AE105" s="13"/>
      <c r="AF105" s="13"/>
      <c r="AG105" s="13"/>
      <c r="AH105" s="13"/>
      <c r="AI105" s="13"/>
      <c r="AJ105" s="15"/>
    </row>
    <row r="106" spans="3:36">
      <c r="C106" s="13"/>
      <c r="D106" s="12"/>
      <c r="E106" s="13"/>
      <c r="F106" s="96"/>
      <c r="G106" s="96"/>
      <c r="H106" s="96"/>
      <c r="I106" s="508" t="s">
        <v>186</v>
      </c>
      <c r="J106" s="509"/>
      <c r="K106" s="509"/>
      <c r="L106" s="509"/>
      <c r="M106" s="509"/>
      <c r="N106" s="509"/>
      <c r="O106" s="509"/>
      <c r="P106" s="509"/>
      <c r="Q106" s="509"/>
      <c r="R106" s="509"/>
      <c r="S106" s="509"/>
      <c r="T106" s="509"/>
      <c r="U106" s="509"/>
      <c r="V106" s="509"/>
      <c r="W106" s="509"/>
      <c r="X106" s="509"/>
      <c r="Y106" s="509"/>
      <c r="Z106" s="509"/>
      <c r="AA106" s="509"/>
      <c r="AB106" s="510"/>
      <c r="AC106" s="13"/>
      <c r="AD106" s="13"/>
      <c r="AE106" s="13"/>
      <c r="AF106" s="13"/>
      <c r="AG106" s="13"/>
      <c r="AH106" s="13"/>
      <c r="AI106" s="13"/>
      <c r="AJ106" s="15"/>
    </row>
    <row r="107" spans="3:36">
      <c r="C107" s="13"/>
      <c r="D107" s="12"/>
      <c r="E107" s="97"/>
      <c r="F107" s="96"/>
      <c r="G107" s="96"/>
      <c r="H107" s="96"/>
      <c r="I107" s="498" t="s">
        <v>35</v>
      </c>
      <c r="J107" s="500"/>
      <c r="K107" s="500"/>
      <c r="L107" s="500"/>
      <c r="M107" s="500"/>
      <c r="N107" s="500"/>
      <c r="O107" s="500"/>
      <c r="P107" s="500"/>
      <c r="Q107" s="500"/>
      <c r="R107" s="500"/>
      <c r="S107" s="500"/>
      <c r="T107" s="500"/>
      <c r="U107" s="500"/>
      <c r="V107" s="500"/>
      <c r="W107" s="500"/>
      <c r="X107" s="500"/>
      <c r="Y107" s="500"/>
      <c r="Z107" s="500"/>
      <c r="AA107" s="500"/>
      <c r="AB107" s="499"/>
      <c r="AC107" s="13"/>
      <c r="AD107" s="13"/>
      <c r="AE107" s="13"/>
      <c r="AF107" s="13"/>
      <c r="AG107" s="13"/>
      <c r="AH107" s="13"/>
      <c r="AI107" s="13"/>
      <c r="AJ107" s="15"/>
    </row>
    <row r="108" spans="3:36" ht="21.75" thickBot="1">
      <c r="C108" s="13"/>
      <c r="D108" s="12"/>
      <c r="E108" s="542" t="s">
        <v>445</v>
      </c>
      <c r="F108" s="543"/>
      <c r="G108" s="544" t="s">
        <v>182</v>
      </c>
      <c r="H108" s="545"/>
      <c r="I108" s="506">
        <f>V70*AB88</f>
        <v>9</v>
      </c>
      <c r="J108" s="507"/>
      <c r="K108" s="507"/>
      <c r="L108" s="73" t="s">
        <v>228</v>
      </c>
      <c r="M108" s="13"/>
      <c r="N108" s="66" t="s">
        <v>68</v>
      </c>
      <c r="O108" s="438">
        <f>V70*AG88</f>
        <v>54</v>
      </c>
      <c r="P108" s="438"/>
      <c r="Q108" s="438"/>
      <c r="R108" s="73" t="s">
        <v>227</v>
      </c>
      <c r="S108" s="68"/>
      <c r="T108" s="66"/>
      <c r="U108" s="546"/>
      <c r="V108" s="546"/>
      <c r="W108" s="546"/>
      <c r="X108" s="67"/>
      <c r="Y108" s="30"/>
      <c r="Z108" s="438"/>
      <c r="AA108" s="438"/>
      <c r="AB108" s="439"/>
      <c r="AC108" s="13"/>
      <c r="AD108" s="13"/>
      <c r="AE108" s="13"/>
      <c r="AF108" s="13"/>
      <c r="AG108" s="13"/>
      <c r="AH108" s="13"/>
      <c r="AI108" s="13"/>
      <c r="AJ108" s="15"/>
    </row>
    <row r="109" spans="3:36" ht="21.75" thickTop="1">
      <c r="C109" s="13"/>
      <c r="D109" s="12"/>
      <c r="E109" s="533" t="s">
        <v>185</v>
      </c>
      <c r="F109" s="534"/>
      <c r="G109" s="534"/>
      <c r="H109" s="535"/>
      <c r="I109" s="536">
        <f>SUM(I108:K108)</f>
        <v>9</v>
      </c>
      <c r="J109" s="537"/>
      <c r="K109" s="537"/>
      <c r="L109" s="26" t="s">
        <v>228</v>
      </c>
      <c r="M109" s="77"/>
      <c r="N109" s="78" t="s">
        <v>68</v>
      </c>
      <c r="O109" s="537">
        <f>SUM(O108:Q108)</f>
        <v>54</v>
      </c>
      <c r="P109" s="537"/>
      <c r="Q109" s="537"/>
      <c r="R109" s="26" t="s">
        <v>227</v>
      </c>
      <c r="S109" s="79"/>
      <c r="T109" s="78"/>
      <c r="U109" s="537"/>
      <c r="V109" s="537"/>
      <c r="W109" s="537"/>
      <c r="X109" s="76"/>
      <c r="Y109" s="78"/>
      <c r="Z109" s="537"/>
      <c r="AA109" s="537"/>
      <c r="AB109" s="538"/>
      <c r="AC109" s="98"/>
      <c r="AD109" s="99"/>
      <c r="AE109" s="96"/>
      <c r="AF109" s="96"/>
      <c r="AG109" s="13"/>
      <c r="AH109" s="13"/>
      <c r="AI109" s="13"/>
      <c r="AJ109" s="15"/>
    </row>
    <row r="110" spans="3:36">
      <c r="C110" s="13"/>
      <c r="D110" s="12"/>
      <c r="E110" s="97"/>
      <c r="F110" s="96"/>
      <c r="G110" s="96"/>
      <c r="H110" s="96"/>
      <c r="I110" s="96"/>
      <c r="J110" s="96"/>
      <c r="K110" s="94"/>
      <c r="L110" s="94"/>
      <c r="M110" s="94"/>
      <c r="N110" s="13"/>
      <c r="O110" s="13"/>
      <c r="P110" s="13"/>
      <c r="Q110" s="95"/>
      <c r="R110" s="95"/>
      <c r="S110" s="95"/>
      <c r="T110" s="94"/>
      <c r="U110" s="94"/>
      <c r="V110" s="96"/>
      <c r="W110" s="96"/>
      <c r="X110" s="96"/>
      <c r="Y110" s="81"/>
      <c r="Z110" s="81"/>
      <c r="AA110" s="81"/>
      <c r="AB110"/>
      <c r="AC110" s="98"/>
      <c r="AD110" s="13"/>
      <c r="AE110" s="13"/>
      <c r="AF110" s="13"/>
      <c r="AG110" s="13"/>
      <c r="AH110" s="84"/>
      <c r="AI110" s="84"/>
      <c r="AJ110" s="103"/>
    </row>
    <row r="111" spans="3:36">
      <c r="C111" s="13"/>
      <c r="D111" s="12"/>
      <c r="E111" s="13"/>
      <c r="F111" s="98" t="s">
        <v>187</v>
      </c>
      <c r="G111" s="96"/>
      <c r="H111" s="94"/>
      <c r="I111" s="94"/>
      <c r="Q111" s="95"/>
      <c r="R111" s="95"/>
      <c r="S111" s="95"/>
      <c r="T111" s="94"/>
      <c r="U111" s="94"/>
      <c r="V111" s="96"/>
      <c r="W111" s="96"/>
      <c r="X111" s="96"/>
      <c r="Y111" s="81"/>
      <c r="Z111" s="81"/>
      <c r="AA111" s="81"/>
      <c r="AB111"/>
      <c r="AC111" s="98"/>
      <c r="AD111" s="99"/>
      <c r="AE111" s="96"/>
      <c r="AF111" s="96"/>
      <c r="AG111" s="13"/>
      <c r="AH111" s="13"/>
      <c r="AI111" s="13"/>
      <c r="AJ111" s="15"/>
    </row>
    <row r="112" spans="3:36">
      <c r="C112" s="13"/>
      <c r="D112" s="12"/>
      <c r="E112" s="98" t="s">
        <v>89</v>
      </c>
      <c r="F112" s="96"/>
      <c r="G112" s="96"/>
      <c r="H112" s="96"/>
      <c r="I112" s="96"/>
      <c r="J112" s="96"/>
      <c r="K112" s="94"/>
      <c r="L112" s="94"/>
      <c r="M112" s="94"/>
      <c r="N112" s="94"/>
      <c r="O112" s="94"/>
      <c r="P112" s="96"/>
      <c r="Q112" s="96"/>
      <c r="R112" s="96"/>
      <c r="S112" s="96"/>
      <c r="T112" s="94"/>
      <c r="U112" s="94"/>
      <c r="V112" s="96"/>
      <c r="W112" s="96"/>
      <c r="X112" s="96"/>
      <c r="Y112" s="81"/>
      <c r="Z112" s="81"/>
      <c r="AA112" s="81"/>
      <c r="AB112"/>
      <c r="AC112" s="98"/>
      <c r="AD112" s="99"/>
      <c r="AE112" s="96"/>
      <c r="AF112" s="96"/>
      <c r="AG112" s="13"/>
      <c r="AH112" s="13"/>
      <c r="AI112" s="13"/>
      <c r="AJ112" s="15"/>
    </row>
    <row r="113" spans="1:41">
      <c r="C113" s="13"/>
      <c r="D113" s="12"/>
      <c r="E113" s="13"/>
      <c r="F113" s="98" t="s">
        <v>188</v>
      </c>
      <c r="G113" s="96"/>
      <c r="H113" s="94"/>
      <c r="I113" s="94"/>
      <c r="M113" s="94"/>
      <c r="R113" s="96"/>
      <c r="S113" s="96"/>
      <c r="T113" s="94"/>
      <c r="U113" s="94"/>
      <c r="V113" s="96"/>
      <c r="W113" s="96"/>
      <c r="X113" s="96"/>
      <c r="Y113" s="81"/>
      <c r="Z113" s="81"/>
      <c r="AA113" s="81"/>
      <c r="AB113"/>
      <c r="AC113" s="98"/>
      <c r="AD113" s="99"/>
      <c r="AE113" s="96"/>
      <c r="AF113" s="96"/>
      <c r="AG113" s="13"/>
      <c r="AH113" s="13"/>
      <c r="AI113" s="13"/>
      <c r="AJ113" s="15"/>
    </row>
    <row r="114" spans="1:41">
      <c r="C114" s="13"/>
      <c r="D114" s="12"/>
      <c r="E114" s="98" t="s">
        <v>67</v>
      </c>
      <c r="F114" s="96"/>
      <c r="G114" s="96"/>
      <c r="H114" s="96"/>
      <c r="AF114" s="96"/>
      <c r="AG114" s="13"/>
      <c r="AH114" s="13"/>
      <c r="AI114" s="13"/>
      <c r="AJ114" s="15"/>
    </row>
    <row r="115" spans="1:41" ht="21">
      <c r="C115" s="13"/>
      <c r="D115" s="12"/>
      <c r="E115" s="98"/>
      <c r="F115" s="627">
        <f>I102-I109</f>
        <v>-8.0009999999999994</v>
      </c>
      <c r="G115" s="627"/>
      <c r="H115" s="627"/>
      <c r="I115" s="98" t="s">
        <v>228</v>
      </c>
      <c r="J115" s="13"/>
      <c r="K115" s="96" t="s">
        <v>68</v>
      </c>
      <c r="L115" s="627">
        <f>O102-O109</f>
        <v>-30.935583333333334</v>
      </c>
      <c r="M115" s="627"/>
      <c r="N115" s="627"/>
      <c r="O115" s="98" t="s">
        <v>227</v>
      </c>
      <c r="P115" s="99"/>
      <c r="Q115" s="96" t="s">
        <v>68</v>
      </c>
      <c r="R115" s="628">
        <f>U102-U109</f>
        <v>153.23000000000002</v>
      </c>
      <c r="S115" s="628"/>
      <c r="T115" s="628"/>
      <c r="U115" s="98" t="s">
        <v>225</v>
      </c>
      <c r="V115" s="96" t="s">
        <v>68</v>
      </c>
      <c r="W115" s="628">
        <f>Z102-Z109</f>
        <v>271.76452083333334</v>
      </c>
      <c r="X115" s="628"/>
      <c r="Y115" s="628"/>
      <c r="Z115" s="98"/>
      <c r="AA115" s="99" t="s">
        <v>2</v>
      </c>
      <c r="AB115" s="104">
        <v>0</v>
      </c>
      <c r="AF115" s="96"/>
      <c r="AG115" s="13"/>
      <c r="AH115" s="13"/>
      <c r="AI115" s="13"/>
      <c r="AJ115" s="15"/>
    </row>
    <row r="116" spans="1:41">
      <c r="C116" s="13"/>
      <c r="D116" s="12"/>
      <c r="E116" s="98"/>
      <c r="F116" s="96"/>
      <c r="G116" s="96"/>
      <c r="H116" s="96"/>
      <c r="I116" s="96"/>
      <c r="J116" s="96"/>
      <c r="K116" s="94"/>
      <c r="L116" s="94"/>
      <c r="M116" s="94"/>
      <c r="N116" s="94"/>
      <c r="O116" s="94"/>
      <c r="P116" s="96"/>
      <c r="Q116" s="96"/>
      <c r="R116" s="96"/>
      <c r="S116" s="96"/>
      <c r="T116" s="94"/>
      <c r="U116" s="94"/>
      <c r="V116" s="96"/>
      <c r="W116" s="96"/>
      <c r="X116" s="96"/>
      <c r="Y116" s="81"/>
      <c r="Z116" s="81"/>
      <c r="AA116" s="81"/>
      <c r="AB116"/>
      <c r="AC116" s="98"/>
      <c r="AD116" s="99"/>
      <c r="AE116" s="96"/>
      <c r="AF116" s="96"/>
      <c r="AG116" s="13"/>
      <c r="AH116" s="13"/>
      <c r="AI116" s="13"/>
      <c r="AJ116" s="15"/>
    </row>
    <row r="117" spans="1:41">
      <c r="C117" s="13"/>
      <c r="D117" s="12"/>
      <c r="E117" s="98" t="s">
        <v>190</v>
      </c>
      <c r="F117" s="96"/>
      <c r="G117" s="96"/>
      <c r="H117" s="96"/>
      <c r="I117" s="96"/>
      <c r="J117" s="96"/>
      <c r="K117" s="94"/>
      <c r="L117" s="94"/>
      <c r="M117" s="94"/>
      <c r="N117" s="94"/>
      <c r="O117" s="94"/>
      <c r="P117" s="96"/>
      <c r="Q117" s="96"/>
      <c r="R117" s="96"/>
      <c r="S117" s="96"/>
      <c r="T117" s="94"/>
      <c r="U117" s="94"/>
      <c r="V117" s="96"/>
      <c r="W117" s="96"/>
      <c r="X117" s="96"/>
      <c r="Y117" s="81"/>
      <c r="Z117" s="81"/>
      <c r="AA117" s="81"/>
      <c r="AB117"/>
      <c r="AC117" s="98"/>
      <c r="AD117" s="99"/>
      <c r="AE117" s="96"/>
      <c r="AF117" s="96"/>
      <c r="AG117" s="13"/>
      <c r="AH117" s="13"/>
      <c r="AI117" s="13"/>
      <c r="AJ117" s="15"/>
    </row>
    <row r="118" spans="1:41" customFormat="1">
      <c r="A118" s="82"/>
      <c r="B118" s="82"/>
      <c r="C118" s="82"/>
      <c r="D118" s="88"/>
      <c r="E118" s="82"/>
      <c r="F118" s="82"/>
      <c r="G118" s="85"/>
      <c r="H118" s="3"/>
      <c r="I118" s="86" t="s">
        <v>191</v>
      </c>
      <c r="J118" s="539">
        <f>-L115/(3*F115)</f>
        <v>-1.2888215361968642</v>
      </c>
      <c r="K118" s="539"/>
      <c r="L118" s="539"/>
      <c r="M118" s="86"/>
      <c r="N118" s="86"/>
      <c r="O118" s="86"/>
      <c r="P118" s="86"/>
      <c r="Q118" s="86"/>
      <c r="R118" s="86"/>
      <c r="S118" s="86"/>
      <c r="T118" s="86"/>
      <c r="U118" s="86"/>
      <c r="V118" s="86"/>
      <c r="W118" s="86"/>
      <c r="X118" s="86"/>
      <c r="Y118" s="86"/>
      <c r="Z118" s="86"/>
      <c r="AA118" s="86"/>
      <c r="AB118" s="86"/>
      <c r="AC118" s="86"/>
      <c r="AD118" s="86"/>
      <c r="AE118" s="86"/>
      <c r="AF118" s="86"/>
      <c r="AG118" s="86"/>
      <c r="AH118" s="86"/>
      <c r="AI118" s="87"/>
      <c r="AJ118" s="89"/>
      <c r="AK118" s="82"/>
      <c r="AL118" s="82"/>
      <c r="AM118" s="82"/>
      <c r="AN118" s="82"/>
      <c r="AO118" s="82"/>
    </row>
    <row r="119" spans="1:41" customFormat="1">
      <c r="A119" s="82"/>
      <c r="B119" s="82"/>
      <c r="C119" s="82"/>
      <c r="D119" s="88"/>
      <c r="E119" s="82"/>
      <c r="F119" s="82"/>
      <c r="G119" s="88"/>
      <c r="H119" s="83" t="s">
        <v>192</v>
      </c>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2"/>
      <c r="AI119" s="89"/>
      <c r="AJ119" s="89"/>
      <c r="AK119" s="82"/>
      <c r="AL119" s="82"/>
      <c r="AM119" s="82"/>
      <c r="AN119" s="82"/>
      <c r="AO119" s="82"/>
    </row>
    <row r="120" spans="1:41" customFormat="1">
      <c r="A120" s="82"/>
      <c r="B120" s="82"/>
      <c r="C120" s="82"/>
      <c r="D120" s="88"/>
      <c r="E120" s="82"/>
      <c r="F120" s="82"/>
      <c r="G120" s="88"/>
      <c r="H120" s="82"/>
      <c r="I120" s="82" t="s">
        <v>193</v>
      </c>
      <c r="J120" s="520">
        <f>R115/F115-L115^2/(3*F115^2)</f>
        <v>-24.13453893698448</v>
      </c>
      <c r="K120" s="520"/>
      <c r="L120" s="520"/>
      <c r="M120" s="82"/>
      <c r="N120" s="82"/>
      <c r="O120" s="82"/>
      <c r="P120" s="82"/>
      <c r="Q120" s="82"/>
      <c r="R120" s="82"/>
      <c r="S120" s="82"/>
      <c r="T120" s="82"/>
      <c r="U120" s="82"/>
      <c r="V120" s="82"/>
      <c r="W120" s="82"/>
      <c r="X120" s="82"/>
      <c r="Y120" s="82" t="s">
        <v>194</v>
      </c>
      <c r="Z120" s="520">
        <f>(J121/2)^2+(J120/3)^3</f>
        <v>-514.40380751065311</v>
      </c>
      <c r="AA120" s="520"/>
      <c r="AB120" s="520"/>
      <c r="AC120" s="82"/>
      <c r="AD120" s="82"/>
      <c r="AE120" s="82"/>
      <c r="AF120" s="82"/>
      <c r="AG120" s="82"/>
      <c r="AH120" s="82"/>
      <c r="AI120" s="89"/>
      <c r="AJ120" s="89"/>
      <c r="AK120" s="82"/>
      <c r="AL120" s="82"/>
      <c r="AM120" s="82"/>
      <c r="AN120" s="82"/>
      <c r="AO120" s="82"/>
    </row>
    <row r="121" spans="1:41" customFormat="1">
      <c r="A121" s="82"/>
      <c r="B121" s="82"/>
      <c r="C121" s="82"/>
      <c r="D121" s="88"/>
      <c r="E121" s="82"/>
      <c r="F121" s="82"/>
      <c r="G121" s="88"/>
      <c r="H121" s="82"/>
      <c r="I121" s="82" t="s">
        <v>195</v>
      </c>
      <c r="J121" s="520">
        <f>W115/F115-R115*L115/(3*F115^2)+2*L115^3/(27*F115^3)</f>
        <v>-5.0020168941707333</v>
      </c>
      <c r="K121" s="520"/>
      <c r="L121" s="520"/>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9"/>
      <c r="AJ121" s="89"/>
      <c r="AK121" s="82"/>
      <c r="AL121" s="82"/>
      <c r="AM121" s="82"/>
      <c r="AN121" s="82"/>
      <c r="AO121" s="82"/>
    </row>
    <row r="122" spans="1:41" customFormat="1">
      <c r="A122" s="82"/>
      <c r="B122" s="82"/>
      <c r="C122" s="82"/>
      <c r="D122" s="88"/>
      <c r="E122" s="82"/>
      <c r="F122" s="82"/>
      <c r="G122" s="88"/>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9"/>
      <c r="AJ122" s="89"/>
      <c r="AK122" s="82"/>
      <c r="AL122" s="82"/>
      <c r="AM122" s="82"/>
      <c r="AN122" s="82"/>
      <c r="AO122" s="82"/>
    </row>
    <row r="123" spans="1:41" customFormat="1">
      <c r="A123" s="82"/>
      <c r="B123" s="82"/>
      <c r="C123" s="82"/>
      <c r="D123" s="88"/>
      <c r="E123" s="82"/>
      <c r="F123" s="82"/>
      <c r="G123" s="88"/>
      <c r="H123" s="82"/>
      <c r="I123" s="82"/>
      <c r="J123" s="82" t="s">
        <v>196</v>
      </c>
      <c r="K123" s="82"/>
      <c r="L123" s="82"/>
      <c r="M123" s="82"/>
      <c r="N123" s="82" t="s">
        <v>197</v>
      </c>
      <c r="O123" s="82"/>
      <c r="P123" s="82"/>
      <c r="Q123" s="82"/>
      <c r="R123" s="82"/>
      <c r="S123" s="82"/>
      <c r="T123" s="82"/>
      <c r="U123" s="82"/>
      <c r="V123" s="82"/>
      <c r="W123" s="82"/>
      <c r="X123" s="82"/>
      <c r="Y123" s="82"/>
      <c r="Z123" s="82" t="s">
        <v>198</v>
      </c>
      <c r="AA123" s="82"/>
      <c r="AB123" s="82"/>
      <c r="AC123" s="82"/>
      <c r="AD123" s="82"/>
      <c r="AE123" s="82"/>
      <c r="AF123" s="82"/>
      <c r="AG123" s="82"/>
      <c r="AH123" s="82"/>
      <c r="AI123" s="89"/>
      <c r="AJ123" s="89"/>
      <c r="AK123" s="82"/>
      <c r="AL123" s="82"/>
      <c r="AM123" s="82"/>
      <c r="AN123" s="82"/>
      <c r="AO123" s="82"/>
    </row>
    <row r="124" spans="1:41" customFormat="1">
      <c r="A124" s="82"/>
      <c r="B124" s="82"/>
      <c r="C124" s="82"/>
      <c r="D124" s="88"/>
      <c r="E124" s="82"/>
      <c r="F124" s="82"/>
      <c r="G124" s="88"/>
      <c r="H124" s="82"/>
      <c r="I124" s="82" t="s">
        <v>65</v>
      </c>
      <c r="J124" s="520">
        <f>IF(Z120&gt;=0,-J121/2+SQRT(Z120),-J121/2)</f>
        <v>2.5010084470853666</v>
      </c>
      <c r="K124" s="520"/>
      <c r="L124" s="520"/>
      <c r="M124" s="82" t="s">
        <v>68</v>
      </c>
      <c r="N124" s="520">
        <f>IF(Z120&gt;=0,0,SQRT(-Z120))</f>
        <v>22.680471941973632</v>
      </c>
      <c r="O124" s="520"/>
      <c r="P124" s="520"/>
      <c r="Q124" s="82" t="s">
        <v>199</v>
      </c>
      <c r="R124" s="82"/>
      <c r="S124" s="82"/>
      <c r="T124" s="82"/>
      <c r="U124" s="82"/>
      <c r="V124" s="82"/>
      <c r="W124" s="82"/>
      <c r="X124" s="82"/>
      <c r="Y124" s="82" t="s">
        <v>200</v>
      </c>
      <c r="Z124" s="520">
        <f>SQRT(J124^2+N124^2)</f>
        <v>22.81795018758358</v>
      </c>
      <c r="AA124" s="520"/>
      <c r="AB124" s="520"/>
      <c r="AC124" s="82"/>
      <c r="AD124" s="82" t="s">
        <v>201</v>
      </c>
      <c r="AE124" s="520">
        <f>ATAN2(J124,N124)</f>
        <v>1.4609686067297945</v>
      </c>
      <c r="AF124" s="520"/>
      <c r="AG124" s="520"/>
      <c r="AH124" s="82"/>
      <c r="AI124" s="89"/>
      <c r="AJ124" s="89"/>
      <c r="AK124" s="82"/>
      <c r="AL124" s="82"/>
      <c r="AM124" s="82"/>
      <c r="AN124" s="82"/>
      <c r="AO124" s="82"/>
    </row>
    <row r="125" spans="1:41" customFormat="1">
      <c r="A125" s="82"/>
      <c r="B125" s="82"/>
      <c r="C125" s="82"/>
      <c r="D125" s="88"/>
      <c r="E125" s="82"/>
      <c r="F125" s="82"/>
      <c r="G125" s="88"/>
      <c r="H125" s="82"/>
      <c r="I125" s="82" t="s">
        <v>202</v>
      </c>
      <c r="J125" s="520">
        <f>IF(Z120&gt;=0,-J121/2-SQRT(Z120),-J121/2)</f>
        <v>2.5010084470853666</v>
      </c>
      <c r="K125" s="520"/>
      <c r="L125" s="520"/>
      <c r="M125" s="82" t="s">
        <v>68</v>
      </c>
      <c r="N125" s="520">
        <f>IF(Z120&gt;=0,0,-SQRT(-Z120))</f>
        <v>-22.680471941973632</v>
      </c>
      <c r="O125" s="520"/>
      <c r="P125" s="520"/>
      <c r="Q125" s="82" t="s">
        <v>199</v>
      </c>
      <c r="R125" s="82"/>
      <c r="S125" s="82"/>
      <c r="T125" s="82"/>
      <c r="U125" s="82"/>
      <c r="V125" s="82"/>
      <c r="W125" s="82"/>
      <c r="X125" s="82"/>
      <c r="Y125" s="82" t="s">
        <v>200</v>
      </c>
      <c r="Z125" s="520">
        <f>SQRT(J125^2+N125^2)</f>
        <v>22.81795018758358</v>
      </c>
      <c r="AA125" s="520"/>
      <c r="AB125" s="520"/>
      <c r="AC125" s="82"/>
      <c r="AD125" s="82" t="s">
        <v>201</v>
      </c>
      <c r="AE125" s="520">
        <f>ATAN2(J125,N125)</f>
        <v>-1.4609686067297945</v>
      </c>
      <c r="AF125" s="520"/>
      <c r="AG125" s="520"/>
      <c r="AH125" s="82"/>
      <c r="AI125" s="89"/>
      <c r="AJ125" s="89"/>
      <c r="AK125" s="82"/>
      <c r="AL125" s="82"/>
      <c r="AM125" s="82"/>
      <c r="AN125" s="82"/>
      <c r="AO125" s="82"/>
    </row>
    <row r="126" spans="1:41" customFormat="1">
      <c r="A126" s="82"/>
      <c r="B126" s="82"/>
      <c r="C126" s="82"/>
      <c r="D126" s="88"/>
      <c r="E126" s="82"/>
      <c r="F126" s="82"/>
      <c r="G126" s="88"/>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9"/>
      <c r="AJ126" s="89"/>
      <c r="AK126" s="82"/>
      <c r="AL126" s="82"/>
      <c r="AM126" s="82"/>
      <c r="AN126" s="82"/>
      <c r="AO126" s="82"/>
    </row>
    <row r="127" spans="1:41" customFormat="1">
      <c r="A127" s="82"/>
      <c r="B127" s="82"/>
      <c r="C127" s="82"/>
      <c r="D127" s="88"/>
      <c r="E127" s="82"/>
      <c r="F127" s="82"/>
      <c r="G127" s="88"/>
      <c r="H127" s="83" t="s">
        <v>203</v>
      </c>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2"/>
      <c r="AI127" s="89"/>
      <c r="AJ127" s="89"/>
      <c r="AK127" s="82"/>
      <c r="AL127" s="82"/>
      <c r="AM127" s="82"/>
      <c r="AN127" s="82"/>
      <c r="AO127" s="82"/>
    </row>
    <row r="128" spans="1:41" customFormat="1">
      <c r="A128" s="82"/>
      <c r="B128" s="82"/>
      <c r="C128" s="82"/>
      <c r="D128" s="88"/>
      <c r="E128" s="82"/>
      <c r="F128" s="82"/>
      <c r="G128" s="88"/>
      <c r="H128" s="82"/>
      <c r="I128" s="82"/>
      <c r="J128" s="82" t="s">
        <v>204</v>
      </c>
      <c r="K128" s="82"/>
      <c r="L128" s="82"/>
      <c r="M128" s="82"/>
      <c r="N128" s="82" t="s">
        <v>197</v>
      </c>
      <c r="O128" s="82"/>
      <c r="P128" s="82"/>
      <c r="Q128" s="82"/>
      <c r="R128" s="82"/>
      <c r="S128" s="82"/>
      <c r="T128" s="82"/>
      <c r="U128" s="82"/>
      <c r="V128" s="82"/>
      <c r="W128" s="82"/>
      <c r="X128" s="82"/>
      <c r="Y128" s="82"/>
      <c r="Z128" s="82"/>
      <c r="AA128" s="82"/>
      <c r="AB128" s="82"/>
      <c r="AC128" s="82"/>
      <c r="AD128" s="82"/>
      <c r="AE128" s="82"/>
      <c r="AF128" s="82"/>
      <c r="AG128" s="82"/>
      <c r="AH128" s="82"/>
      <c r="AI128" s="89"/>
      <c r="AJ128" s="89"/>
      <c r="AK128" s="82"/>
      <c r="AL128" s="82"/>
      <c r="AM128" s="82"/>
      <c r="AN128" s="82"/>
      <c r="AO128" s="82"/>
    </row>
    <row r="129" spans="1:41" customFormat="1">
      <c r="A129" s="82"/>
      <c r="B129" s="82"/>
      <c r="C129" s="82"/>
      <c r="D129" s="88"/>
      <c r="E129" s="82"/>
      <c r="F129" s="82"/>
      <c r="G129" s="88"/>
      <c r="H129" s="82"/>
      <c r="I129" s="82" t="s">
        <v>149</v>
      </c>
      <c r="J129" s="520">
        <f>IF(Z124&gt;0,Z124^(1/3)*COS(AE124/3),0)</f>
        <v>2.5066065505708357</v>
      </c>
      <c r="K129" s="520"/>
      <c r="L129" s="520"/>
      <c r="M129" s="82" t="s">
        <v>68</v>
      </c>
      <c r="N129" s="520">
        <f>IF(Z124&gt;0,Z124^(1/3)*SIN(AE124/3),0)</f>
        <v>1.3273168095686629</v>
      </c>
      <c r="O129" s="520"/>
      <c r="P129" s="520"/>
      <c r="Q129" s="82" t="s">
        <v>199</v>
      </c>
      <c r="R129" s="82"/>
      <c r="S129" s="82"/>
      <c r="T129" s="82"/>
      <c r="U129" s="82"/>
      <c r="V129" s="82"/>
      <c r="W129" s="82"/>
      <c r="X129" s="82"/>
      <c r="Y129" s="82" t="s">
        <v>200</v>
      </c>
      <c r="Z129" s="520">
        <f>J129^2+N129^2</f>
        <v>8.0448463123281577</v>
      </c>
      <c r="AA129" s="520"/>
      <c r="AB129" s="520"/>
      <c r="AC129" s="82"/>
      <c r="AD129" s="82" t="s">
        <v>201</v>
      </c>
      <c r="AE129" s="520">
        <f>ATAN2(J129,N129)</f>
        <v>0.48698953557659813</v>
      </c>
      <c r="AF129" s="520"/>
      <c r="AG129" s="520"/>
      <c r="AH129" s="82"/>
      <c r="AI129" s="89"/>
      <c r="AJ129" s="89"/>
      <c r="AK129" s="82"/>
      <c r="AL129" s="82"/>
      <c r="AM129" s="82"/>
      <c r="AN129" s="82"/>
      <c r="AO129" s="82"/>
    </row>
    <row r="130" spans="1:41" customFormat="1">
      <c r="A130" s="82"/>
      <c r="B130" s="82"/>
      <c r="C130" s="82"/>
      <c r="D130" s="88"/>
      <c r="E130" s="82"/>
      <c r="F130" s="82"/>
      <c r="G130" s="88"/>
      <c r="H130" s="82"/>
      <c r="I130" s="82" t="s">
        <v>6</v>
      </c>
      <c r="J130" s="520">
        <f>IF(Z129&gt;0,-J120*J129/(3*Z129),Z125^(1/3)*COS(AE125/3))</f>
        <v>2.5066065505708366</v>
      </c>
      <c r="K130" s="520"/>
      <c r="L130" s="520"/>
      <c r="M130" s="82" t="s">
        <v>68</v>
      </c>
      <c r="N130" s="520">
        <f>IF(Z129&gt;0, J120*N129/(3*Z129),Z125^(1/3)*SIN(AE125/3))</f>
        <v>-1.3273168095686634</v>
      </c>
      <c r="O130" s="520"/>
      <c r="P130" s="520"/>
      <c r="Q130" s="82" t="s">
        <v>199</v>
      </c>
      <c r="R130" s="82"/>
      <c r="S130" s="82"/>
      <c r="T130" s="82"/>
      <c r="U130" s="82"/>
      <c r="V130" s="82"/>
      <c r="W130" s="82"/>
      <c r="X130" s="82"/>
      <c r="Y130" s="82" t="s">
        <v>200</v>
      </c>
      <c r="Z130" s="520">
        <f>J130^2+N130^2</f>
        <v>8.0448463123281631</v>
      </c>
      <c r="AA130" s="520"/>
      <c r="AB130" s="520"/>
      <c r="AC130" s="82"/>
      <c r="AD130" s="82" t="s">
        <v>201</v>
      </c>
      <c r="AE130" s="520">
        <f>ATAN2(J130,N130)</f>
        <v>-0.48698953557659813</v>
      </c>
      <c r="AF130" s="520"/>
      <c r="AG130" s="520"/>
      <c r="AH130" s="82"/>
      <c r="AI130" s="89"/>
      <c r="AJ130" s="89"/>
      <c r="AK130" s="82"/>
      <c r="AL130" s="82"/>
      <c r="AM130" s="82"/>
      <c r="AN130" s="82"/>
      <c r="AO130" s="82"/>
    </row>
    <row r="131" spans="1:41" customFormat="1">
      <c r="A131" s="82"/>
      <c r="B131" s="82"/>
      <c r="C131" s="82"/>
      <c r="D131" s="88"/>
      <c r="E131" s="82"/>
      <c r="F131" s="82"/>
      <c r="G131" s="88"/>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9"/>
      <c r="AJ131" s="89"/>
      <c r="AK131" s="82"/>
      <c r="AL131" s="82"/>
      <c r="AM131" s="82"/>
      <c r="AN131" s="82"/>
      <c r="AO131" s="82"/>
    </row>
    <row r="132" spans="1:41" customFormat="1">
      <c r="A132" s="82"/>
      <c r="B132" s="82"/>
      <c r="C132" s="82"/>
      <c r="D132" s="88"/>
      <c r="E132" s="82"/>
      <c r="F132" s="82"/>
      <c r="G132" s="88"/>
      <c r="H132" s="82"/>
      <c r="I132" s="90" t="s">
        <v>205</v>
      </c>
      <c r="J132" s="520">
        <f>(-J129-N129*SQRT(3))/2</f>
        <v>-2.4027933512419919</v>
      </c>
      <c r="K132" s="520"/>
      <c r="L132" s="520"/>
      <c r="M132" s="82" t="s">
        <v>68</v>
      </c>
      <c r="N132" s="520">
        <f>(J129*SQRT(3)-N129)/2</f>
        <v>1.5071265453024953</v>
      </c>
      <c r="O132" s="520"/>
      <c r="P132" s="520"/>
      <c r="Q132" s="82" t="s">
        <v>199</v>
      </c>
      <c r="R132" s="82"/>
      <c r="S132" s="82"/>
      <c r="T132" s="82"/>
      <c r="U132" s="82"/>
      <c r="V132" s="82"/>
      <c r="W132" s="82"/>
      <c r="X132" s="82"/>
      <c r="Y132" s="82" t="s">
        <v>200</v>
      </c>
      <c r="Z132" s="520">
        <f>J132^2+N132^2</f>
        <v>8.0448463123281559</v>
      </c>
      <c r="AA132" s="520"/>
      <c r="AB132" s="520"/>
      <c r="AC132" s="82"/>
      <c r="AD132" s="82" t="s">
        <v>201</v>
      </c>
      <c r="AE132" s="520">
        <f>ATAN2(J132,N132)</f>
        <v>2.5813846379697933</v>
      </c>
      <c r="AF132" s="520"/>
      <c r="AG132" s="520"/>
      <c r="AH132" s="82"/>
      <c r="AI132" s="89"/>
      <c r="AJ132" s="89"/>
      <c r="AK132" s="82"/>
      <c r="AL132" s="82"/>
      <c r="AM132" s="82"/>
      <c r="AN132" s="82"/>
      <c r="AO132" s="82"/>
    </row>
    <row r="133" spans="1:41" customFormat="1">
      <c r="A133" s="82"/>
      <c r="B133" s="82"/>
      <c r="C133" s="82"/>
      <c r="D133" s="88"/>
      <c r="E133" s="82"/>
      <c r="F133" s="82"/>
      <c r="G133" s="88"/>
      <c r="H133" s="82"/>
      <c r="I133" s="90" t="s">
        <v>206</v>
      </c>
      <c r="J133" s="520">
        <f>(-J130+N130*SQRT(3))/2</f>
        <v>-2.4027933512419928</v>
      </c>
      <c r="K133" s="520"/>
      <c r="L133" s="520"/>
      <c r="M133" s="82" t="s">
        <v>68</v>
      </c>
      <c r="N133" s="520">
        <f>(-J130*SQRT(3)-N130)/2</f>
        <v>-1.507126545302496</v>
      </c>
      <c r="O133" s="520"/>
      <c r="P133" s="520"/>
      <c r="Q133" s="82" t="s">
        <v>199</v>
      </c>
      <c r="R133" s="82"/>
      <c r="S133" s="82"/>
      <c r="T133" s="82"/>
      <c r="U133" s="82"/>
      <c r="V133" s="82"/>
      <c r="W133" s="82"/>
      <c r="X133" s="82"/>
      <c r="Y133" s="82" t="s">
        <v>200</v>
      </c>
      <c r="Z133" s="520">
        <f>J133^2+N133^2</f>
        <v>8.0448463123281631</v>
      </c>
      <c r="AA133" s="520"/>
      <c r="AB133" s="520"/>
      <c r="AC133" s="82"/>
      <c r="AD133" s="82" t="s">
        <v>201</v>
      </c>
      <c r="AE133" s="520">
        <f>ATAN2(J133,N133)</f>
        <v>-2.5813846379697933</v>
      </c>
      <c r="AF133" s="520"/>
      <c r="AG133" s="520"/>
      <c r="AH133" s="82"/>
      <c r="AI133" s="89"/>
      <c r="AJ133" s="89"/>
      <c r="AK133" s="82"/>
      <c r="AL133" s="82"/>
      <c r="AM133" s="82"/>
      <c r="AN133" s="82"/>
      <c r="AO133" s="82"/>
    </row>
    <row r="134" spans="1:41" customFormat="1">
      <c r="A134" s="82"/>
      <c r="B134" s="82"/>
      <c r="C134" s="82"/>
      <c r="D134" s="88"/>
      <c r="E134" s="82"/>
      <c r="F134" s="82"/>
      <c r="G134" s="88"/>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9"/>
      <c r="AJ134" s="89"/>
      <c r="AK134" s="82"/>
      <c r="AL134" s="82"/>
      <c r="AM134" s="82"/>
      <c r="AN134" s="82"/>
      <c r="AO134" s="82"/>
    </row>
    <row r="135" spans="1:41" customFormat="1">
      <c r="A135" s="82"/>
      <c r="B135" s="82"/>
      <c r="C135" s="82"/>
      <c r="D135" s="88"/>
      <c r="E135" s="82"/>
      <c r="F135" s="82"/>
      <c r="G135" s="88"/>
      <c r="H135" s="82"/>
      <c r="I135" s="90" t="s">
        <v>207</v>
      </c>
      <c r="J135" s="520">
        <f>(-J129+N129*SQRT(3))/2</f>
        <v>-0.10381319932884381</v>
      </c>
      <c r="K135" s="520"/>
      <c r="L135" s="520"/>
      <c r="M135" s="82" t="s">
        <v>68</v>
      </c>
      <c r="N135" s="520">
        <f>(-J129*SQRT(3)-N129)/2</f>
        <v>-2.8344433548711585</v>
      </c>
      <c r="O135" s="520"/>
      <c r="P135" s="520"/>
      <c r="Q135" s="82" t="s">
        <v>199</v>
      </c>
      <c r="R135" s="82"/>
      <c r="S135" s="82"/>
      <c r="T135" s="82"/>
      <c r="U135" s="82"/>
      <c r="V135" s="82"/>
      <c r="W135" s="82"/>
      <c r="X135" s="82"/>
      <c r="Y135" s="82" t="s">
        <v>200</v>
      </c>
      <c r="Z135" s="520">
        <f>J135^2+N135^2</f>
        <v>8.0448463123281595</v>
      </c>
      <c r="AA135" s="520"/>
      <c r="AB135" s="520"/>
      <c r="AC135" s="82"/>
      <c r="AD135" s="82" t="s">
        <v>201</v>
      </c>
      <c r="AE135" s="520">
        <f>ATAN2(J135,N135)</f>
        <v>-1.6074055668165972</v>
      </c>
      <c r="AF135" s="520"/>
      <c r="AG135" s="520"/>
      <c r="AH135" s="82"/>
      <c r="AI135" s="89"/>
      <c r="AJ135" s="89"/>
      <c r="AK135" s="82"/>
      <c r="AL135" s="82"/>
      <c r="AM135" s="82"/>
      <c r="AN135" s="82"/>
      <c r="AO135" s="82"/>
    </row>
    <row r="136" spans="1:41" customFormat="1">
      <c r="A136" s="82"/>
      <c r="B136" s="82"/>
      <c r="C136" s="82"/>
      <c r="D136" s="88"/>
      <c r="E136" s="82"/>
      <c r="F136" s="82"/>
      <c r="G136" s="88"/>
      <c r="H136" s="82"/>
      <c r="I136" s="90" t="s">
        <v>208</v>
      </c>
      <c r="J136" s="520">
        <f>(-J130-N130*SQRT(3))/2</f>
        <v>-0.10381319932884381</v>
      </c>
      <c r="K136" s="520"/>
      <c r="L136" s="520"/>
      <c r="M136" s="82" t="s">
        <v>68</v>
      </c>
      <c r="N136" s="520">
        <f>(J130*SQRT(3)-N130)/2</f>
        <v>2.8344433548711594</v>
      </c>
      <c r="O136" s="520"/>
      <c r="P136" s="520"/>
      <c r="Q136" s="82" t="s">
        <v>199</v>
      </c>
      <c r="R136" s="82"/>
      <c r="S136" s="82"/>
      <c r="T136" s="82"/>
      <c r="U136" s="82"/>
      <c r="V136" s="82"/>
      <c r="W136" s="82"/>
      <c r="X136" s="82"/>
      <c r="Y136" s="82" t="s">
        <v>200</v>
      </c>
      <c r="Z136" s="520">
        <f>J136^2+N136^2</f>
        <v>8.0448463123281648</v>
      </c>
      <c r="AA136" s="520"/>
      <c r="AB136" s="520"/>
      <c r="AC136" s="82"/>
      <c r="AD136" s="82" t="s">
        <v>201</v>
      </c>
      <c r="AE136" s="520">
        <f>ATAN2(J136,N136)</f>
        <v>1.6074055668165972</v>
      </c>
      <c r="AF136" s="520"/>
      <c r="AG136" s="520"/>
      <c r="AH136" s="82"/>
      <c r="AI136" s="89"/>
      <c r="AJ136" s="89"/>
      <c r="AK136" s="82"/>
      <c r="AL136" s="82"/>
      <c r="AM136" s="82"/>
      <c r="AN136" s="82"/>
      <c r="AO136" s="82"/>
    </row>
    <row r="137" spans="1:41" customFormat="1" ht="19.5" thickBot="1">
      <c r="A137" s="82"/>
      <c r="B137" s="82"/>
      <c r="C137" s="82"/>
      <c r="D137" s="88"/>
      <c r="E137" s="82"/>
      <c r="F137" s="82"/>
      <c r="G137" s="88"/>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9"/>
      <c r="AJ137" s="89"/>
      <c r="AK137" s="82"/>
      <c r="AL137" s="82"/>
      <c r="AM137" s="82"/>
      <c r="AN137" s="82"/>
      <c r="AO137" s="82"/>
    </row>
    <row r="138" spans="1:41" customFormat="1" ht="19.5" thickBot="1">
      <c r="A138" s="82"/>
      <c r="B138" s="82"/>
      <c r="C138" s="82"/>
      <c r="D138" s="88"/>
      <c r="E138" s="82"/>
      <c r="F138" s="82"/>
      <c r="G138" s="88"/>
      <c r="H138" s="82"/>
      <c r="I138" s="82" t="s">
        <v>209</v>
      </c>
      <c r="J138" s="526">
        <f>J118+J129+J130</f>
        <v>3.7243915649448081</v>
      </c>
      <c r="K138" s="527"/>
      <c r="L138" s="528"/>
      <c r="M138" s="82" t="s">
        <v>68</v>
      </c>
      <c r="N138" s="521">
        <f>N129+N130</f>
        <v>0</v>
      </c>
      <c r="O138" s="521"/>
      <c r="P138" s="521"/>
      <c r="Q138" s="82" t="s">
        <v>199</v>
      </c>
      <c r="R138" s="82"/>
      <c r="S138" s="82"/>
      <c r="T138" s="82"/>
      <c r="U138" s="82"/>
      <c r="V138" s="82"/>
      <c r="W138" s="82"/>
      <c r="X138" s="82"/>
      <c r="Y138" s="82"/>
      <c r="Z138" s="82"/>
      <c r="AA138" s="82"/>
      <c r="AB138" s="82"/>
      <c r="AC138" s="82"/>
      <c r="AD138" s="82"/>
      <c r="AE138" s="82"/>
      <c r="AF138" s="82"/>
      <c r="AG138" s="82"/>
      <c r="AH138" s="82"/>
      <c r="AI138" s="89"/>
      <c r="AJ138" s="89"/>
      <c r="AK138" s="82"/>
      <c r="AL138" s="82"/>
      <c r="AM138" s="82"/>
      <c r="AN138" s="82"/>
      <c r="AO138" s="82"/>
    </row>
    <row r="139" spans="1:41" customFormat="1">
      <c r="A139" s="82"/>
      <c r="B139" s="82"/>
      <c r="C139" s="82"/>
      <c r="D139" s="88"/>
      <c r="E139" s="82"/>
      <c r="F139" s="82"/>
      <c r="G139" s="88"/>
      <c r="H139" s="82"/>
      <c r="I139" s="82" t="s">
        <v>210</v>
      </c>
      <c r="J139" s="529">
        <f>J118+J132+J133</f>
        <v>-6.0944082386808489</v>
      </c>
      <c r="K139" s="530"/>
      <c r="L139" s="531"/>
      <c r="M139" s="82" t="s">
        <v>68</v>
      </c>
      <c r="N139" s="521">
        <f>N132+N133</f>
        <v>0</v>
      </c>
      <c r="O139" s="521"/>
      <c r="P139" s="521"/>
      <c r="Q139" s="82" t="s">
        <v>199</v>
      </c>
      <c r="R139" s="82"/>
      <c r="S139" s="82"/>
      <c r="T139" s="82"/>
      <c r="U139" s="82"/>
      <c r="V139" s="82"/>
      <c r="W139" s="82"/>
      <c r="X139" s="82"/>
      <c r="Y139" s="82"/>
      <c r="Z139" s="82"/>
      <c r="AA139" s="82"/>
      <c r="AB139" s="82"/>
      <c r="AC139" s="82"/>
      <c r="AD139" s="82"/>
      <c r="AE139" s="82"/>
      <c r="AF139" s="82"/>
      <c r="AG139" s="82"/>
      <c r="AH139" s="82"/>
      <c r="AI139" s="89"/>
      <c r="AJ139" s="89"/>
      <c r="AK139" s="82"/>
      <c r="AL139" s="82"/>
      <c r="AM139" s="82"/>
      <c r="AN139" s="82"/>
      <c r="AO139" s="82"/>
    </row>
    <row r="140" spans="1:41" customFormat="1">
      <c r="A140" s="82"/>
      <c r="B140" s="82"/>
      <c r="C140" s="82"/>
      <c r="D140" s="88"/>
      <c r="E140" s="82"/>
      <c r="F140" s="82"/>
      <c r="G140" s="88"/>
      <c r="H140" s="82"/>
      <c r="I140" s="82" t="s">
        <v>211</v>
      </c>
      <c r="J140" s="445">
        <f>J118+J135+J136</f>
        <v>-1.4964479348545519</v>
      </c>
      <c r="K140" s="446"/>
      <c r="L140" s="447"/>
      <c r="M140" s="82" t="s">
        <v>68</v>
      </c>
      <c r="N140" s="521">
        <f>N135+N136</f>
        <v>0</v>
      </c>
      <c r="O140" s="521"/>
      <c r="P140" s="521"/>
      <c r="Q140" s="82" t="s">
        <v>199</v>
      </c>
      <c r="R140" s="82"/>
      <c r="S140" s="82"/>
      <c r="T140" s="82"/>
      <c r="U140" s="82"/>
      <c r="V140" s="82"/>
      <c r="W140" s="82"/>
      <c r="X140" s="82"/>
      <c r="Y140" s="82"/>
      <c r="Z140" s="82"/>
      <c r="AA140" s="82"/>
      <c r="AB140" s="82"/>
      <c r="AC140" s="82"/>
      <c r="AD140" s="82"/>
      <c r="AE140" s="82"/>
      <c r="AF140" s="82"/>
      <c r="AG140" s="82"/>
      <c r="AH140" s="82"/>
      <c r="AI140" s="89"/>
      <c r="AJ140" s="89"/>
      <c r="AK140" s="82"/>
      <c r="AL140" s="82"/>
      <c r="AM140" s="82"/>
      <c r="AN140" s="82"/>
      <c r="AO140" s="82"/>
    </row>
    <row r="141" spans="1:41" customFormat="1">
      <c r="A141" s="82"/>
      <c r="B141" s="82"/>
      <c r="C141" s="82"/>
      <c r="D141" s="88"/>
      <c r="E141" s="82"/>
      <c r="F141" s="82"/>
      <c r="G141" s="91"/>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92"/>
      <c r="AJ141" s="89"/>
      <c r="AK141" s="82"/>
      <c r="AL141" s="82"/>
      <c r="AM141" s="82"/>
      <c r="AN141" s="82"/>
      <c r="AO141" s="82"/>
    </row>
    <row r="142" spans="1:41" customFormat="1">
      <c r="A142" s="82"/>
      <c r="B142" s="82"/>
      <c r="C142" s="82"/>
      <c r="D142" s="88"/>
      <c r="E142" s="82"/>
      <c r="F142" s="82"/>
      <c r="G142" s="82"/>
      <c r="H142" s="82"/>
      <c r="I142" s="82" t="s">
        <v>212</v>
      </c>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9"/>
      <c r="AK142" s="82"/>
      <c r="AL142" s="82"/>
      <c r="AM142" s="82"/>
      <c r="AN142" s="82"/>
      <c r="AO142" s="82"/>
    </row>
    <row r="143" spans="1:41" customFormat="1" ht="20.25">
      <c r="A143" s="82"/>
      <c r="B143" s="82"/>
      <c r="C143" s="82"/>
      <c r="D143" s="88"/>
      <c r="E143" s="82"/>
      <c r="F143" s="82"/>
      <c r="G143" s="82"/>
      <c r="H143" s="82"/>
      <c r="I143" s="82" t="s">
        <v>215</v>
      </c>
      <c r="J143" s="82"/>
      <c r="K143" s="445">
        <f>J138</f>
        <v>3.7243915649448081</v>
      </c>
      <c r="L143" s="446"/>
      <c r="M143" s="447"/>
      <c r="N143" s="82" t="s">
        <v>3</v>
      </c>
      <c r="O143" s="82"/>
      <c r="P143" s="82"/>
      <c r="Q143" s="82"/>
      <c r="R143" s="82"/>
      <c r="S143" s="82"/>
      <c r="T143" s="82"/>
      <c r="U143" s="82"/>
      <c r="V143" s="82"/>
      <c r="W143" s="82"/>
      <c r="X143" s="82"/>
      <c r="Y143" s="82"/>
      <c r="Z143" s="82"/>
      <c r="AA143" s="82"/>
      <c r="AB143" s="82"/>
      <c r="AC143" s="82"/>
      <c r="AD143" s="82"/>
      <c r="AE143" s="82"/>
      <c r="AF143" s="82"/>
      <c r="AG143" s="82"/>
      <c r="AH143" s="82"/>
      <c r="AI143" s="82"/>
      <c r="AJ143" s="89"/>
      <c r="AK143" s="82"/>
      <c r="AL143" s="82"/>
      <c r="AM143" s="82"/>
      <c r="AN143" s="82"/>
      <c r="AO143" s="82"/>
    </row>
    <row r="144" spans="1:41" customFormat="1">
      <c r="A144" s="82"/>
      <c r="B144" s="82"/>
      <c r="C144" s="82"/>
      <c r="D144" s="88"/>
      <c r="E144" s="82"/>
      <c r="F144" s="82"/>
      <c r="G144" s="82"/>
      <c r="H144" s="82"/>
      <c r="I144" s="82"/>
      <c r="J144" s="82"/>
      <c r="K144" s="184"/>
      <c r="L144" s="184"/>
      <c r="M144" s="184"/>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9"/>
      <c r="AK144" s="82"/>
      <c r="AL144" s="82"/>
      <c r="AM144" s="82"/>
      <c r="AN144" s="82"/>
      <c r="AO144" s="82"/>
    </row>
    <row r="145" spans="2:38">
      <c r="C145" s="13"/>
      <c r="D145" s="12" t="s">
        <v>392</v>
      </c>
      <c r="E145" s="97"/>
      <c r="F145" s="96"/>
      <c r="G145" s="96"/>
      <c r="H145" s="96"/>
      <c r="I145" s="96"/>
      <c r="J145" s="96"/>
      <c r="K145" s="94"/>
      <c r="L145" s="94"/>
      <c r="M145" s="94"/>
      <c r="N145" s="94"/>
      <c r="O145" s="94"/>
      <c r="P145" s="95"/>
      <c r="Q145" s="95"/>
      <c r="R145" s="95"/>
      <c r="S145" s="95"/>
      <c r="T145" s="94"/>
      <c r="U145" s="94"/>
      <c r="V145" s="96"/>
      <c r="W145" s="96"/>
      <c r="X145" s="96"/>
      <c r="Y145" s="81"/>
      <c r="Z145" s="81"/>
      <c r="AA145" s="81"/>
      <c r="AB145"/>
      <c r="AC145" s="98"/>
      <c r="AD145" s="99"/>
      <c r="AE145" s="96"/>
      <c r="AF145" s="96"/>
      <c r="AG145" s="13"/>
      <c r="AH145" s="13"/>
      <c r="AI145" s="13"/>
      <c r="AJ145" s="15"/>
    </row>
    <row r="146" spans="2:38" ht="20.25">
      <c r="C146" s="13"/>
      <c r="D146" s="12"/>
      <c r="E146" s="97"/>
      <c r="F146" s="96"/>
      <c r="G146" s="99" t="s">
        <v>386</v>
      </c>
      <c r="H146" s="96"/>
      <c r="I146" s="96"/>
      <c r="J146" s="96"/>
      <c r="K146" s="94"/>
      <c r="L146" s="94"/>
      <c r="M146" s="94"/>
      <c r="N146" s="524">
        <f>AD5</f>
        <v>1.2</v>
      </c>
      <c r="O146" s="525"/>
      <c r="P146" s="99" t="s">
        <v>214</v>
      </c>
      <c r="Q146" s="95"/>
      <c r="R146" s="95"/>
      <c r="S146" s="95"/>
      <c r="T146" s="94"/>
      <c r="U146" s="94"/>
      <c r="V146" s="96"/>
      <c r="W146" s="96"/>
      <c r="X146" s="96"/>
      <c r="Y146" s="81"/>
      <c r="Z146" s="81"/>
      <c r="AA146" s="81"/>
      <c r="AB146"/>
      <c r="AC146" s="98"/>
      <c r="AD146" s="99"/>
      <c r="AE146" s="96"/>
      <c r="AF146" s="96"/>
      <c r="AG146" s="13"/>
      <c r="AH146" s="13"/>
      <c r="AI146" s="13"/>
      <c r="AJ146" s="15"/>
    </row>
    <row r="147" spans="2:38">
      <c r="C147" s="13"/>
      <c r="D147" s="12"/>
      <c r="E147" s="97"/>
      <c r="F147" s="96"/>
      <c r="G147" s="96"/>
      <c r="H147" s="96"/>
      <c r="I147" s="82" t="s">
        <v>213</v>
      </c>
      <c r="J147" s="96"/>
      <c r="K147" s="445">
        <f>K143*N146</f>
        <v>4.4692698779337698</v>
      </c>
      <c r="L147" s="446"/>
      <c r="M147" s="447"/>
      <c r="N147" s="94" t="s">
        <v>3</v>
      </c>
      <c r="O147" s="94"/>
      <c r="P147" s="95"/>
      <c r="Q147" s="95"/>
      <c r="R147" s="95"/>
      <c r="S147" s="95"/>
      <c r="T147" s="94"/>
      <c r="U147" s="94"/>
      <c r="V147" s="96"/>
      <c r="W147" s="96"/>
      <c r="X147" s="96"/>
      <c r="Y147" s="81"/>
      <c r="Z147" s="81"/>
      <c r="AA147" s="81"/>
      <c r="AB147"/>
      <c r="AC147" s="98"/>
      <c r="AD147" s="99"/>
      <c r="AE147" s="96"/>
      <c r="AF147" s="96"/>
      <c r="AG147" s="13"/>
      <c r="AH147" s="13"/>
      <c r="AI147" s="13"/>
      <c r="AJ147" s="15"/>
    </row>
    <row r="148" spans="2:38">
      <c r="C148" s="13"/>
      <c r="D148" s="12"/>
      <c r="E148" s="97"/>
      <c r="F148" s="96"/>
      <c r="G148" s="96"/>
      <c r="H148" s="96"/>
      <c r="I148" s="82"/>
      <c r="J148" s="96"/>
      <c r="K148" s="184"/>
      <c r="L148" s="184"/>
      <c r="M148" s="184"/>
      <c r="N148" s="94"/>
      <c r="O148" s="94"/>
      <c r="P148" s="95"/>
      <c r="Q148" s="95"/>
      <c r="R148" s="95"/>
      <c r="S148" s="95"/>
      <c r="T148" s="94"/>
      <c r="U148" s="94"/>
      <c r="V148" s="96"/>
      <c r="W148" s="96"/>
      <c r="X148" s="96"/>
      <c r="Y148" s="81"/>
      <c r="Z148" s="81"/>
      <c r="AA148" s="81"/>
      <c r="AB148"/>
      <c r="AC148" s="98"/>
      <c r="AD148" s="99"/>
      <c r="AE148" s="96"/>
      <c r="AF148" s="96"/>
      <c r="AG148" s="13"/>
      <c r="AH148" s="13"/>
      <c r="AI148" s="13"/>
      <c r="AJ148" s="15"/>
    </row>
    <row r="149" spans="2:38">
      <c r="C149" s="13"/>
      <c r="D149" s="12"/>
      <c r="E149" s="97"/>
      <c r="F149" s="96"/>
      <c r="G149" s="99" t="s">
        <v>845</v>
      </c>
      <c r="H149" s="96"/>
      <c r="I149" s="82"/>
      <c r="J149" s="96"/>
      <c r="K149" s="184"/>
      <c r="L149" s="184"/>
      <c r="M149" s="184"/>
      <c r="N149" s="94"/>
      <c r="O149" s="94"/>
      <c r="P149" s="95"/>
      <c r="Q149" s="95"/>
      <c r="R149" s="184"/>
      <c r="S149" s="95"/>
      <c r="T149" s="94"/>
      <c r="U149" s="94"/>
      <c r="V149" s="96"/>
      <c r="W149" s="96"/>
      <c r="X149" s="96"/>
      <c r="Y149" s="81"/>
      <c r="Z149" s="81"/>
      <c r="AA149" s="81"/>
      <c r="AB149"/>
      <c r="AC149" s="98"/>
      <c r="AD149" s="99"/>
      <c r="AE149" s="96"/>
      <c r="AF149" s="96"/>
      <c r="AG149" s="13"/>
      <c r="AH149" s="13"/>
      <c r="AI149" s="13"/>
      <c r="AJ149" s="15"/>
    </row>
    <row r="150" spans="2:38">
      <c r="C150" s="13"/>
      <c r="D150" s="12"/>
      <c r="E150" s="97"/>
      <c r="F150" s="96"/>
      <c r="G150" s="96"/>
      <c r="H150" s="96"/>
      <c r="I150" s="34" t="s">
        <v>71</v>
      </c>
      <c r="J150" s="13" t="s">
        <v>2</v>
      </c>
      <c r="K150" s="521">
        <f>-AB10</f>
        <v>5</v>
      </c>
      <c r="L150" s="521"/>
      <c r="M150" s="521"/>
      <c r="N150" s="13" t="s">
        <v>68</v>
      </c>
      <c r="O150" s="521">
        <f>K147</f>
        <v>4.4692698779337698</v>
      </c>
      <c r="P150" s="521"/>
      <c r="Q150" s="521"/>
      <c r="R150" s="184"/>
      <c r="S150" s="95"/>
      <c r="T150" s="94"/>
      <c r="U150" s="94"/>
      <c r="V150" s="96"/>
      <c r="W150" s="96"/>
      <c r="X150" s="96"/>
      <c r="Y150" s="81"/>
      <c r="Z150" s="81"/>
      <c r="AA150" s="81"/>
      <c r="AB150"/>
      <c r="AC150" s="98"/>
      <c r="AD150" s="99"/>
      <c r="AE150" s="96"/>
      <c r="AF150" s="96"/>
      <c r="AG150" s="13"/>
      <c r="AH150" s="13"/>
      <c r="AI150" s="13"/>
      <c r="AJ150" s="15"/>
    </row>
    <row r="151" spans="2:38">
      <c r="D151" s="105"/>
      <c r="E151" s="106"/>
      <c r="F151" s="106"/>
      <c r="G151" s="106"/>
      <c r="H151" s="106"/>
      <c r="I151" s="106"/>
      <c r="J151" s="106" t="s">
        <v>2</v>
      </c>
      <c r="K151" s="569">
        <f>K150+O150</f>
        <v>9.469269877933769</v>
      </c>
      <c r="L151" s="569"/>
      <c r="M151" s="569"/>
      <c r="N151" s="106" t="s">
        <v>3</v>
      </c>
      <c r="O151" s="106"/>
      <c r="P151" s="106"/>
      <c r="Q151" s="106"/>
      <c r="R151" s="106"/>
      <c r="S151" s="106"/>
      <c r="T151" s="106"/>
      <c r="U151" s="106"/>
      <c r="V151" s="106"/>
      <c r="W151" s="106"/>
      <c r="X151" s="106"/>
      <c r="Y151" s="106"/>
      <c r="Z151" s="106"/>
      <c r="AA151" s="106"/>
      <c r="AB151" s="106"/>
      <c r="AC151" s="106"/>
      <c r="AD151" s="106"/>
      <c r="AE151" s="107"/>
      <c r="AF151" s="107"/>
      <c r="AG151" s="108"/>
      <c r="AH151" s="108"/>
      <c r="AI151" s="108"/>
      <c r="AJ151" s="109"/>
    </row>
    <row r="152" spans="2:38">
      <c r="D152" s="57"/>
      <c r="E152" s="57"/>
      <c r="F152" s="57"/>
      <c r="G152" s="57"/>
      <c r="H152" s="57"/>
      <c r="I152" s="57"/>
      <c r="J152" s="57"/>
      <c r="K152" s="192"/>
      <c r="L152" s="192"/>
      <c r="M152" s="192"/>
      <c r="N152" s="57"/>
      <c r="O152" s="57"/>
      <c r="P152" s="57"/>
      <c r="Q152" s="57"/>
      <c r="R152" s="57"/>
      <c r="S152" s="57"/>
      <c r="T152" s="57"/>
      <c r="U152" s="57"/>
      <c r="V152" s="57"/>
      <c r="W152" s="57"/>
      <c r="X152" s="57"/>
      <c r="Y152" s="57"/>
      <c r="Z152" s="57"/>
      <c r="AA152" s="57"/>
      <c r="AB152" s="57"/>
      <c r="AC152" s="57"/>
      <c r="AD152" s="57"/>
      <c r="AE152" s="40"/>
      <c r="AF152" s="40"/>
      <c r="AG152" s="42"/>
      <c r="AH152" s="42"/>
      <c r="AI152" s="42"/>
      <c r="AJ152" s="42"/>
    </row>
    <row r="153" spans="2:38">
      <c r="D153" s="57"/>
      <c r="E153" s="57"/>
      <c r="F153" s="57"/>
      <c r="G153" s="57"/>
      <c r="H153" s="57"/>
      <c r="I153" s="57"/>
      <c r="J153" s="57"/>
      <c r="K153" s="192"/>
      <c r="L153" s="192"/>
      <c r="M153" s="192"/>
      <c r="N153" s="57"/>
      <c r="O153" s="57"/>
      <c r="P153" s="57"/>
      <c r="Q153" s="57"/>
      <c r="R153" s="57"/>
      <c r="S153" s="57"/>
      <c r="T153" s="57"/>
      <c r="U153" s="57"/>
      <c r="V153" s="57"/>
      <c r="W153" s="57"/>
      <c r="X153" s="57"/>
      <c r="Y153" s="57"/>
      <c r="Z153" s="57"/>
      <c r="AA153" s="57"/>
      <c r="AB153" s="57"/>
      <c r="AC153" s="57"/>
      <c r="AD153" s="57"/>
      <c r="AE153" s="40"/>
      <c r="AF153" s="40"/>
      <c r="AG153" s="42"/>
      <c r="AH153" s="42"/>
      <c r="AI153" s="42"/>
      <c r="AJ153" s="42"/>
    </row>
    <row r="154" spans="2:38">
      <c r="D154" s="57"/>
      <c r="E154" s="57"/>
      <c r="F154" s="57"/>
      <c r="G154" s="57"/>
      <c r="H154" s="57"/>
      <c r="I154" s="57"/>
      <c r="J154" s="57"/>
      <c r="K154" s="192"/>
      <c r="L154" s="192"/>
      <c r="M154" s="192"/>
      <c r="N154" s="57"/>
      <c r="O154" s="57"/>
      <c r="P154" s="57"/>
      <c r="Q154" s="57"/>
      <c r="R154" s="57"/>
      <c r="S154" s="57"/>
      <c r="T154" s="57"/>
      <c r="U154" s="57"/>
      <c r="V154" s="57"/>
      <c r="W154" s="57"/>
      <c r="X154" s="57"/>
      <c r="Y154" s="57"/>
      <c r="Z154" s="57"/>
      <c r="AA154" s="57"/>
      <c r="AB154" s="57"/>
      <c r="AC154" s="57"/>
      <c r="AD154" s="57"/>
      <c r="AE154" s="40"/>
      <c r="AF154" s="40"/>
      <c r="AG154" s="42"/>
      <c r="AH154" s="42"/>
      <c r="AI154" s="42"/>
      <c r="AJ154" s="42"/>
    </row>
    <row r="156" spans="2:38">
      <c r="B156" s="13"/>
      <c r="C156" s="13" t="s">
        <v>595</v>
      </c>
      <c r="D156" s="57"/>
      <c r="E156" s="57"/>
      <c r="F156" s="57"/>
      <c r="G156" s="57"/>
      <c r="H156" s="57"/>
      <c r="I156" s="57"/>
      <c r="J156" s="57"/>
      <c r="K156" s="57"/>
      <c r="L156" s="57"/>
      <c r="M156" s="57"/>
      <c r="N156" s="57"/>
      <c r="O156" s="57"/>
      <c r="P156" s="57"/>
      <c r="Q156" s="57"/>
      <c r="R156" s="57"/>
      <c r="S156" s="57"/>
      <c r="T156" s="57"/>
      <c r="U156" s="57"/>
      <c r="V156" s="57"/>
      <c r="W156"/>
      <c r="X156" s="57"/>
      <c r="Y156" s="57"/>
      <c r="Z156" s="57"/>
      <c r="AA156" s="57"/>
      <c r="AB156" s="57"/>
      <c r="AC156" s="57"/>
      <c r="AD156" s="40"/>
      <c r="AE156" s="40"/>
      <c r="AF156" s="42"/>
      <c r="AG156" s="42"/>
      <c r="AH156" s="42"/>
      <c r="AI156" s="42"/>
    </row>
    <row r="157" spans="2:38">
      <c r="C157" s="13"/>
      <c r="D157" s="9" t="s">
        <v>388</v>
      </c>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3" t="s">
        <v>422</v>
      </c>
      <c r="AC157" s="10"/>
      <c r="AD157" s="10"/>
      <c r="AE157" s="10"/>
      <c r="AF157" s="10"/>
      <c r="AG157" s="10"/>
      <c r="AH157" s="10"/>
      <c r="AI157" s="10"/>
      <c r="AJ157" s="11"/>
    </row>
    <row r="158" spans="2:38">
      <c r="C158" s="13"/>
      <c r="D158" s="12"/>
      <c r="E158" s="13"/>
      <c r="F158" s="13"/>
      <c r="G158" s="13"/>
      <c r="H158"/>
      <c r="I158" s="410" t="s">
        <v>23</v>
      </c>
      <c r="J158" s="411"/>
      <c r="K158" s="410" t="s">
        <v>9</v>
      </c>
      <c r="L158" s="411"/>
      <c r="M158" s="413" t="s">
        <v>28</v>
      </c>
      <c r="N158" s="414"/>
      <c r="O158" s="415"/>
      <c r="P158" s="410"/>
      <c r="Q158" s="411"/>
      <c r="R158" s="410"/>
      <c r="S158" s="412"/>
      <c r="T158" s="412"/>
      <c r="U158" s="410"/>
      <c r="V158" s="412"/>
      <c r="W158" s="411"/>
      <c r="X158" s="602" t="s">
        <v>77</v>
      </c>
      <c r="Y158" s="603"/>
      <c r="Z158" s="604"/>
      <c r="AA158" s="410" t="s">
        <v>24</v>
      </c>
      <c r="AB158" s="412"/>
      <c r="AC158" s="411"/>
      <c r="AD158" s="410" t="s">
        <v>25</v>
      </c>
      <c r="AE158" s="412"/>
      <c r="AF158" s="412"/>
      <c r="AG158" s="412"/>
      <c r="AH158" s="412"/>
      <c r="AI158" s="411"/>
      <c r="AJ158" s="93"/>
      <c r="AK158" s="13"/>
      <c r="AL158" s="13"/>
    </row>
    <row r="159" spans="2:38" ht="20.25">
      <c r="C159" s="13"/>
      <c r="D159" s="12"/>
      <c r="E159" s="13"/>
      <c r="F159" s="13"/>
      <c r="G159" s="13"/>
      <c r="H159"/>
      <c r="I159" s="421" t="s">
        <v>15</v>
      </c>
      <c r="J159" s="422"/>
      <c r="K159" s="423"/>
      <c r="L159" s="424"/>
      <c r="M159" s="421" t="s">
        <v>37</v>
      </c>
      <c r="N159" s="360"/>
      <c r="O159" s="422"/>
      <c r="P159" s="416" t="s">
        <v>16</v>
      </c>
      <c r="Q159" s="417"/>
      <c r="R159" s="601" t="s">
        <v>76</v>
      </c>
      <c r="S159" s="360"/>
      <c r="T159" s="422"/>
      <c r="U159" s="421" t="s">
        <v>38</v>
      </c>
      <c r="V159" s="360"/>
      <c r="W159" s="422"/>
      <c r="X159" s="421" t="s">
        <v>39</v>
      </c>
      <c r="Y159" s="360"/>
      <c r="Z159" s="422"/>
      <c r="AA159" s="421" t="s">
        <v>78</v>
      </c>
      <c r="AB159" s="360"/>
      <c r="AC159" s="422"/>
      <c r="AD159" s="421" t="s">
        <v>116</v>
      </c>
      <c r="AE159" s="360"/>
      <c r="AF159" s="360"/>
      <c r="AG159" s="360"/>
      <c r="AH159" s="360"/>
      <c r="AI159" s="422"/>
      <c r="AJ159" s="93"/>
      <c r="AK159" s="13"/>
      <c r="AL159" s="13"/>
    </row>
    <row r="160" spans="2:38" ht="20.25">
      <c r="C160" s="13"/>
      <c r="D160" s="12"/>
      <c r="E160" s="13"/>
      <c r="F160" s="13"/>
      <c r="G160" s="13"/>
      <c r="H160"/>
      <c r="I160" s="498" t="s">
        <v>20</v>
      </c>
      <c r="J160" s="499"/>
      <c r="K160" s="498"/>
      <c r="L160" s="499"/>
      <c r="M160" s="7"/>
      <c r="N160" s="81"/>
      <c r="O160" s="8"/>
      <c r="P160" s="418" t="s">
        <v>40</v>
      </c>
      <c r="Q160" s="420"/>
      <c r="R160" s="418" t="s">
        <v>36</v>
      </c>
      <c r="S160" s="419"/>
      <c r="T160" s="419"/>
      <c r="U160" s="418" t="s">
        <v>36</v>
      </c>
      <c r="V160" s="419"/>
      <c r="W160" s="419"/>
      <c r="X160" s="418" t="s">
        <v>36</v>
      </c>
      <c r="Y160" s="419"/>
      <c r="Z160" s="419"/>
      <c r="AA160" s="418" t="s">
        <v>36</v>
      </c>
      <c r="AB160" s="419"/>
      <c r="AC160" s="419"/>
      <c r="AD160" s="498" t="s">
        <v>36</v>
      </c>
      <c r="AE160" s="500"/>
      <c r="AF160" s="500"/>
      <c r="AG160" s="500"/>
      <c r="AH160" s="500"/>
      <c r="AI160" s="499"/>
      <c r="AJ160" s="93"/>
      <c r="AK160" s="13"/>
      <c r="AL160" s="13"/>
    </row>
    <row r="161" spans="3:38">
      <c r="C161" s="13"/>
      <c r="D161" s="12"/>
      <c r="E161" s="497" t="s">
        <v>21</v>
      </c>
      <c r="F161" s="497"/>
      <c r="G161" s="413" t="s">
        <v>130</v>
      </c>
      <c r="H161" s="415"/>
      <c r="I161" s="487">
        <f>'1.設計条件'!F22</f>
        <v>1</v>
      </c>
      <c r="J161" s="489"/>
      <c r="K161" s="483" t="str">
        <f>'1.設計条件'!H22</f>
        <v>砂質</v>
      </c>
      <c r="L161" s="484"/>
      <c r="M161" s="483">
        <f>ROUND(TAN(RADIANS(45-'1.設計条件'!AB22/2))^2,3)</f>
        <v>0.33300000000000002</v>
      </c>
      <c r="N161" s="495"/>
      <c r="O161" s="484"/>
      <c r="P161" s="483">
        <f>IF('1.設計条件'!L22="-",'1.設計条件'!P22,'1.設計条件'!X22)</f>
        <v>18</v>
      </c>
      <c r="Q161" s="484"/>
      <c r="R161" s="493">
        <f>'1.設計条件'!R$13</f>
        <v>10</v>
      </c>
      <c r="S161" s="494"/>
      <c r="T161" s="494"/>
      <c r="U161" s="483">
        <f>2*'1.設計条件'!AF22*SQRT(M161)</f>
        <v>0</v>
      </c>
      <c r="V161" s="495"/>
      <c r="W161" s="484"/>
      <c r="X161" s="493">
        <f>M161*R161-U161</f>
        <v>3.33</v>
      </c>
      <c r="Y161" s="494"/>
      <c r="Z161" s="494"/>
      <c r="AA161" s="493">
        <v>0</v>
      </c>
      <c r="AB161" s="494"/>
      <c r="AC161" s="494"/>
      <c r="AD161" s="502" t="s">
        <v>132</v>
      </c>
      <c r="AE161" s="503"/>
      <c r="AF161" s="503"/>
      <c r="AG161" s="504">
        <f>IF(K161="砂質",X161, IF(X161&gt;AA161,X161,AA161))</f>
        <v>3.33</v>
      </c>
      <c r="AH161" s="504"/>
      <c r="AI161" s="505"/>
      <c r="AJ161" s="93"/>
      <c r="AK161" s="13"/>
      <c r="AL161" s="13"/>
    </row>
    <row r="162" spans="3:38">
      <c r="C162" s="13"/>
      <c r="D162" s="12"/>
      <c r="E162" s="497"/>
      <c r="F162" s="497"/>
      <c r="G162" s="418" t="s">
        <v>131</v>
      </c>
      <c r="H162" s="420"/>
      <c r="I162" s="490"/>
      <c r="J162" s="492"/>
      <c r="K162" s="485"/>
      <c r="L162" s="486"/>
      <c r="M162" s="485"/>
      <c r="N162" s="496"/>
      <c r="O162" s="486"/>
      <c r="P162" s="485"/>
      <c r="Q162" s="486"/>
      <c r="R162" s="511">
        <f>I161*P161+'1.設計条件'!R$13</f>
        <v>28</v>
      </c>
      <c r="S162" s="512"/>
      <c r="T162" s="512"/>
      <c r="U162" s="485"/>
      <c r="V162" s="496"/>
      <c r="W162" s="486"/>
      <c r="X162" s="511">
        <f>M161*R162-U161</f>
        <v>9.3239999999999998</v>
      </c>
      <c r="Y162" s="512"/>
      <c r="Z162" s="512"/>
      <c r="AA162" s="511">
        <f>0.3*I161*P161</f>
        <v>5.3999999999999995</v>
      </c>
      <c r="AB162" s="512"/>
      <c r="AC162" s="512"/>
      <c r="AD162" s="513" t="s">
        <v>141</v>
      </c>
      <c r="AE162" s="514"/>
      <c r="AF162" s="514"/>
      <c r="AG162" s="515">
        <f>IF(K161="砂質",X162, IF(X162&gt;AA162,X162,AA162))</f>
        <v>9.3239999999999998</v>
      </c>
      <c r="AH162" s="515"/>
      <c r="AI162" s="516"/>
      <c r="AJ162" s="93"/>
      <c r="AK162" s="13"/>
      <c r="AL162" s="13"/>
    </row>
    <row r="163" spans="3:38">
      <c r="C163" s="13"/>
      <c r="D163" s="12"/>
      <c r="E163" s="497" t="s">
        <v>22</v>
      </c>
      <c r="F163" s="497"/>
      <c r="G163" s="413" t="s">
        <v>130</v>
      </c>
      <c r="H163" s="415"/>
      <c r="I163" s="487">
        <f>'1.設計条件'!F23</f>
        <v>1.5</v>
      </c>
      <c r="J163" s="489"/>
      <c r="K163" s="487" t="str">
        <f>'1.設計条件'!H23</f>
        <v>砂質</v>
      </c>
      <c r="L163" s="489"/>
      <c r="M163" s="483">
        <f>ROUND(TAN(RADIANS(45-'1.設計条件'!AB23/2))^2,3)</f>
        <v>0.33300000000000002</v>
      </c>
      <c r="N163" s="495"/>
      <c r="O163" s="484"/>
      <c r="P163" s="483">
        <f>IF('1.設計条件'!L23="-",'1.設計条件'!P23,'1.設計条件'!X23)</f>
        <v>18</v>
      </c>
      <c r="Q163" s="484"/>
      <c r="R163" s="493">
        <f>R162</f>
        <v>28</v>
      </c>
      <c r="S163" s="494"/>
      <c r="T163" s="494"/>
      <c r="U163" s="483">
        <f>2*'1.設計条件'!AF23*SQRT(M163)</f>
        <v>0</v>
      </c>
      <c r="V163" s="495"/>
      <c r="W163" s="484"/>
      <c r="X163" s="493">
        <f>M163*R163-U163</f>
        <v>9.3239999999999998</v>
      </c>
      <c r="Y163" s="494"/>
      <c r="Z163" s="494"/>
      <c r="AA163" s="493">
        <f>AA162</f>
        <v>5.3999999999999995</v>
      </c>
      <c r="AB163" s="494"/>
      <c r="AC163" s="494"/>
      <c r="AD163" s="502" t="s">
        <v>133</v>
      </c>
      <c r="AE163" s="503"/>
      <c r="AF163" s="503"/>
      <c r="AG163" s="504">
        <f t="shared" ref="AG163" si="8">IF(K163="砂質",X163, IF(X163&gt;AA163,X163,AA163))</f>
        <v>9.3239999999999998</v>
      </c>
      <c r="AH163" s="504"/>
      <c r="AI163" s="505"/>
      <c r="AJ163" s="93"/>
      <c r="AK163" s="13"/>
      <c r="AL163" s="13"/>
    </row>
    <row r="164" spans="3:38">
      <c r="C164" s="13"/>
      <c r="D164" s="12"/>
      <c r="E164" s="497"/>
      <c r="F164" s="497"/>
      <c r="G164" s="418" t="s">
        <v>131</v>
      </c>
      <c r="H164" s="420"/>
      <c r="I164" s="490"/>
      <c r="J164" s="492"/>
      <c r="K164" s="490"/>
      <c r="L164" s="492"/>
      <c r="M164" s="485"/>
      <c r="N164" s="496"/>
      <c r="O164" s="486"/>
      <c r="P164" s="485"/>
      <c r="Q164" s="486"/>
      <c r="R164" s="511">
        <f>I163*P163+R163</f>
        <v>55</v>
      </c>
      <c r="S164" s="512"/>
      <c r="T164" s="512"/>
      <c r="U164" s="485"/>
      <c r="V164" s="496"/>
      <c r="W164" s="486"/>
      <c r="X164" s="511">
        <f>M163*R164-U163</f>
        <v>18.315000000000001</v>
      </c>
      <c r="Y164" s="512"/>
      <c r="Z164" s="512"/>
      <c r="AA164" s="511">
        <f>0.3*I163*P163+AA163</f>
        <v>13.5</v>
      </c>
      <c r="AB164" s="512"/>
      <c r="AC164" s="512"/>
      <c r="AD164" s="513" t="s">
        <v>134</v>
      </c>
      <c r="AE164" s="514"/>
      <c r="AF164" s="514"/>
      <c r="AG164" s="515">
        <f>IF(K163="砂質",X164, IF(X164&gt;AA164,X164,AA164))</f>
        <v>18.315000000000001</v>
      </c>
      <c r="AH164" s="515"/>
      <c r="AI164" s="516"/>
      <c r="AJ164" s="93"/>
      <c r="AK164" s="13"/>
      <c r="AL164" s="13"/>
    </row>
    <row r="165" spans="3:38">
      <c r="C165" s="13"/>
      <c r="D165" s="12"/>
      <c r="E165" s="497" t="s">
        <v>434</v>
      </c>
      <c r="F165" s="497"/>
      <c r="G165" s="413" t="s">
        <v>130</v>
      </c>
      <c r="H165" s="415"/>
      <c r="I165" s="631">
        <f>-'1.設計条件'!T50-I161-I163</f>
        <v>1.5</v>
      </c>
      <c r="J165" s="632"/>
      <c r="K165" s="487" t="str">
        <f>'1.設計条件'!H24</f>
        <v>砂質</v>
      </c>
      <c r="L165" s="489"/>
      <c r="M165" s="483">
        <f>ROUND(TAN(RADIANS(45-'1.設計条件'!AB24/2))^2,3)</f>
        <v>0.33300000000000002</v>
      </c>
      <c r="N165" s="495"/>
      <c r="O165" s="484"/>
      <c r="P165" s="483">
        <f>IF('1.設計条件'!L24="-",'1.設計条件'!P24,'1.設計条件'!X24)</f>
        <v>9</v>
      </c>
      <c r="Q165" s="484"/>
      <c r="R165" s="493">
        <f>R164</f>
        <v>55</v>
      </c>
      <c r="S165" s="494"/>
      <c r="T165" s="494"/>
      <c r="U165" s="483">
        <f>2*'1.設計条件'!AF24*SQRT(M165)</f>
        <v>0</v>
      </c>
      <c r="V165" s="495"/>
      <c r="W165" s="484"/>
      <c r="X165" s="493">
        <f>M165*R165-U165</f>
        <v>18.315000000000001</v>
      </c>
      <c r="Y165" s="494"/>
      <c r="Z165" s="494"/>
      <c r="AA165" s="493">
        <f>AA164</f>
        <v>13.5</v>
      </c>
      <c r="AB165" s="494"/>
      <c r="AC165" s="494"/>
      <c r="AD165" s="502" t="s">
        <v>436</v>
      </c>
      <c r="AE165" s="503"/>
      <c r="AF165" s="503"/>
      <c r="AG165" s="504">
        <f>IF(K165="砂質",X165, IF(X165&gt;AA165,X165,AA165))</f>
        <v>18.315000000000001</v>
      </c>
      <c r="AH165" s="504"/>
      <c r="AI165" s="505"/>
      <c r="AJ165" s="93"/>
      <c r="AK165" s="13"/>
      <c r="AL165" s="13"/>
    </row>
    <row r="166" spans="3:38">
      <c r="C166" s="13"/>
      <c r="D166" s="12"/>
      <c r="E166" s="497"/>
      <c r="F166" s="497"/>
      <c r="G166" s="418" t="s">
        <v>131</v>
      </c>
      <c r="H166" s="420"/>
      <c r="I166" s="633"/>
      <c r="J166" s="634"/>
      <c r="K166" s="490"/>
      <c r="L166" s="492"/>
      <c r="M166" s="485"/>
      <c r="N166" s="496"/>
      <c r="O166" s="486"/>
      <c r="P166" s="485"/>
      <c r="Q166" s="486"/>
      <c r="R166" s="511">
        <f>I165*P165+R165</f>
        <v>68.5</v>
      </c>
      <c r="S166" s="512"/>
      <c r="T166" s="512"/>
      <c r="U166" s="485"/>
      <c r="V166" s="496"/>
      <c r="W166" s="486"/>
      <c r="X166" s="511">
        <f>M165*R166-U165</f>
        <v>22.810500000000001</v>
      </c>
      <c r="Y166" s="512"/>
      <c r="Z166" s="512"/>
      <c r="AA166" s="511">
        <f>0.3*I165*P165+AA165</f>
        <v>17.55</v>
      </c>
      <c r="AB166" s="512"/>
      <c r="AC166" s="512"/>
      <c r="AD166" s="513" t="s">
        <v>437</v>
      </c>
      <c r="AE166" s="514"/>
      <c r="AF166" s="514"/>
      <c r="AG166" s="515">
        <f>IF(K165="砂質",X166, IF(X166&gt;AA166,X166,AA166))</f>
        <v>22.810500000000001</v>
      </c>
      <c r="AH166" s="515"/>
      <c r="AI166" s="516"/>
      <c r="AJ166" s="93"/>
      <c r="AK166" s="13"/>
      <c r="AL166" s="13"/>
    </row>
    <row r="167" spans="3:38">
      <c r="C167" s="13"/>
      <c r="D167" s="12"/>
      <c r="E167" s="501" t="s">
        <v>435</v>
      </c>
      <c r="F167" s="501"/>
      <c r="G167" s="668" t="s">
        <v>130</v>
      </c>
      <c r="H167" s="669"/>
      <c r="I167" s="620">
        <f>'1.設計条件'!F24-I165</f>
        <v>3</v>
      </c>
      <c r="J167" s="621"/>
      <c r="K167" s="620" t="str">
        <f>'1.設計条件'!H26</f>
        <v>砂質</v>
      </c>
      <c r="L167" s="621"/>
      <c r="M167" s="605">
        <f>ROUND(TAN(RADIANS(45-'1.設計条件'!AB24/2))^2,3)</f>
        <v>0.33300000000000002</v>
      </c>
      <c r="N167" s="525"/>
      <c r="O167" s="606"/>
      <c r="P167" s="605">
        <f>IF('1.設計条件'!L24="-",'1.設計条件'!P24,'1.設計条件'!X24)</f>
        <v>9</v>
      </c>
      <c r="Q167" s="606"/>
      <c r="R167" s="599">
        <f>R166</f>
        <v>68.5</v>
      </c>
      <c r="S167" s="600"/>
      <c r="T167" s="600"/>
      <c r="U167" s="605">
        <f>2*'1.設計条件'!AF26*SQRT(M167)</f>
        <v>0</v>
      </c>
      <c r="V167" s="525"/>
      <c r="W167" s="606"/>
      <c r="X167" s="599">
        <f>M167*R167-U167</f>
        <v>22.810500000000001</v>
      </c>
      <c r="Y167" s="600"/>
      <c r="Z167" s="600"/>
      <c r="AA167" s="599">
        <f>AA166</f>
        <v>17.55</v>
      </c>
      <c r="AB167" s="600"/>
      <c r="AC167" s="600"/>
      <c r="AD167" s="659" t="s">
        <v>438</v>
      </c>
      <c r="AE167" s="660"/>
      <c r="AF167" s="660"/>
      <c r="AG167" s="591">
        <f>IF(K167="砂質",X167, IF(X167&gt;AA167,X167,AA167))</f>
        <v>22.810500000000001</v>
      </c>
      <c r="AH167" s="591"/>
      <c r="AI167" s="578"/>
      <c r="AJ167" s="93"/>
      <c r="AK167" s="13"/>
      <c r="AL167" s="13"/>
    </row>
    <row r="168" spans="3:38" ht="19.5" thickBot="1">
      <c r="C168" s="13"/>
      <c r="D168" s="12"/>
      <c r="E168" s="581"/>
      <c r="F168" s="581"/>
      <c r="G168" s="579" t="s">
        <v>131</v>
      </c>
      <c r="H168" s="580"/>
      <c r="I168" s="610"/>
      <c r="J168" s="611"/>
      <c r="K168" s="610"/>
      <c r="L168" s="611"/>
      <c r="M168" s="607"/>
      <c r="N168" s="608"/>
      <c r="O168" s="609"/>
      <c r="P168" s="607"/>
      <c r="Q168" s="609"/>
      <c r="R168" s="597">
        <f>I167*P167+R167</f>
        <v>95.5</v>
      </c>
      <c r="S168" s="598"/>
      <c r="T168" s="598"/>
      <c r="U168" s="607"/>
      <c r="V168" s="608"/>
      <c r="W168" s="609"/>
      <c r="X168" s="597">
        <f>M167*R168-U167</f>
        <v>31.801500000000001</v>
      </c>
      <c r="Y168" s="598"/>
      <c r="Z168" s="598"/>
      <c r="AA168" s="597">
        <f>0.3*I167*P167+AA167</f>
        <v>25.65</v>
      </c>
      <c r="AB168" s="598"/>
      <c r="AC168" s="598"/>
      <c r="AD168" s="575" t="s">
        <v>439</v>
      </c>
      <c r="AE168" s="576"/>
      <c r="AF168" s="576"/>
      <c r="AG168" s="592">
        <f>IF(K167="砂質",X168, IF(X168&gt;AA168,X168,AA168))</f>
        <v>31.801500000000001</v>
      </c>
      <c r="AH168" s="592"/>
      <c r="AI168" s="593"/>
      <c r="AJ168" s="93"/>
      <c r="AK168" s="13"/>
      <c r="AL168" s="13"/>
    </row>
    <row r="169" spans="3:38" ht="18.75" customHeight="1" thickTop="1">
      <c r="C169" s="13"/>
      <c r="D169" s="12"/>
      <c r="E169" s="501" t="s">
        <v>114</v>
      </c>
      <c r="F169" s="501"/>
      <c r="G169" s="413" t="s">
        <v>130</v>
      </c>
      <c r="H169" s="415"/>
      <c r="I169" s="479">
        <f>'1.設計条件'!F26</f>
        <v>3</v>
      </c>
      <c r="J169" s="480"/>
      <c r="K169" s="483" t="str">
        <f>'1.設計条件'!H26</f>
        <v>砂質</v>
      </c>
      <c r="L169" s="484"/>
      <c r="M169" s="483">
        <f>ROUND(TAN(RADIANS(45-'1.設計条件'!AB26/2))^2,3)</f>
        <v>0.33300000000000002</v>
      </c>
      <c r="N169" s="495"/>
      <c r="O169" s="484"/>
      <c r="P169" s="483">
        <f>IF('1.設計条件'!L26="-",'1.設計条件'!P26,'1.設計条件'!X26)</f>
        <v>9</v>
      </c>
      <c r="Q169" s="484"/>
      <c r="R169" s="493">
        <f>R168</f>
        <v>95.5</v>
      </c>
      <c r="S169" s="494"/>
      <c r="T169" s="494"/>
      <c r="U169" s="483">
        <f>2*'1.設計条件'!AF26*SQRT(M169)</f>
        <v>0</v>
      </c>
      <c r="V169" s="495"/>
      <c r="W169" s="484"/>
      <c r="X169" s="493">
        <f>M169*R169-U169</f>
        <v>31.801500000000001</v>
      </c>
      <c r="Y169" s="494"/>
      <c r="Z169" s="494"/>
      <c r="AA169" s="493">
        <f>AA166</f>
        <v>17.55</v>
      </c>
      <c r="AB169" s="494"/>
      <c r="AC169" s="494"/>
      <c r="AD169" s="502" t="s">
        <v>137</v>
      </c>
      <c r="AE169" s="503"/>
      <c r="AF169" s="503"/>
      <c r="AG169" s="504">
        <f t="shared" ref="AG169" si="9">IF(K169="砂質",X169, IF(X169&gt;AA169,X169,AA169))</f>
        <v>31.801500000000001</v>
      </c>
      <c r="AH169" s="504"/>
      <c r="AI169" s="505"/>
      <c r="AJ169" s="93"/>
      <c r="AK169" s="13"/>
      <c r="AL169" s="13"/>
    </row>
    <row r="170" spans="3:38">
      <c r="C170" s="13"/>
      <c r="D170" s="12"/>
      <c r="E170" s="497"/>
      <c r="F170" s="497"/>
      <c r="G170" s="418" t="s">
        <v>131</v>
      </c>
      <c r="H170" s="420"/>
      <c r="I170" s="481"/>
      <c r="J170" s="482"/>
      <c r="K170" s="485"/>
      <c r="L170" s="486"/>
      <c r="M170" s="485"/>
      <c r="N170" s="496"/>
      <c r="O170" s="486"/>
      <c r="P170" s="485"/>
      <c r="Q170" s="486"/>
      <c r="R170" s="511">
        <f>I169*P169+R169</f>
        <v>122.5</v>
      </c>
      <c r="S170" s="512"/>
      <c r="T170" s="512"/>
      <c r="U170" s="485"/>
      <c r="V170" s="496"/>
      <c r="W170" s="486"/>
      <c r="X170" s="511">
        <f>M169*R170-U169</f>
        <v>40.792500000000004</v>
      </c>
      <c r="Y170" s="512"/>
      <c r="Z170" s="512"/>
      <c r="AA170" s="511">
        <f>0.3*I169*P169+AA169</f>
        <v>25.65</v>
      </c>
      <c r="AB170" s="512"/>
      <c r="AC170" s="512"/>
      <c r="AD170" s="513" t="s">
        <v>138</v>
      </c>
      <c r="AE170" s="514"/>
      <c r="AF170" s="514"/>
      <c r="AG170" s="515">
        <f>IF(K169="砂質",X170, IF(X170&gt;AA170,X170,AA170))</f>
        <v>40.792500000000004</v>
      </c>
      <c r="AH170" s="515"/>
      <c r="AI170" s="516"/>
      <c r="AJ170" s="93"/>
      <c r="AK170" s="13"/>
      <c r="AL170" s="13"/>
    </row>
    <row r="171" spans="3:38" ht="18.75" customHeight="1">
      <c r="C171" s="13"/>
      <c r="D171" s="12"/>
      <c r="E171" s="501" t="s">
        <v>418</v>
      </c>
      <c r="F171" s="501"/>
      <c r="G171" s="413" t="s">
        <v>130</v>
      </c>
      <c r="H171" s="415"/>
      <c r="I171" s="479" t="s">
        <v>225</v>
      </c>
      <c r="J171" s="480"/>
      <c r="K171" s="483" t="str">
        <f>'1.設計条件'!H27</f>
        <v>砂質</v>
      </c>
      <c r="L171" s="484"/>
      <c r="M171" s="483">
        <f>ROUND(TAN(RADIANS(45-'1.設計条件'!AB27/2))^2,3)</f>
        <v>0.27100000000000002</v>
      </c>
      <c r="N171" s="495"/>
      <c r="O171" s="484"/>
      <c r="P171" s="483">
        <f>IF('1.設計条件'!L27="-",'1.設計条件'!P27,'1.設計条件'!X27)</f>
        <v>9</v>
      </c>
      <c r="Q171" s="484"/>
      <c r="R171" s="493">
        <f>R170</f>
        <v>122.5</v>
      </c>
      <c r="S171" s="494"/>
      <c r="T171" s="494"/>
      <c r="U171" s="483">
        <f>2*'1.設計条件'!AF27*SQRT(M171)</f>
        <v>0</v>
      </c>
      <c r="V171" s="495"/>
      <c r="W171" s="484"/>
      <c r="X171" s="493">
        <f>M171*R171-U171</f>
        <v>33.197500000000005</v>
      </c>
      <c r="Y171" s="494"/>
      <c r="Z171" s="494"/>
      <c r="AA171" s="493">
        <f>AA170</f>
        <v>25.65</v>
      </c>
      <c r="AB171" s="494"/>
      <c r="AC171" s="494"/>
      <c r="AD171" s="502" t="s">
        <v>426</v>
      </c>
      <c r="AE171" s="503"/>
      <c r="AF171" s="503"/>
      <c r="AG171" s="504">
        <f t="shared" ref="AG171" si="10">IF(K171="砂質",X171, IF(X171&gt;AA171,X171,AA171))</f>
        <v>33.197500000000005</v>
      </c>
      <c r="AH171" s="504"/>
      <c r="AI171" s="505"/>
      <c r="AJ171" s="93"/>
      <c r="AK171" s="13"/>
      <c r="AL171" s="13"/>
    </row>
    <row r="172" spans="3:38">
      <c r="C172" s="13"/>
      <c r="D172" s="12"/>
      <c r="E172" s="497"/>
      <c r="F172" s="497"/>
      <c r="G172" s="418" t="s">
        <v>131</v>
      </c>
      <c r="H172" s="420"/>
      <c r="I172" s="481"/>
      <c r="J172" s="482"/>
      <c r="K172" s="485"/>
      <c r="L172" s="486"/>
      <c r="M172" s="485"/>
      <c r="N172" s="496"/>
      <c r="O172" s="486"/>
      <c r="P172" s="485"/>
      <c r="Q172" s="486"/>
      <c r="R172" s="511"/>
      <c r="S172" s="512"/>
      <c r="T172" s="512"/>
      <c r="U172" s="485"/>
      <c r="V172" s="496"/>
      <c r="W172" s="486"/>
      <c r="X172" s="511"/>
      <c r="Y172" s="512"/>
      <c r="Z172" s="512"/>
      <c r="AA172" s="511"/>
      <c r="AB172" s="512"/>
      <c r="AC172" s="512"/>
      <c r="AD172" s="513" t="s">
        <v>427</v>
      </c>
      <c r="AE172" s="514"/>
      <c r="AF172" s="514"/>
      <c r="AG172" s="515" t="s">
        <v>454</v>
      </c>
      <c r="AH172" s="515"/>
      <c r="AI172" s="516"/>
      <c r="AJ172" s="93"/>
      <c r="AK172" s="13"/>
      <c r="AL172" s="13"/>
    </row>
    <row r="173" spans="3:38">
      <c r="C173" s="13"/>
      <c r="D173" s="12"/>
      <c r="E173" s="97"/>
      <c r="F173" s="96"/>
      <c r="G173" s="96"/>
      <c r="H173" s="96"/>
      <c r="I173" s="96"/>
      <c r="J173" s="96"/>
      <c r="K173" s="94"/>
      <c r="L173" s="94"/>
      <c r="M173" s="94"/>
      <c r="N173" s="94"/>
      <c r="O173" s="94"/>
      <c r="P173" s="95"/>
      <c r="Q173" s="95"/>
      <c r="R173" s="95"/>
      <c r="S173" s="95"/>
      <c r="T173" s="94"/>
      <c r="U173" s="94"/>
      <c r="V173" s="96"/>
      <c r="W173" s="96"/>
      <c r="X173" s="96"/>
      <c r="Y173" s="81"/>
      <c r="Z173" s="81"/>
      <c r="AA173" s="81"/>
      <c r="AB173"/>
      <c r="AC173" s="98"/>
      <c r="AD173" s="99"/>
      <c r="AE173" s="96"/>
      <c r="AF173" s="96"/>
      <c r="AG173" s="13"/>
      <c r="AH173" s="13"/>
      <c r="AI173" s="13"/>
      <c r="AJ173" s="15"/>
    </row>
    <row r="174" spans="3:38">
      <c r="C174" s="13"/>
      <c r="D174" s="12"/>
      <c r="E174" s="563" t="s">
        <v>428</v>
      </c>
      <c r="F174" s="563"/>
      <c r="G174" s="563"/>
      <c r="H174" s="600" t="s">
        <v>815</v>
      </c>
      <c r="I174" s="600"/>
      <c r="J174" s="600"/>
      <c r="K174" s="600"/>
      <c r="L174" s="600"/>
      <c r="M174" s="600"/>
      <c r="N174" s="340" t="s">
        <v>816</v>
      </c>
      <c r="S174" s="100"/>
      <c r="T174" s="81"/>
      <c r="U174" s="94"/>
      <c r="V174" s="96"/>
      <c r="W174" s="96"/>
      <c r="X174" s="96"/>
      <c r="Y174" s="567"/>
      <c r="Z174" s="567"/>
      <c r="AA174" s="567"/>
      <c r="AB174" s="525"/>
      <c r="AC174" s="525"/>
      <c r="AD174" s="99"/>
      <c r="AE174" s="96"/>
      <c r="AF174" s="96"/>
      <c r="AG174" s="13"/>
      <c r="AH174" s="13"/>
      <c r="AI174" s="13"/>
      <c r="AJ174" s="15"/>
    </row>
    <row r="175" spans="3:38">
      <c r="C175" s="13"/>
      <c r="D175" s="12"/>
      <c r="E175" s="563" t="s">
        <v>2</v>
      </c>
      <c r="F175" s="563"/>
      <c r="G175" s="563"/>
      <c r="H175" s="616">
        <f>M171</f>
        <v>0.27100000000000002</v>
      </c>
      <c r="I175" s="616"/>
      <c r="J175" s="616"/>
      <c r="K175" s="1" t="s">
        <v>27</v>
      </c>
      <c r="L175" s="1" t="s">
        <v>69</v>
      </c>
      <c r="M175" s="617">
        <f>P171</f>
        <v>9</v>
      </c>
      <c r="N175" s="617"/>
      <c r="O175" s="451" t="s">
        <v>817</v>
      </c>
      <c r="P175" s="451"/>
      <c r="Q175" s="1" t="s">
        <v>68</v>
      </c>
      <c r="R175" s="618">
        <f>R171</f>
        <v>122.5</v>
      </c>
      <c r="S175" s="618"/>
      <c r="T175" s="618"/>
      <c r="U175" s="1" t="s">
        <v>83</v>
      </c>
      <c r="V175" s="96" t="s">
        <v>122</v>
      </c>
      <c r="W175" s="104">
        <f>U171</f>
        <v>0</v>
      </c>
      <c r="AD175" s="99"/>
      <c r="AE175" s="96"/>
      <c r="AF175" s="96"/>
      <c r="AG175" s="13"/>
      <c r="AH175" s="13"/>
      <c r="AI175" s="13"/>
      <c r="AJ175" s="15"/>
    </row>
    <row r="176" spans="3:38" ht="20.25">
      <c r="C176" s="13"/>
      <c r="D176" s="12"/>
      <c r="E176" s="563" t="s">
        <v>2</v>
      </c>
      <c r="F176" s="563"/>
      <c r="G176" s="563"/>
      <c r="H176" s="564">
        <f>M171*P171</f>
        <v>2.4390000000000001</v>
      </c>
      <c r="I176" s="565"/>
      <c r="J176" s="566"/>
      <c r="K176" s="525" t="s">
        <v>226</v>
      </c>
      <c r="L176" s="525"/>
      <c r="M176" s="517">
        <f>M171*R171</f>
        <v>33.197500000000005</v>
      </c>
      <c r="N176" s="518"/>
      <c r="O176" s="518"/>
      <c r="P176" s="518"/>
      <c r="Q176" s="518"/>
      <c r="R176" s="519"/>
      <c r="S176" s="100" t="s">
        <v>36</v>
      </c>
      <c r="T176" s="81"/>
      <c r="U176" s="94"/>
      <c r="V176" s="96"/>
      <c r="W176" s="96"/>
      <c r="X176" s="96"/>
      <c r="Y176" s="81"/>
      <c r="Z176" s="81"/>
      <c r="AA176" s="81"/>
      <c r="AB176"/>
      <c r="AC176" s="98"/>
      <c r="AD176" s="99"/>
      <c r="AE176" s="96"/>
      <c r="AF176" s="96"/>
      <c r="AG176" s="13"/>
      <c r="AH176" s="13"/>
      <c r="AI176" s="13"/>
      <c r="AJ176" s="15"/>
    </row>
    <row r="177" spans="3:38">
      <c r="C177" s="15"/>
      <c r="D177" s="13"/>
      <c r="E177" s="28"/>
      <c r="F177" s="28"/>
      <c r="G177" s="166"/>
      <c r="H177" s="166"/>
      <c r="I177" s="96"/>
      <c r="J177" s="81"/>
      <c r="K177" s="96"/>
      <c r="L177" s="81"/>
      <c r="M177" s="134"/>
      <c r="N177" s="134"/>
      <c r="O177" s="134"/>
      <c r="P177" s="96"/>
      <c r="Q177" s="96"/>
      <c r="R177" s="96"/>
      <c r="S177" s="13"/>
      <c r="T177" s="13"/>
      <c r="U177" s="13"/>
      <c r="V177" s="13"/>
      <c r="W177" s="13"/>
      <c r="X177" s="13"/>
      <c r="Y177" s="13"/>
      <c r="Z177" s="13"/>
      <c r="AA177" s="13"/>
      <c r="AB177" s="13"/>
      <c r="AC177" s="13"/>
      <c r="AD177" s="13"/>
      <c r="AE177" s="13"/>
      <c r="AF177" s="13"/>
      <c r="AG177" s="13"/>
      <c r="AH177" s="13"/>
      <c r="AI177" s="13"/>
      <c r="AJ177" s="15"/>
    </row>
    <row r="178" spans="3:38">
      <c r="C178" s="13"/>
      <c r="D178" s="12" t="s">
        <v>389</v>
      </c>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t="s">
        <v>159</v>
      </c>
      <c r="AC178" s="13"/>
      <c r="AD178" s="13"/>
      <c r="AE178" s="13"/>
      <c r="AF178" s="13"/>
      <c r="AG178" s="13"/>
      <c r="AH178" s="13"/>
      <c r="AI178" s="13"/>
      <c r="AJ178" s="15"/>
    </row>
    <row r="179" spans="3:38">
      <c r="C179" s="13"/>
      <c r="D179" s="12"/>
      <c r="E179" s="13"/>
      <c r="F179" s="13"/>
      <c r="G179" s="13"/>
      <c r="H179"/>
      <c r="I179" s="410" t="s">
        <v>23</v>
      </c>
      <c r="J179" s="411"/>
      <c r="K179" s="410" t="s">
        <v>9</v>
      </c>
      <c r="L179" s="411"/>
      <c r="M179" s="413" t="s">
        <v>168</v>
      </c>
      <c r="N179" s="414"/>
      <c r="O179" s="415"/>
      <c r="P179" s="410"/>
      <c r="Q179" s="411"/>
      <c r="R179" s="410"/>
      <c r="S179" s="412"/>
      <c r="T179" s="412"/>
      <c r="U179" s="410"/>
      <c r="V179" s="412"/>
      <c r="W179" s="411"/>
      <c r="X179" s="602" t="s">
        <v>408</v>
      </c>
      <c r="Y179" s="603"/>
      <c r="Z179" s="604"/>
      <c r="AA179" s="410"/>
      <c r="AB179" s="412"/>
      <c r="AC179" s="411"/>
      <c r="AD179" s="410" t="s">
        <v>167</v>
      </c>
      <c r="AE179" s="412"/>
      <c r="AF179" s="412"/>
      <c r="AG179" s="412"/>
      <c r="AH179" s="412"/>
      <c r="AI179" s="411"/>
      <c r="AJ179" s="93"/>
      <c r="AK179" s="13"/>
      <c r="AL179" s="13"/>
    </row>
    <row r="180" spans="3:38" ht="20.25">
      <c r="C180" s="13"/>
      <c r="D180" s="12"/>
      <c r="E180" s="13"/>
      <c r="F180" s="13"/>
      <c r="G180" s="13"/>
      <c r="H180"/>
      <c r="I180" s="421" t="s">
        <v>409</v>
      </c>
      <c r="J180" s="422"/>
      <c r="K180" s="423"/>
      <c r="L180" s="424"/>
      <c r="M180" s="421" t="s">
        <v>169</v>
      </c>
      <c r="N180" s="360"/>
      <c r="O180" s="422"/>
      <c r="P180" s="416" t="s">
        <v>16</v>
      </c>
      <c r="Q180" s="417"/>
      <c r="R180" s="601" t="s">
        <v>430</v>
      </c>
      <c r="S180" s="360"/>
      <c r="T180" s="422"/>
      <c r="U180" s="34" t="s">
        <v>171</v>
      </c>
      <c r="V180" s="34"/>
      <c r="W180" s="58"/>
      <c r="X180" s="421" t="s">
        <v>170</v>
      </c>
      <c r="Y180" s="360"/>
      <c r="Z180" s="422"/>
      <c r="AA180" s="421"/>
      <c r="AB180" s="360"/>
      <c r="AC180" s="422"/>
      <c r="AD180" s="588" t="s">
        <v>412</v>
      </c>
      <c r="AE180" s="589"/>
      <c r="AF180" s="589"/>
      <c r="AG180" s="589"/>
      <c r="AH180" s="589"/>
      <c r="AI180" s="590"/>
      <c r="AJ180" s="93"/>
      <c r="AK180" s="13"/>
      <c r="AL180" s="13"/>
    </row>
    <row r="181" spans="3:38" ht="20.25">
      <c r="C181" s="13"/>
      <c r="D181" s="12"/>
      <c r="E181" s="13"/>
      <c r="F181" s="13"/>
      <c r="G181" s="13"/>
      <c r="H181"/>
      <c r="I181" s="498" t="s">
        <v>20</v>
      </c>
      <c r="J181" s="499"/>
      <c r="K181" s="498"/>
      <c r="L181" s="499"/>
      <c r="M181" s="7"/>
      <c r="N181" s="81"/>
      <c r="O181" s="8"/>
      <c r="P181" s="418" t="s">
        <v>40</v>
      </c>
      <c r="Q181" s="420"/>
      <c r="R181" s="418" t="s">
        <v>36</v>
      </c>
      <c r="S181" s="419"/>
      <c r="T181" s="419"/>
      <c r="U181" s="418" t="s">
        <v>36</v>
      </c>
      <c r="V181" s="419"/>
      <c r="W181" s="419"/>
      <c r="X181" s="418" t="s">
        <v>36</v>
      </c>
      <c r="Y181" s="419"/>
      <c r="Z181" s="419"/>
      <c r="AA181" s="418"/>
      <c r="AB181" s="419"/>
      <c r="AC181" s="419"/>
      <c r="AD181" s="498" t="s">
        <v>36</v>
      </c>
      <c r="AE181" s="500"/>
      <c r="AF181" s="500"/>
      <c r="AG181" s="500"/>
      <c r="AH181" s="500"/>
      <c r="AI181" s="499"/>
      <c r="AJ181" s="93"/>
      <c r="AK181" s="13"/>
      <c r="AL181" s="13"/>
    </row>
    <row r="182" spans="3:38" ht="18.75" customHeight="1">
      <c r="C182" s="13"/>
      <c r="D182" s="12"/>
      <c r="E182" s="497" t="s">
        <v>114</v>
      </c>
      <c r="F182" s="497"/>
      <c r="G182" s="413" t="s">
        <v>130</v>
      </c>
      <c r="H182" s="415"/>
      <c r="I182" s="479">
        <f>'1.設計条件'!F26</f>
        <v>3</v>
      </c>
      <c r="J182" s="480"/>
      <c r="K182" s="483" t="str">
        <f>'1.設計条件'!H26</f>
        <v>砂質</v>
      </c>
      <c r="L182" s="484"/>
      <c r="M182" s="487">
        <f>ROUND(TAN(RADIANS(45+'1.設計条件'!AB26/2))^2,3)</f>
        <v>3</v>
      </c>
      <c r="N182" s="488"/>
      <c r="O182" s="489"/>
      <c r="P182" s="483">
        <f>IF('1.設計条件'!L26="-",'1.設計条件'!P26,'1.設計条件'!X26)</f>
        <v>9</v>
      </c>
      <c r="Q182" s="484"/>
      <c r="R182" s="493">
        <v>0</v>
      </c>
      <c r="S182" s="494"/>
      <c r="T182" s="494"/>
      <c r="U182" s="483">
        <f>2*'1.設計条件'!AF26*SQRT(M182)</f>
        <v>0</v>
      </c>
      <c r="V182" s="495"/>
      <c r="W182" s="484"/>
      <c r="X182" s="493">
        <f>M182*R182+U182</f>
        <v>0</v>
      </c>
      <c r="Y182" s="494"/>
      <c r="Z182" s="494"/>
      <c r="AA182" s="493"/>
      <c r="AB182" s="494"/>
      <c r="AC182" s="494"/>
      <c r="AD182" s="502" t="s">
        <v>174</v>
      </c>
      <c r="AE182" s="503"/>
      <c r="AF182" s="503"/>
      <c r="AG182" s="504">
        <f>X182</f>
        <v>0</v>
      </c>
      <c r="AH182" s="504"/>
      <c r="AI182" s="505"/>
      <c r="AJ182" s="93"/>
      <c r="AK182" s="13"/>
      <c r="AL182" s="13"/>
    </row>
    <row r="183" spans="3:38">
      <c r="C183" s="13"/>
      <c r="D183" s="12"/>
      <c r="E183" s="497"/>
      <c r="F183" s="497"/>
      <c r="G183" s="418" t="s">
        <v>131</v>
      </c>
      <c r="H183" s="420"/>
      <c r="I183" s="481"/>
      <c r="J183" s="482"/>
      <c r="K183" s="485"/>
      <c r="L183" s="486"/>
      <c r="M183" s="490"/>
      <c r="N183" s="491"/>
      <c r="O183" s="492"/>
      <c r="P183" s="485"/>
      <c r="Q183" s="486"/>
      <c r="R183" s="511">
        <f>I182*P182+R182</f>
        <v>27</v>
      </c>
      <c r="S183" s="512"/>
      <c r="T183" s="512"/>
      <c r="U183" s="485"/>
      <c r="V183" s="496"/>
      <c r="W183" s="486"/>
      <c r="X183" s="511">
        <f>M182*R183+U182</f>
        <v>81</v>
      </c>
      <c r="Y183" s="512"/>
      <c r="Z183" s="512"/>
      <c r="AA183" s="511"/>
      <c r="AB183" s="512"/>
      <c r="AC183" s="512"/>
      <c r="AD183" s="513" t="s">
        <v>175</v>
      </c>
      <c r="AE183" s="514"/>
      <c r="AF183" s="514"/>
      <c r="AG183" s="515">
        <f>X183</f>
        <v>81</v>
      </c>
      <c r="AH183" s="515"/>
      <c r="AI183" s="516"/>
      <c r="AJ183" s="93"/>
      <c r="AK183" s="13"/>
      <c r="AL183" s="13"/>
    </row>
    <row r="184" spans="3:38" ht="18.75" customHeight="1">
      <c r="C184" s="13"/>
      <c r="D184" s="12"/>
      <c r="E184" s="497" t="s">
        <v>418</v>
      </c>
      <c r="F184" s="497"/>
      <c r="G184" s="413" t="s">
        <v>130</v>
      </c>
      <c r="H184" s="415"/>
      <c r="I184" s="479" t="s">
        <v>225</v>
      </c>
      <c r="J184" s="480"/>
      <c r="K184" s="483" t="str">
        <f>'1.設計条件'!H27</f>
        <v>砂質</v>
      </c>
      <c r="L184" s="484"/>
      <c r="M184" s="487">
        <f>ROUND(TAN(RADIANS(45+'1.設計条件'!AB27/2))^2,3)</f>
        <v>3.69</v>
      </c>
      <c r="N184" s="488"/>
      <c r="O184" s="489"/>
      <c r="P184" s="483">
        <f>IF('1.設計条件'!L27="-",'1.設計条件'!P27,'1.設計条件'!X27)</f>
        <v>9</v>
      </c>
      <c r="Q184" s="484"/>
      <c r="R184" s="493">
        <f>R183</f>
        <v>27</v>
      </c>
      <c r="S184" s="494"/>
      <c r="T184" s="494"/>
      <c r="U184" s="483">
        <f>2*'1.設計条件'!AF27*SQRT(M184)</f>
        <v>0</v>
      </c>
      <c r="V184" s="495"/>
      <c r="W184" s="484"/>
      <c r="X184" s="493">
        <f>M184*R184+U184</f>
        <v>99.63</v>
      </c>
      <c r="Y184" s="494"/>
      <c r="Z184" s="494"/>
      <c r="AA184" s="493"/>
      <c r="AB184" s="494"/>
      <c r="AC184" s="494"/>
      <c r="AD184" s="502" t="s">
        <v>431</v>
      </c>
      <c r="AE184" s="503"/>
      <c r="AF184" s="503"/>
      <c r="AG184" s="504">
        <f>X184</f>
        <v>99.63</v>
      </c>
      <c r="AH184" s="504"/>
      <c r="AI184" s="505"/>
      <c r="AJ184" s="93"/>
      <c r="AK184" s="13"/>
      <c r="AL184" s="13"/>
    </row>
    <row r="185" spans="3:38">
      <c r="C185" s="13"/>
      <c r="D185" s="12"/>
      <c r="E185" s="497"/>
      <c r="F185" s="497"/>
      <c r="G185" s="418" t="s">
        <v>131</v>
      </c>
      <c r="H185" s="420"/>
      <c r="I185" s="481"/>
      <c r="J185" s="482"/>
      <c r="K185" s="485"/>
      <c r="L185" s="486"/>
      <c r="M185" s="490"/>
      <c r="N185" s="491"/>
      <c r="O185" s="492"/>
      <c r="P185" s="485"/>
      <c r="Q185" s="486"/>
      <c r="R185" s="511"/>
      <c r="S185" s="512"/>
      <c r="T185" s="512"/>
      <c r="U185" s="485"/>
      <c r="V185" s="496"/>
      <c r="W185" s="486"/>
      <c r="X185" s="511"/>
      <c r="Y185" s="512"/>
      <c r="Z185" s="512"/>
      <c r="AA185" s="511"/>
      <c r="AB185" s="512"/>
      <c r="AC185" s="512"/>
      <c r="AD185" s="513" t="s">
        <v>432</v>
      </c>
      <c r="AE185" s="514"/>
      <c r="AF185" s="514"/>
      <c r="AG185" s="515" t="s">
        <v>454</v>
      </c>
      <c r="AH185" s="515"/>
      <c r="AI185" s="516"/>
      <c r="AJ185" s="93"/>
      <c r="AK185" s="13"/>
      <c r="AL185" s="13"/>
    </row>
    <row r="186" spans="3:38">
      <c r="C186" s="13"/>
      <c r="D186" s="12"/>
      <c r="E186" s="97"/>
      <c r="F186" s="96"/>
      <c r="G186" s="96"/>
      <c r="H186" s="96"/>
      <c r="I186" s="96"/>
      <c r="J186" s="96"/>
      <c r="K186" s="94"/>
      <c r="L186" s="94"/>
      <c r="M186" s="94"/>
      <c r="N186" s="94"/>
      <c r="O186" s="94"/>
      <c r="P186" s="95"/>
      <c r="Q186" s="95"/>
      <c r="R186" s="95"/>
      <c r="S186" s="95"/>
      <c r="T186" s="94"/>
      <c r="U186" s="94"/>
      <c r="V186" s="96"/>
      <c r="W186" s="96"/>
      <c r="X186" s="96"/>
      <c r="Y186" s="81"/>
      <c r="Z186" s="81"/>
      <c r="AA186" s="81"/>
      <c r="AB186"/>
      <c r="AC186" s="98"/>
      <c r="AD186" s="99"/>
      <c r="AE186" s="96"/>
      <c r="AF186" s="96"/>
      <c r="AG186" s="13"/>
      <c r="AH186" s="13"/>
      <c r="AI186" s="13"/>
      <c r="AJ186" s="15"/>
    </row>
    <row r="187" spans="3:38">
      <c r="C187" s="13"/>
      <c r="D187" s="12"/>
      <c r="E187" s="563" t="s">
        <v>433</v>
      </c>
      <c r="F187" s="563"/>
      <c r="G187" s="563"/>
      <c r="H187" s="600" t="s">
        <v>820</v>
      </c>
      <c r="I187" s="600"/>
      <c r="J187" s="600"/>
      <c r="K187" s="600"/>
      <c r="L187" s="600"/>
      <c r="M187" s="600"/>
      <c r="N187" s="340" t="s">
        <v>821</v>
      </c>
      <c r="S187" s="100"/>
      <c r="T187" s="81"/>
      <c r="U187" s="94"/>
      <c r="V187" s="96"/>
      <c r="W187" s="96"/>
      <c r="X187" s="96"/>
      <c r="Y187" s="567"/>
      <c r="Z187" s="567"/>
      <c r="AA187" s="567"/>
      <c r="AB187" s="525"/>
      <c r="AC187" s="525"/>
      <c r="AD187" s="99"/>
      <c r="AE187" s="96"/>
      <c r="AF187" s="96"/>
      <c r="AG187" s="13"/>
      <c r="AH187" s="13"/>
      <c r="AI187" s="13"/>
      <c r="AJ187" s="15"/>
    </row>
    <row r="188" spans="3:38">
      <c r="C188" s="13"/>
      <c r="D188" s="12"/>
      <c r="E188" s="563" t="s">
        <v>2</v>
      </c>
      <c r="F188" s="563"/>
      <c r="G188" s="563"/>
      <c r="H188" s="452">
        <f>M184</f>
        <v>3.69</v>
      </c>
      <c r="I188" s="452"/>
      <c r="J188" s="452"/>
      <c r="K188" s="1" t="s">
        <v>27</v>
      </c>
      <c r="L188" s="1" t="s">
        <v>69</v>
      </c>
      <c r="M188" s="617">
        <f>P184</f>
        <v>9</v>
      </c>
      <c r="N188" s="617"/>
      <c r="O188" s="451" t="s">
        <v>817</v>
      </c>
      <c r="P188" s="451"/>
      <c r="Q188" s="1" t="s">
        <v>68</v>
      </c>
      <c r="R188" s="618">
        <f>R184</f>
        <v>27</v>
      </c>
      <c r="S188" s="618"/>
      <c r="T188" s="618"/>
      <c r="U188" s="1" t="s">
        <v>83</v>
      </c>
      <c r="V188" s="96" t="s">
        <v>68</v>
      </c>
      <c r="W188" s="104">
        <f>U184</f>
        <v>0</v>
      </c>
      <c r="AD188" s="99"/>
      <c r="AE188" s="96"/>
      <c r="AF188" s="96"/>
      <c r="AG188" s="13"/>
      <c r="AH188" s="13"/>
      <c r="AI188" s="13"/>
      <c r="AJ188" s="15"/>
    </row>
    <row r="189" spans="3:38" ht="20.25">
      <c r="C189" s="13"/>
      <c r="D189" s="12"/>
      <c r="E189" s="563" t="s">
        <v>2</v>
      </c>
      <c r="F189" s="563"/>
      <c r="G189" s="563"/>
      <c r="H189" s="564">
        <f>M184*P184</f>
        <v>33.21</v>
      </c>
      <c r="I189" s="565"/>
      <c r="J189" s="566"/>
      <c r="K189" s="525" t="s">
        <v>226</v>
      </c>
      <c r="L189" s="525"/>
      <c r="M189" s="517">
        <f>M184*R184</f>
        <v>99.63</v>
      </c>
      <c r="N189" s="518"/>
      <c r="O189" s="518"/>
      <c r="P189" s="518"/>
      <c r="Q189" s="518"/>
      <c r="R189" s="519"/>
      <c r="S189" s="100" t="s">
        <v>36</v>
      </c>
      <c r="T189" s="81"/>
      <c r="U189" s="94"/>
      <c r="V189" s="96"/>
      <c r="W189" s="96"/>
      <c r="X189" s="96"/>
      <c r="Y189" s="81"/>
      <c r="Z189" s="81"/>
      <c r="AA189" s="81"/>
      <c r="AB189"/>
      <c r="AC189" s="98"/>
      <c r="AD189" s="99"/>
      <c r="AE189" s="96"/>
      <c r="AF189" s="96"/>
      <c r="AG189" s="13"/>
      <c r="AH189" s="13"/>
      <c r="AI189" s="13"/>
      <c r="AJ189" s="15"/>
    </row>
    <row r="190" spans="3:38">
      <c r="C190" s="15"/>
      <c r="D190" s="13"/>
      <c r="E190" s="97"/>
      <c r="F190" s="96"/>
      <c r="G190" s="96"/>
      <c r="H190" s="96"/>
      <c r="I190" s="96"/>
      <c r="J190" s="96"/>
      <c r="K190" s="94"/>
      <c r="L190" s="94"/>
      <c r="M190" s="94"/>
      <c r="N190" s="94"/>
      <c r="O190" s="94"/>
      <c r="P190" s="95"/>
      <c r="Q190" s="95"/>
      <c r="R190" s="95"/>
      <c r="S190" s="95"/>
      <c r="T190" s="94"/>
      <c r="U190" s="94"/>
      <c r="V190" s="96"/>
      <c r="W190" s="96"/>
      <c r="X190" s="96"/>
      <c r="Y190" s="81"/>
      <c r="Z190" s="81"/>
      <c r="AA190" s="81"/>
      <c r="AB190"/>
      <c r="AC190" s="98"/>
      <c r="AD190" s="99"/>
      <c r="AE190" s="96"/>
      <c r="AF190" s="96"/>
      <c r="AG190" s="13"/>
      <c r="AH190" s="13"/>
      <c r="AI190" s="13"/>
      <c r="AJ190" s="15"/>
    </row>
    <row r="191" spans="3:38">
      <c r="C191" s="15"/>
      <c r="D191" s="13" t="s">
        <v>390</v>
      </c>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5"/>
    </row>
    <row r="192" spans="3:38">
      <c r="C192" s="13"/>
      <c r="D192" s="12"/>
      <c r="E192" s="13"/>
      <c r="F192" s="13"/>
      <c r="G192" s="13"/>
      <c r="H192"/>
      <c r="I192" s="410" t="s">
        <v>23</v>
      </c>
      <c r="J192" s="411"/>
      <c r="K192" s="410" t="s">
        <v>30</v>
      </c>
      <c r="L192" s="411"/>
      <c r="M192" s="410" t="s">
        <v>31</v>
      </c>
      <c r="N192" s="412"/>
      <c r="O192" s="412"/>
      <c r="P192" s="412"/>
      <c r="Q192" s="412"/>
      <c r="R192" s="411"/>
      <c r="S192" s="13"/>
      <c r="T192" s="13"/>
      <c r="U192" s="13"/>
      <c r="V192" s="13"/>
      <c r="W192" s="13"/>
      <c r="X192" s="13"/>
      <c r="Y192" s="13"/>
      <c r="Z192" s="13"/>
      <c r="AA192" s="13"/>
      <c r="AB192" s="13"/>
      <c r="AC192" s="13"/>
      <c r="AD192" s="13"/>
      <c r="AE192" s="13"/>
      <c r="AF192" s="13"/>
      <c r="AG192" s="13"/>
      <c r="AH192" s="13"/>
      <c r="AI192" s="13"/>
      <c r="AJ192" s="15"/>
    </row>
    <row r="193" spans="2:36">
      <c r="C193" s="13"/>
      <c r="D193" s="12"/>
      <c r="E193" s="13"/>
      <c r="F193" s="13"/>
      <c r="G193" s="13"/>
      <c r="H193"/>
      <c r="I193" s="421" t="s">
        <v>15</v>
      </c>
      <c r="J193" s="422"/>
      <c r="K193" s="423"/>
      <c r="L193" s="424"/>
      <c r="M193" s="421" t="s">
        <v>148</v>
      </c>
      <c r="N193" s="360"/>
      <c r="O193" s="360"/>
      <c r="P193" s="360"/>
      <c r="Q193" s="360"/>
      <c r="R193" s="422"/>
      <c r="S193" s="13"/>
      <c r="T193" s="13"/>
      <c r="U193" s="13"/>
      <c r="V193" s="13"/>
      <c r="W193" s="13"/>
      <c r="X193" s="13"/>
      <c r="Y193" s="13"/>
      <c r="Z193" s="13"/>
      <c r="AA193" s="13"/>
      <c r="AB193" s="13"/>
      <c r="AC193" s="13"/>
      <c r="AD193" s="13"/>
      <c r="AE193" s="13"/>
      <c r="AF193" s="13"/>
      <c r="AG193" s="13"/>
      <c r="AH193" s="13"/>
      <c r="AI193" s="13"/>
      <c r="AJ193" s="15"/>
    </row>
    <row r="194" spans="2:36" ht="20.25">
      <c r="C194" s="13"/>
      <c r="D194" s="12"/>
      <c r="E194" s="13"/>
      <c r="F194" s="13"/>
      <c r="G194" s="13"/>
      <c r="H194"/>
      <c r="I194" s="498" t="s">
        <v>20</v>
      </c>
      <c r="J194" s="499"/>
      <c r="K194" s="498" t="s">
        <v>20</v>
      </c>
      <c r="L194" s="499"/>
      <c r="M194" s="498" t="s">
        <v>36</v>
      </c>
      <c r="N194" s="500"/>
      <c r="O194" s="500"/>
      <c r="P194" s="500"/>
      <c r="Q194" s="500"/>
      <c r="R194" s="499"/>
      <c r="S194" s="13"/>
      <c r="T194" s="13"/>
      <c r="U194" s="13"/>
      <c r="V194" s="13"/>
      <c r="W194" s="13"/>
      <c r="X194" s="13"/>
      <c r="Y194" s="13"/>
      <c r="Z194" s="13"/>
      <c r="AA194" s="13"/>
      <c r="AB194" s="13"/>
      <c r="AC194" s="13"/>
      <c r="AD194" s="13"/>
      <c r="AE194" s="13"/>
      <c r="AF194" s="13"/>
      <c r="AG194" s="13"/>
      <c r="AH194" s="13"/>
      <c r="AI194" s="13"/>
      <c r="AJ194" s="15"/>
    </row>
    <row r="195" spans="2:36">
      <c r="C195" s="13"/>
      <c r="D195" s="12"/>
      <c r="E195" s="497" t="s">
        <v>21</v>
      </c>
      <c r="F195" s="497"/>
      <c r="G195" s="413" t="s">
        <v>130</v>
      </c>
      <c r="H195" s="415"/>
      <c r="I195" s="410"/>
      <c r="J195" s="411"/>
      <c r="K195" s="410"/>
      <c r="L195" s="411"/>
      <c r="M195" s="502" t="s">
        <v>146</v>
      </c>
      <c r="N195" s="503"/>
      <c r="O195" s="503"/>
      <c r="P195" s="504">
        <v>0</v>
      </c>
      <c r="Q195" s="504"/>
      <c r="R195" s="505"/>
      <c r="S195" s="13"/>
      <c r="T195" s="13"/>
      <c r="U195" s="13"/>
      <c r="V195" s="13"/>
      <c r="W195" s="13"/>
      <c r="X195" s="13"/>
      <c r="Y195" s="13"/>
      <c r="Z195" s="13"/>
      <c r="AA195" s="13"/>
      <c r="AB195" s="13"/>
      <c r="AC195" s="13"/>
      <c r="AD195" s="13"/>
      <c r="AE195" s="13"/>
      <c r="AF195" s="13"/>
      <c r="AG195" s="13"/>
      <c r="AH195" s="13"/>
      <c r="AI195" s="13"/>
      <c r="AJ195" s="15"/>
    </row>
    <row r="196" spans="2:36">
      <c r="C196" s="13"/>
      <c r="D196" s="12"/>
      <c r="E196" s="497"/>
      <c r="F196" s="497"/>
      <c r="G196" s="418" t="s">
        <v>131</v>
      </c>
      <c r="H196" s="420"/>
      <c r="I196" s="560">
        <f>I161</f>
        <v>1</v>
      </c>
      <c r="J196" s="499"/>
      <c r="K196" s="560" t="str">
        <f>'1.設計条件'!L22</f>
        <v>-</v>
      </c>
      <c r="L196" s="499"/>
      <c r="M196" s="513" t="s">
        <v>139</v>
      </c>
      <c r="N196" s="514"/>
      <c r="O196" s="514"/>
      <c r="P196" s="591">
        <f>IF(K196="-",0, 10*K196+P195)</f>
        <v>0</v>
      </c>
      <c r="Q196" s="591"/>
      <c r="R196" s="578"/>
      <c r="S196" s="13"/>
      <c r="T196" s="13"/>
      <c r="U196" s="13"/>
      <c r="V196" s="13"/>
      <c r="W196" s="13"/>
      <c r="X196" s="13"/>
      <c r="Y196" s="13"/>
      <c r="Z196" s="13"/>
      <c r="AA196" s="13"/>
      <c r="AB196" s="13"/>
      <c r="AC196" s="13"/>
      <c r="AD196" s="13"/>
      <c r="AE196" s="13"/>
      <c r="AF196" s="13"/>
      <c r="AG196" s="13"/>
      <c r="AH196" s="13"/>
      <c r="AI196" s="13"/>
      <c r="AJ196" s="15"/>
    </row>
    <row r="197" spans="2:36">
      <c r="C197" s="13"/>
      <c r="D197" s="12"/>
      <c r="E197" s="497" t="s">
        <v>22</v>
      </c>
      <c r="F197" s="497"/>
      <c r="G197" s="413" t="s">
        <v>130</v>
      </c>
      <c r="H197" s="415"/>
      <c r="I197" s="571"/>
      <c r="J197" s="505"/>
      <c r="K197" s="571"/>
      <c r="L197" s="505"/>
      <c r="M197" s="502" t="s">
        <v>140</v>
      </c>
      <c r="N197" s="503"/>
      <c r="O197" s="503"/>
      <c r="P197" s="504">
        <f>P196</f>
        <v>0</v>
      </c>
      <c r="Q197" s="504"/>
      <c r="R197" s="505"/>
      <c r="S197" s="13"/>
      <c r="T197" s="13"/>
      <c r="U197" s="13"/>
      <c r="V197" s="13"/>
      <c r="W197" s="13"/>
      <c r="X197" s="13"/>
      <c r="Y197" s="13"/>
      <c r="Z197" s="13"/>
      <c r="AA197" s="13"/>
      <c r="AB197" s="13"/>
      <c r="AC197" s="13"/>
      <c r="AD197" s="13"/>
      <c r="AE197" s="13"/>
      <c r="AF197" s="13"/>
      <c r="AG197" s="13"/>
      <c r="AH197" s="13"/>
      <c r="AI197" s="13"/>
      <c r="AJ197" s="15"/>
    </row>
    <row r="198" spans="2:36">
      <c r="C198" s="13"/>
      <c r="D198" s="12"/>
      <c r="E198" s="497"/>
      <c r="F198" s="497"/>
      <c r="G198" s="418" t="s">
        <v>131</v>
      </c>
      <c r="H198" s="420"/>
      <c r="I198" s="560">
        <f>I163</f>
        <v>1.5</v>
      </c>
      <c r="J198" s="499"/>
      <c r="K198" s="560" t="str">
        <f>'1.設計条件'!L23</f>
        <v>-</v>
      </c>
      <c r="L198" s="499"/>
      <c r="M198" s="513" t="s">
        <v>147</v>
      </c>
      <c r="N198" s="514"/>
      <c r="O198" s="514"/>
      <c r="P198" s="515">
        <f>IF(K198="-",0, 10*K198+P197)</f>
        <v>0</v>
      </c>
      <c r="Q198" s="515"/>
      <c r="R198" s="516"/>
      <c r="S198" s="13"/>
      <c r="T198" s="13"/>
      <c r="U198" s="13"/>
      <c r="V198" s="13"/>
      <c r="W198" s="13"/>
      <c r="X198" s="13"/>
      <c r="Y198" s="13"/>
      <c r="Z198" s="13"/>
      <c r="AA198" s="13"/>
      <c r="AB198" s="13"/>
      <c r="AC198" s="13"/>
      <c r="AD198" s="13"/>
      <c r="AE198" s="13"/>
      <c r="AF198" s="13"/>
      <c r="AG198" s="13"/>
      <c r="AH198" s="13"/>
      <c r="AI198" s="13"/>
      <c r="AJ198" s="15"/>
    </row>
    <row r="199" spans="2:36">
      <c r="C199" s="13"/>
      <c r="D199" s="12"/>
      <c r="E199" s="497" t="s">
        <v>434</v>
      </c>
      <c r="F199" s="497"/>
      <c r="G199" s="413" t="s">
        <v>130</v>
      </c>
      <c r="H199" s="415"/>
      <c r="I199" s="571"/>
      <c r="J199" s="505"/>
      <c r="K199" s="571"/>
      <c r="L199" s="505"/>
      <c r="M199" s="502" t="s">
        <v>456</v>
      </c>
      <c r="N199" s="503"/>
      <c r="O199" s="503"/>
      <c r="P199" s="504">
        <f>P198</f>
        <v>0</v>
      </c>
      <c r="Q199" s="504"/>
      <c r="R199" s="505"/>
      <c r="S199" s="13"/>
      <c r="T199" s="13"/>
      <c r="U199" s="13"/>
      <c r="V199" s="13"/>
      <c r="W199" s="13"/>
      <c r="X199" s="13"/>
      <c r="Y199" s="13"/>
      <c r="Z199" s="13"/>
      <c r="AA199" s="13"/>
      <c r="AB199" s="13"/>
      <c r="AC199" s="13"/>
      <c r="AD199" s="13"/>
      <c r="AE199" s="13"/>
      <c r="AF199" s="13"/>
      <c r="AG199" s="13"/>
      <c r="AH199" s="13"/>
      <c r="AI199" s="13"/>
      <c r="AJ199" s="15"/>
    </row>
    <row r="200" spans="2:36">
      <c r="C200" s="13"/>
      <c r="D200" s="12"/>
      <c r="E200" s="497"/>
      <c r="F200" s="497"/>
      <c r="G200" s="418" t="s">
        <v>131</v>
      </c>
      <c r="H200" s="420"/>
      <c r="I200" s="560">
        <f>I165</f>
        <v>1.5</v>
      </c>
      <c r="J200" s="499"/>
      <c r="K200" s="560">
        <f>I200</f>
        <v>1.5</v>
      </c>
      <c r="L200" s="499"/>
      <c r="M200" s="513" t="s">
        <v>457</v>
      </c>
      <c r="N200" s="514"/>
      <c r="O200" s="514"/>
      <c r="P200" s="515">
        <f>IF(K200="-",0, 10*K200+P199)</f>
        <v>15</v>
      </c>
      <c r="Q200" s="515"/>
      <c r="R200" s="516"/>
      <c r="S200" s="13"/>
      <c r="T200" s="13"/>
      <c r="U200" s="13"/>
      <c r="V200" s="13"/>
      <c r="W200" s="13"/>
      <c r="X200" s="13"/>
      <c r="Y200" s="13"/>
      <c r="Z200" s="13"/>
      <c r="AA200" s="13"/>
      <c r="AB200" s="13"/>
      <c r="AC200" s="13"/>
      <c r="AD200" s="13"/>
      <c r="AE200" s="13"/>
      <c r="AF200" s="13"/>
      <c r="AG200" s="13"/>
      <c r="AH200" s="13"/>
      <c r="AI200" s="13"/>
      <c r="AJ200" s="15"/>
    </row>
    <row r="201" spans="2:36">
      <c r="C201" s="15"/>
      <c r="D201" s="13"/>
      <c r="E201" s="501" t="s">
        <v>435</v>
      </c>
      <c r="F201" s="501"/>
      <c r="G201" s="668" t="s">
        <v>130</v>
      </c>
      <c r="H201" s="669"/>
      <c r="I201" s="577"/>
      <c r="J201" s="578"/>
      <c r="K201" s="577"/>
      <c r="L201" s="578"/>
      <c r="M201" s="659" t="s">
        <v>458</v>
      </c>
      <c r="N201" s="660"/>
      <c r="O201" s="660"/>
      <c r="P201" s="591">
        <f>P200</f>
        <v>15</v>
      </c>
      <c r="Q201" s="591"/>
      <c r="R201" s="578"/>
      <c r="S201" s="13"/>
      <c r="T201" s="13"/>
      <c r="U201" s="13"/>
      <c r="V201" s="13"/>
      <c r="W201" s="13"/>
      <c r="X201" s="13"/>
      <c r="Y201" s="13"/>
      <c r="Z201" s="13"/>
      <c r="AA201" s="13"/>
      <c r="AB201" s="13"/>
      <c r="AC201" s="13"/>
      <c r="AD201" s="13"/>
      <c r="AE201" s="13"/>
      <c r="AF201" s="13"/>
      <c r="AG201" s="13"/>
      <c r="AH201" s="13"/>
      <c r="AI201" s="13"/>
      <c r="AJ201" s="15"/>
    </row>
    <row r="202" spans="2:36" ht="19.5" thickBot="1">
      <c r="C202" s="15"/>
      <c r="D202" s="13"/>
      <c r="E202" s="581"/>
      <c r="F202" s="581"/>
      <c r="G202" s="579" t="s">
        <v>131</v>
      </c>
      <c r="H202" s="580"/>
      <c r="I202" s="573">
        <f>I167</f>
        <v>3</v>
      </c>
      <c r="J202" s="574"/>
      <c r="K202" s="573">
        <f>I202</f>
        <v>3</v>
      </c>
      <c r="L202" s="574"/>
      <c r="M202" s="575" t="s">
        <v>459</v>
      </c>
      <c r="N202" s="576"/>
      <c r="O202" s="576"/>
      <c r="P202" s="592">
        <f>IF(K202="-",0, 10*K202+P201)</f>
        <v>45</v>
      </c>
      <c r="Q202" s="592"/>
      <c r="R202" s="593"/>
      <c r="S202" s="13"/>
      <c r="T202" s="13"/>
      <c r="U202" s="13"/>
      <c r="V202" s="13"/>
      <c r="W202" s="13"/>
      <c r="X202" s="13"/>
      <c r="Y202" s="13"/>
      <c r="Z202" s="13"/>
      <c r="AA202" s="13"/>
      <c r="AB202" s="13"/>
      <c r="AC202" s="13"/>
      <c r="AD202" s="13"/>
      <c r="AE202" s="13"/>
      <c r="AF202" s="13"/>
      <c r="AG202" s="13"/>
      <c r="AH202" s="13"/>
      <c r="AI202" s="13"/>
      <c r="AJ202" s="15"/>
    </row>
    <row r="203" spans="2:36" ht="19.5" thickTop="1">
      <c r="C203" s="15"/>
      <c r="D203" s="13"/>
      <c r="E203" s="501" t="s">
        <v>114</v>
      </c>
      <c r="F203" s="501"/>
      <c r="G203" s="413" t="s">
        <v>130</v>
      </c>
      <c r="H203" s="415"/>
      <c r="I203" s="410"/>
      <c r="J203" s="411"/>
      <c r="K203" s="410"/>
      <c r="L203" s="411"/>
      <c r="M203" s="502" t="s">
        <v>144</v>
      </c>
      <c r="N203" s="503"/>
      <c r="O203" s="503"/>
      <c r="P203" s="504">
        <f>P202</f>
        <v>45</v>
      </c>
      <c r="Q203" s="504"/>
      <c r="R203" s="505"/>
      <c r="S203" s="13"/>
      <c r="T203" s="13"/>
      <c r="U203" s="13"/>
      <c r="V203" s="13"/>
      <c r="W203" s="13"/>
      <c r="X203" s="13"/>
      <c r="Y203" s="13"/>
      <c r="Z203" s="13"/>
      <c r="AA203" s="13"/>
      <c r="AB203" s="13"/>
      <c r="AC203" s="13"/>
      <c r="AD203" s="13"/>
      <c r="AE203" s="13"/>
      <c r="AF203" s="13"/>
      <c r="AG203" s="13"/>
      <c r="AH203" s="13"/>
      <c r="AI203" s="13"/>
      <c r="AJ203" s="15"/>
    </row>
    <row r="204" spans="2:36">
      <c r="C204" s="15"/>
      <c r="D204" s="13"/>
      <c r="E204" s="497"/>
      <c r="F204" s="497"/>
      <c r="G204" s="418" t="s">
        <v>131</v>
      </c>
      <c r="H204" s="420"/>
      <c r="I204" s="560">
        <f>I169</f>
        <v>3</v>
      </c>
      <c r="J204" s="499"/>
      <c r="K204" s="560">
        <f>I204</f>
        <v>3</v>
      </c>
      <c r="L204" s="499"/>
      <c r="M204" s="513" t="s">
        <v>145</v>
      </c>
      <c r="N204" s="514"/>
      <c r="O204" s="514"/>
      <c r="P204" s="515" t="s">
        <v>455</v>
      </c>
      <c r="Q204" s="515"/>
      <c r="R204" s="516"/>
      <c r="S204" s="13"/>
      <c r="T204" s="13"/>
      <c r="U204" s="13"/>
      <c r="V204" s="13"/>
      <c r="W204" s="13"/>
      <c r="X204" s="13"/>
      <c r="Y204" s="13"/>
      <c r="Z204" s="13"/>
      <c r="AA204" s="13"/>
      <c r="AB204" s="13"/>
      <c r="AC204" s="13"/>
      <c r="AD204" s="13"/>
      <c r="AE204" s="13"/>
      <c r="AF204" s="13"/>
      <c r="AG204" s="13"/>
      <c r="AH204" s="13"/>
      <c r="AI204" s="13"/>
      <c r="AJ204" s="15"/>
    </row>
    <row r="205" spans="2:36">
      <c r="C205" s="15"/>
      <c r="D205" s="13"/>
      <c r="E205" s="501" t="s">
        <v>418</v>
      </c>
      <c r="F205" s="501"/>
      <c r="G205" s="413" t="s">
        <v>130</v>
      </c>
      <c r="H205" s="415"/>
      <c r="I205" s="410"/>
      <c r="J205" s="411"/>
      <c r="K205" s="410"/>
      <c r="L205" s="411"/>
      <c r="M205" s="502" t="s">
        <v>460</v>
      </c>
      <c r="N205" s="503"/>
      <c r="O205" s="503"/>
      <c r="P205" s="504" t="s">
        <v>823</v>
      </c>
      <c r="Q205" s="504"/>
      <c r="R205" s="505"/>
      <c r="S205" s="13"/>
      <c r="T205" s="13"/>
      <c r="U205" s="13"/>
      <c r="V205" s="13"/>
      <c r="W205" s="13"/>
      <c r="X205" s="13"/>
      <c r="Y205" s="13"/>
      <c r="Z205" s="13"/>
      <c r="AA205" s="13"/>
      <c r="AB205" s="13"/>
      <c r="AC205" s="13"/>
      <c r="AD205" s="13"/>
      <c r="AE205" s="13"/>
      <c r="AF205" s="13"/>
      <c r="AG205" s="13"/>
      <c r="AH205" s="13"/>
      <c r="AI205" s="13"/>
      <c r="AJ205" s="15"/>
    </row>
    <row r="206" spans="2:36" ht="20.25">
      <c r="C206" s="15"/>
      <c r="D206" s="13"/>
      <c r="E206" s="497"/>
      <c r="F206" s="497"/>
      <c r="G206" s="418" t="s">
        <v>131</v>
      </c>
      <c r="H206" s="420"/>
      <c r="I206" s="560" t="s">
        <v>225</v>
      </c>
      <c r="J206" s="499"/>
      <c r="K206" s="560" t="s">
        <v>225</v>
      </c>
      <c r="L206" s="499"/>
      <c r="M206" s="513" t="s">
        <v>461</v>
      </c>
      <c r="N206" s="514"/>
      <c r="O206" s="514"/>
      <c r="P206" s="515">
        <v>0</v>
      </c>
      <c r="Q206" s="515"/>
      <c r="R206" s="516"/>
      <c r="S206" s="13"/>
      <c r="T206" s="13"/>
      <c r="U206" s="13"/>
      <c r="V206" s="13"/>
      <c r="W206" s="13"/>
      <c r="X206" s="13"/>
      <c r="Y206" s="13"/>
      <c r="Z206" s="13"/>
      <c r="AA206" s="13"/>
      <c r="AB206" s="13"/>
      <c r="AC206" s="13"/>
      <c r="AD206" s="13"/>
      <c r="AE206" s="13"/>
      <c r="AF206" s="13"/>
      <c r="AG206" s="13"/>
      <c r="AH206" s="13"/>
      <c r="AI206" s="13"/>
      <c r="AJ206" s="15"/>
    </row>
    <row r="207" spans="2:36">
      <c r="B207" s="13"/>
      <c r="C207" s="13"/>
      <c r="D207" s="199"/>
      <c r="E207" s="57"/>
      <c r="F207" s="57"/>
      <c r="G207" s="57"/>
      <c r="H207" s="57"/>
      <c r="I207" s="57"/>
      <c r="J207" s="57"/>
      <c r="K207" s="57"/>
      <c r="L207" s="57"/>
      <c r="M207" s="57"/>
      <c r="N207" s="57"/>
      <c r="O207" s="57"/>
      <c r="P207" s="57"/>
      <c r="Q207" s="57"/>
      <c r="R207" s="57"/>
      <c r="S207" s="57"/>
      <c r="T207" s="57"/>
      <c r="U207" s="57"/>
      <c r="V207" s="57"/>
      <c r="W207"/>
      <c r="X207" s="57"/>
      <c r="Y207" s="57"/>
      <c r="Z207" s="57"/>
      <c r="AA207" s="57"/>
      <c r="AB207" s="57"/>
      <c r="AC207" s="57"/>
      <c r="AD207" s="40"/>
      <c r="AE207" s="40"/>
      <c r="AF207" s="42"/>
      <c r="AG207" s="42"/>
      <c r="AH207" s="42"/>
      <c r="AI207" s="42"/>
      <c r="AJ207" s="15"/>
    </row>
    <row r="208" spans="2:36" ht="20.25">
      <c r="C208" s="15"/>
      <c r="D208" s="13"/>
      <c r="E208" s="563" t="s">
        <v>822</v>
      </c>
      <c r="F208" s="563"/>
      <c r="G208" s="563"/>
      <c r="H208" s="661">
        <f>P203</f>
        <v>45</v>
      </c>
      <c r="I208" s="567"/>
      <c r="J208" s="567"/>
      <c r="K208" s="525" t="s">
        <v>462</v>
      </c>
      <c r="L208" s="525"/>
      <c r="M208" s="591" t="s">
        <v>463</v>
      </c>
      <c r="N208" s="425"/>
      <c r="O208" s="101" t="s">
        <v>68</v>
      </c>
      <c r="P208" s="600">
        <f>I204</f>
        <v>3</v>
      </c>
      <c r="Q208" s="600"/>
      <c r="R208" s="101" t="s">
        <v>83</v>
      </c>
      <c r="S208" s="13"/>
      <c r="T208" s="117"/>
      <c r="U208" s="117"/>
      <c r="V208" s="117"/>
      <c r="W208" s="117"/>
      <c r="X208" s="117"/>
      <c r="Y208" s="117"/>
      <c r="Z208" s="117"/>
      <c r="AA208" s="117"/>
      <c r="AB208" s="117"/>
      <c r="AC208" s="13"/>
      <c r="AD208" s="13"/>
      <c r="AE208" s="13"/>
      <c r="AF208" s="13"/>
      <c r="AG208" s="13"/>
      <c r="AH208" s="13"/>
      <c r="AI208" s="13"/>
      <c r="AJ208" s="15"/>
    </row>
    <row r="209" spans="3:36">
      <c r="C209" s="13"/>
      <c r="D209" s="12" t="s">
        <v>391</v>
      </c>
      <c r="E209" s="97"/>
      <c r="F209" s="96"/>
      <c r="G209" s="96"/>
      <c r="H209" s="96"/>
      <c r="I209" s="96"/>
      <c r="J209" s="96"/>
      <c r="K209" s="94"/>
      <c r="L209" s="94"/>
      <c r="M209" s="94"/>
      <c r="N209" s="94"/>
      <c r="O209" s="94"/>
      <c r="P209" s="95"/>
      <c r="Q209" s="95"/>
      <c r="R209" s="95"/>
      <c r="S209" s="95"/>
      <c r="T209" s="94"/>
      <c r="U209" s="94"/>
      <c r="V209" s="96"/>
      <c r="W209" s="96"/>
      <c r="X209" s="96"/>
      <c r="Y209" s="81"/>
      <c r="Z209" s="81"/>
      <c r="AA209" s="81"/>
      <c r="AB209"/>
      <c r="AC209" s="98"/>
      <c r="AD209" s="99"/>
      <c r="AE209" s="96"/>
      <c r="AF209" s="96"/>
      <c r="AG209" s="13"/>
      <c r="AH209" s="13"/>
      <c r="AI209" s="13"/>
      <c r="AJ209" s="15"/>
    </row>
    <row r="210" spans="3:36">
      <c r="C210" s="13"/>
      <c r="D210" s="12"/>
      <c r="E210" s="97"/>
      <c r="F210" s="96"/>
      <c r="G210" s="96"/>
      <c r="H210" s="96"/>
      <c r="I210" s="540" t="s">
        <v>403</v>
      </c>
      <c r="J210" s="453"/>
      <c r="K210" s="453"/>
      <c r="L210" s="453"/>
      <c r="M210" s="453"/>
      <c r="N210" s="453"/>
      <c r="O210" s="453"/>
      <c r="P210" s="453"/>
      <c r="Q210" s="453"/>
      <c r="R210" s="453"/>
      <c r="S210" s="453"/>
      <c r="T210" s="453"/>
      <c r="U210" s="541"/>
      <c r="V210" s="410" t="s">
        <v>177</v>
      </c>
      <c r="W210" s="412"/>
      <c r="X210" s="412"/>
      <c r="Y210" s="412"/>
      <c r="Z210" s="412"/>
      <c r="AA210" s="412"/>
      <c r="AB210" s="412"/>
      <c r="AC210" s="412"/>
      <c r="AD210" s="412"/>
      <c r="AE210" s="412"/>
      <c r="AF210" s="412"/>
      <c r="AG210" s="412"/>
      <c r="AH210" s="412"/>
      <c r="AI210" s="411"/>
      <c r="AJ210" s="15"/>
    </row>
    <row r="211" spans="3:36">
      <c r="C211" s="13"/>
      <c r="D211" s="12"/>
      <c r="E211" s="13"/>
      <c r="F211" s="96"/>
      <c r="G211" s="96"/>
      <c r="H211" s="96"/>
      <c r="I211" s="547"/>
      <c r="J211" s="436"/>
      <c r="K211" s="436"/>
      <c r="L211" s="436"/>
      <c r="M211" s="436"/>
      <c r="N211" s="436"/>
      <c r="O211" s="436"/>
      <c r="P211" s="436"/>
      <c r="Q211" s="436"/>
      <c r="R211" s="436"/>
      <c r="S211" s="436"/>
      <c r="T211" s="436"/>
      <c r="U211" s="548"/>
      <c r="V211" s="508" t="s">
        <v>179</v>
      </c>
      <c r="W211" s="509"/>
      <c r="X211" s="509"/>
      <c r="Y211" s="509"/>
      <c r="Z211" s="509"/>
      <c r="AA211" s="509"/>
      <c r="AB211" s="509"/>
      <c r="AC211" s="509"/>
      <c r="AD211" s="509"/>
      <c r="AE211" s="509"/>
      <c r="AF211" s="509"/>
      <c r="AG211" s="509"/>
      <c r="AH211" s="509"/>
      <c r="AI211" s="510"/>
      <c r="AJ211" s="15"/>
    </row>
    <row r="212" spans="3:36">
      <c r="C212" s="13"/>
      <c r="D212" s="12"/>
      <c r="E212" s="97"/>
      <c r="F212" s="96"/>
      <c r="G212" s="96"/>
      <c r="H212" s="96"/>
      <c r="I212" s="16"/>
      <c r="J212" s="25"/>
      <c r="K212" s="25"/>
      <c r="L212" s="25"/>
      <c r="M212" s="25"/>
      <c r="N212" s="25"/>
      <c r="O212" s="25"/>
      <c r="P212" s="25"/>
      <c r="Q212" s="25"/>
      <c r="R212" s="25"/>
      <c r="S212" s="17"/>
      <c r="T212" s="21"/>
      <c r="U212" s="185"/>
      <c r="V212" s="498" t="s">
        <v>34</v>
      </c>
      <c r="W212" s="500"/>
      <c r="X212" s="500"/>
      <c r="Y212" s="500"/>
      <c r="Z212" s="500"/>
      <c r="AA212" s="500"/>
      <c r="AB212" s="500"/>
      <c r="AC212" s="500"/>
      <c r="AD212" s="500"/>
      <c r="AE212" s="500"/>
      <c r="AF212" s="500"/>
      <c r="AG212" s="500"/>
      <c r="AH212" s="500"/>
      <c r="AI212" s="499"/>
      <c r="AJ212" s="15"/>
    </row>
    <row r="213" spans="3:36">
      <c r="C213" s="13"/>
      <c r="D213" s="12"/>
      <c r="E213" s="554" t="s">
        <v>435</v>
      </c>
      <c r="F213" s="555"/>
      <c r="G213" s="544" t="s">
        <v>151</v>
      </c>
      <c r="H213" s="545"/>
      <c r="I213" s="506">
        <f>AG167</f>
        <v>22.810500000000001</v>
      </c>
      <c r="J213" s="507"/>
      <c r="K213" s="30" t="s">
        <v>27</v>
      </c>
      <c r="L213" s="507">
        <f>I167</f>
        <v>3</v>
      </c>
      <c r="M213" s="507"/>
      <c r="N213" s="30" t="s">
        <v>70</v>
      </c>
      <c r="O213" s="64">
        <v>2</v>
      </c>
      <c r="P213" s="30" t="s">
        <v>2</v>
      </c>
      <c r="Q213" s="30"/>
      <c r="R213" s="30"/>
      <c r="S213" s="30"/>
      <c r="T213" s="65"/>
      <c r="U213" s="65"/>
      <c r="V213" s="437"/>
      <c r="W213" s="438"/>
      <c r="X213" s="438"/>
      <c r="Y213" s="67"/>
      <c r="Z213" s="68"/>
      <c r="AA213" s="66"/>
      <c r="AB213" s="438"/>
      <c r="AC213" s="438"/>
      <c r="AD213" s="438"/>
      <c r="AE213" s="30"/>
      <c r="AF213" s="30"/>
      <c r="AG213" s="438">
        <f>L213*I213/O213</f>
        <v>34.21575</v>
      </c>
      <c r="AH213" s="438"/>
      <c r="AI213" s="439"/>
      <c r="AJ213" s="15"/>
    </row>
    <row r="214" spans="3:36">
      <c r="C214" s="13"/>
      <c r="D214" s="12"/>
      <c r="E214" s="556"/>
      <c r="F214" s="557"/>
      <c r="G214" s="558" t="s">
        <v>152</v>
      </c>
      <c r="H214" s="558"/>
      <c r="I214" s="570">
        <f>AG168</f>
        <v>31.801500000000001</v>
      </c>
      <c r="J214" s="569"/>
      <c r="K214" s="17" t="s">
        <v>27</v>
      </c>
      <c r="L214" s="569">
        <f>I167</f>
        <v>3</v>
      </c>
      <c r="M214" s="569"/>
      <c r="N214" s="17" t="s">
        <v>70</v>
      </c>
      <c r="O214" s="49">
        <v>2</v>
      </c>
      <c r="P214" s="17" t="s">
        <v>2</v>
      </c>
      <c r="Q214" s="17"/>
      <c r="R214" s="17"/>
      <c r="S214" s="17"/>
      <c r="T214" s="21"/>
      <c r="U214" s="21"/>
      <c r="V214" s="595"/>
      <c r="W214" s="448"/>
      <c r="X214" s="448"/>
      <c r="Y214" s="98"/>
      <c r="Z214" s="99"/>
      <c r="AA214" s="96"/>
      <c r="AB214" s="448"/>
      <c r="AC214" s="448"/>
      <c r="AD214" s="448"/>
      <c r="AE214" s="13"/>
      <c r="AF214" s="13"/>
      <c r="AG214" s="448">
        <f>L214*I214/O214</f>
        <v>47.702249999999999</v>
      </c>
      <c r="AH214" s="448"/>
      <c r="AI214" s="594"/>
      <c r="AJ214" s="15"/>
    </row>
    <row r="215" spans="3:36">
      <c r="C215" s="13"/>
      <c r="D215" s="12"/>
      <c r="E215" s="554" t="s">
        <v>114</v>
      </c>
      <c r="F215" s="555"/>
      <c r="G215" s="494" t="s">
        <v>153</v>
      </c>
      <c r="H215" s="414"/>
      <c r="I215" s="626">
        <f>AG169</f>
        <v>31.801500000000001</v>
      </c>
      <c r="J215" s="625"/>
      <c r="K215" s="10" t="s">
        <v>27</v>
      </c>
      <c r="L215" s="625">
        <f>I169</f>
        <v>3</v>
      </c>
      <c r="M215" s="625"/>
      <c r="N215" s="10" t="s">
        <v>70</v>
      </c>
      <c r="O215" s="48">
        <v>2</v>
      </c>
      <c r="P215" s="10" t="s">
        <v>2</v>
      </c>
      <c r="Q215" s="10"/>
      <c r="R215" s="10"/>
      <c r="S215" s="10"/>
      <c r="T215" s="53"/>
      <c r="U215" s="53"/>
      <c r="V215" s="437"/>
      <c r="W215" s="438"/>
      <c r="X215" s="438"/>
      <c r="Y215" s="67"/>
      <c r="Z215" s="68"/>
      <c r="AA215" s="66"/>
      <c r="AB215" s="438"/>
      <c r="AC215" s="438"/>
      <c r="AD215" s="438"/>
      <c r="AE215" s="30"/>
      <c r="AF215" s="30"/>
      <c r="AG215" s="438">
        <f>L215*I215/O215</f>
        <v>47.702249999999999</v>
      </c>
      <c r="AH215" s="438"/>
      <c r="AI215" s="439"/>
      <c r="AJ215" s="15"/>
    </row>
    <row r="216" spans="3:36">
      <c r="C216" s="13"/>
      <c r="D216" s="12"/>
      <c r="E216" s="556"/>
      <c r="F216" s="557"/>
      <c r="G216" s="561" t="s">
        <v>154</v>
      </c>
      <c r="H216" s="562"/>
      <c r="I216" s="506">
        <f>AG170</f>
        <v>40.792500000000004</v>
      </c>
      <c r="J216" s="507"/>
      <c r="K216" s="30" t="s">
        <v>27</v>
      </c>
      <c r="L216" s="507">
        <f>I169</f>
        <v>3</v>
      </c>
      <c r="M216" s="507"/>
      <c r="N216" s="30" t="s">
        <v>70</v>
      </c>
      <c r="O216" s="64">
        <v>2</v>
      </c>
      <c r="P216" s="30" t="s">
        <v>2</v>
      </c>
      <c r="Q216" s="30"/>
      <c r="R216" s="30"/>
      <c r="S216" s="30"/>
      <c r="T216" s="65"/>
      <c r="U216" s="65"/>
      <c r="V216" s="595"/>
      <c r="W216" s="448"/>
      <c r="X216" s="448"/>
      <c r="Y216" s="98"/>
      <c r="Z216" s="99"/>
      <c r="AA216" s="96"/>
      <c r="AB216" s="448"/>
      <c r="AC216" s="448"/>
      <c r="AD216" s="448"/>
      <c r="AE216" s="13"/>
      <c r="AF216" s="13"/>
      <c r="AG216" s="448">
        <f>L216*I216/O216</f>
        <v>61.188750000000006</v>
      </c>
      <c r="AH216" s="448"/>
      <c r="AI216" s="594"/>
      <c r="AJ216" s="15"/>
    </row>
    <row r="217" spans="3:36" ht="20.25">
      <c r="C217" s="13"/>
      <c r="D217" s="12"/>
      <c r="E217" s="554" t="s">
        <v>418</v>
      </c>
      <c r="F217" s="555"/>
      <c r="G217" s="511" t="s">
        <v>155</v>
      </c>
      <c r="H217" s="419"/>
      <c r="I217" s="506">
        <f>AG171</f>
        <v>33.197500000000005</v>
      </c>
      <c r="J217" s="507"/>
      <c r="K217" s="30" t="s">
        <v>27</v>
      </c>
      <c r="L217" s="546" t="s">
        <v>225</v>
      </c>
      <c r="M217" s="404"/>
      <c r="N217" s="30" t="s">
        <v>70</v>
      </c>
      <c r="O217" s="64">
        <v>2</v>
      </c>
      <c r="P217" s="30" t="s">
        <v>2</v>
      </c>
      <c r="Q217" s="30"/>
      <c r="R217" s="30"/>
      <c r="S217" s="30"/>
      <c r="T217" s="65"/>
      <c r="U217" s="65"/>
      <c r="V217" s="437"/>
      <c r="W217" s="438"/>
      <c r="X217" s="438"/>
      <c r="Y217" s="10"/>
      <c r="Z217" s="60"/>
      <c r="AA217" s="52"/>
      <c r="AB217" s="475">
        <f>I217/O217</f>
        <v>16.598750000000003</v>
      </c>
      <c r="AC217" s="475"/>
      <c r="AD217" s="475"/>
      <c r="AE217" s="59" t="s">
        <v>225</v>
      </c>
      <c r="AF217" s="10"/>
      <c r="AG217" s="438"/>
      <c r="AH217" s="438"/>
      <c r="AI217" s="439"/>
      <c r="AJ217" s="15"/>
    </row>
    <row r="218" spans="3:36" ht="21">
      <c r="C218" s="13"/>
      <c r="D218" s="12"/>
      <c r="E218" s="556"/>
      <c r="F218" s="557"/>
      <c r="G218" s="558" t="s">
        <v>156</v>
      </c>
      <c r="H218" s="558"/>
      <c r="I218" s="12" t="s">
        <v>69</v>
      </c>
      <c r="J218" s="569">
        <f>H176</f>
        <v>2.4390000000000001</v>
      </c>
      <c r="K218" s="569"/>
      <c r="L218" s="17" t="s">
        <v>226</v>
      </c>
      <c r="M218" s="49"/>
      <c r="N218" s="452">
        <f>M176</f>
        <v>33.197500000000005</v>
      </c>
      <c r="O218" s="452"/>
      <c r="P218" s="452"/>
      <c r="Q218" s="546" t="s">
        <v>824</v>
      </c>
      <c r="R218" s="546"/>
      <c r="S218" s="546"/>
      <c r="T218" s="21">
        <v>2</v>
      </c>
      <c r="U218" s="21" t="s">
        <v>2</v>
      </c>
      <c r="V218" s="437">
        <f>J218/T218</f>
        <v>1.2195</v>
      </c>
      <c r="W218" s="438"/>
      <c r="X218" s="438"/>
      <c r="Y218" s="67" t="s">
        <v>227</v>
      </c>
      <c r="Z218" s="68"/>
      <c r="AA218" s="66" t="s">
        <v>68</v>
      </c>
      <c r="AB218" s="546">
        <f>N218/T218</f>
        <v>16.598750000000003</v>
      </c>
      <c r="AC218" s="546"/>
      <c r="AD218" s="546"/>
      <c r="AE218" s="67" t="s">
        <v>225</v>
      </c>
      <c r="AF218" s="30"/>
      <c r="AG218" s="438"/>
      <c r="AH218" s="438"/>
      <c r="AI218" s="439"/>
      <c r="AJ218" s="15"/>
    </row>
    <row r="219" spans="3:36">
      <c r="C219" s="13"/>
      <c r="D219" s="12"/>
      <c r="E219" s="662" t="s">
        <v>178</v>
      </c>
      <c r="F219" s="663"/>
      <c r="G219" s="544" t="s">
        <v>157</v>
      </c>
      <c r="H219" s="545"/>
      <c r="I219" s="637">
        <f>P200</f>
        <v>15</v>
      </c>
      <c r="J219" s="638"/>
      <c r="K219" s="201" t="s">
        <v>27</v>
      </c>
      <c r="L219" s="638">
        <f>I202</f>
        <v>3</v>
      </c>
      <c r="M219" s="638"/>
      <c r="N219" s="201" t="s">
        <v>70</v>
      </c>
      <c r="O219" s="64">
        <v>2</v>
      </c>
      <c r="P219" s="201" t="s">
        <v>2</v>
      </c>
      <c r="Q219" s="201"/>
      <c r="R219" s="201"/>
      <c r="S219" s="201"/>
      <c r="T219" s="65"/>
      <c r="U219" s="65"/>
      <c r="V219" s="367"/>
      <c r="W219" s="368"/>
      <c r="X219" s="368"/>
      <c r="Y219" s="26"/>
      <c r="Z219" s="23"/>
      <c r="AA219" s="22"/>
      <c r="AB219" s="546"/>
      <c r="AC219" s="546"/>
      <c r="AD219" s="546"/>
      <c r="AE219" s="202"/>
      <c r="AF219" s="202"/>
      <c r="AG219" s="635">
        <f>L219*I219/O219</f>
        <v>22.5</v>
      </c>
      <c r="AH219" s="635"/>
      <c r="AI219" s="636"/>
      <c r="AJ219" s="15"/>
    </row>
    <row r="220" spans="3:36">
      <c r="C220" s="13"/>
      <c r="D220" s="12"/>
      <c r="E220" s="664"/>
      <c r="F220" s="665"/>
      <c r="G220" s="561" t="s">
        <v>158</v>
      </c>
      <c r="H220" s="562"/>
      <c r="I220" s="637">
        <f>P202</f>
        <v>45</v>
      </c>
      <c r="J220" s="638"/>
      <c r="K220" s="201" t="s">
        <v>27</v>
      </c>
      <c r="L220" s="546">
        <f>I202</f>
        <v>3</v>
      </c>
      <c r="M220" s="404"/>
      <c r="N220" s="201" t="s">
        <v>70</v>
      </c>
      <c r="O220" s="64">
        <v>2</v>
      </c>
      <c r="P220" s="201" t="s">
        <v>2</v>
      </c>
      <c r="Q220" s="201"/>
      <c r="R220" s="201"/>
      <c r="S220" s="201"/>
      <c r="T220" s="65"/>
      <c r="U220" s="65"/>
      <c r="V220" s="639"/>
      <c r="W220" s="635"/>
      <c r="X220" s="635"/>
      <c r="Y220" s="202"/>
      <c r="Z220" s="23"/>
      <c r="AA220" s="22"/>
      <c r="AB220" s="635"/>
      <c r="AC220" s="635"/>
      <c r="AD220" s="635"/>
      <c r="AE220" s="67"/>
      <c r="AF220" s="202"/>
      <c r="AG220" s="635">
        <f>L220*I220/O220</f>
        <v>67.5</v>
      </c>
      <c r="AH220" s="635"/>
      <c r="AI220" s="636"/>
      <c r="AJ220" s="15"/>
    </row>
    <row r="221" spans="3:36" ht="20.25">
      <c r="C221" s="13"/>
      <c r="D221" s="12"/>
      <c r="E221" s="666"/>
      <c r="F221" s="667"/>
      <c r="G221" s="561" t="s">
        <v>182</v>
      </c>
      <c r="H221" s="562"/>
      <c r="I221" s="637">
        <f>P203</f>
        <v>45</v>
      </c>
      <c r="J221" s="638"/>
      <c r="K221" s="201" t="s">
        <v>27</v>
      </c>
      <c r="L221" s="546" t="s">
        <v>463</v>
      </c>
      <c r="M221" s="404"/>
      <c r="N221" s="201" t="s">
        <v>68</v>
      </c>
      <c r="O221" s="438">
        <f>I204</f>
        <v>3</v>
      </c>
      <c r="P221" s="438"/>
      <c r="Q221" s="201" t="s">
        <v>176</v>
      </c>
      <c r="R221" s="64">
        <v>2</v>
      </c>
      <c r="S221" s="201" t="s">
        <v>2</v>
      </c>
      <c r="T221" s="65"/>
      <c r="U221" s="203"/>
      <c r="V221" s="639"/>
      <c r="W221" s="635"/>
      <c r="X221" s="635"/>
      <c r="Y221" s="202"/>
      <c r="Z221" s="23"/>
      <c r="AA221" s="22"/>
      <c r="AB221" s="635">
        <f>I221/R221</f>
        <v>22.5</v>
      </c>
      <c r="AC221" s="635"/>
      <c r="AD221" s="635"/>
      <c r="AE221" s="67" t="s">
        <v>225</v>
      </c>
      <c r="AF221" s="202" t="s">
        <v>464</v>
      </c>
      <c r="AG221" s="635">
        <f>O221*I221/R221</f>
        <v>67.5</v>
      </c>
      <c r="AH221" s="635"/>
      <c r="AI221" s="636"/>
      <c r="AJ221" s="15"/>
    </row>
    <row r="222" spans="3:36">
      <c r="C222" s="13"/>
      <c r="D222" s="12"/>
      <c r="E222" s="97"/>
      <c r="F222" s="96"/>
      <c r="G222" s="96"/>
      <c r="H222" s="96"/>
      <c r="I222" s="96"/>
      <c r="J222" s="96"/>
      <c r="K222" s="94"/>
      <c r="L222" s="94"/>
      <c r="M222" s="94"/>
      <c r="N222" s="94"/>
      <c r="O222" s="94"/>
      <c r="P222" s="95"/>
      <c r="Q222" s="95"/>
      <c r="R222" s="95"/>
      <c r="S222" s="95"/>
      <c r="T222" s="94"/>
      <c r="U222" s="94"/>
      <c r="V222" s="96"/>
      <c r="W222" s="96"/>
      <c r="X222" s="96"/>
      <c r="Y222" s="81"/>
      <c r="Z222" s="81"/>
      <c r="AA222" s="81"/>
      <c r="AB222"/>
      <c r="AC222" s="98"/>
      <c r="AD222" s="99"/>
      <c r="AE222" s="96"/>
      <c r="AF222" s="96"/>
      <c r="AG222" s="13"/>
      <c r="AH222" s="13"/>
      <c r="AI222" s="13"/>
      <c r="AJ222" s="15"/>
    </row>
    <row r="223" spans="3:36">
      <c r="C223" s="13"/>
      <c r="D223" s="12"/>
      <c r="E223" s="97"/>
      <c r="F223" s="96"/>
      <c r="G223" s="96"/>
      <c r="H223" s="96"/>
      <c r="I223" s="646" t="s">
        <v>403</v>
      </c>
      <c r="J223" s="647"/>
      <c r="K223" s="647"/>
      <c r="L223" s="647"/>
      <c r="M223" s="647"/>
      <c r="N223" s="647"/>
      <c r="O223" s="647"/>
      <c r="P223" s="647"/>
      <c r="Q223" s="647"/>
      <c r="R223" s="647"/>
      <c r="S223" s="647"/>
      <c r="T223" s="647"/>
      <c r="U223" s="648"/>
      <c r="V223" s="410" t="s">
        <v>180</v>
      </c>
      <c r="W223" s="412"/>
      <c r="X223" s="412"/>
      <c r="Y223" s="412"/>
      <c r="Z223" s="412"/>
      <c r="AA223" s="412"/>
      <c r="AB223" s="412"/>
      <c r="AC223" s="412"/>
      <c r="AD223" s="412"/>
      <c r="AE223" s="412"/>
      <c r="AF223" s="412"/>
      <c r="AG223" s="412"/>
      <c r="AH223" s="412"/>
      <c r="AI223" s="411"/>
      <c r="AJ223" s="15"/>
    </row>
    <row r="224" spans="3:36">
      <c r="C224" s="13"/>
      <c r="D224" s="12"/>
      <c r="E224" s="13"/>
      <c r="F224" s="96"/>
      <c r="G224" s="96"/>
      <c r="H224" s="96"/>
      <c r="I224" s="649" t="s">
        <v>404</v>
      </c>
      <c r="J224" s="477"/>
      <c r="K224" s="477"/>
      <c r="L224" s="477"/>
      <c r="M224" s="477"/>
      <c r="N224" s="477"/>
      <c r="O224" s="477"/>
      <c r="P224" s="477"/>
      <c r="Q224" s="477"/>
      <c r="R224" s="477"/>
      <c r="S224" s="477"/>
      <c r="T224" s="477"/>
      <c r="U224" s="650"/>
      <c r="V224" s="508" t="s">
        <v>181</v>
      </c>
      <c r="W224" s="509"/>
      <c r="X224" s="509"/>
      <c r="Y224" s="509"/>
      <c r="Z224" s="509"/>
      <c r="AA224" s="509"/>
      <c r="AB224" s="509"/>
      <c r="AC224" s="509"/>
      <c r="AD224" s="509"/>
      <c r="AE224" s="509"/>
      <c r="AF224" s="509"/>
      <c r="AG224" s="509"/>
      <c r="AH224" s="509"/>
      <c r="AI224" s="510"/>
      <c r="AJ224" s="15"/>
    </row>
    <row r="225" spans="3:36">
      <c r="C225" s="13"/>
      <c r="D225" s="12"/>
      <c r="E225" s="97"/>
      <c r="F225" s="96"/>
      <c r="G225" s="96"/>
      <c r="H225" s="96"/>
      <c r="I225" s="210"/>
      <c r="J225" s="25"/>
      <c r="K225" s="25"/>
      <c r="L225" s="25"/>
      <c r="M225" s="25"/>
      <c r="N225" s="25"/>
      <c r="O225" s="25"/>
      <c r="P225" s="25"/>
      <c r="Q225" s="25"/>
      <c r="R225" s="25"/>
      <c r="S225" s="202"/>
      <c r="T225" s="21"/>
      <c r="U225" s="185"/>
      <c r="V225" s="423" t="s">
        <v>34</v>
      </c>
      <c r="W225" s="425"/>
      <c r="X225" s="425"/>
      <c r="Y225" s="425"/>
      <c r="Z225" s="425"/>
      <c r="AA225" s="425"/>
      <c r="AB225" s="425"/>
      <c r="AC225" s="425"/>
      <c r="AD225" s="425"/>
      <c r="AE225" s="425"/>
      <c r="AF225" s="425"/>
      <c r="AG225" s="425"/>
      <c r="AH225" s="425"/>
      <c r="AI225" s="424"/>
      <c r="AJ225" s="15"/>
    </row>
    <row r="226" spans="3:36">
      <c r="C226" s="13"/>
      <c r="D226" s="12"/>
      <c r="E226" s="542" t="s">
        <v>114</v>
      </c>
      <c r="F226" s="543"/>
      <c r="G226" s="544" t="s">
        <v>466</v>
      </c>
      <c r="H226" s="545"/>
      <c r="I226" s="506">
        <f>AG183</f>
        <v>81</v>
      </c>
      <c r="J226" s="507"/>
      <c r="K226" s="30" t="s">
        <v>27</v>
      </c>
      <c r="L226" s="546">
        <f>I182</f>
        <v>3</v>
      </c>
      <c r="M226" s="404"/>
      <c r="N226" s="404" t="s">
        <v>70</v>
      </c>
      <c r="O226" s="404"/>
      <c r="P226" s="64">
        <v>2</v>
      </c>
      <c r="Q226" s="30" t="s">
        <v>2</v>
      </c>
      <c r="R226" s="30"/>
      <c r="S226" s="30"/>
      <c r="T226" s="65"/>
      <c r="U226" s="65"/>
      <c r="V226" s="462"/>
      <c r="W226" s="463"/>
      <c r="X226" s="463"/>
      <c r="Y226" s="67"/>
      <c r="Z226" s="68"/>
      <c r="AA226" s="66"/>
      <c r="AB226" s="475"/>
      <c r="AC226" s="475"/>
      <c r="AD226" s="475"/>
      <c r="AE226" s="30"/>
      <c r="AF226" s="30"/>
      <c r="AG226" s="438">
        <f>L226*I226/P226</f>
        <v>121.5</v>
      </c>
      <c r="AH226" s="438"/>
      <c r="AI226" s="439"/>
      <c r="AJ226" s="15"/>
    </row>
    <row r="227" spans="3:36" ht="20.25">
      <c r="C227" s="13"/>
      <c r="D227" s="12"/>
      <c r="E227" s="554" t="s">
        <v>418</v>
      </c>
      <c r="F227" s="555"/>
      <c r="G227" s="641" t="s">
        <v>467</v>
      </c>
      <c r="H227" s="642"/>
      <c r="I227" s="506">
        <f>AG184</f>
        <v>99.63</v>
      </c>
      <c r="J227" s="507"/>
      <c r="K227" s="30" t="s">
        <v>27</v>
      </c>
      <c r="L227" s="546" t="s">
        <v>225</v>
      </c>
      <c r="M227" s="404"/>
      <c r="N227" s="404" t="s">
        <v>70</v>
      </c>
      <c r="O227" s="404"/>
      <c r="P227" s="64">
        <v>2</v>
      </c>
      <c r="Q227" s="30" t="s">
        <v>2</v>
      </c>
      <c r="R227" s="30"/>
      <c r="S227" s="30"/>
      <c r="T227" s="65"/>
      <c r="U227" s="65"/>
      <c r="V227" s="462"/>
      <c r="W227" s="463"/>
      <c r="X227" s="463"/>
      <c r="Y227" s="67"/>
      <c r="Z227" s="68"/>
      <c r="AA227" s="66"/>
      <c r="AB227" s="438">
        <f>I227/P227</f>
        <v>49.814999999999998</v>
      </c>
      <c r="AC227" s="438"/>
      <c r="AD227" s="438"/>
      <c r="AE227" s="67" t="s">
        <v>225</v>
      </c>
      <c r="AF227" s="30"/>
      <c r="AG227" s="463"/>
      <c r="AH227" s="463"/>
      <c r="AI227" s="464"/>
      <c r="AJ227" s="15"/>
    </row>
    <row r="228" spans="3:36" ht="21.75" thickBot="1">
      <c r="C228" s="13"/>
      <c r="D228" s="12"/>
      <c r="E228" s="629"/>
      <c r="F228" s="630"/>
      <c r="G228" s="643" t="s">
        <v>468</v>
      </c>
      <c r="H228" s="644"/>
      <c r="I228" s="342" t="s">
        <v>69</v>
      </c>
      <c r="J228" s="553">
        <f>H189</f>
        <v>33.21</v>
      </c>
      <c r="K228" s="553"/>
      <c r="L228" s="553"/>
      <c r="M228" s="645" t="s">
        <v>226</v>
      </c>
      <c r="N228" s="645"/>
      <c r="O228" s="672">
        <f>M189</f>
        <v>99.63</v>
      </c>
      <c r="P228" s="672"/>
      <c r="Q228" s="640" t="s">
        <v>824</v>
      </c>
      <c r="R228" s="640"/>
      <c r="S228" s="640"/>
      <c r="T228" s="140">
        <v>2</v>
      </c>
      <c r="U228" s="72" t="s">
        <v>2</v>
      </c>
      <c r="V228" s="673">
        <f>J228/T228</f>
        <v>16.605</v>
      </c>
      <c r="W228" s="670"/>
      <c r="X228" s="670"/>
      <c r="Y228" s="73" t="s">
        <v>227</v>
      </c>
      <c r="Z228" s="74"/>
      <c r="AA228" s="75" t="s">
        <v>68</v>
      </c>
      <c r="AB228" s="640">
        <f>O228/T228</f>
        <v>49.814999999999998</v>
      </c>
      <c r="AC228" s="640"/>
      <c r="AD228" s="640"/>
      <c r="AE228" s="73" t="s">
        <v>225</v>
      </c>
      <c r="AF228" s="72"/>
      <c r="AG228" s="670"/>
      <c r="AH228" s="670"/>
      <c r="AI228" s="671"/>
      <c r="AJ228" s="15"/>
    </row>
    <row r="229" spans="3:36" ht="21.75" thickTop="1">
      <c r="C229" s="13"/>
      <c r="D229" s="12"/>
      <c r="E229" s="418" t="s">
        <v>559</v>
      </c>
      <c r="F229" s="419"/>
      <c r="G229" s="419"/>
      <c r="H229" s="420"/>
      <c r="I229" s="218"/>
      <c r="J229" s="20"/>
      <c r="K229" s="224"/>
      <c r="L229" s="62"/>
      <c r="M229" s="62"/>
      <c r="N229" s="20"/>
      <c r="O229" s="20"/>
      <c r="P229" s="18"/>
      <c r="Q229" s="18"/>
      <c r="R229" s="17"/>
      <c r="S229" s="17"/>
      <c r="T229" s="49"/>
      <c r="U229" s="17"/>
      <c r="V229" s="522">
        <f>SUM(V226:X228)</f>
        <v>16.605</v>
      </c>
      <c r="W229" s="452"/>
      <c r="X229" s="452"/>
      <c r="Y229" s="26" t="s">
        <v>227</v>
      </c>
      <c r="Z229" s="23"/>
      <c r="AA229" s="22" t="s">
        <v>68</v>
      </c>
      <c r="AB229" s="515">
        <f>SUM(AB226:AD228)</f>
        <v>99.63</v>
      </c>
      <c r="AC229" s="515"/>
      <c r="AD229" s="515"/>
      <c r="AE229" s="26" t="s">
        <v>225</v>
      </c>
      <c r="AF229" s="17" t="s">
        <v>68</v>
      </c>
      <c r="AG229" s="452">
        <f>SUM(AG226:AI228)</f>
        <v>121.5</v>
      </c>
      <c r="AH229" s="452"/>
      <c r="AI229" s="523"/>
      <c r="AJ229" s="15"/>
    </row>
    <row r="230" spans="3:36">
      <c r="C230" s="13"/>
      <c r="D230" s="12"/>
      <c r="E230" s="212"/>
      <c r="F230" s="212"/>
      <c r="G230" s="213"/>
      <c r="H230" s="213"/>
      <c r="R230" s="104"/>
      <c r="S230" s="117"/>
      <c r="T230" s="94"/>
      <c r="U230" s="94"/>
      <c r="V230" s="190"/>
      <c r="W230" s="190"/>
      <c r="X230" s="190"/>
      <c r="Y230" s="215"/>
      <c r="Z230" s="60"/>
      <c r="AA230" s="52"/>
      <c r="AB230" s="216"/>
      <c r="AC230" s="216"/>
      <c r="AD230" s="216"/>
      <c r="AE230" s="59"/>
      <c r="AF230" s="215"/>
      <c r="AG230" s="216"/>
      <c r="AH230" s="216"/>
      <c r="AI230" s="216"/>
      <c r="AJ230" s="15"/>
    </row>
    <row r="231" spans="3:36">
      <c r="C231" s="13"/>
      <c r="D231" s="12"/>
      <c r="E231" s="97"/>
      <c r="F231" s="96"/>
      <c r="G231" s="96"/>
      <c r="H231" s="96"/>
      <c r="I231" s="96"/>
      <c r="J231" s="96"/>
      <c r="K231" s="94"/>
      <c r="L231" s="94"/>
      <c r="M231" s="94"/>
      <c r="N231" s="94"/>
      <c r="O231" s="94"/>
      <c r="P231" s="95"/>
      <c r="Q231" s="95"/>
      <c r="R231" s="95"/>
      <c r="S231" s="95"/>
      <c r="T231" s="94"/>
      <c r="U231" s="94"/>
      <c r="V231" s="96"/>
      <c r="W231" s="96"/>
      <c r="X231" s="96"/>
      <c r="Y231" s="20"/>
      <c r="Z231" s="20"/>
      <c r="AA231" s="20"/>
      <c r="AB231" s="25"/>
      <c r="AC231" s="26"/>
      <c r="AD231" s="23"/>
      <c r="AE231" s="22"/>
      <c r="AF231" s="22"/>
      <c r="AG231" s="17"/>
      <c r="AH231" s="17"/>
      <c r="AI231" s="17"/>
      <c r="AJ231" s="15"/>
    </row>
    <row r="232" spans="3:36">
      <c r="C232" s="13"/>
      <c r="D232" s="12"/>
      <c r="E232" s="97"/>
      <c r="F232" s="96"/>
      <c r="G232" s="96"/>
      <c r="H232"/>
      <c r="I232" s="540" t="s">
        <v>403</v>
      </c>
      <c r="J232" s="453"/>
      <c r="K232" s="453"/>
      <c r="L232" s="453"/>
      <c r="M232" s="453"/>
      <c r="N232" s="453"/>
      <c r="O232" s="453"/>
      <c r="P232" s="453"/>
      <c r="Q232" s="453"/>
      <c r="R232" s="453"/>
      <c r="S232" s="453"/>
      <c r="T232" s="453"/>
      <c r="U232" s="541"/>
      <c r="V232" s="410" t="s">
        <v>32</v>
      </c>
      <c r="W232" s="412"/>
      <c r="X232" s="412"/>
      <c r="Y232" s="412"/>
      <c r="Z232" s="412"/>
      <c r="AA232" s="412"/>
      <c r="AB232" s="412"/>
      <c r="AC232" s="412"/>
      <c r="AD232" s="412"/>
      <c r="AE232" s="412"/>
      <c r="AF232" s="412"/>
      <c r="AG232" s="412"/>
      <c r="AH232" s="412"/>
      <c r="AI232" s="411"/>
      <c r="AJ232" s="15"/>
    </row>
    <row r="233" spans="3:36">
      <c r="C233" s="13"/>
      <c r="D233" s="12"/>
      <c r="E233" s="97"/>
      <c r="F233" s="96"/>
      <c r="G233" s="96"/>
      <c r="H233"/>
      <c r="I233" s="547" t="s">
        <v>405</v>
      </c>
      <c r="J233" s="436"/>
      <c r="K233" s="436"/>
      <c r="L233" s="436"/>
      <c r="M233" s="436"/>
      <c r="N233" s="436"/>
      <c r="O233" s="436"/>
      <c r="P233" s="436"/>
      <c r="Q233" s="436"/>
      <c r="R233" s="436"/>
      <c r="S233" s="436"/>
      <c r="T233" s="436"/>
      <c r="U233" s="548"/>
      <c r="V233" s="508" t="s">
        <v>150</v>
      </c>
      <c r="W233" s="509"/>
      <c r="X233" s="509"/>
      <c r="Y233" s="509"/>
      <c r="Z233" s="509"/>
      <c r="AA233" s="509"/>
      <c r="AB233" s="509"/>
      <c r="AC233" s="509"/>
      <c r="AD233" s="509"/>
      <c r="AE233" s="509"/>
      <c r="AF233" s="509"/>
      <c r="AG233" s="509"/>
      <c r="AH233" s="509"/>
      <c r="AI233" s="510"/>
      <c r="AJ233" s="15"/>
    </row>
    <row r="234" spans="3:36">
      <c r="C234" s="13"/>
      <c r="D234" s="12"/>
      <c r="E234" s="97"/>
      <c r="F234" s="96"/>
      <c r="G234" s="96"/>
      <c r="H234"/>
      <c r="I234" s="16"/>
      <c r="J234" s="25"/>
      <c r="K234" s="25"/>
      <c r="L234" s="25"/>
      <c r="M234" s="25"/>
      <c r="N234" s="25"/>
      <c r="O234" s="25"/>
      <c r="P234" s="25"/>
      <c r="Q234" s="25"/>
      <c r="R234" s="25"/>
      <c r="S234" s="17"/>
      <c r="T234" s="21"/>
      <c r="U234" s="185"/>
      <c r="V234" s="498" t="s">
        <v>20</v>
      </c>
      <c r="W234" s="500"/>
      <c r="X234" s="500"/>
      <c r="Y234" s="500"/>
      <c r="Z234" s="500"/>
      <c r="AA234" s="500"/>
      <c r="AB234" s="500"/>
      <c r="AC234" s="500"/>
      <c r="AD234" s="500"/>
      <c r="AE234" s="500"/>
      <c r="AF234" s="500"/>
      <c r="AG234" s="500"/>
      <c r="AH234" s="500"/>
      <c r="AI234" s="499"/>
      <c r="AJ234" s="15"/>
    </row>
    <row r="235" spans="3:36">
      <c r="C235" s="13"/>
      <c r="D235" s="12"/>
      <c r="E235" s="554" t="s">
        <v>435</v>
      </c>
      <c r="F235" s="555"/>
      <c r="G235" s="544" t="s">
        <v>151</v>
      </c>
      <c r="H235" s="545"/>
      <c r="I235" s="367">
        <f>I$167</f>
        <v>3</v>
      </c>
      <c r="J235" s="368"/>
      <c r="K235" s="69"/>
      <c r="L235" s="368"/>
      <c r="M235" s="368"/>
      <c r="N235" s="201"/>
      <c r="O235" s="368"/>
      <c r="P235" s="368"/>
      <c r="Q235" s="201" t="s">
        <v>70</v>
      </c>
      <c r="R235" s="204">
        <v>3</v>
      </c>
      <c r="S235" s="201" t="s">
        <v>27</v>
      </c>
      <c r="T235" s="204">
        <v>1</v>
      </c>
      <c r="U235" s="201" t="s">
        <v>2</v>
      </c>
      <c r="V235" s="437"/>
      <c r="W235" s="438"/>
      <c r="X235" s="438"/>
      <c r="Y235" s="70"/>
      <c r="Z235" s="67"/>
      <c r="AA235" s="68"/>
      <c r="AB235" s="438"/>
      <c r="AC235" s="452"/>
      <c r="AD235" s="452"/>
      <c r="AE235" s="13"/>
      <c r="AF235" s="13"/>
      <c r="AG235" s="438">
        <f>I235/R235*T235</f>
        <v>1</v>
      </c>
      <c r="AH235" s="438"/>
      <c r="AI235" s="439"/>
      <c r="AJ235" s="15"/>
    </row>
    <row r="236" spans="3:36">
      <c r="C236" s="13"/>
      <c r="D236" s="12"/>
      <c r="E236" s="556"/>
      <c r="F236" s="557"/>
      <c r="G236" s="558" t="s">
        <v>152</v>
      </c>
      <c r="H236" s="558"/>
      <c r="I236" s="367">
        <f t="shared" ref="I236:I243" si="11">I$167</f>
        <v>3</v>
      </c>
      <c r="J236" s="368"/>
      <c r="K236" s="47"/>
      <c r="L236" s="448"/>
      <c r="M236" s="448"/>
      <c r="N236" s="17"/>
      <c r="O236" s="448"/>
      <c r="P236" s="448"/>
      <c r="Q236" s="17" t="s">
        <v>70</v>
      </c>
      <c r="R236" s="29">
        <v>3</v>
      </c>
      <c r="S236" s="17" t="s">
        <v>27</v>
      </c>
      <c r="T236" s="29">
        <v>2</v>
      </c>
      <c r="U236" s="17" t="s">
        <v>2</v>
      </c>
      <c r="V236" s="522"/>
      <c r="W236" s="452"/>
      <c r="X236" s="452"/>
      <c r="Y236" s="70"/>
      <c r="Z236" s="67"/>
      <c r="AA236" s="68"/>
      <c r="AB236" s="452"/>
      <c r="AC236" s="452"/>
      <c r="AD236" s="452"/>
      <c r="AE236" s="30"/>
      <c r="AF236" s="30"/>
      <c r="AG236" s="452">
        <f>I236/R236*T236</f>
        <v>2</v>
      </c>
      <c r="AH236" s="452"/>
      <c r="AI236" s="523"/>
      <c r="AJ236" s="15"/>
    </row>
    <row r="237" spans="3:36">
      <c r="C237" s="13"/>
      <c r="D237" s="12"/>
      <c r="E237" s="554" t="s">
        <v>114</v>
      </c>
      <c r="F237" s="555"/>
      <c r="G237" s="494" t="s">
        <v>153</v>
      </c>
      <c r="H237" s="414"/>
      <c r="I237" s="367">
        <f t="shared" si="11"/>
        <v>3</v>
      </c>
      <c r="J237" s="368"/>
      <c r="K237" s="69" t="s">
        <v>68</v>
      </c>
      <c r="L237" s="438">
        <f>I$169</f>
        <v>3</v>
      </c>
      <c r="M237" s="438"/>
      <c r="N237" s="30"/>
      <c r="O237" s="438"/>
      <c r="P237" s="438"/>
      <c r="Q237" s="30" t="s">
        <v>70</v>
      </c>
      <c r="R237" s="46">
        <v>3</v>
      </c>
      <c r="S237" s="30" t="s">
        <v>27</v>
      </c>
      <c r="T237" s="46">
        <v>1</v>
      </c>
      <c r="U237" s="30" t="s">
        <v>2</v>
      </c>
      <c r="V237" s="437"/>
      <c r="W237" s="438"/>
      <c r="X237" s="438"/>
      <c r="Y237" s="25"/>
      <c r="Z237" s="26"/>
      <c r="AA237" s="23"/>
      <c r="AB237" s="438"/>
      <c r="AC237" s="438"/>
      <c r="AD237" s="438"/>
      <c r="AE237" s="30"/>
      <c r="AF237" s="30"/>
      <c r="AG237" s="438">
        <f>I237+L237/R237*T237</f>
        <v>4</v>
      </c>
      <c r="AH237" s="438"/>
      <c r="AI237" s="439"/>
      <c r="AJ237" s="15"/>
    </row>
    <row r="238" spans="3:36">
      <c r="C238" s="13"/>
      <c r="D238" s="12"/>
      <c r="E238" s="556"/>
      <c r="F238" s="557"/>
      <c r="G238" s="561" t="s">
        <v>154</v>
      </c>
      <c r="H238" s="562"/>
      <c r="I238" s="367">
        <f t="shared" si="11"/>
        <v>3</v>
      </c>
      <c r="J238" s="368"/>
      <c r="K238" s="47" t="s">
        <v>68</v>
      </c>
      <c r="L238" s="438">
        <f t="shared" ref="L238:L243" si="12">I$169</f>
        <v>3</v>
      </c>
      <c r="M238" s="438"/>
      <c r="N238" s="17"/>
      <c r="O238" s="452"/>
      <c r="P238" s="452"/>
      <c r="Q238" s="17" t="s">
        <v>70</v>
      </c>
      <c r="R238" s="29">
        <v>3</v>
      </c>
      <c r="S238" s="17" t="s">
        <v>27</v>
      </c>
      <c r="T238" s="29">
        <v>2</v>
      </c>
      <c r="U238" s="17" t="s">
        <v>2</v>
      </c>
      <c r="V238" s="522"/>
      <c r="W238" s="452"/>
      <c r="X238" s="452"/>
      <c r="Y238" s="70"/>
      <c r="Z238" s="67"/>
      <c r="AA238" s="68"/>
      <c r="AB238" s="452"/>
      <c r="AC238" s="452"/>
      <c r="AD238" s="452"/>
      <c r="AE238" s="30"/>
      <c r="AF238" s="30"/>
      <c r="AG238" s="452">
        <f>I238+L238/R238*T238</f>
        <v>5</v>
      </c>
      <c r="AH238" s="452"/>
      <c r="AI238" s="523"/>
      <c r="AJ238" s="15"/>
    </row>
    <row r="239" spans="3:36" ht="20.25">
      <c r="C239" s="13"/>
      <c r="D239" s="12"/>
      <c r="E239" s="554" t="s">
        <v>418</v>
      </c>
      <c r="F239" s="555"/>
      <c r="G239" s="511" t="s">
        <v>155</v>
      </c>
      <c r="H239" s="419"/>
      <c r="I239" s="367">
        <f t="shared" si="11"/>
        <v>3</v>
      </c>
      <c r="J239" s="368"/>
      <c r="K239" s="69" t="s">
        <v>68</v>
      </c>
      <c r="L239" s="438">
        <f t="shared" si="12"/>
        <v>3</v>
      </c>
      <c r="M239" s="438"/>
      <c r="N239" s="30" t="s">
        <v>68</v>
      </c>
      <c r="O239" s="438" t="s">
        <v>225</v>
      </c>
      <c r="P239" s="438"/>
      <c r="Q239" s="30" t="s">
        <v>70</v>
      </c>
      <c r="R239" s="46">
        <v>3</v>
      </c>
      <c r="S239" s="30" t="s">
        <v>27</v>
      </c>
      <c r="T239" s="46">
        <v>1</v>
      </c>
      <c r="U239" s="30" t="s">
        <v>2</v>
      </c>
      <c r="V239" s="437"/>
      <c r="W239" s="438"/>
      <c r="X239" s="438"/>
      <c r="Y239" s="70"/>
      <c r="Z239" s="67"/>
      <c r="AA239" s="68"/>
      <c r="AB239" s="452">
        <f>1/R239*T239</f>
        <v>0.33333333333333331</v>
      </c>
      <c r="AC239" s="452"/>
      <c r="AD239" s="452"/>
      <c r="AE239" s="67" t="s">
        <v>226</v>
      </c>
      <c r="AF239" s="66"/>
      <c r="AG239" s="438">
        <f>I239+L239</f>
        <v>6</v>
      </c>
      <c r="AH239" s="438"/>
      <c r="AI239" s="439"/>
      <c r="AJ239" s="15"/>
    </row>
    <row r="240" spans="3:36" ht="20.25">
      <c r="C240" s="13"/>
      <c r="D240" s="12"/>
      <c r="E240" s="556"/>
      <c r="F240" s="557"/>
      <c r="G240" s="558" t="s">
        <v>156</v>
      </c>
      <c r="H240" s="558"/>
      <c r="I240" s="367">
        <f t="shared" si="11"/>
        <v>3</v>
      </c>
      <c r="J240" s="368"/>
      <c r="K240" s="47" t="s">
        <v>68</v>
      </c>
      <c r="L240" s="438">
        <f t="shared" si="12"/>
        <v>3</v>
      </c>
      <c r="M240" s="438"/>
      <c r="N240" s="17" t="s">
        <v>68</v>
      </c>
      <c r="O240" s="438" t="s">
        <v>225</v>
      </c>
      <c r="P240" s="438"/>
      <c r="Q240" s="17" t="s">
        <v>70</v>
      </c>
      <c r="R240" s="29">
        <v>3</v>
      </c>
      <c r="S240" s="17" t="s">
        <v>27</v>
      </c>
      <c r="T240" s="29">
        <v>2</v>
      </c>
      <c r="U240" s="17" t="s">
        <v>2</v>
      </c>
      <c r="V240" s="522"/>
      <c r="W240" s="452"/>
      <c r="X240" s="452"/>
      <c r="Y240" s="70"/>
      <c r="Z240" s="67"/>
      <c r="AA240" s="68"/>
      <c r="AB240" s="452">
        <f>1/R240*T240</f>
        <v>0.66666666666666663</v>
      </c>
      <c r="AC240" s="452"/>
      <c r="AD240" s="452"/>
      <c r="AE240" s="67" t="s">
        <v>226</v>
      </c>
      <c r="AF240" s="66"/>
      <c r="AG240" s="438">
        <f t="shared" ref="AG240" si="13">I240+L240</f>
        <v>6</v>
      </c>
      <c r="AH240" s="438"/>
      <c r="AI240" s="439"/>
      <c r="AJ240" s="15"/>
    </row>
    <row r="241" spans="3:36">
      <c r="C241" s="13"/>
      <c r="D241" s="12"/>
      <c r="E241" s="662" t="s">
        <v>178</v>
      </c>
      <c r="F241" s="663"/>
      <c r="G241" s="544" t="s">
        <v>157</v>
      </c>
      <c r="H241" s="619"/>
      <c r="I241" s="367">
        <f t="shared" si="11"/>
        <v>3</v>
      </c>
      <c r="J241" s="368"/>
      <c r="K241" s="69"/>
      <c r="L241" s="438"/>
      <c r="M241" s="438"/>
      <c r="N241" s="30"/>
      <c r="O241" s="438"/>
      <c r="P241" s="438"/>
      <c r="Q241" s="30" t="s">
        <v>70</v>
      </c>
      <c r="R241" s="46">
        <v>3</v>
      </c>
      <c r="S241" s="30" t="s">
        <v>27</v>
      </c>
      <c r="T241" s="46">
        <v>1</v>
      </c>
      <c r="U241" s="30" t="s">
        <v>2</v>
      </c>
      <c r="V241" s="437"/>
      <c r="W241" s="438"/>
      <c r="X241" s="438"/>
      <c r="Y241" s="70"/>
      <c r="Z241" s="67"/>
      <c r="AA241" s="99"/>
      <c r="AB241" s="452"/>
      <c r="AC241" s="452"/>
      <c r="AD241" s="452"/>
      <c r="AE241" s="13"/>
      <c r="AF241" s="30"/>
      <c r="AG241" s="438">
        <f>I241/R241*T241</f>
        <v>1</v>
      </c>
      <c r="AH241" s="438"/>
      <c r="AI241" s="439"/>
      <c r="AJ241" s="15"/>
    </row>
    <row r="242" spans="3:36">
      <c r="C242" s="13"/>
      <c r="D242" s="12"/>
      <c r="E242" s="664"/>
      <c r="F242" s="665"/>
      <c r="G242" s="561" t="s">
        <v>158</v>
      </c>
      <c r="H242" s="623"/>
      <c r="I242" s="367">
        <f t="shared" si="11"/>
        <v>3</v>
      </c>
      <c r="J242" s="368"/>
      <c r="K242" s="47"/>
      <c r="L242" s="438"/>
      <c r="M242" s="438"/>
      <c r="N242" s="17"/>
      <c r="O242" s="438"/>
      <c r="P242" s="438"/>
      <c r="Q242" s="17" t="s">
        <v>70</v>
      </c>
      <c r="R242" s="29">
        <v>3</v>
      </c>
      <c r="S242" s="17" t="s">
        <v>27</v>
      </c>
      <c r="T242" s="29">
        <v>2</v>
      </c>
      <c r="U242" s="17" t="s">
        <v>2</v>
      </c>
      <c r="V242" s="522"/>
      <c r="W242" s="452"/>
      <c r="X242" s="452"/>
      <c r="Y242" s="70"/>
      <c r="Z242" s="67"/>
      <c r="AA242" s="68"/>
      <c r="AB242" s="452"/>
      <c r="AC242" s="452"/>
      <c r="AD242" s="452"/>
      <c r="AE242" s="67"/>
      <c r="AF242" s="66"/>
      <c r="AG242" s="438">
        <f>I242/R242*T242</f>
        <v>2</v>
      </c>
      <c r="AH242" s="438"/>
      <c r="AI242" s="439"/>
      <c r="AJ242" s="15"/>
    </row>
    <row r="243" spans="3:36" ht="20.25">
      <c r="C243" s="13"/>
      <c r="D243" s="12"/>
      <c r="E243" s="666"/>
      <c r="F243" s="667"/>
      <c r="G243" s="561" t="s">
        <v>182</v>
      </c>
      <c r="H243" s="623"/>
      <c r="I243" s="367">
        <f t="shared" si="11"/>
        <v>3</v>
      </c>
      <c r="J243" s="368"/>
      <c r="K243" s="205" t="s">
        <v>465</v>
      </c>
      <c r="L243" s="438">
        <f t="shared" si="12"/>
        <v>3</v>
      </c>
      <c r="M243" s="438"/>
      <c r="N243" s="17" t="s">
        <v>68</v>
      </c>
      <c r="O243" s="438" t="s">
        <v>225</v>
      </c>
      <c r="P243" s="438"/>
      <c r="Q243" s="17" t="s">
        <v>176</v>
      </c>
      <c r="R243" s="29">
        <v>3</v>
      </c>
      <c r="S243" s="17" t="s">
        <v>27</v>
      </c>
      <c r="T243" s="29">
        <v>1</v>
      </c>
      <c r="U243" s="17" t="s">
        <v>2</v>
      </c>
      <c r="V243" s="522"/>
      <c r="W243" s="452"/>
      <c r="X243" s="452"/>
      <c r="Y243" s="70"/>
      <c r="Z243" s="67"/>
      <c r="AA243" s="68"/>
      <c r="AB243" s="452">
        <f>1/R243*T243</f>
        <v>0.33333333333333331</v>
      </c>
      <c r="AC243" s="452"/>
      <c r="AD243" s="452"/>
      <c r="AE243" s="67" t="s">
        <v>226</v>
      </c>
      <c r="AF243" s="66"/>
      <c r="AG243" s="438">
        <f>I243+L243/R243</f>
        <v>4</v>
      </c>
      <c r="AH243" s="438"/>
      <c r="AI243" s="439"/>
      <c r="AJ243" s="15"/>
    </row>
    <row r="244" spans="3:36">
      <c r="C244" s="13"/>
      <c r="D244" s="12"/>
      <c r="E244" s="97"/>
      <c r="F244" s="96"/>
      <c r="G244" s="96"/>
      <c r="H244" s="96"/>
      <c r="I244" s="96"/>
      <c r="J244" s="96"/>
      <c r="K244" s="94"/>
      <c r="L244" s="94"/>
      <c r="M244" s="94"/>
      <c r="N244" s="94"/>
      <c r="O244" s="94"/>
      <c r="P244" s="95"/>
      <c r="Q244" s="95"/>
      <c r="R244" s="95"/>
      <c r="S244" s="95"/>
      <c r="T244" s="94"/>
      <c r="U244" s="94"/>
      <c r="V244" s="96"/>
      <c r="W244" s="96"/>
      <c r="X244" s="96"/>
      <c r="Y244" s="20"/>
      <c r="Z244" s="20"/>
      <c r="AA244" s="20"/>
      <c r="AB244" s="25"/>
      <c r="AC244" s="26"/>
      <c r="AD244" s="23"/>
      <c r="AE244" s="22"/>
      <c r="AF244" s="22"/>
      <c r="AG244" s="17"/>
      <c r="AH244" s="17"/>
      <c r="AI244" s="17"/>
      <c r="AJ244" s="15"/>
    </row>
    <row r="245" spans="3:36">
      <c r="C245" s="13"/>
      <c r="D245" s="12"/>
      <c r="E245" s="97"/>
      <c r="F245" s="96"/>
      <c r="G245" s="96"/>
      <c r="H245"/>
      <c r="I245" s="646" t="s">
        <v>403</v>
      </c>
      <c r="J245" s="647"/>
      <c r="K245" s="647"/>
      <c r="L245" s="647"/>
      <c r="M245" s="647"/>
      <c r="N245" s="647"/>
      <c r="O245" s="647"/>
      <c r="P245" s="647"/>
      <c r="Q245" s="647"/>
      <c r="R245" s="647"/>
      <c r="S245" s="647"/>
      <c r="T245" s="647"/>
      <c r="U245" s="648"/>
      <c r="V245" s="410" t="s">
        <v>32</v>
      </c>
      <c r="W245" s="412"/>
      <c r="X245" s="412"/>
      <c r="Y245" s="412"/>
      <c r="Z245" s="412"/>
      <c r="AA245" s="412"/>
      <c r="AB245" s="412"/>
      <c r="AC245" s="412"/>
      <c r="AD245" s="412"/>
      <c r="AE245" s="412"/>
      <c r="AF245" s="412"/>
      <c r="AG245" s="412"/>
      <c r="AH245" s="412"/>
      <c r="AI245" s="411"/>
      <c r="AJ245" s="15"/>
    </row>
    <row r="246" spans="3:36">
      <c r="C246" s="13"/>
      <c r="D246" s="12"/>
      <c r="E246" s="97"/>
      <c r="F246" s="96"/>
      <c r="G246" s="96"/>
      <c r="H246"/>
      <c r="I246" s="649" t="s">
        <v>405</v>
      </c>
      <c r="J246" s="477"/>
      <c r="K246" s="477"/>
      <c r="L246" s="477"/>
      <c r="M246" s="477"/>
      <c r="N246" s="477"/>
      <c r="O246" s="477"/>
      <c r="P246" s="477"/>
      <c r="Q246" s="477"/>
      <c r="R246" s="477"/>
      <c r="S246" s="477"/>
      <c r="T246" s="477"/>
      <c r="U246" s="650"/>
      <c r="V246" s="508" t="s">
        <v>150</v>
      </c>
      <c r="W246" s="509"/>
      <c r="X246" s="509"/>
      <c r="Y246" s="509"/>
      <c r="Z246" s="509"/>
      <c r="AA246" s="509"/>
      <c r="AB246" s="509"/>
      <c r="AC246" s="509"/>
      <c r="AD246" s="509"/>
      <c r="AE246" s="509"/>
      <c r="AF246" s="509"/>
      <c r="AG246" s="509"/>
      <c r="AH246" s="509"/>
      <c r="AI246" s="510"/>
      <c r="AJ246" s="15"/>
    </row>
    <row r="247" spans="3:36">
      <c r="C247" s="13"/>
      <c r="D247" s="12"/>
      <c r="E247" s="97"/>
      <c r="F247" s="96"/>
      <c r="G247" s="96"/>
      <c r="H247"/>
      <c r="I247" s="210"/>
      <c r="J247" s="25"/>
      <c r="K247" s="25"/>
      <c r="L247" s="25"/>
      <c r="M247" s="25"/>
      <c r="N247" s="25"/>
      <c r="O247" s="25"/>
      <c r="P247" s="25"/>
      <c r="Q247" s="25"/>
      <c r="R247" s="25"/>
      <c r="S247" s="202"/>
      <c r="T247" s="21"/>
      <c r="U247" s="185"/>
      <c r="V247" s="498" t="s">
        <v>20</v>
      </c>
      <c r="W247" s="500"/>
      <c r="X247" s="500"/>
      <c r="Y247" s="500"/>
      <c r="Z247" s="500"/>
      <c r="AA247" s="500"/>
      <c r="AB247" s="500"/>
      <c r="AC247" s="500"/>
      <c r="AD247" s="500"/>
      <c r="AE247" s="500"/>
      <c r="AF247" s="500"/>
      <c r="AG247" s="500"/>
      <c r="AH247" s="500"/>
      <c r="AI247" s="499"/>
      <c r="AJ247" s="15"/>
    </row>
    <row r="248" spans="3:36">
      <c r="C248" s="13"/>
      <c r="D248" s="12"/>
      <c r="E248" s="542" t="s">
        <v>114</v>
      </c>
      <c r="F248" s="543"/>
      <c r="G248" s="544" t="s">
        <v>466</v>
      </c>
      <c r="H248" s="545"/>
      <c r="I248" s="437">
        <f>I$167</f>
        <v>3</v>
      </c>
      <c r="J248" s="438"/>
      <c r="K248" s="69" t="s">
        <v>68</v>
      </c>
      <c r="L248" s="438">
        <f>I$169</f>
        <v>3</v>
      </c>
      <c r="M248" s="438"/>
      <c r="N248" s="30"/>
      <c r="O248" s="438"/>
      <c r="P248" s="438"/>
      <c r="Q248" s="30" t="s">
        <v>70</v>
      </c>
      <c r="R248" s="46">
        <v>3</v>
      </c>
      <c r="S248" s="30" t="s">
        <v>27</v>
      </c>
      <c r="T248" s="46">
        <v>2</v>
      </c>
      <c r="U248" s="30" t="s">
        <v>2</v>
      </c>
      <c r="V248" s="437"/>
      <c r="W248" s="438"/>
      <c r="X248" s="438"/>
      <c r="Y248" s="25"/>
      <c r="Z248" s="26"/>
      <c r="AA248" s="23"/>
      <c r="AB248" s="438"/>
      <c r="AC248" s="438"/>
      <c r="AD248" s="438"/>
      <c r="AE248" s="30"/>
      <c r="AF248" s="30"/>
      <c r="AG248" s="438">
        <f>I248+L248/R248*T248</f>
        <v>5</v>
      </c>
      <c r="AH248" s="438"/>
      <c r="AI248" s="439"/>
      <c r="AJ248" s="15"/>
    </row>
    <row r="249" spans="3:36" ht="20.25">
      <c r="C249" s="13"/>
      <c r="D249" s="12"/>
      <c r="E249" s="554" t="s">
        <v>418</v>
      </c>
      <c r="F249" s="555"/>
      <c r="G249" s="641" t="s">
        <v>467</v>
      </c>
      <c r="H249" s="642"/>
      <c r="I249" s="437">
        <f t="shared" ref="I249:I250" si="14">I$167</f>
        <v>3</v>
      </c>
      <c r="J249" s="438"/>
      <c r="K249" s="69" t="s">
        <v>68</v>
      </c>
      <c r="L249" s="438">
        <f>I$169</f>
        <v>3</v>
      </c>
      <c r="M249" s="438"/>
      <c r="N249" s="30" t="s">
        <v>68</v>
      </c>
      <c r="O249" s="438" t="s">
        <v>225</v>
      </c>
      <c r="P249" s="438"/>
      <c r="Q249" s="30" t="s">
        <v>70</v>
      </c>
      <c r="R249" s="46">
        <v>3</v>
      </c>
      <c r="S249" s="30" t="s">
        <v>27</v>
      </c>
      <c r="T249" s="46">
        <v>1</v>
      </c>
      <c r="U249" s="30" t="s">
        <v>2</v>
      </c>
      <c r="V249" s="437"/>
      <c r="W249" s="438"/>
      <c r="X249" s="438"/>
      <c r="Y249" s="70"/>
      <c r="Z249" s="67"/>
      <c r="AA249" s="68"/>
      <c r="AB249" s="452">
        <f>1/R249*T249</f>
        <v>0.33333333333333331</v>
      </c>
      <c r="AC249" s="452"/>
      <c r="AD249" s="452"/>
      <c r="AE249" s="67" t="s">
        <v>226</v>
      </c>
      <c r="AF249" s="66"/>
      <c r="AG249" s="438">
        <f>I249+L249</f>
        <v>6</v>
      </c>
      <c r="AH249" s="438"/>
      <c r="AI249" s="439"/>
      <c r="AJ249" s="15"/>
    </row>
    <row r="250" spans="3:36" ht="20.25">
      <c r="C250" s="13"/>
      <c r="D250" s="12"/>
      <c r="E250" s="556"/>
      <c r="F250" s="557"/>
      <c r="G250" s="544" t="s">
        <v>468</v>
      </c>
      <c r="H250" s="545"/>
      <c r="I250" s="437">
        <f t="shared" si="14"/>
        <v>3</v>
      </c>
      <c r="J250" s="438"/>
      <c r="K250" s="69" t="s">
        <v>68</v>
      </c>
      <c r="L250" s="438">
        <f>I$169</f>
        <v>3</v>
      </c>
      <c r="M250" s="438"/>
      <c r="N250" s="17" t="s">
        <v>68</v>
      </c>
      <c r="O250" s="438" t="s">
        <v>225</v>
      </c>
      <c r="P250" s="438"/>
      <c r="Q250" s="17" t="s">
        <v>70</v>
      </c>
      <c r="R250" s="29">
        <v>3</v>
      </c>
      <c r="S250" s="17" t="s">
        <v>27</v>
      </c>
      <c r="T250" s="29">
        <v>2</v>
      </c>
      <c r="U250" s="17" t="s">
        <v>2</v>
      </c>
      <c r="V250" s="522"/>
      <c r="W250" s="452"/>
      <c r="X250" s="452"/>
      <c r="Y250" s="70"/>
      <c r="Z250" s="67"/>
      <c r="AA250" s="68"/>
      <c r="AB250" s="452">
        <f>1/R250*T250</f>
        <v>0.66666666666666663</v>
      </c>
      <c r="AC250" s="452"/>
      <c r="AD250" s="452"/>
      <c r="AE250" s="67" t="s">
        <v>226</v>
      </c>
      <c r="AF250" s="66"/>
      <c r="AG250" s="438">
        <f t="shared" ref="AG250" si="15">I250+L250</f>
        <v>6</v>
      </c>
      <c r="AH250" s="438"/>
      <c r="AI250" s="439"/>
      <c r="AJ250" s="15"/>
    </row>
    <row r="251" spans="3:36">
      <c r="C251" s="13"/>
      <c r="D251" s="12"/>
      <c r="E251" s="212"/>
      <c r="F251" s="212"/>
      <c r="G251" s="213"/>
      <c r="H251" s="213"/>
      <c r="I251" s="190"/>
      <c r="J251" s="190"/>
      <c r="K251" s="214"/>
      <c r="L251" s="24"/>
      <c r="M251" s="24"/>
      <c r="N251" s="13"/>
      <c r="O251" s="24"/>
      <c r="P251" s="24"/>
      <c r="Q251" s="13"/>
      <c r="R251" s="31"/>
      <c r="S251" s="13"/>
      <c r="T251" s="31"/>
      <c r="U251" s="13"/>
      <c r="V251" s="24"/>
      <c r="W251" s="24"/>
      <c r="X251" s="24"/>
      <c r="Y251" s="3"/>
      <c r="Z251" s="59"/>
      <c r="AA251" s="60"/>
      <c r="AB251" s="195"/>
      <c r="AC251" s="24"/>
      <c r="AD251" s="24"/>
      <c r="AE251" s="98"/>
      <c r="AF251" s="96"/>
      <c r="AG251" s="24"/>
      <c r="AH251" s="24"/>
      <c r="AI251" s="24"/>
      <c r="AJ251" s="15"/>
    </row>
    <row r="252" spans="3:36">
      <c r="C252" s="13"/>
      <c r="D252" s="12"/>
      <c r="E252" s="97"/>
      <c r="F252" s="96"/>
      <c r="G252" s="96"/>
      <c r="H252" s="96"/>
      <c r="I252" s="96"/>
      <c r="J252" s="96"/>
      <c r="K252" s="94"/>
      <c r="L252" s="94"/>
      <c r="M252" s="94"/>
      <c r="N252" s="94"/>
      <c r="O252" s="94"/>
      <c r="P252" s="95"/>
      <c r="Q252" s="95"/>
      <c r="R252" s="95"/>
      <c r="S252" s="95"/>
      <c r="T252" s="94"/>
      <c r="U252" s="94"/>
      <c r="V252" s="96"/>
      <c r="W252" s="96"/>
      <c r="X252" s="96"/>
      <c r="Y252" s="20"/>
      <c r="Z252" s="20"/>
      <c r="AA252" s="20"/>
      <c r="AB252" s="25"/>
      <c r="AC252" s="98"/>
      <c r="AD252" s="99"/>
      <c r="AE252" s="96"/>
      <c r="AF252" s="96"/>
      <c r="AG252" s="13"/>
      <c r="AH252" s="13"/>
      <c r="AI252" s="13"/>
      <c r="AJ252" s="15"/>
    </row>
    <row r="253" spans="3:36">
      <c r="C253" s="13"/>
      <c r="D253" s="12"/>
      <c r="E253" s="97"/>
      <c r="F253" s="96"/>
      <c r="G253" s="96"/>
      <c r="H253" s="96"/>
      <c r="I253" s="410" t="s">
        <v>402</v>
      </c>
      <c r="J253" s="412"/>
      <c r="K253" s="412"/>
      <c r="L253" s="412"/>
      <c r="M253" s="412"/>
      <c r="N253" s="412"/>
      <c r="O253" s="412"/>
      <c r="P253" s="412"/>
      <c r="Q253" s="412"/>
      <c r="R253" s="412"/>
      <c r="S253" s="412"/>
      <c r="T253" s="412"/>
      <c r="U253" s="412"/>
      <c r="V253" s="412"/>
      <c r="W253" s="412"/>
      <c r="X253" s="412"/>
      <c r="Y253" s="412"/>
      <c r="Z253" s="412"/>
      <c r="AA253" s="412"/>
      <c r="AB253" s="411"/>
      <c r="AC253" s="13"/>
      <c r="AD253" s="13"/>
      <c r="AE253" s="13"/>
      <c r="AF253" s="13"/>
      <c r="AG253" s="13"/>
      <c r="AH253" s="13"/>
      <c r="AI253" s="13"/>
      <c r="AJ253" s="15"/>
    </row>
    <row r="254" spans="3:36">
      <c r="C254" s="13"/>
      <c r="D254" s="12"/>
      <c r="E254" s="13"/>
      <c r="F254" s="96"/>
      <c r="G254" s="96"/>
      <c r="H254" s="96"/>
      <c r="I254" s="508" t="s">
        <v>183</v>
      </c>
      <c r="J254" s="509"/>
      <c r="K254" s="509"/>
      <c r="L254" s="509"/>
      <c r="M254" s="509"/>
      <c r="N254" s="509"/>
      <c r="O254" s="509"/>
      <c r="P254" s="509"/>
      <c r="Q254" s="509"/>
      <c r="R254" s="509"/>
      <c r="S254" s="509"/>
      <c r="T254" s="509"/>
      <c r="U254" s="509"/>
      <c r="V254" s="509"/>
      <c r="W254" s="509"/>
      <c r="X254" s="509"/>
      <c r="Y254" s="509"/>
      <c r="Z254" s="509"/>
      <c r="AA254" s="509"/>
      <c r="AB254" s="510"/>
      <c r="AC254" s="13"/>
      <c r="AD254" s="13"/>
      <c r="AE254" s="13"/>
      <c r="AF254" s="13"/>
      <c r="AG254" s="13"/>
      <c r="AH254" s="13"/>
      <c r="AI254" s="13"/>
      <c r="AJ254" s="15"/>
    </row>
    <row r="255" spans="3:36">
      <c r="C255" s="13"/>
      <c r="D255" s="12"/>
      <c r="E255" s="97"/>
      <c r="F255" s="96"/>
      <c r="G255" s="96"/>
      <c r="H255" s="96"/>
      <c r="I255" s="498" t="s">
        <v>35</v>
      </c>
      <c r="J255" s="500"/>
      <c r="K255" s="500"/>
      <c r="L255" s="500"/>
      <c r="M255" s="500"/>
      <c r="N255" s="500"/>
      <c r="O255" s="500"/>
      <c r="P255" s="500"/>
      <c r="Q255" s="500"/>
      <c r="R255" s="500"/>
      <c r="S255" s="500"/>
      <c r="T255" s="500"/>
      <c r="U255" s="500"/>
      <c r="V255" s="500"/>
      <c r="W255" s="500"/>
      <c r="X255" s="500"/>
      <c r="Y255" s="500"/>
      <c r="Z255" s="500"/>
      <c r="AA255" s="500"/>
      <c r="AB255" s="499"/>
      <c r="AC255" s="13"/>
      <c r="AD255" s="13"/>
      <c r="AE255" s="13"/>
      <c r="AF255" s="13"/>
      <c r="AG255" s="13"/>
      <c r="AH255" s="13"/>
      <c r="AI255" s="13"/>
      <c r="AJ255" s="15"/>
    </row>
    <row r="256" spans="3:36">
      <c r="C256" s="13"/>
      <c r="D256" s="12"/>
      <c r="E256" s="554" t="s">
        <v>435</v>
      </c>
      <c r="F256" s="555"/>
      <c r="G256" s="544" t="s">
        <v>151</v>
      </c>
      <c r="H256" s="545"/>
      <c r="I256" s="637"/>
      <c r="J256" s="638"/>
      <c r="K256" s="638"/>
      <c r="L256" s="200"/>
      <c r="M256" s="200"/>
      <c r="N256" s="201"/>
      <c r="O256" s="368"/>
      <c r="P256" s="368"/>
      <c r="Q256" s="368"/>
      <c r="R256" s="67"/>
      <c r="S256" s="68"/>
      <c r="T256" s="66"/>
      <c r="U256" s="368"/>
      <c r="V256" s="368"/>
      <c r="W256" s="368"/>
      <c r="X256" s="201"/>
      <c r="Y256" s="201"/>
      <c r="Z256" s="368">
        <f>AG213*AG235</f>
        <v>34.21575</v>
      </c>
      <c r="AA256" s="368"/>
      <c r="AB256" s="369"/>
      <c r="AC256" s="13"/>
      <c r="AD256" s="13"/>
      <c r="AE256" s="13"/>
      <c r="AF256" s="13"/>
      <c r="AG256" s="13"/>
      <c r="AH256" s="13"/>
      <c r="AI256" s="13"/>
      <c r="AJ256" s="15"/>
    </row>
    <row r="257" spans="3:36">
      <c r="C257" s="13"/>
      <c r="D257" s="12"/>
      <c r="E257" s="556"/>
      <c r="F257" s="557"/>
      <c r="G257" s="558" t="s">
        <v>152</v>
      </c>
      <c r="H257" s="558"/>
      <c r="I257" s="506"/>
      <c r="J257" s="507"/>
      <c r="K257" s="507"/>
      <c r="L257" s="62"/>
      <c r="M257" s="62"/>
      <c r="N257" s="17"/>
      <c r="O257" s="448"/>
      <c r="P257" s="448"/>
      <c r="Q257" s="448"/>
      <c r="R257" s="98"/>
      <c r="S257" s="99"/>
      <c r="T257" s="96"/>
      <c r="U257" s="448"/>
      <c r="V257" s="448"/>
      <c r="W257" s="448"/>
      <c r="X257" s="13"/>
      <c r="Y257" s="13"/>
      <c r="Z257" s="438">
        <f>AG214*AG236</f>
        <v>95.404499999999999</v>
      </c>
      <c r="AA257" s="438"/>
      <c r="AB257" s="439"/>
      <c r="AC257" s="13"/>
      <c r="AD257" s="13"/>
      <c r="AE257" s="13"/>
      <c r="AF257" s="13"/>
      <c r="AG257" s="13"/>
      <c r="AH257" s="13"/>
      <c r="AI257" s="13"/>
      <c r="AJ257" s="15"/>
    </row>
    <row r="258" spans="3:36">
      <c r="C258" s="13"/>
      <c r="D258" s="12"/>
      <c r="E258" s="554" t="s">
        <v>114</v>
      </c>
      <c r="F258" s="555"/>
      <c r="G258" s="494" t="s">
        <v>153</v>
      </c>
      <c r="H258" s="414"/>
      <c r="I258" s="506"/>
      <c r="J258" s="507"/>
      <c r="K258" s="507"/>
      <c r="L258" s="61"/>
      <c r="M258" s="61"/>
      <c r="N258" s="10"/>
      <c r="O258" s="438"/>
      <c r="P258" s="438"/>
      <c r="Q258" s="438"/>
      <c r="R258" s="67"/>
      <c r="S258" s="68"/>
      <c r="T258" s="66"/>
      <c r="U258" s="438"/>
      <c r="V258" s="438"/>
      <c r="W258" s="438"/>
      <c r="X258" s="30"/>
      <c r="Y258" s="30"/>
      <c r="Z258" s="438">
        <f>AG215*AG237</f>
        <v>190.809</v>
      </c>
      <c r="AA258" s="438"/>
      <c r="AB258" s="439"/>
      <c r="AC258" s="13"/>
      <c r="AD258" s="13"/>
      <c r="AE258" s="13"/>
      <c r="AF258" s="13"/>
      <c r="AG258" s="13"/>
      <c r="AH258" s="13"/>
      <c r="AI258" s="13"/>
      <c r="AJ258" s="15"/>
    </row>
    <row r="259" spans="3:36">
      <c r="C259" s="13"/>
      <c r="D259" s="12"/>
      <c r="E259" s="556"/>
      <c r="F259" s="557"/>
      <c r="G259" s="561" t="s">
        <v>154</v>
      </c>
      <c r="H259" s="562"/>
      <c r="I259" s="506"/>
      <c r="J259" s="507"/>
      <c r="K259" s="507"/>
      <c r="L259" s="63"/>
      <c r="M259" s="63"/>
      <c r="N259" s="30"/>
      <c r="O259" s="448"/>
      <c r="P259" s="448"/>
      <c r="Q259" s="448"/>
      <c r="R259" s="98"/>
      <c r="S259" s="99"/>
      <c r="T259" s="96"/>
      <c r="U259" s="448"/>
      <c r="V259" s="448"/>
      <c r="W259" s="448"/>
      <c r="X259" s="13"/>
      <c r="Y259" s="13"/>
      <c r="Z259" s="438">
        <f>AG216*AG238</f>
        <v>305.94375000000002</v>
      </c>
      <c r="AA259" s="438"/>
      <c r="AB259" s="439"/>
      <c r="AC259" s="13"/>
      <c r="AD259" s="13"/>
      <c r="AE259" s="13"/>
      <c r="AF259" s="13"/>
      <c r="AG259" s="13"/>
      <c r="AH259" s="13"/>
      <c r="AI259" s="13"/>
      <c r="AJ259" s="15"/>
    </row>
    <row r="260" spans="3:36" ht="21">
      <c r="C260" s="13"/>
      <c r="D260" s="12"/>
      <c r="E260" s="554" t="s">
        <v>418</v>
      </c>
      <c r="F260" s="555"/>
      <c r="G260" s="511" t="s">
        <v>155</v>
      </c>
      <c r="H260" s="419"/>
      <c r="I260" s="506"/>
      <c r="J260" s="507"/>
      <c r="K260" s="507"/>
      <c r="L260" s="63"/>
      <c r="M260" s="63"/>
      <c r="N260" s="30"/>
      <c r="O260" s="438">
        <f>AB217*AB239</f>
        <v>5.5329166666666669</v>
      </c>
      <c r="P260" s="438"/>
      <c r="Q260" s="438"/>
      <c r="R260" s="67" t="s">
        <v>227</v>
      </c>
      <c r="S260" s="60"/>
      <c r="T260" s="52" t="s">
        <v>68</v>
      </c>
      <c r="U260" s="475">
        <f>AB217*AG239</f>
        <v>99.592500000000015</v>
      </c>
      <c r="V260" s="475"/>
      <c r="W260" s="475"/>
      <c r="X260" s="67" t="s">
        <v>225</v>
      </c>
      <c r="Y260" s="10"/>
      <c r="Z260" s="438"/>
      <c r="AA260" s="438"/>
      <c r="AB260" s="439"/>
      <c r="AC260" s="13"/>
      <c r="AD260" s="13"/>
      <c r="AE260" s="13"/>
      <c r="AF260" s="13"/>
      <c r="AG260" s="13"/>
      <c r="AH260" s="13"/>
      <c r="AI260" s="13"/>
      <c r="AJ260" s="15"/>
    </row>
    <row r="261" spans="3:36" ht="21">
      <c r="C261" s="13"/>
      <c r="D261" s="12"/>
      <c r="E261" s="556"/>
      <c r="F261" s="557"/>
      <c r="G261" s="558" t="s">
        <v>156</v>
      </c>
      <c r="H261" s="558"/>
      <c r="I261" s="506">
        <f>V218*AB240</f>
        <v>0.81299999999999994</v>
      </c>
      <c r="J261" s="507"/>
      <c r="K261" s="507"/>
      <c r="L261" s="67" t="s">
        <v>228</v>
      </c>
      <c r="M261" s="13"/>
      <c r="N261" s="66" t="s">
        <v>68</v>
      </c>
      <c r="O261" s="438">
        <f>V218*AG240+AB218*AB240</f>
        <v>18.382833333333334</v>
      </c>
      <c r="P261" s="438"/>
      <c r="Q261" s="438"/>
      <c r="R261" s="67" t="s">
        <v>227</v>
      </c>
      <c r="S261" s="68"/>
      <c r="T261" s="66" t="s">
        <v>68</v>
      </c>
      <c r="U261" s="546">
        <f>AB218*AG240</f>
        <v>99.592500000000015</v>
      </c>
      <c r="V261" s="546"/>
      <c r="W261" s="546"/>
      <c r="X261" s="67" t="s">
        <v>225</v>
      </c>
      <c r="Y261" s="30"/>
      <c r="Z261" s="438"/>
      <c r="AA261" s="438"/>
      <c r="AB261" s="439"/>
      <c r="AC261" s="13"/>
      <c r="AD261" s="13"/>
      <c r="AE261" s="13"/>
      <c r="AF261" s="13"/>
      <c r="AG261" s="13"/>
      <c r="AH261" s="13"/>
      <c r="AI261" s="13"/>
      <c r="AJ261" s="15"/>
    </row>
    <row r="262" spans="3:36">
      <c r="C262" s="13"/>
      <c r="D262" s="12"/>
      <c r="E262" s="554" t="s">
        <v>178</v>
      </c>
      <c r="F262" s="555"/>
      <c r="G262" s="544" t="s">
        <v>157</v>
      </c>
      <c r="H262" s="619"/>
      <c r="I262" s="506"/>
      <c r="J262" s="507"/>
      <c r="K262" s="507"/>
      <c r="L262" s="63"/>
      <c r="M262" s="63"/>
      <c r="N262" s="30"/>
      <c r="O262" s="438"/>
      <c r="P262" s="438"/>
      <c r="Q262" s="438"/>
      <c r="R262" s="67"/>
      <c r="S262" s="68"/>
      <c r="T262" s="66"/>
      <c r="U262" s="546"/>
      <c r="V262" s="546"/>
      <c r="W262" s="546"/>
      <c r="X262" s="30"/>
      <c r="Y262" s="30"/>
      <c r="Z262" s="438">
        <f>AG219*AG241</f>
        <v>22.5</v>
      </c>
      <c r="AA262" s="438"/>
      <c r="AB262" s="439"/>
      <c r="AC262" s="13"/>
      <c r="AD262" s="13"/>
      <c r="AE262" s="13"/>
      <c r="AF262" s="13"/>
      <c r="AG262" s="13"/>
      <c r="AH262" s="13"/>
      <c r="AI262" s="13"/>
      <c r="AJ262" s="15"/>
    </row>
    <row r="263" spans="3:36">
      <c r="C263" s="13"/>
      <c r="D263" s="12"/>
      <c r="E263" s="651"/>
      <c r="F263" s="652"/>
      <c r="G263" s="561" t="s">
        <v>158</v>
      </c>
      <c r="H263" s="623"/>
      <c r="I263" s="193"/>
      <c r="J263" s="63"/>
      <c r="K263" s="63"/>
      <c r="L263" s="63"/>
      <c r="M263" s="63"/>
      <c r="N263" s="30"/>
      <c r="O263" s="194"/>
      <c r="P263" s="194"/>
      <c r="Q263" s="194"/>
      <c r="R263" s="67"/>
      <c r="S263" s="68"/>
      <c r="T263" s="66"/>
      <c r="U263" s="66"/>
      <c r="V263" s="66"/>
      <c r="W263" s="66"/>
      <c r="X263" s="30"/>
      <c r="Y263" s="30"/>
      <c r="Z263" s="438">
        <f>AG220*AG242</f>
        <v>135</v>
      </c>
      <c r="AA263" s="438"/>
      <c r="AB263" s="439"/>
      <c r="AC263" s="13"/>
      <c r="AD263" s="13"/>
      <c r="AE263" s="13"/>
      <c r="AF263" s="13"/>
      <c r="AG263" s="13"/>
      <c r="AH263" s="13"/>
      <c r="AI263" s="13"/>
      <c r="AJ263" s="15"/>
    </row>
    <row r="264" spans="3:36" ht="21.75" thickBot="1">
      <c r="C264" s="13"/>
      <c r="D264" s="12"/>
      <c r="E264" s="629"/>
      <c r="F264" s="630"/>
      <c r="G264" s="653" t="s">
        <v>182</v>
      </c>
      <c r="H264" s="654"/>
      <c r="I264" s="655"/>
      <c r="J264" s="656"/>
      <c r="K264" s="656"/>
      <c r="L264" s="206"/>
      <c r="M264" s="206"/>
      <c r="N264" s="50"/>
      <c r="O264" s="532">
        <f>AB221*AB243</f>
        <v>7.5</v>
      </c>
      <c r="P264" s="532"/>
      <c r="Q264" s="532"/>
      <c r="R264" s="207" t="s">
        <v>227</v>
      </c>
      <c r="S264" s="208"/>
      <c r="T264" s="196" t="s">
        <v>68</v>
      </c>
      <c r="U264" s="532">
        <f>AB221*AG243+AG221*AB243</f>
        <v>112.5</v>
      </c>
      <c r="V264" s="532"/>
      <c r="W264" s="532"/>
      <c r="X264" s="207" t="s">
        <v>225</v>
      </c>
      <c r="Y264" s="50" t="s">
        <v>68</v>
      </c>
      <c r="Z264" s="532">
        <f>AG221*AG243</f>
        <v>270</v>
      </c>
      <c r="AA264" s="532"/>
      <c r="AB264" s="551"/>
      <c r="AC264" s="13"/>
      <c r="AD264" s="13"/>
      <c r="AE264" s="13"/>
      <c r="AF264" s="13"/>
      <c r="AG264" s="13"/>
      <c r="AH264" s="13"/>
      <c r="AI264" s="13"/>
      <c r="AJ264" s="15"/>
    </row>
    <row r="265" spans="3:36" ht="21.75" thickTop="1">
      <c r="C265" s="13"/>
      <c r="D265" s="12"/>
      <c r="E265" s="533" t="s">
        <v>184</v>
      </c>
      <c r="F265" s="534"/>
      <c r="G265" s="534"/>
      <c r="H265" s="535"/>
      <c r="I265" s="536">
        <f>SUM(I256:K264)</f>
        <v>0.81299999999999994</v>
      </c>
      <c r="J265" s="537"/>
      <c r="K265" s="537"/>
      <c r="L265" s="67" t="s">
        <v>228</v>
      </c>
      <c r="M265" s="77"/>
      <c r="N265" s="78" t="s">
        <v>68</v>
      </c>
      <c r="O265" s="537">
        <f>SUM(O256:Q264)</f>
        <v>31.415750000000003</v>
      </c>
      <c r="P265" s="537"/>
      <c r="Q265" s="537"/>
      <c r="R265" s="26" t="s">
        <v>227</v>
      </c>
      <c r="S265" s="79"/>
      <c r="T265" s="78" t="s">
        <v>68</v>
      </c>
      <c r="U265" s="537">
        <f>SUM(U256:W264)</f>
        <v>311.68500000000006</v>
      </c>
      <c r="V265" s="537"/>
      <c r="W265" s="537"/>
      <c r="X265" s="26" t="s">
        <v>225</v>
      </c>
      <c r="Y265" s="78" t="s">
        <v>68</v>
      </c>
      <c r="Z265" s="537">
        <f>SUM(Z256:AB264)</f>
        <v>1053.873</v>
      </c>
      <c r="AA265" s="537"/>
      <c r="AB265" s="538"/>
      <c r="AC265" s="98"/>
      <c r="AD265" s="99"/>
      <c r="AE265" s="96"/>
      <c r="AF265" s="96"/>
      <c r="AG265" s="13"/>
      <c r="AH265" s="13"/>
      <c r="AI265" s="13"/>
      <c r="AJ265" s="15"/>
    </row>
    <row r="266" spans="3:36">
      <c r="C266" s="13"/>
      <c r="D266" s="12"/>
      <c r="E266" s="166"/>
      <c r="F266" s="166"/>
      <c r="G266" s="166"/>
      <c r="H266" s="166"/>
      <c r="I266" s="192"/>
      <c r="J266" s="192"/>
      <c r="K266" s="192"/>
      <c r="L266" s="98"/>
      <c r="M266" s="13"/>
      <c r="N266" s="96"/>
      <c r="O266" s="192"/>
      <c r="P266" s="192"/>
      <c r="Q266" s="192"/>
      <c r="R266" s="98"/>
      <c r="S266" s="99"/>
      <c r="T266" s="96"/>
      <c r="U266" s="192"/>
      <c r="V266" s="192"/>
      <c r="W266" s="192"/>
      <c r="X266" s="98"/>
      <c r="Y266" s="96"/>
      <c r="Z266" s="192"/>
      <c r="AA266" s="192"/>
      <c r="AB266" s="192"/>
      <c r="AC266" s="98"/>
      <c r="AD266" s="99"/>
      <c r="AE266" s="96"/>
      <c r="AF266" s="96"/>
      <c r="AG266" s="13"/>
      <c r="AH266" s="13"/>
      <c r="AI266" s="13"/>
      <c r="AJ266" s="15"/>
    </row>
    <row r="267" spans="3:36">
      <c r="C267" s="13"/>
      <c r="D267" s="12"/>
      <c r="E267" s="97"/>
      <c r="F267" s="96"/>
      <c r="G267" s="96"/>
      <c r="H267" s="96"/>
      <c r="I267" s="96"/>
      <c r="J267" s="96"/>
      <c r="K267" s="94"/>
      <c r="L267" s="94"/>
      <c r="M267" s="94"/>
      <c r="N267" s="94"/>
      <c r="O267" s="94"/>
      <c r="P267" s="95"/>
      <c r="Q267" s="95"/>
      <c r="R267" s="95"/>
      <c r="S267" s="95"/>
      <c r="T267" s="94"/>
      <c r="U267" s="94"/>
      <c r="V267" s="96"/>
      <c r="W267" s="96"/>
      <c r="X267" s="96"/>
      <c r="Y267" s="81"/>
      <c r="Z267" s="81"/>
      <c r="AA267" s="81"/>
      <c r="AB267"/>
      <c r="AC267" s="98"/>
      <c r="AD267" s="99"/>
      <c r="AE267" s="96"/>
      <c r="AF267" s="96"/>
      <c r="AG267" s="13"/>
      <c r="AH267" s="13"/>
      <c r="AI267" s="13"/>
      <c r="AJ267" s="15"/>
    </row>
    <row r="268" spans="3:36">
      <c r="C268" s="13"/>
      <c r="D268" s="12"/>
      <c r="E268" s="97"/>
      <c r="F268" s="96"/>
      <c r="G268" s="96"/>
      <c r="H268" s="96"/>
      <c r="I268" s="410" t="s">
        <v>189</v>
      </c>
      <c r="J268" s="412"/>
      <c r="K268" s="412"/>
      <c r="L268" s="412"/>
      <c r="M268" s="412"/>
      <c r="N268" s="412"/>
      <c r="O268" s="412"/>
      <c r="P268" s="412"/>
      <c r="Q268" s="412"/>
      <c r="R268" s="412"/>
      <c r="S268" s="412"/>
      <c r="T268" s="412"/>
      <c r="U268" s="412"/>
      <c r="V268" s="412"/>
      <c r="W268" s="412"/>
      <c r="X268" s="412"/>
      <c r="Y268" s="412"/>
      <c r="Z268" s="412"/>
      <c r="AA268" s="412"/>
      <c r="AB268" s="411"/>
      <c r="AC268" s="13"/>
      <c r="AD268" s="13"/>
      <c r="AE268" s="13"/>
      <c r="AF268" s="13"/>
      <c r="AG268" s="13"/>
      <c r="AH268" s="13"/>
      <c r="AI268" s="13"/>
      <c r="AJ268" s="15"/>
    </row>
    <row r="269" spans="3:36">
      <c r="C269" s="13"/>
      <c r="D269" s="12"/>
      <c r="E269" s="13"/>
      <c r="F269" s="96"/>
      <c r="G269" s="96"/>
      <c r="H269" s="96"/>
      <c r="I269" s="508" t="s">
        <v>186</v>
      </c>
      <c r="J269" s="509"/>
      <c r="K269" s="509"/>
      <c r="L269" s="509"/>
      <c r="M269" s="509"/>
      <c r="N269" s="509"/>
      <c r="O269" s="509"/>
      <c r="P269" s="509"/>
      <c r="Q269" s="509"/>
      <c r="R269" s="509"/>
      <c r="S269" s="509"/>
      <c r="T269" s="509"/>
      <c r="U269" s="509"/>
      <c r="V269" s="509"/>
      <c r="W269" s="509"/>
      <c r="X269" s="509"/>
      <c r="Y269" s="509"/>
      <c r="Z269" s="509"/>
      <c r="AA269" s="509"/>
      <c r="AB269" s="510"/>
      <c r="AC269" s="13"/>
      <c r="AD269" s="13"/>
      <c r="AE269" s="13"/>
      <c r="AF269" s="13"/>
      <c r="AG269" s="13"/>
      <c r="AH269" s="13"/>
      <c r="AI269" s="13"/>
      <c r="AJ269" s="15"/>
    </row>
    <row r="270" spans="3:36">
      <c r="C270" s="13"/>
      <c r="D270" s="12"/>
      <c r="E270" s="97"/>
      <c r="F270" s="96"/>
      <c r="G270" s="96"/>
      <c r="H270" s="96"/>
      <c r="I270" s="498" t="s">
        <v>35</v>
      </c>
      <c r="J270" s="500"/>
      <c r="K270" s="500"/>
      <c r="L270" s="500"/>
      <c r="M270" s="500"/>
      <c r="N270" s="500"/>
      <c r="O270" s="500"/>
      <c r="P270" s="500"/>
      <c r="Q270" s="500"/>
      <c r="R270" s="500"/>
      <c r="S270" s="500"/>
      <c r="T270" s="500"/>
      <c r="U270" s="500"/>
      <c r="V270" s="500"/>
      <c r="W270" s="500"/>
      <c r="X270" s="500"/>
      <c r="Y270" s="500"/>
      <c r="Z270" s="500"/>
      <c r="AA270" s="500"/>
      <c r="AB270" s="499"/>
      <c r="AC270" s="13"/>
      <c r="AD270" s="13"/>
      <c r="AE270" s="13"/>
      <c r="AF270" s="13"/>
      <c r="AG270" s="13"/>
      <c r="AH270" s="13"/>
      <c r="AI270" s="13"/>
      <c r="AJ270" s="15"/>
    </row>
    <row r="271" spans="3:36">
      <c r="C271" s="13"/>
      <c r="D271" s="12"/>
      <c r="E271" s="542" t="s">
        <v>114</v>
      </c>
      <c r="F271" s="543"/>
      <c r="G271" s="544" t="s">
        <v>466</v>
      </c>
      <c r="H271" s="545"/>
      <c r="I271" s="626"/>
      <c r="J271" s="625"/>
      <c r="K271" s="625"/>
      <c r="L271" s="59"/>
      <c r="M271" s="10"/>
      <c r="N271" s="52"/>
      <c r="O271" s="10"/>
      <c r="P271" s="10"/>
      <c r="Q271" s="10"/>
      <c r="R271" s="59"/>
      <c r="S271" s="60"/>
      <c r="T271" s="52"/>
      <c r="U271" s="504"/>
      <c r="V271" s="504"/>
      <c r="W271" s="504"/>
      <c r="X271" s="59"/>
      <c r="Y271" s="10"/>
      <c r="Z271" s="475">
        <f>AG226*AG248</f>
        <v>607.5</v>
      </c>
      <c r="AA271" s="475"/>
      <c r="AB271" s="674"/>
      <c r="AC271" s="13"/>
      <c r="AD271" s="13"/>
      <c r="AE271" s="13"/>
      <c r="AF271" s="13"/>
      <c r="AG271" s="13"/>
      <c r="AH271" s="13"/>
      <c r="AI271" s="13"/>
      <c r="AJ271" s="15"/>
    </row>
    <row r="272" spans="3:36" ht="21">
      <c r="C272" s="13"/>
      <c r="D272" s="12"/>
      <c r="E272" s="554" t="s">
        <v>418</v>
      </c>
      <c r="F272" s="555"/>
      <c r="G272" s="641" t="s">
        <v>467</v>
      </c>
      <c r="H272" s="642"/>
      <c r="I272" s="139"/>
      <c r="J272" s="30"/>
      <c r="K272" s="30"/>
      <c r="L272" s="30"/>
      <c r="M272" s="30"/>
      <c r="N272" s="30"/>
      <c r="O272" s="438">
        <f>AB227*AB249</f>
        <v>16.604999999999997</v>
      </c>
      <c r="P272" s="438"/>
      <c r="Q272" s="438"/>
      <c r="R272" s="67" t="s">
        <v>227</v>
      </c>
      <c r="S272" s="68"/>
      <c r="T272" s="66" t="s">
        <v>68</v>
      </c>
      <c r="U272" s="507">
        <f>AB227*AG249</f>
        <v>298.89</v>
      </c>
      <c r="V272" s="507"/>
      <c r="W272" s="507"/>
      <c r="X272" s="67" t="s">
        <v>225</v>
      </c>
      <c r="Y272" s="30"/>
      <c r="Z272" s="30"/>
      <c r="AA272" s="30"/>
      <c r="AB272" s="80"/>
      <c r="AC272" s="13"/>
      <c r="AD272" s="13"/>
      <c r="AE272" s="13"/>
      <c r="AF272" s="13"/>
      <c r="AG272" s="13"/>
      <c r="AH272" s="13"/>
      <c r="AI272" s="13"/>
      <c r="AJ272" s="15"/>
    </row>
    <row r="273" spans="1:41" ht="21.75" thickBot="1">
      <c r="C273" s="13"/>
      <c r="D273" s="12"/>
      <c r="E273" s="556"/>
      <c r="F273" s="557"/>
      <c r="G273" s="544" t="s">
        <v>468</v>
      </c>
      <c r="H273" s="545"/>
      <c r="I273" s="570">
        <f>V228*AB250</f>
        <v>11.07</v>
      </c>
      <c r="J273" s="569"/>
      <c r="K273" s="569"/>
      <c r="L273" s="207" t="s">
        <v>228</v>
      </c>
      <c r="M273" s="13"/>
      <c r="N273" s="22" t="s">
        <v>68</v>
      </c>
      <c r="O273" s="452">
        <f>V228*AG250+AB228*AB250</f>
        <v>132.83999999999997</v>
      </c>
      <c r="P273" s="452"/>
      <c r="Q273" s="452"/>
      <c r="R273" s="207" t="s">
        <v>227</v>
      </c>
      <c r="S273" s="23"/>
      <c r="T273" s="66" t="s">
        <v>68</v>
      </c>
      <c r="U273" s="507">
        <f>AB228*AG250</f>
        <v>298.89</v>
      </c>
      <c r="V273" s="507"/>
      <c r="W273" s="507"/>
      <c r="X273" s="73" t="s">
        <v>225</v>
      </c>
      <c r="Y273" s="17"/>
      <c r="Z273" s="452"/>
      <c r="AA273" s="452"/>
      <c r="AB273" s="523"/>
      <c r="AC273" s="13"/>
      <c r="AD273" s="13"/>
      <c r="AE273" s="13"/>
      <c r="AF273" s="13"/>
      <c r="AG273" s="13"/>
      <c r="AH273" s="13"/>
      <c r="AI273" s="13"/>
      <c r="AJ273" s="15"/>
    </row>
    <row r="274" spans="1:41" ht="21.75" thickTop="1">
      <c r="C274" s="13"/>
      <c r="D274" s="12"/>
      <c r="E274" s="533" t="s">
        <v>185</v>
      </c>
      <c r="F274" s="534"/>
      <c r="G274" s="534"/>
      <c r="H274" s="535"/>
      <c r="I274" s="536">
        <f>SUM(I271:K273)</f>
        <v>11.07</v>
      </c>
      <c r="J274" s="537"/>
      <c r="K274" s="537"/>
      <c r="L274" s="26" t="s">
        <v>228</v>
      </c>
      <c r="M274" s="77"/>
      <c r="N274" s="78" t="s">
        <v>68</v>
      </c>
      <c r="O274" s="537">
        <f>SUM(O271:Q273)</f>
        <v>149.44499999999996</v>
      </c>
      <c r="P274" s="537"/>
      <c r="Q274" s="537"/>
      <c r="R274" s="26" t="s">
        <v>227</v>
      </c>
      <c r="S274" s="79"/>
      <c r="T274" s="78" t="s">
        <v>68</v>
      </c>
      <c r="U274" s="537">
        <f>SUM(U271:W273)</f>
        <v>597.78</v>
      </c>
      <c r="V274" s="537"/>
      <c r="W274" s="537"/>
      <c r="X274" s="26" t="s">
        <v>225</v>
      </c>
      <c r="Y274" s="78" t="s">
        <v>68</v>
      </c>
      <c r="Z274" s="537">
        <f>SUM(Z271:AB273)</f>
        <v>607.5</v>
      </c>
      <c r="AA274" s="537"/>
      <c r="AB274" s="538"/>
      <c r="AC274" s="98"/>
      <c r="AD274" s="99"/>
      <c r="AE274" s="96"/>
      <c r="AF274" s="96"/>
      <c r="AG274" s="13"/>
      <c r="AH274" s="13"/>
      <c r="AI274" s="13"/>
      <c r="AJ274" s="15"/>
    </row>
    <row r="275" spans="1:41">
      <c r="C275" s="13"/>
      <c r="D275" s="12"/>
      <c r="E275" s="97"/>
      <c r="F275" s="96"/>
      <c r="G275" s="96"/>
      <c r="H275" s="96"/>
      <c r="I275" s="96"/>
      <c r="J275" s="96"/>
      <c r="K275" s="94"/>
      <c r="L275" s="94"/>
      <c r="M275" s="94"/>
      <c r="N275" s="13"/>
      <c r="O275" s="13"/>
      <c r="P275" s="13"/>
      <c r="Q275" s="95"/>
      <c r="R275" s="95"/>
      <c r="S275" s="95"/>
      <c r="T275" s="94"/>
      <c r="U275" s="94"/>
      <c r="V275" s="96"/>
      <c r="W275" s="96"/>
      <c r="X275" s="96"/>
      <c r="Y275" s="81"/>
      <c r="Z275" s="81"/>
      <c r="AA275" s="81"/>
      <c r="AB275"/>
      <c r="AC275" s="98"/>
      <c r="AD275" s="13"/>
      <c r="AE275" s="13"/>
      <c r="AF275" s="13"/>
      <c r="AG275" s="13"/>
      <c r="AH275" s="84"/>
      <c r="AI275" s="84"/>
      <c r="AJ275" s="103"/>
    </row>
    <row r="276" spans="1:41">
      <c r="C276" s="13"/>
      <c r="D276" s="12"/>
      <c r="E276" s="13"/>
      <c r="F276" s="98" t="s">
        <v>187</v>
      </c>
      <c r="G276" s="96"/>
      <c r="H276" s="94"/>
      <c r="I276" s="94"/>
      <c r="Q276" s="95"/>
      <c r="R276" s="95"/>
      <c r="S276" s="95"/>
      <c r="T276" s="94"/>
      <c r="U276" s="94"/>
      <c r="V276" s="96"/>
      <c r="W276" s="96"/>
      <c r="X276" s="96"/>
      <c r="Y276" s="81"/>
      <c r="Z276" s="81"/>
      <c r="AA276" s="81"/>
      <c r="AB276"/>
      <c r="AC276" s="98"/>
      <c r="AD276" s="99"/>
      <c r="AE276" s="96"/>
      <c r="AF276" s="96"/>
      <c r="AG276" s="13"/>
      <c r="AH276" s="13"/>
      <c r="AI276" s="13"/>
      <c r="AJ276" s="15"/>
    </row>
    <row r="277" spans="1:41">
      <c r="C277" s="13"/>
      <c r="D277" s="12"/>
      <c r="E277" s="98" t="s">
        <v>89</v>
      </c>
      <c r="F277" s="96"/>
      <c r="G277" s="96"/>
      <c r="H277" s="96"/>
      <c r="I277" s="96"/>
      <c r="J277" s="96"/>
      <c r="K277" s="94"/>
      <c r="L277" s="94"/>
      <c r="M277" s="94"/>
      <c r="N277" s="94"/>
      <c r="O277" s="94"/>
      <c r="P277" s="96"/>
      <c r="Q277" s="96"/>
      <c r="R277" s="96"/>
      <c r="S277" s="96"/>
      <c r="T277" s="94"/>
      <c r="U277" s="94"/>
      <c r="V277" s="96"/>
      <c r="W277" s="96"/>
      <c r="X277" s="96"/>
      <c r="Y277" s="81"/>
      <c r="Z277" s="81"/>
      <c r="AA277" s="81"/>
      <c r="AB277"/>
      <c r="AC277" s="98"/>
      <c r="AD277" s="99"/>
      <c r="AE277" s="96"/>
      <c r="AF277" s="96"/>
      <c r="AG277" s="13"/>
      <c r="AH277" s="13"/>
      <c r="AI277" s="13"/>
      <c r="AJ277" s="15"/>
    </row>
    <row r="278" spans="1:41">
      <c r="C278" s="13"/>
      <c r="D278" s="12"/>
      <c r="E278" s="13"/>
      <c r="F278" s="98" t="s">
        <v>188</v>
      </c>
      <c r="G278" s="96"/>
      <c r="H278" s="94"/>
      <c r="I278" s="94"/>
      <c r="M278" s="94"/>
      <c r="R278" s="96"/>
      <c r="S278" s="96"/>
      <c r="T278" s="94"/>
      <c r="U278" s="94"/>
      <c r="V278" s="96"/>
      <c r="W278" s="96"/>
      <c r="X278" s="96"/>
      <c r="Y278" s="81"/>
      <c r="Z278" s="81"/>
      <c r="AA278" s="81"/>
      <c r="AB278"/>
      <c r="AC278" s="98"/>
      <c r="AD278" s="99"/>
      <c r="AE278" s="96"/>
      <c r="AF278" s="96"/>
      <c r="AG278" s="13"/>
      <c r="AH278" s="13"/>
      <c r="AI278" s="13"/>
      <c r="AJ278" s="15"/>
    </row>
    <row r="279" spans="1:41">
      <c r="C279" s="13"/>
      <c r="D279" s="12"/>
      <c r="E279" s="98" t="s">
        <v>67</v>
      </c>
      <c r="F279" s="96"/>
      <c r="G279" s="96"/>
      <c r="H279" s="96"/>
      <c r="AF279" s="96"/>
      <c r="AG279" s="13"/>
      <c r="AH279" s="13"/>
      <c r="AI279" s="13"/>
      <c r="AJ279" s="15"/>
    </row>
    <row r="280" spans="1:41" ht="21">
      <c r="C280" s="13"/>
      <c r="D280" s="12"/>
      <c r="E280" s="98"/>
      <c r="F280" s="627">
        <f>I265-I274</f>
        <v>-10.257</v>
      </c>
      <c r="G280" s="627"/>
      <c r="H280" s="627"/>
      <c r="I280" s="98" t="s">
        <v>228</v>
      </c>
      <c r="J280" s="13"/>
      <c r="K280" s="96" t="s">
        <v>68</v>
      </c>
      <c r="L280" s="627">
        <f>O265-O274</f>
        <v>-118.02924999999996</v>
      </c>
      <c r="M280" s="627"/>
      <c r="N280" s="627"/>
      <c r="O280" s="98" t="s">
        <v>227</v>
      </c>
      <c r="P280" s="99"/>
      <c r="Q280" s="96" t="s">
        <v>68</v>
      </c>
      <c r="R280" s="627">
        <f>U265-U274</f>
        <v>-286.09499999999991</v>
      </c>
      <c r="S280" s="627"/>
      <c r="T280" s="627"/>
      <c r="U280" s="98" t="s">
        <v>225</v>
      </c>
      <c r="V280" s="96" t="s">
        <v>68</v>
      </c>
      <c r="W280" s="628">
        <f>Z265-Z274</f>
        <v>446.37300000000005</v>
      </c>
      <c r="X280" s="628"/>
      <c r="Y280" s="628"/>
      <c r="Z280" s="98"/>
      <c r="AA280" s="99" t="s">
        <v>2</v>
      </c>
      <c r="AB280" s="104">
        <v>0</v>
      </c>
      <c r="AF280" s="96"/>
      <c r="AG280" s="13"/>
      <c r="AH280" s="13"/>
      <c r="AI280" s="13"/>
      <c r="AJ280" s="15"/>
    </row>
    <row r="281" spans="1:41">
      <c r="C281" s="13"/>
      <c r="D281" s="12"/>
      <c r="E281" s="98"/>
      <c r="F281" s="96"/>
      <c r="G281" s="96"/>
      <c r="H281" s="96"/>
      <c r="I281" s="96"/>
      <c r="J281" s="96"/>
      <c r="K281" s="94"/>
      <c r="L281" s="94"/>
      <c r="M281" s="94"/>
      <c r="N281" s="94"/>
      <c r="O281" s="94"/>
      <c r="P281" s="96"/>
      <c r="Q281" s="96"/>
      <c r="R281" s="96"/>
      <c r="S281" s="96"/>
      <c r="T281" s="94"/>
      <c r="U281" s="94"/>
      <c r="V281" s="96"/>
      <c r="W281" s="96"/>
      <c r="X281" s="96"/>
      <c r="Y281" s="81"/>
      <c r="Z281" s="81"/>
      <c r="AA281" s="81"/>
      <c r="AB281"/>
      <c r="AC281" s="98"/>
      <c r="AD281" s="99"/>
      <c r="AE281" s="96"/>
      <c r="AF281" s="96"/>
      <c r="AG281" s="13"/>
      <c r="AH281" s="13"/>
      <c r="AI281" s="13"/>
      <c r="AJ281" s="15"/>
    </row>
    <row r="282" spans="1:41">
      <c r="C282" s="13"/>
      <c r="D282" s="12"/>
      <c r="E282" s="98" t="s">
        <v>190</v>
      </c>
      <c r="F282" s="96"/>
      <c r="G282" s="96"/>
      <c r="H282" s="96"/>
      <c r="I282" s="96"/>
      <c r="J282" s="96"/>
      <c r="K282" s="94"/>
      <c r="L282" s="94"/>
      <c r="M282" s="94"/>
      <c r="N282" s="94"/>
      <c r="O282" s="94"/>
      <c r="P282" s="96"/>
      <c r="Q282" s="96"/>
      <c r="R282" s="96"/>
      <c r="S282" s="96"/>
      <c r="T282" s="94"/>
      <c r="U282" s="94"/>
      <c r="V282" s="96"/>
      <c r="W282" s="96"/>
      <c r="X282" s="96"/>
      <c r="Y282" s="81"/>
      <c r="Z282" s="81"/>
      <c r="AA282" s="81"/>
      <c r="AB282"/>
      <c r="AC282" s="98"/>
      <c r="AD282" s="99"/>
      <c r="AE282" s="96"/>
      <c r="AF282" s="96"/>
      <c r="AG282" s="13"/>
      <c r="AH282" s="13"/>
      <c r="AI282" s="13"/>
      <c r="AJ282" s="15"/>
    </row>
    <row r="283" spans="1:41" customFormat="1">
      <c r="A283" s="82"/>
      <c r="B283" s="82"/>
      <c r="C283" s="82"/>
      <c r="D283" s="88"/>
      <c r="E283" s="82"/>
      <c r="F283" s="82"/>
      <c r="G283" s="85"/>
      <c r="H283" s="3"/>
      <c r="I283" s="86" t="s">
        <v>191</v>
      </c>
      <c r="J283" s="539">
        <f>-L280/(3*F280)</f>
        <v>-3.8357300705209436</v>
      </c>
      <c r="K283" s="539"/>
      <c r="L283" s="539"/>
      <c r="M283" s="86"/>
      <c r="N283" s="86"/>
      <c r="O283" s="86"/>
      <c r="P283" s="86"/>
      <c r="Q283" s="86"/>
      <c r="R283" s="86"/>
      <c r="S283" s="86"/>
      <c r="T283" s="86"/>
      <c r="U283" s="86"/>
      <c r="V283" s="86"/>
      <c r="W283" s="86"/>
      <c r="X283" s="86"/>
      <c r="Y283" s="86"/>
      <c r="Z283" s="86"/>
      <c r="AA283" s="86"/>
      <c r="AB283" s="86"/>
      <c r="AC283" s="86"/>
      <c r="AD283" s="86"/>
      <c r="AE283" s="86"/>
      <c r="AF283" s="86"/>
      <c r="AG283" s="86"/>
      <c r="AH283" s="86"/>
      <c r="AI283" s="87"/>
      <c r="AJ283" s="89"/>
      <c r="AK283" s="82"/>
      <c r="AL283" s="82"/>
      <c r="AM283" s="82"/>
      <c r="AN283" s="82"/>
      <c r="AO283" s="82"/>
    </row>
    <row r="284" spans="1:41" customFormat="1">
      <c r="A284" s="82"/>
      <c r="B284" s="82"/>
      <c r="C284" s="82"/>
      <c r="D284" s="88"/>
      <c r="E284" s="82"/>
      <c r="F284" s="82"/>
      <c r="G284" s="88"/>
      <c r="H284" s="83" t="s">
        <v>192</v>
      </c>
      <c r="I284" s="83"/>
      <c r="J284" s="83"/>
      <c r="K284" s="83"/>
      <c r="L284" s="83"/>
      <c r="M284" s="83"/>
      <c r="N284" s="83"/>
      <c r="O284" s="83"/>
      <c r="P284" s="83"/>
      <c r="Q284" s="83"/>
      <c r="R284" s="83"/>
      <c r="S284" s="83"/>
      <c r="T284" s="83"/>
      <c r="U284" s="83"/>
      <c r="V284" s="83"/>
      <c r="W284" s="83"/>
      <c r="X284" s="83"/>
      <c r="Y284" s="83"/>
      <c r="Z284" s="83"/>
      <c r="AA284" s="83"/>
      <c r="AB284" s="83"/>
      <c r="AC284" s="83"/>
      <c r="AD284" s="83"/>
      <c r="AE284" s="83"/>
      <c r="AF284" s="83"/>
      <c r="AG284" s="83"/>
      <c r="AH284" s="82"/>
      <c r="AI284" s="89"/>
      <c r="AJ284" s="89"/>
      <c r="AK284" s="82"/>
      <c r="AL284" s="82"/>
      <c r="AM284" s="82"/>
      <c r="AN284" s="82"/>
      <c r="AO284" s="82"/>
    </row>
    <row r="285" spans="1:41" customFormat="1">
      <c r="A285" s="82"/>
      <c r="B285" s="82"/>
      <c r="C285" s="82"/>
      <c r="D285" s="88"/>
      <c r="E285" s="82"/>
      <c r="F285" s="82"/>
      <c r="G285" s="88"/>
      <c r="H285" s="82"/>
      <c r="I285" s="82" t="s">
        <v>193</v>
      </c>
      <c r="J285" s="520">
        <f>R280/F280-L280^2/(3*F280^2)</f>
        <v>-16.245816849569472</v>
      </c>
      <c r="K285" s="520"/>
      <c r="L285" s="520"/>
      <c r="M285" s="82"/>
      <c r="N285" s="82"/>
      <c r="O285" s="82"/>
      <c r="P285" s="82"/>
      <c r="Q285" s="82"/>
      <c r="R285" s="82"/>
      <c r="S285" s="82"/>
      <c r="T285" s="82"/>
      <c r="U285" s="82"/>
      <c r="V285" s="82"/>
      <c r="W285" s="82"/>
      <c r="X285" s="82"/>
      <c r="Y285" s="82" t="s">
        <v>194</v>
      </c>
      <c r="Z285" s="520">
        <f>(J286/2)^2+(J285/3)^3</f>
        <v>195.3645639034782</v>
      </c>
      <c r="AA285" s="520"/>
      <c r="AB285" s="520"/>
      <c r="AC285" s="82"/>
      <c r="AD285" s="82"/>
      <c r="AE285" s="82"/>
      <c r="AF285" s="82"/>
      <c r="AG285" s="82"/>
      <c r="AH285" s="82"/>
      <c r="AI285" s="89"/>
      <c r="AJ285" s="89"/>
      <c r="AK285" s="82"/>
      <c r="AL285" s="82"/>
      <c r="AM285" s="82"/>
      <c r="AN285" s="82"/>
      <c r="AO285" s="82"/>
    </row>
    <row r="286" spans="1:41" customFormat="1">
      <c r="A286" s="82"/>
      <c r="B286" s="82"/>
      <c r="C286" s="82"/>
      <c r="D286" s="88"/>
      <c r="E286" s="82"/>
      <c r="F286" s="82"/>
      <c r="G286" s="88"/>
      <c r="H286" s="82"/>
      <c r="I286" s="82" t="s">
        <v>195</v>
      </c>
      <c r="J286" s="520">
        <f>W280/F280-R280*L280/(3*F280^2)+2*L280^3/(27*F280^3)</f>
        <v>-37.638722897023996</v>
      </c>
      <c r="K286" s="520"/>
      <c r="L286" s="520"/>
      <c r="M286" s="82"/>
      <c r="N286" s="82"/>
      <c r="O286" s="82"/>
      <c r="P286" s="82"/>
      <c r="Q286" s="82"/>
      <c r="R286" s="82"/>
      <c r="S286" s="82"/>
      <c r="T286" s="82"/>
      <c r="U286" s="82"/>
      <c r="V286" s="82"/>
      <c r="W286" s="82"/>
      <c r="X286" s="82"/>
      <c r="Y286" s="82"/>
      <c r="Z286" s="82"/>
      <c r="AA286" s="82"/>
      <c r="AB286" s="82"/>
      <c r="AC286" s="82"/>
      <c r="AD286" s="82"/>
      <c r="AE286" s="82"/>
      <c r="AF286" s="82"/>
      <c r="AG286" s="82"/>
      <c r="AH286" s="82"/>
      <c r="AI286" s="89"/>
      <c r="AJ286" s="89"/>
      <c r="AK286" s="82"/>
      <c r="AL286" s="82"/>
      <c r="AM286" s="82"/>
      <c r="AN286" s="82"/>
      <c r="AO286" s="82"/>
    </row>
    <row r="287" spans="1:41" customFormat="1">
      <c r="A287" s="82"/>
      <c r="B287" s="82"/>
      <c r="C287" s="82"/>
      <c r="D287" s="88"/>
      <c r="E287" s="82"/>
      <c r="F287" s="82"/>
      <c r="G287" s="88"/>
      <c r="H287" s="82"/>
      <c r="I287" s="82"/>
      <c r="J287" s="82"/>
      <c r="K287" s="82"/>
      <c r="L287" s="82"/>
      <c r="M287" s="82"/>
      <c r="N287" s="82"/>
      <c r="O287" s="82"/>
      <c r="P287" s="82"/>
      <c r="Q287" s="82"/>
      <c r="R287" s="82"/>
      <c r="S287" s="82"/>
      <c r="T287" s="82"/>
      <c r="U287" s="82"/>
      <c r="V287" s="82"/>
      <c r="W287" s="82"/>
      <c r="X287" s="82"/>
      <c r="Y287" s="82"/>
      <c r="Z287" s="82"/>
      <c r="AA287" s="82"/>
      <c r="AB287" s="82"/>
      <c r="AC287" s="82"/>
      <c r="AD287" s="82"/>
      <c r="AE287" s="82"/>
      <c r="AF287" s="82"/>
      <c r="AG287" s="82"/>
      <c r="AH287" s="82"/>
      <c r="AI287" s="89"/>
      <c r="AJ287" s="89"/>
      <c r="AK287" s="82"/>
      <c r="AL287" s="82"/>
      <c r="AM287" s="82"/>
      <c r="AN287" s="82"/>
      <c r="AO287" s="82"/>
    </row>
    <row r="288" spans="1:41" customFormat="1">
      <c r="A288" s="82"/>
      <c r="B288" s="82"/>
      <c r="C288" s="82"/>
      <c r="D288" s="88"/>
      <c r="E288" s="82"/>
      <c r="F288" s="82"/>
      <c r="G288" s="88"/>
      <c r="H288" s="82"/>
      <c r="I288" s="82"/>
      <c r="J288" s="82" t="s">
        <v>196</v>
      </c>
      <c r="K288" s="82"/>
      <c r="L288" s="82"/>
      <c r="M288" s="82"/>
      <c r="N288" s="82" t="s">
        <v>197</v>
      </c>
      <c r="O288" s="82"/>
      <c r="P288" s="82"/>
      <c r="Q288" s="82"/>
      <c r="R288" s="82"/>
      <c r="S288" s="82"/>
      <c r="T288" s="82"/>
      <c r="U288" s="82"/>
      <c r="V288" s="82"/>
      <c r="W288" s="82"/>
      <c r="X288" s="82"/>
      <c r="Y288" s="82"/>
      <c r="Z288" s="82" t="s">
        <v>198</v>
      </c>
      <c r="AA288" s="82"/>
      <c r="AB288" s="82"/>
      <c r="AC288" s="82"/>
      <c r="AD288" s="82"/>
      <c r="AE288" s="82"/>
      <c r="AF288" s="82"/>
      <c r="AG288" s="82"/>
      <c r="AH288" s="82"/>
      <c r="AI288" s="89"/>
      <c r="AJ288" s="89"/>
      <c r="AK288" s="82"/>
      <c r="AL288" s="82"/>
      <c r="AM288" s="82"/>
      <c r="AN288" s="82"/>
      <c r="AO288" s="82"/>
    </row>
    <row r="289" spans="1:41" customFormat="1">
      <c r="A289" s="82"/>
      <c r="B289" s="82"/>
      <c r="C289" s="82"/>
      <c r="D289" s="88"/>
      <c r="E289" s="82"/>
      <c r="F289" s="82"/>
      <c r="G289" s="88"/>
      <c r="H289" s="82"/>
      <c r="I289" s="82" t="s">
        <v>65</v>
      </c>
      <c r="J289" s="520">
        <f>IF(Z285&gt;=0,-J286/2+SQRT(Z285),-J286/2)</f>
        <v>32.796648878606518</v>
      </c>
      <c r="K289" s="520"/>
      <c r="L289" s="520"/>
      <c r="M289" s="82" t="s">
        <v>68</v>
      </c>
      <c r="N289" s="520">
        <f>IF(Z285&gt;=0,0,SQRT(-Z285))</f>
        <v>0</v>
      </c>
      <c r="O289" s="520"/>
      <c r="P289" s="520"/>
      <c r="Q289" s="82" t="s">
        <v>199</v>
      </c>
      <c r="R289" s="82"/>
      <c r="S289" s="82"/>
      <c r="T289" s="82"/>
      <c r="U289" s="82"/>
      <c r="V289" s="82"/>
      <c r="W289" s="82"/>
      <c r="X289" s="82"/>
      <c r="Y289" s="82" t="s">
        <v>200</v>
      </c>
      <c r="Z289" s="520">
        <f>SQRT(J289^2+N289^2)</f>
        <v>32.796648878606518</v>
      </c>
      <c r="AA289" s="520"/>
      <c r="AB289" s="520"/>
      <c r="AC289" s="82"/>
      <c r="AD289" s="82" t="s">
        <v>201</v>
      </c>
      <c r="AE289" s="520">
        <f>ATAN2(J289,N289)</f>
        <v>0</v>
      </c>
      <c r="AF289" s="520"/>
      <c r="AG289" s="520"/>
      <c r="AH289" s="82"/>
      <c r="AI289" s="89"/>
      <c r="AJ289" s="89"/>
      <c r="AK289" s="82"/>
      <c r="AL289" s="82"/>
      <c r="AM289" s="82"/>
      <c r="AN289" s="82"/>
      <c r="AO289" s="82"/>
    </row>
    <row r="290" spans="1:41" customFormat="1">
      <c r="A290" s="82"/>
      <c r="B290" s="82"/>
      <c r="C290" s="82"/>
      <c r="D290" s="88"/>
      <c r="E290" s="82"/>
      <c r="F290" s="82"/>
      <c r="G290" s="88"/>
      <c r="H290" s="82"/>
      <c r="I290" s="82" t="s">
        <v>202</v>
      </c>
      <c r="J290" s="520">
        <f>IF(Z285&gt;=0,-J286/2-SQRT(Z285),-J286/2)</f>
        <v>4.8420740184174811</v>
      </c>
      <c r="K290" s="520"/>
      <c r="L290" s="520"/>
      <c r="M290" s="82" t="s">
        <v>68</v>
      </c>
      <c r="N290" s="520">
        <f>IF(Z285&gt;=0,0,-SQRT(-Z285))</f>
        <v>0</v>
      </c>
      <c r="O290" s="520"/>
      <c r="P290" s="520"/>
      <c r="Q290" s="82" t="s">
        <v>199</v>
      </c>
      <c r="R290" s="82"/>
      <c r="S290" s="82"/>
      <c r="T290" s="82"/>
      <c r="U290" s="82"/>
      <c r="V290" s="82"/>
      <c r="W290" s="82"/>
      <c r="X290" s="82"/>
      <c r="Y290" s="82" t="s">
        <v>200</v>
      </c>
      <c r="Z290" s="520">
        <f>SQRT(J290^2+N290^2)</f>
        <v>4.8420740184174811</v>
      </c>
      <c r="AA290" s="520"/>
      <c r="AB290" s="520"/>
      <c r="AC290" s="82"/>
      <c r="AD290" s="82" t="s">
        <v>201</v>
      </c>
      <c r="AE290" s="520">
        <f>ATAN2(J290,N290)</f>
        <v>0</v>
      </c>
      <c r="AF290" s="520"/>
      <c r="AG290" s="520"/>
      <c r="AH290" s="82"/>
      <c r="AI290" s="89"/>
      <c r="AJ290" s="89"/>
      <c r="AK290" s="82"/>
      <c r="AL290" s="82"/>
      <c r="AM290" s="82"/>
      <c r="AN290" s="82"/>
      <c r="AO290" s="82"/>
    </row>
    <row r="291" spans="1:41" customFormat="1">
      <c r="A291" s="82"/>
      <c r="B291" s="82"/>
      <c r="C291" s="82"/>
      <c r="D291" s="88"/>
      <c r="E291" s="82"/>
      <c r="F291" s="82"/>
      <c r="G291" s="88"/>
      <c r="H291" s="82"/>
      <c r="I291" s="82"/>
      <c r="J291" s="82"/>
      <c r="K291" s="82"/>
      <c r="L291" s="82"/>
      <c r="M291" s="82"/>
      <c r="N291" s="82"/>
      <c r="O291" s="82"/>
      <c r="P291" s="82"/>
      <c r="Q291" s="82"/>
      <c r="R291" s="82"/>
      <c r="S291" s="82"/>
      <c r="T291" s="82"/>
      <c r="U291" s="82"/>
      <c r="V291" s="82"/>
      <c r="W291" s="82"/>
      <c r="X291" s="82"/>
      <c r="Y291" s="82"/>
      <c r="Z291" s="82"/>
      <c r="AA291" s="82"/>
      <c r="AB291" s="82"/>
      <c r="AC291" s="82"/>
      <c r="AD291" s="82"/>
      <c r="AE291" s="82"/>
      <c r="AF291" s="82"/>
      <c r="AG291" s="82"/>
      <c r="AH291" s="82"/>
      <c r="AI291" s="89"/>
      <c r="AJ291" s="89"/>
      <c r="AK291" s="82"/>
      <c r="AL291" s="82"/>
      <c r="AM291" s="82"/>
      <c r="AN291" s="82"/>
      <c r="AO291" s="82"/>
    </row>
    <row r="292" spans="1:41" customFormat="1">
      <c r="A292" s="82"/>
      <c r="B292" s="82"/>
      <c r="C292" s="82"/>
      <c r="D292" s="88"/>
      <c r="E292" s="82"/>
      <c r="F292" s="82"/>
      <c r="G292" s="88"/>
      <c r="H292" s="83" t="s">
        <v>203</v>
      </c>
      <c r="I292" s="83"/>
      <c r="J292" s="83"/>
      <c r="K292" s="83"/>
      <c r="L292" s="83"/>
      <c r="M292" s="83"/>
      <c r="N292" s="83"/>
      <c r="O292" s="83"/>
      <c r="P292" s="83"/>
      <c r="Q292" s="83"/>
      <c r="R292" s="83"/>
      <c r="S292" s="83"/>
      <c r="T292" s="83"/>
      <c r="U292" s="83"/>
      <c r="V292" s="83"/>
      <c r="W292" s="83"/>
      <c r="X292" s="83"/>
      <c r="Y292" s="83"/>
      <c r="Z292" s="83"/>
      <c r="AA292" s="83"/>
      <c r="AB292" s="83"/>
      <c r="AC292" s="83"/>
      <c r="AD292" s="83"/>
      <c r="AE292" s="83"/>
      <c r="AF292" s="83"/>
      <c r="AG292" s="83"/>
      <c r="AH292" s="82"/>
      <c r="AI292" s="89"/>
      <c r="AJ292" s="89"/>
      <c r="AK292" s="82"/>
      <c r="AL292" s="82"/>
      <c r="AM292" s="82"/>
      <c r="AN292" s="82"/>
      <c r="AO292" s="82"/>
    </row>
    <row r="293" spans="1:41" customFormat="1">
      <c r="A293" s="82"/>
      <c r="B293" s="82"/>
      <c r="C293" s="82"/>
      <c r="D293" s="88"/>
      <c r="E293" s="82"/>
      <c r="F293" s="82"/>
      <c r="G293" s="88"/>
      <c r="H293" s="82"/>
      <c r="I293" s="82"/>
      <c r="J293" s="82" t="s">
        <v>204</v>
      </c>
      <c r="K293" s="82"/>
      <c r="L293" s="82"/>
      <c r="M293" s="82"/>
      <c r="N293" s="82" t="s">
        <v>197</v>
      </c>
      <c r="O293" s="82"/>
      <c r="P293" s="82"/>
      <c r="Q293" s="82"/>
      <c r="R293" s="82"/>
      <c r="S293" s="82"/>
      <c r="T293" s="82"/>
      <c r="U293" s="82"/>
      <c r="V293" s="82"/>
      <c r="W293" s="82"/>
      <c r="X293" s="82"/>
      <c r="Y293" s="82"/>
      <c r="Z293" s="82"/>
      <c r="AA293" s="82"/>
      <c r="AB293" s="82"/>
      <c r="AC293" s="82"/>
      <c r="AD293" s="82"/>
      <c r="AE293" s="82"/>
      <c r="AF293" s="82"/>
      <c r="AG293" s="82"/>
      <c r="AH293" s="82"/>
      <c r="AI293" s="89"/>
      <c r="AJ293" s="89"/>
      <c r="AK293" s="82"/>
      <c r="AL293" s="82"/>
      <c r="AM293" s="82"/>
      <c r="AN293" s="82"/>
      <c r="AO293" s="82"/>
    </row>
    <row r="294" spans="1:41" customFormat="1">
      <c r="A294" s="82"/>
      <c r="B294" s="82"/>
      <c r="C294" s="82"/>
      <c r="D294" s="88"/>
      <c r="E294" s="82"/>
      <c r="F294" s="82"/>
      <c r="G294" s="88"/>
      <c r="H294" s="82"/>
      <c r="I294" s="82" t="s">
        <v>149</v>
      </c>
      <c r="J294" s="520">
        <f>IF(Z289&gt;0,Z289^(1/3)*COS(AE289/3),0)</f>
        <v>3.2009323090323858</v>
      </c>
      <c r="K294" s="520"/>
      <c r="L294" s="520"/>
      <c r="M294" s="82" t="s">
        <v>68</v>
      </c>
      <c r="N294" s="520">
        <f>IF(Z289&gt;0,Z289^(1/3)*SIN(AE289/3),0)</f>
        <v>0</v>
      </c>
      <c r="O294" s="520"/>
      <c r="P294" s="520"/>
      <c r="Q294" s="82" t="s">
        <v>199</v>
      </c>
      <c r="R294" s="82"/>
      <c r="S294" s="82"/>
      <c r="T294" s="82"/>
      <c r="U294" s="82"/>
      <c r="V294" s="82"/>
      <c r="W294" s="82"/>
      <c r="X294" s="82"/>
      <c r="Y294" s="82" t="s">
        <v>200</v>
      </c>
      <c r="Z294" s="520">
        <f>J294^2+N294^2</f>
        <v>10.245967647007401</v>
      </c>
      <c r="AA294" s="520"/>
      <c r="AB294" s="520"/>
      <c r="AC294" s="82"/>
      <c r="AD294" s="82" t="s">
        <v>201</v>
      </c>
      <c r="AE294" s="520">
        <f>ATAN2(J294,N294)</f>
        <v>0</v>
      </c>
      <c r="AF294" s="520"/>
      <c r="AG294" s="520"/>
      <c r="AH294" s="82"/>
      <c r="AI294" s="89"/>
      <c r="AJ294" s="89"/>
      <c r="AK294" s="82"/>
      <c r="AL294" s="82"/>
      <c r="AM294" s="82"/>
      <c r="AN294" s="82"/>
      <c r="AO294" s="82"/>
    </row>
    <row r="295" spans="1:41" customFormat="1">
      <c r="A295" s="82"/>
      <c r="B295" s="82"/>
      <c r="C295" s="82"/>
      <c r="D295" s="88"/>
      <c r="E295" s="82"/>
      <c r="F295" s="82"/>
      <c r="G295" s="88"/>
      <c r="H295" s="82"/>
      <c r="I295" s="82" t="s">
        <v>6</v>
      </c>
      <c r="J295" s="520">
        <f>IF(Z294&gt;0,-J285*J294/(3*Z294),Z290^(1/3)*COS(AE290/3))</f>
        <v>1.6917796942812622</v>
      </c>
      <c r="K295" s="520"/>
      <c r="L295" s="520"/>
      <c r="M295" s="82" t="s">
        <v>68</v>
      </c>
      <c r="N295" s="520">
        <f>IF(Z294&gt;0, J285*N294/(3*Z294),Z290^(1/3)*SIN(AE290/3))</f>
        <v>0</v>
      </c>
      <c r="O295" s="520"/>
      <c r="P295" s="520"/>
      <c r="Q295" s="82" t="s">
        <v>199</v>
      </c>
      <c r="R295" s="82"/>
      <c r="S295" s="82"/>
      <c r="T295" s="82"/>
      <c r="U295" s="82"/>
      <c r="V295" s="82"/>
      <c r="W295" s="82"/>
      <c r="X295" s="82"/>
      <c r="Y295" s="82" t="s">
        <v>200</v>
      </c>
      <c r="Z295" s="520">
        <f>J295^2+N295^2</f>
        <v>2.8621185339824011</v>
      </c>
      <c r="AA295" s="520"/>
      <c r="AB295" s="520"/>
      <c r="AC295" s="82"/>
      <c r="AD295" s="82" t="s">
        <v>201</v>
      </c>
      <c r="AE295" s="520">
        <f>ATAN2(J295,N295)</f>
        <v>0</v>
      </c>
      <c r="AF295" s="520"/>
      <c r="AG295" s="520"/>
      <c r="AH295" s="82"/>
      <c r="AI295" s="89"/>
      <c r="AJ295" s="89"/>
      <c r="AK295" s="82"/>
      <c r="AL295" s="82"/>
      <c r="AM295" s="82"/>
      <c r="AN295" s="82"/>
      <c r="AO295" s="82"/>
    </row>
    <row r="296" spans="1:41" customFormat="1">
      <c r="A296" s="82"/>
      <c r="B296" s="82"/>
      <c r="C296" s="82"/>
      <c r="D296" s="88"/>
      <c r="E296" s="82"/>
      <c r="F296" s="82"/>
      <c r="G296" s="88"/>
      <c r="H296" s="82"/>
      <c r="I296" s="82"/>
      <c r="J296" s="82"/>
      <c r="K296" s="82"/>
      <c r="L296" s="82"/>
      <c r="M296" s="82"/>
      <c r="N296" s="82"/>
      <c r="O296" s="82"/>
      <c r="P296" s="82"/>
      <c r="Q296" s="82"/>
      <c r="R296" s="82"/>
      <c r="S296" s="82"/>
      <c r="T296" s="82"/>
      <c r="U296" s="82"/>
      <c r="V296" s="82"/>
      <c r="W296" s="82"/>
      <c r="X296" s="82"/>
      <c r="Y296" s="82"/>
      <c r="Z296" s="82"/>
      <c r="AA296" s="82"/>
      <c r="AB296" s="82"/>
      <c r="AC296" s="82"/>
      <c r="AD296" s="82"/>
      <c r="AE296" s="82"/>
      <c r="AF296" s="82"/>
      <c r="AG296" s="82"/>
      <c r="AH296" s="82"/>
      <c r="AI296" s="89"/>
      <c r="AJ296" s="89"/>
      <c r="AK296" s="82"/>
      <c r="AL296" s="82"/>
      <c r="AM296" s="82"/>
      <c r="AN296" s="82"/>
      <c r="AO296" s="82"/>
    </row>
    <row r="297" spans="1:41" customFormat="1">
      <c r="A297" s="82"/>
      <c r="B297" s="82"/>
      <c r="C297" s="82"/>
      <c r="D297" s="88"/>
      <c r="E297" s="82"/>
      <c r="F297" s="82"/>
      <c r="G297" s="88"/>
      <c r="H297" s="82"/>
      <c r="I297" s="90" t="s">
        <v>205</v>
      </c>
      <c r="J297" s="520">
        <f>(-J294-N294*SQRT(3))/2</f>
        <v>-1.6004661545161929</v>
      </c>
      <c r="K297" s="520"/>
      <c r="L297" s="520"/>
      <c r="M297" s="82" t="s">
        <v>68</v>
      </c>
      <c r="N297" s="520">
        <f>(J294*SQRT(3)-N294)/2</f>
        <v>2.7720886954164272</v>
      </c>
      <c r="O297" s="520"/>
      <c r="P297" s="520"/>
      <c r="Q297" s="82" t="s">
        <v>199</v>
      </c>
      <c r="R297" s="82"/>
      <c r="S297" s="82"/>
      <c r="T297" s="82"/>
      <c r="U297" s="82"/>
      <c r="V297" s="82"/>
      <c r="W297" s="82"/>
      <c r="X297" s="82"/>
      <c r="Y297" s="82" t="s">
        <v>200</v>
      </c>
      <c r="Z297" s="520">
        <f>J297^2+N297^2</f>
        <v>10.245967647007401</v>
      </c>
      <c r="AA297" s="520"/>
      <c r="AB297" s="520"/>
      <c r="AC297" s="82"/>
      <c r="AD297" s="82" t="s">
        <v>201</v>
      </c>
      <c r="AE297" s="520">
        <f>ATAN2(J297,N297)</f>
        <v>2.0943951023931957</v>
      </c>
      <c r="AF297" s="520"/>
      <c r="AG297" s="520"/>
      <c r="AH297" s="82"/>
      <c r="AI297" s="89"/>
      <c r="AJ297" s="89"/>
      <c r="AK297" s="82"/>
      <c r="AL297" s="82"/>
      <c r="AM297" s="82"/>
      <c r="AN297" s="82"/>
      <c r="AO297" s="82"/>
    </row>
    <row r="298" spans="1:41" customFormat="1">
      <c r="A298" s="82"/>
      <c r="B298" s="82"/>
      <c r="C298" s="82"/>
      <c r="D298" s="88"/>
      <c r="E298" s="82"/>
      <c r="F298" s="82"/>
      <c r="G298" s="88"/>
      <c r="H298" s="82"/>
      <c r="I298" s="90" t="s">
        <v>206</v>
      </c>
      <c r="J298" s="520">
        <f>(-J295+N295*SQRT(3))/2</f>
        <v>-0.84588984714063109</v>
      </c>
      <c r="K298" s="520"/>
      <c r="L298" s="520"/>
      <c r="M298" s="82" t="s">
        <v>68</v>
      </c>
      <c r="N298" s="520">
        <f>(-J295*SQRT(3)-N295)/2</f>
        <v>-1.4651241928542442</v>
      </c>
      <c r="O298" s="520"/>
      <c r="P298" s="520"/>
      <c r="Q298" s="82" t="s">
        <v>199</v>
      </c>
      <c r="R298" s="82"/>
      <c r="S298" s="82"/>
      <c r="T298" s="82"/>
      <c r="U298" s="82"/>
      <c r="V298" s="82"/>
      <c r="W298" s="82"/>
      <c r="X298" s="82"/>
      <c r="Y298" s="82" t="s">
        <v>200</v>
      </c>
      <c r="Z298" s="520">
        <f>J298^2+N298^2</f>
        <v>2.8621185339824011</v>
      </c>
      <c r="AA298" s="520"/>
      <c r="AB298" s="520"/>
      <c r="AC298" s="82"/>
      <c r="AD298" s="82" t="s">
        <v>201</v>
      </c>
      <c r="AE298" s="520">
        <f>ATAN2(J298,N298)</f>
        <v>-2.0943951023931957</v>
      </c>
      <c r="AF298" s="520"/>
      <c r="AG298" s="520"/>
      <c r="AH298" s="82"/>
      <c r="AI298" s="89"/>
      <c r="AJ298" s="89"/>
      <c r="AK298" s="82"/>
      <c r="AL298" s="82"/>
      <c r="AM298" s="82"/>
      <c r="AN298" s="82"/>
      <c r="AO298" s="82"/>
    </row>
    <row r="299" spans="1:41" customFormat="1">
      <c r="A299" s="82"/>
      <c r="B299" s="82"/>
      <c r="C299" s="82"/>
      <c r="D299" s="88"/>
      <c r="E299" s="82"/>
      <c r="F299" s="82"/>
      <c r="G299" s="88"/>
      <c r="H299" s="82"/>
      <c r="I299" s="82"/>
      <c r="J299" s="82"/>
      <c r="K299" s="82"/>
      <c r="L299" s="82"/>
      <c r="M299" s="82"/>
      <c r="N299" s="82"/>
      <c r="O299" s="82"/>
      <c r="P299" s="82"/>
      <c r="Q299" s="82"/>
      <c r="R299" s="82"/>
      <c r="S299" s="82"/>
      <c r="T299" s="82"/>
      <c r="U299" s="82"/>
      <c r="V299" s="82"/>
      <c r="W299" s="82"/>
      <c r="X299" s="82"/>
      <c r="Y299" s="82"/>
      <c r="Z299" s="82"/>
      <c r="AA299" s="82"/>
      <c r="AB299" s="82"/>
      <c r="AC299" s="82"/>
      <c r="AD299" s="82"/>
      <c r="AE299" s="82"/>
      <c r="AF299" s="82"/>
      <c r="AG299" s="82"/>
      <c r="AH299" s="82"/>
      <c r="AI299" s="89"/>
      <c r="AJ299" s="89"/>
      <c r="AK299" s="82"/>
      <c r="AL299" s="82"/>
      <c r="AM299" s="82"/>
      <c r="AN299" s="82"/>
      <c r="AO299" s="82"/>
    </row>
    <row r="300" spans="1:41" customFormat="1">
      <c r="A300" s="82"/>
      <c r="B300" s="82"/>
      <c r="C300" s="82"/>
      <c r="D300" s="88"/>
      <c r="E300" s="82"/>
      <c r="F300" s="82"/>
      <c r="G300" s="88"/>
      <c r="H300" s="82"/>
      <c r="I300" s="90" t="s">
        <v>207</v>
      </c>
      <c r="J300" s="520">
        <f>(-J294+N294*SQRT(3))/2</f>
        <v>-1.6004661545161929</v>
      </c>
      <c r="K300" s="520"/>
      <c r="L300" s="520"/>
      <c r="M300" s="82" t="s">
        <v>68</v>
      </c>
      <c r="N300" s="520">
        <f>(-J294*SQRT(3)-N294)/2</f>
        <v>-2.7720886954164272</v>
      </c>
      <c r="O300" s="520"/>
      <c r="P300" s="520"/>
      <c r="Q300" s="82" t="s">
        <v>199</v>
      </c>
      <c r="R300" s="82"/>
      <c r="S300" s="82"/>
      <c r="T300" s="82"/>
      <c r="U300" s="82"/>
      <c r="V300" s="82"/>
      <c r="W300" s="82"/>
      <c r="X300" s="82"/>
      <c r="Y300" s="82" t="s">
        <v>200</v>
      </c>
      <c r="Z300" s="520">
        <f>J300^2+N300^2</f>
        <v>10.245967647007401</v>
      </c>
      <c r="AA300" s="520"/>
      <c r="AB300" s="520"/>
      <c r="AC300" s="82"/>
      <c r="AD300" s="82" t="s">
        <v>201</v>
      </c>
      <c r="AE300" s="520">
        <f>ATAN2(J300,N300)</f>
        <v>-2.0943951023931957</v>
      </c>
      <c r="AF300" s="520"/>
      <c r="AG300" s="520"/>
      <c r="AH300" s="82"/>
      <c r="AI300" s="89"/>
      <c r="AJ300" s="89"/>
      <c r="AK300" s="82"/>
      <c r="AL300" s="82"/>
      <c r="AM300" s="82"/>
      <c r="AN300" s="82"/>
      <c r="AO300" s="82"/>
    </row>
    <row r="301" spans="1:41" customFormat="1">
      <c r="A301" s="82"/>
      <c r="B301" s="82"/>
      <c r="C301" s="82"/>
      <c r="D301" s="88"/>
      <c r="E301" s="82"/>
      <c r="F301" s="82"/>
      <c r="G301" s="88"/>
      <c r="H301" s="82"/>
      <c r="I301" s="90" t="s">
        <v>208</v>
      </c>
      <c r="J301" s="520">
        <f>(-J295-N295*SQRT(3))/2</f>
        <v>-0.84588984714063109</v>
      </c>
      <c r="K301" s="520"/>
      <c r="L301" s="520"/>
      <c r="M301" s="82" t="s">
        <v>68</v>
      </c>
      <c r="N301" s="520">
        <f>(J295*SQRT(3)-N295)/2</f>
        <v>1.4651241928542442</v>
      </c>
      <c r="O301" s="520"/>
      <c r="P301" s="520"/>
      <c r="Q301" s="82" t="s">
        <v>199</v>
      </c>
      <c r="R301" s="82"/>
      <c r="S301" s="82"/>
      <c r="T301" s="82"/>
      <c r="U301" s="82"/>
      <c r="V301" s="82"/>
      <c r="W301" s="82"/>
      <c r="X301" s="82"/>
      <c r="Y301" s="82" t="s">
        <v>200</v>
      </c>
      <c r="Z301" s="520">
        <f>J301^2+N301^2</f>
        <v>2.8621185339824011</v>
      </c>
      <c r="AA301" s="520"/>
      <c r="AB301" s="520"/>
      <c r="AC301" s="82"/>
      <c r="AD301" s="82" t="s">
        <v>201</v>
      </c>
      <c r="AE301" s="520">
        <f>ATAN2(J301,N301)</f>
        <v>2.0943951023931957</v>
      </c>
      <c r="AF301" s="520"/>
      <c r="AG301" s="520"/>
      <c r="AH301" s="82"/>
      <c r="AI301" s="89"/>
      <c r="AJ301" s="89"/>
      <c r="AK301" s="82"/>
      <c r="AL301" s="82"/>
      <c r="AM301" s="82"/>
      <c r="AN301" s="82"/>
      <c r="AO301" s="82"/>
    </row>
    <row r="302" spans="1:41" customFormat="1" ht="19.5" thickBot="1">
      <c r="A302" s="82"/>
      <c r="B302" s="82"/>
      <c r="C302" s="82"/>
      <c r="D302" s="88"/>
      <c r="E302" s="82"/>
      <c r="F302" s="82"/>
      <c r="G302" s="88"/>
      <c r="H302" s="82"/>
      <c r="I302" s="82"/>
      <c r="J302" s="82"/>
      <c r="K302" s="82"/>
      <c r="L302" s="82"/>
      <c r="M302" s="82"/>
      <c r="N302" s="82"/>
      <c r="O302" s="82"/>
      <c r="P302" s="82"/>
      <c r="Q302" s="82"/>
      <c r="R302" s="82"/>
      <c r="S302" s="82"/>
      <c r="T302" s="82"/>
      <c r="U302" s="82"/>
      <c r="V302" s="82"/>
      <c r="W302" s="82"/>
      <c r="X302" s="82"/>
      <c r="Y302" s="82"/>
      <c r="Z302" s="82"/>
      <c r="AA302" s="82"/>
      <c r="AB302" s="82"/>
      <c r="AC302" s="82"/>
      <c r="AD302" s="82"/>
      <c r="AE302" s="82"/>
      <c r="AF302" s="82"/>
      <c r="AG302" s="82"/>
      <c r="AH302" s="82"/>
      <c r="AI302" s="89"/>
      <c r="AJ302" s="89"/>
      <c r="AK302" s="82"/>
      <c r="AL302" s="82"/>
      <c r="AM302" s="82"/>
      <c r="AN302" s="82"/>
      <c r="AO302" s="82"/>
    </row>
    <row r="303" spans="1:41" customFormat="1" ht="19.5" thickBot="1">
      <c r="A303" s="82"/>
      <c r="B303" s="82"/>
      <c r="C303" s="82"/>
      <c r="D303" s="88"/>
      <c r="E303" s="82"/>
      <c r="F303" s="82"/>
      <c r="G303" s="88"/>
      <c r="H303" s="82"/>
      <c r="I303" s="82" t="s">
        <v>209</v>
      </c>
      <c r="J303" s="526">
        <f>J283+J294+J295</f>
        <v>1.0569819327927044</v>
      </c>
      <c r="K303" s="527"/>
      <c r="L303" s="528"/>
      <c r="M303" s="82" t="s">
        <v>68</v>
      </c>
      <c r="N303" s="521">
        <f>N294+N295</f>
        <v>0</v>
      </c>
      <c r="O303" s="521"/>
      <c r="P303" s="521"/>
      <c r="Q303" s="82" t="s">
        <v>199</v>
      </c>
      <c r="R303" s="82"/>
      <c r="S303" s="82"/>
      <c r="T303" s="82"/>
      <c r="U303" s="82"/>
      <c r="V303" s="82"/>
      <c r="W303" s="82"/>
      <c r="X303" s="82"/>
      <c r="Y303" s="82"/>
      <c r="Z303" s="82"/>
      <c r="AA303" s="82"/>
      <c r="AB303" s="82"/>
      <c r="AC303" s="82"/>
      <c r="AD303" s="82"/>
      <c r="AE303" s="82"/>
      <c r="AF303" s="82"/>
      <c r="AG303" s="82"/>
      <c r="AH303" s="82"/>
      <c r="AI303" s="89"/>
      <c r="AJ303" s="89"/>
      <c r="AK303" s="82"/>
      <c r="AL303" s="82"/>
      <c r="AM303" s="82"/>
      <c r="AN303" s="82"/>
      <c r="AO303" s="82"/>
    </row>
    <row r="304" spans="1:41" customFormat="1">
      <c r="A304" s="82"/>
      <c r="B304" s="82"/>
      <c r="C304" s="82"/>
      <c r="D304" s="88"/>
      <c r="E304" s="82"/>
      <c r="F304" s="82"/>
      <c r="G304" s="88"/>
      <c r="H304" s="82"/>
      <c r="I304" s="82" t="s">
        <v>210</v>
      </c>
      <c r="J304" s="529">
        <f>J283+J297+J298</f>
        <v>-6.2820860721777674</v>
      </c>
      <c r="K304" s="530"/>
      <c r="L304" s="531"/>
      <c r="M304" s="82" t="s">
        <v>68</v>
      </c>
      <c r="N304" s="521">
        <f>N297+N298</f>
        <v>1.306964502562183</v>
      </c>
      <c r="O304" s="521"/>
      <c r="P304" s="521"/>
      <c r="Q304" s="82" t="s">
        <v>199</v>
      </c>
      <c r="R304" s="82"/>
      <c r="S304" s="82"/>
      <c r="T304" s="82"/>
      <c r="U304" s="82"/>
      <c r="V304" s="82"/>
      <c r="W304" s="82"/>
      <c r="X304" s="82"/>
      <c r="Y304" s="82"/>
      <c r="Z304" s="82"/>
      <c r="AA304" s="82"/>
      <c r="AB304" s="82"/>
      <c r="AC304" s="82"/>
      <c r="AD304" s="82"/>
      <c r="AE304" s="82"/>
      <c r="AF304" s="82"/>
      <c r="AG304" s="82"/>
      <c r="AH304" s="82"/>
      <c r="AI304" s="89"/>
      <c r="AJ304" s="89"/>
      <c r="AK304" s="82"/>
      <c r="AL304" s="82"/>
      <c r="AM304" s="82"/>
      <c r="AN304" s="82"/>
      <c r="AO304" s="82"/>
    </row>
    <row r="305" spans="1:41" customFormat="1">
      <c r="A305" s="82"/>
      <c r="B305" s="82"/>
      <c r="C305" s="82"/>
      <c r="D305" s="88"/>
      <c r="E305" s="82"/>
      <c r="F305" s="82"/>
      <c r="G305" s="88"/>
      <c r="H305" s="82"/>
      <c r="I305" s="82" t="s">
        <v>211</v>
      </c>
      <c r="J305" s="445">
        <f>J283+J300+J301</f>
        <v>-6.2820860721777674</v>
      </c>
      <c r="K305" s="446"/>
      <c r="L305" s="447"/>
      <c r="M305" s="82" t="s">
        <v>68</v>
      </c>
      <c r="N305" s="521">
        <f>N300+N301</f>
        <v>-1.306964502562183</v>
      </c>
      <c r="O305" s="521"/>
      <c r="P305" s="521"/>
      <c r="Q305" s="82" t="s">
        <v>199</v>
      </c>
      <c r="R305" s="82"/>
      <c r="S305" s="82"/>
      <c r="T305" s="82"/>
      <c r="U305" s="82"/>
      <c r="V305" s="82"/>
      <c r="W305" s="82"/>
      <c r="X305" s="82"/>
      <c r="Y305" s="82"/>
      <c r="Z305" s="82"/>
      <c r="AA305" s="82"/>
      <c r="AB305" s="82"/>
      <c r="AC305" s="82"/>
      <c r="AD305" s="82"/>
      <c r="AE305" s="82"/>
      <c r="AF305" s="82"/>
      <c r="AG305" s="82"/>
      <c r="AH305" s="82"/>
      <c r="AI305" s="89"/>
      <c r="AJ305" s="89"/>
      <c r="AK305" s="82"/>
      <c r="AL305" s="82"/>
      <c r="AM305" s="82"/>
      <c r="AN305" s="82"/>
      <c r="AO305" s="82"/>
    </row>
    <row r="306" spans="1:41" customFormat="1">
      <c r="A306" s="82"/>
      <c r="B306" s="82"/>
      <c r="C306" s="82"/>
      <c r="D306" s="88"/>
      <c r="E306" s="82"/>
      <c r="F306" s="82"/>
      <c r="G306" s="91"/>
      <c r="H306" s="83"/>
      <c r="I306" s="83"/>
      <c r="J306" s="83"/>
      <c r="K306" s="83"/>
      <c r="L306" s="83"/>
      <c r="M306" s="83"/>
      <c r="N306" s="83"/>
      <c r="O306" s="83"/>
      <c r="P306" s="83"/>
      <c r="Q306" s="83"/>
      <c r="R306" s="83"/>
      <c r="S306" s="83"/>
      <c r="T306" s="83"/>
      <c r="U306" s="83"/>
      <c r="V306" s="83"/>
      <c r="W306" s="83"/>
      <c r="X306" s="83"/>
      <c r="Y306" s="83"/>
      <c r="Z306" s="83"/>
      <c r="AA306" s="83"/>
      <c r="AB306" s="83"/>
      <c r="AC306" s="83"/>
      <c r="AD306" s="83"/>
      <c r="AE306" s="83"/>
      <c r="AF306" s="83"/>
      <c r="AG306" s="83"/>
      <c r="AH306" s="83"/>
      <c r="AI306" s="92"/>
      <c r="AJ306" s="89"/>
      <c r="AK306" s="82"/>
      <c r="AL306" s="82"/>
      <c r="AM306" s="82"/>
      <c r="AN306" s="82"/>
      <c r="AO306" s="82"/>
    </row>
    <row r="307" spans="1:41" customFormat="1">
      <c r="A307" s="82"/>
      <c r="B307" s="82"/>
      <c r="C307" s="82"/>
      <c r="D307" s="88"/>
      <c r="E307" s="82"/>
      <c r="F307" s="82"/>
      <c r="G307" s="82"/>
      <c r="H307" s="82"/>
      <c r="I307" s="82" t="s">
        <v>212</v>
      </c>
      <c r="J307" s="82"/>
      <c r="K307" s="82"/>
      <c r="L307" s="82"/>
      <c r="M307" s="82"/>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9"/>
      <c r="AK307" s="82"/>
      <c r="AL307" s="82"/>
      <c r="AM307" s="82"/>
      <c r="AN307" s="82"/>
      <c r="AO307" s="82"/>
    </row>
    <row r="308" spans="1:41" customFormat="1" ht="20.25">
      <c r="A308" s="82"/>
      <c r="B308" s="82"/>
      <c r="C308" s="82"/>
      <c r="D308" s="88"/>
      <c r="E308" s="82"/>
      <c r="F308" s="82"/>
      <c r="G308" s="82"/>
      <c r="H308" s="82"/>
      <c r="I308" s="82" t="s">
        <v>215</v>
      </c>
      <c r="J308" s="82"/>
      <c r="K308" s="445">
        <f>J303</f>
        <v>1.0569819327927044</v>
      </c>
      <c r="L308" s="446"/>
      <c r="M308" s="447"/>
      <c r="N308" s="82" t="s">
        <v>3</v>
      </c>
      <c r="O308" s="82"/>
      <c r="P308" s="82"/>
      <c r="Q308" s="82"/>
      <c r="R308" s="82"/>
      <c r="S308" s="82"/>
      <c r="T308" s="82"/>
      <c r="U308" s="82"/>
      <c r="V308" s="82"/>
      <c r="W308" s="82"/>
      <c r="X308" s="82"/>
      <c r="Y308" s="82"/>
      <c r="Z308" s="82"/>
      <c r="AA308" s="82"/>
      <c r="AB308" s="82"/>
      <c r="AC308" s="82"/>
      <c r="AD308" s="82"/>
      <c r="AE308" s="82"/>
      <c r="AF308" s="82"/>
      <c r="AG308" s="82"/>
      <c r="AH308" s="82"/>
      <c r="AI308" s="82"/>
      <c r="AJ308" s="89"/>
      <c r="AK308" s="82"/>
      <c r="AL308" s="82"/>
      <c r="AM308" s="82"/>
      <c r="AN308" s="82"/>
      <c r="AO308" s="82"/>
    </row>
    <row r="309" spans="1:41" customFormat="1">
      <c r="A309" s="82"/>
      <c r="B309" s="82"/>
      <c r="C309" s="82"/>
      <c r="D309" s="88"/>
      <c r="E309" s="82"/>
      <c r="F309" s="82"/>
      <c r="G309" s="82"/>
      <c r="H309" s="82"/>
      <c r="I309" s="82"/>
      <c r="J309" s="82"/>
      <c r="K309" s="184"/>
      <c r="L309" s="184"/>
      <c r="M309" s="184"/>
      <c r="N309" s="82"/>
      <c r="O309" s="82"/>
      <c r="P309" s="82"/>
      <c r="Q309" s="82"/>
      <c r="R309" s="82"/>
      <c r="S309" s="82"/>
      <c r="T309" s="82"/>
      <c r="U309" s="82"/>
      <c r="V309" s="82"/>
      <c r="W309" s="82"/>
      <c r="X309" s="82"/>
      <c r="Y309" s="82"/>
      <c r="Z309" s="82"/>
      <c r="AA309" s="82"/>
      <c r="AB309" s="82"/>
      <c r="AC309" s="82"/>
      <c r="AD309" s="82"/>
      <c r="AE309" s="82"/>
      <c r="AF309" s="82"/>
      <c r="AG309" s="82"/>
      <c r="AH309" s="82"/>
      <c r="AI309" s="82"/>
      <c r="AJ309" s="89"/>
      <c r="AK309" s="82"/>
      <c r="AL309" s="82"/>
      <c r="AM309" s="82"/>
      <c r="AN309" s="82"/>
      <c r="AO309" s="82"/>
    </row>
    <row r="310" spans="1:41">
      <c r="C310" s="13"/>
      <c r="D310" s="12" t="s">
        <v>392</v>
      </c>
      <c r="E310" s="97"/>
      <c r="F310" s="96"/>
      <c r="G310" s="96"/>
      <c r="H310" s="96"/>
      <c r="I310" s="96"/>
      <c r="J310" s="96"/>
      <c r="K310" s="94"/>
      <c r="L310" s="94"/>
      <c r="M310" s="94"/>
      <c r="N310" s="94"/>
      <c r="O310" s="94"/>
      <c r="P310" s="95"/>
      <c r="Q310" s="95"/>
      <c r="R310" s="95"/>
      <c r="S310" s="95"/>
      <c r="T310" s="94"/>
      <c r="U310" s="94"/>
      <c r="V310" s="96"/>
      <c r="W310" s="96"/>
      <c r="X310" s="96"/>
      <c r="Y310" s="81"/>
      <c r="Z310" s="81"/>
      <c r="AA310" s="81"/>
      <c r="AB310"/>
      <c r="AC310" s="98"/>
      <c r="AD310" s="99"/>
      <c r="AE310" s="96"/>
      <c r="AF310" s="96"/>
      <c r="AG310" s="13"/>
      <c r="AH310" s="13"/>
      <c r="AI310" s="13"/>
      <c r="AJ310" s="15"/>
    </row>
    <row r="311" spans="1:41" ht="20.25">
      <c r="C311" s="13"/>
      <c r="D311" s="12"/>
      <c r="E311" s="97"/>
      <c r="F311" s="96"/>
      <c r="G311" s="657" t="s">
        <v>469</v>
      </c>
      <c r="H311" s="657"/>
      <c r="I311" s="657"/>
      <c r="J311" s="657"/>
      <c r="K311" s="657"/>
      <c r="L311" s="657"/>
      <c r="M311" s="658">
        <f>I169</f>
        <v>3</v>
      </c>
      <c r="N311" s="525"/>
      <c r="O311" s="94" t="s">
        <v>222</v>
      </c>
      <c r="P311" s="600">
        <f>K308</f>
        <v>1.0569819327927044</v>
      </c>
      <c r="Q311" s="600"/>
      <c r="R311" s="600"/>
      <c r="S311" s="95" t="s">
        <v>68</v>
      </c>
      <c r="T311" s="658">
        <f>M311</f>
        <v>3</v>
      </c>
      <c r="U311" s="525"/>
      <c r="V311" s="525"/>
      <c r="W311" s="96" t="s">
        <v>2</v>
      </c>
      <c r="X311" s="591">
        <f>P311+T311</f>
        <v>4.0569819327927039</v>
      </c>
      <c r="Y311" s="591"/>
      <c r="Z311" s="591"/>
      <c r="AA311" s="81" t="s">
        <v>470</v>
      </c>
      <c r="AB311" s="524">
        <f>AD5</f>
        <v>1.2</v>
      </c>
      <c r="AC311" s="525"/>
      <c r="AD311" s="99" t="s">
        <v>214</v>
      </c>
      <c r="AE311" s="95"/>
      <c r="AF311" s="95"/>
      <c r="AG311" s="95"/>
      <c r="AH311" s="94"/>
      <c r="AI311" s="13"/>
      <c r="AJ311" s="15"/>
    </row>
    <row r="312" spans="1:41">
      <c r="C312" s="13"/>
      <c r="D312" s="12"/>
      <c r="E312" s="97"/>
      <c r="F312" s="96"/>
      <c r="G312" s="96"/>
      <c r="H312" s="96"/>
      <c r="I312" s="82" t="s">
        <v>213</v>
      </c>
      <c r="J312" s="96"/>
      <c r="K312" s="445">
        <f>X311*AB311</f>
        <v>4.8683783193512449</v>
      </c>
      <c r="L312" s="446"/>
      <c r="M312" s="447"/>
      <c r="N312" s="94" t="s">
        <v>3</v>
      </c>
      <c r="O312" s="94"/>
      <c r="P312" s="95"/>
      <c r="Q312" s="95"/>
      <c r="R312" s="95"/>
      <c r="S312" s="95"/>
      <c r="T312" s="94"/>
      <c r="U312" s="94"/>
      <c r="V312" s="96"/>
      <c r="W312" s="96"/>
      <c r="X312" s="96"/>
      <c r="Y312" s="81"/>
      <c r="Z312" s="81"/>
      <c r="AA312" s="81"/>
      <c r="AB312"/>
      <c r="AC312" s="98"/>
      <c r="AD312" s="99"/>
      <c r="AE312" s="96"/>
      <c r="AF312" s="96"/>
      <c r="AG312" s="13"/>
      <c r="AH312" s="13"/>
      <c r="AI312" s="13"/>
      <c r="AJ312" s="15"/>
    </row>
    <row r="313" spans="1:41">
      <c r="C313" s="13"/>
      <c r="D313" s="12"/>
      <c r="E313" s="97"/>
      <c r="F313" s="96"/>
      <c r="G313" s="96"/>
      <c r="H313" s="96"/>
      <c r="I313" s="82"/>
      <c r="J313" s="96"/>
      <c r="K313" s="184"/>
      <c r="L313" s="184"/>
      <c r="M313" s="184"/>
      <c r="N313" s="94"/>
      <c r="O313" s="94"/>
      <c r="P313" s="95"/>
      <c r="Q313" s="95"/>
      <c r="R313" s="95"/>
      <c r="S313" s="95"/>
      <c r="T313" s="94"/>
      <c r="U313" s="94"/>
      <c r="V313" s="96"/>
      <c r="W313" s="96"/>
      <c r="X313" s="96"/>
      <c r="Y313" s="81"/>
      <c r="Z313" s="81"/>
      <c r="AA313" s="81"/>
      <c r="AB313"/>
      <c r="AC313" s="98"/>
      <c r="AD313" s="99"/>
      <c r="AE313" s="96"/>
      <c r="AF313" s="96"/>
      <c r="AG313" s="13"/>
      <c r="AH313" s="13"/>
      <c r="AI313" s="13"/>
      <c r="AJ313" s="15"/>
    </row>
    <row r="314" spans="1:41">
      <c r="C314" s="13"/>
      <c r="D314" s="12"/>
      <c r="E314" s="97"/>
      <c r="F314" s="96"/>
      <c r="G314" s="99" t="s">
        <v>425</v>
      </c>
      <c r="H314" s="96"/>
      <c r="I314" s="82"/>
      <c r="J314" s="96"/>
      <c r="K314" s="184"/>
      <c r="L314" s="184"/>
      <c r="M314" s="184"/>
      <c r="N314" s="94"/>
      <c r="O314" s="94"/>
      <c r="P314" s="95"/>
      <c r="Q314" s="95"/>
      <c r="R314" s="184"/>
      <c r="S314" s="95"/>
      <c r="T314" s="94"/>
      <c r="U314" s="94"/>
      <c r="V314" s="96"/>
      <c r="W314" s="96"/>
      <c r="X314" s="96"/>
      <c r="Y314" s="81"/>
      <c r="Z314" s="81"/>
      <c r="AA314" s="81"/>
      <c r="AB314"/>
      <c r="AC314" s="98"/>
      <c r="AD314" s="99"/>
      <c r="AE314" s="96"/>
      <c r="AF314" s="96"/>
      <c r="AG314" s="13"/>
      <c r="AH314" s="13"/>
      <c r="AI314" s="13"/>
      <c r="AJ314" s="15"/>
    </row>
    <row r="315" spans="1:41">
      <c r="C315" s="13"/>
      <c r="D315" s="12"/>
      <c r="E315" s="97"/>
      <c r="F315" s="96"/>
      <c r="G315" s="96"/>
      <c r="H315" s="96"/>
      <c r="I315" s="34" t="s">
        <v>71</v>
      </c>
      <c r="J315" s="13" t="s">
        <v>2</v>
      </c>
      <c r="K315" s="521">
        <f>'1.設計条件'!R10</f>
        <v>7</v>
      </c>
      <c r="L315" s="521"/>
      <c r="M315" s="521"/>
      <c r="N315" s="13" t="s">
        <v>68</v>
      </c>
      <c r="O315" s="521">
        <f>K312</f>
        <v>4.8683783193512449</v>
      </c>
      <c r="P315" s="521"/>
      <c r="Q315" s="521"/>
      <c r="R315" s="184"/>
      <c r="S315" s="95"/>
      <c r="T315" s="94"/>
      <c r="U315" s="94"/>
      <c r="V315" s="96"/>
      <c r="W315" s="96"/>
      <c r="X315" s="96"/>
      <c r="Y315" s="81"/>
      <c r="Z315" s="81"/>
      <c r="AA315" s="81"/>
      <c r="AB315"/>
      <c r="AC315" s="98"/>
      <c r="AD315" s="99"/>
      <c r="AE315" s="96"/>
      <c r="AF315" s="96"/>
      <c r="AG315" s="13"/>
      <c r="AH315" s="13"/>
      <c r="AI315" s="13"/>
      <c r="AJ315" s="15"/>
    </row>
    <row r="316" spans="1:41">
      <c r="D316" s="105"/>
      <c r="E316" s="106"/>
      <c r="F316" s="106"/>
      <c r="G316" s="106"/>
      <c r="H316" s="106"/>
      <c r="I316" s="106"/>
      <c r="J316" s="106" t="s">
        <v>2</v>
      </c>
      <c r="K316" s="569">
        <f>K315+O315</f>
        <v>11.868378319351244</v>
      </c>
      <c r="L316" s="569"/>
      <c r="M316" s="569"/>
      <c r="N316" s="106" t="s">
        <v>3</v>
      </c>
      <c r="O316" s="106"/>
      <c r="P316" s="106"/>
      <c r="Q316" s="106"/>
      <c r="R316" s="106"/>
      <c r="S316" s="106"/>
      <c r="T316" s="106"/>
      <c r="U316" s="106"/>
      <c r="V316" s="106"/>
      <c r="W316" s="106"/>
      <c r="X316" s="106"/>
      <c r="Y316" s="106"/>
      <c r="Z316" s="106"/>
      <c r="AA316" s="106"/>
      <c r="AB316" s="106"/>
      <c r="AC316" s="106"/>
      <c r="AD316" s="106"/>
      <c r="AE316" s="107"/>
      <c r="AF316" s="107"/>
      <c r="AG316" s="108"/>
      <c r="AH316" s="108"/>
      <c r="AI316" s="108"/>
      <c r="AJ316" s="109"/>
    </row>
    <row r="317" spans="1:41">
      <c r="D317" s="57"/>
      <c r="E317" s="57"/>
      <c r="F317" s="57"/>
      <c r="G317" s="57"/>
      <c r="H317" s="57"/>
      <c r="I317" s="57"/>
      <c r="J317" s="57"/>
      <c r="K317" s="192"/>
      <c r="L317" s="192"/>
      <c r="M317" s="192"/>
      <c r="N317" s="57"/>
      <c r="O317" s="57"/>
      <c r="P317" s="57"/>
      <c r="Q317" s="57"/>
      <c r="R317" s="57"/>
      <c r="S317" s="57"/>
      <c r="T317" s="57"/>
      <c r="U317" s="57"/>
      <c r="V317" s="57"/>
      <c r="W317" s="57"/>
      <c r="X317" s="57"/>
      <c r="Y317" s="57"/>
      <c r="Z317" s="57"/>
      <c r="AA317" s="57"/>
      <c r="AB317" s="57"/>
      <c r="AC317" s="57"/>
      <c r="AD317" s="57"/>
      <c r="AE317" s="40"/>
      <c r="AF317" s="40"/>
      <c r="AG317" s="42"/>
      <c r="AH317" s="42"/>
      <c r="AI317" s="42"/>
      <c r="AJ317" s="42"/>
    </row>
    <row r="318" spans="1:41">
      <c r="C318" s="13" t="s">
        <v>596</v>
      </c>
      <c r="D318" s="57"/>
      <c r="E318" s="57"/>
      <c r="F318" s="57"/>
      <c r="G318" s="57"/>
      <c r="H318" s="57"/>
      <c r="I318" s="57"/>
      <c r="J318" s="57"/>
      <c r="K318" s="192"/>
      <c r="L318" s="192"/>
      <c r="M318" s="192"/>
      <c r="N318" s="57"/>
      <c r="O318" s="57"/>
      <c r="P318" s="57"/>
      <c r="Q318" s="57"/>
      <c r="R318" s="57"/>
      <c r="S318" s="57"/>
      <c r="T318" s="57"/>
      <c r="U318" s="57"/>
      <c r="V318" s="57"/>
      <c r="W318" s="57"/>
      <c r="X318" s="57"/>
      <c r="Y318" s="57"/>
      <c r="Z318" s="57"/>
      <c r="AA318" s="57"/>
      <c r="AB318" s="57"/>
      <c r="AC318" s="57"/>
      <c r="AD318" s="57"/>
      <c r="AE318" s="40"/>
      <c r="AF318" s="40"/>
      <c r="AG318" s="42"/>
      <c r="AH318" s="42"/>
      <c r="AI318" s="42"/>
      <c r="AJ318" s="42"/>
    </row>
    <row r="319" spans="1:41">
      <c r="C319" s="13"/>
      <c r="D319" s="221"/>
      <c r="E319" s="198"/>
      <c r="F319" s="198"/>
      <c r="G319" s="198"/>
      <c r="H319" s="198"/>
      <c r="I319" s="198"/>
      <c r="J319" s="198"/>
      <c r="K319" s="61"/>
      <c r="L319" s="61"/>
      <c r="M319" s="61"/>
      <c r="N319" s="198"/>
      <c r="O319" s="198"/>
      <c r="P319" s="198"/>
      <c r="Q319" s="198"/>
      <c r="R319" s="198"/>
      <c r="S319" s="198"/>
      <c r="T319" s="198"/>
      <c r="U319" s="198"/>
      <c r="V319" s="198"/>
      <c r="W319" s="198"/>
      <c r="X319" s="198"/>
      <c r="Y319" s="198"/>
      <c r="Z319" s="198"/>
      <c r="AA319" s="198"/>
      <c r="AB319" s="198"/>
      <c r="AC319" s="198"/>
      <c r="AD319" s="198"/>
      <c r="AE319" s="209"/>
      <c r="AF319" s="209"/>
      <c r="AG319" s="222"/>
      <c r="AH319" s="222"/>
      <c r="AI319" s="222"/>
      <c r="AJ319" s="223"/>
    </row>
    <row r="320" spans="1:41">
      <c r="C320" s="13"/>
      <c r="D320" s="199"/>
      <c r="E320" s="443"/>
      <c r="F320" s="444"/>
      <c r="G320" s="444"/>
      <c r="H320" s="444"/>
      <c r="I320" s="444"/>
      <c r="J320" s="444"/>
      <c r="K320" s="444"/>
      <c r="L320" s="444"/>
      <c r="M320" s="441" t="s">
        <v>74</v>
      </c>
      <c r="N320" s="441"/>
      <c r="O320" s="441"/>
      <c r="P320" s="441"/>
      <c r="Q320" s="442" t="s">
        <v>546</v>
      </c>
      <c r="R320" s="442"/>
      <c r="S320" s="442"/>
      <c r="T320" s="442"/>
      <c r="U320" s="442"/>
      <c r="V320" s="442"/>
      <c r="W320" s="442"/>
      <c r="X320" s="57"/>
      <c r="Y320" s="57"/>
      <c r="Z320" s="57"/>
      <c r="AA320" s="57"/>
      <c r="AB320" s="57"/>
      <c r="AC320" s="57"/>
      <c r="AD320" s="57"/>
      <c r="AE320" s="40"/>
      <c r="AF320" s="40"/>
      <c r="AG320" s="42"/>
      <c r="AH320" s="42"/>
      <c r="AI320" s="42"/>
      <c r="AJ320" s="220"/>
    </row>
    <row r="321" spans="2:36">
      <c r="C321" s="13"/>
      <c r="D321" s="199"/>
      <c r="E321" s="440" t="s">
        <v>544</v>
      </c>
      <c r="F321" s="440"/>
      <c r="G321" s="440"/>
      <c r="H321" s="440"/>
      <c r="I321" s="440"/>
      <c r="J321" s="440"/>
      <c r="K321" s="440"/>
      <c r="L321" s="440"/>
      <c r="M321" s="441">
        <f>K147</f>
        <v>4.4692698779337698</v>
      </c>
      <c r="N321" s="441"/>
      <c r="O321" s="441"/>
      <c r="P321" s="441"/>
      <c r="Q321" s="441">
        <f>K151</f>
        <v>9.469269877933769</v>
      </c>
      <c r="R321" s="441"/>
      <c r="S321" s="441"/>
      <c r="T321" s="441"/>
      <c r="U321" s="441"/>
      <c r="V321" s="441"/>
      <c r="W321" s="441"/>
      <c r="X321" s="57"/>
      <c r="Y321" s="57"/>
      <c r="Z321" s="57"/>
      <c r="AA321" s="57"/>
      <c r="AB321" s="57"/>
      <c r="AC321" s="57"/>
      <c r="AD321" s="57"/>
      <c r="AE321" s="40"/>
      <c r="AF321" s="40"/>
      <c r="AG321" s="42"/>
      <c r="AH321" s="42"/>
      <c r="AI321" s="42"/>
      <c r="AJ321" s="220"/>
    </row>
    <row r="322" spans="2:36">
      <c r="D322" s="199"/>
      <c r="E322" s="440" t="s">
        <v>545</v>
      </c>
      <c r="F322" s="440"/>
      <c r="G322" s="440"/>
      <c r="H322" s="440"/>
      <c r="I322" s="440"/>
      <c r="J322" s="440"/>
      <c r="K322" s="440"/>
      <c r="L322" s="440"/>
      <c r="M322" s="441">
        <f>K312</f>
        <v>4.8683783193512449</v>
      </c>
      <c r="N322" s="441"/>
      <c r="O322" s="441"/>
      <c r="P322" s="441"/>
      <c r="Q322" s="441">
        <f>K316</f>
        <v>11.868378319351244</v>
      </c>
      <c r="R322" s="441"/>
      <c r="S322" s="441"/>
      <c r="T322" s="441"/>
      <c r="U322" s="441"/>
      <c r="V322" s="441"/>
      <c r="W322" s="441"/>
      <c r="X322" s="57"/>
      <c r="Y322" s="57"/>
      <c r="Z322" s="57"/>
      <c r="AA322" s="57"/>
      <c r="AB322" s="57"/>
      <c r="AC322" s="57"/>
      <c r="AD322" s="57"/>
      <c r="AE322" s="40"/>
      <c r="AF322" s="40"/>
      <c r="AG322" s="42"/>
      <c r="AH322" s="42"/>
      <c r="AI322" s="42"/>
      <c r="AJ322" s="220"/>
    </row>
    <row r="323" spans="2:36">
      <c r="D323" s="199"/>
      <c r="E323" s="57"/>
      <c r="F323" s="57"/>
      <c r="G323" s="57"/>
      <c r="H323" s="57"/>
      <c r="I323" s="57"/>
      <c r="J323" s="57"/>
      <c r="K323" s="57"/>
      <c r="L323" s="57"/>
      <c r="M323" s="192"/>
      <c r="N323" s="192"/>
      <c r="O323" s="192"/>
      <c r="P323" s="192"/>
      <c r="Q323" s="192"/>
      <c r="R323" s="192"/>
      <c r="S323" s="192"/>
      <c r="T323" s="192"/>
      <c r="U323" s="192"/>
      <c r="V323" s="192"/>
      <c r="W323" s="192"/>
      <c r="X323" s="57"/>
      <c r="Y323" s="57"/>
      <c r="Z323" s="57"/>
      <c r="AA323" s="57"/>
      <c r="AB323" s="57"/>
      <c r="AC323" s="57"/>
      <c r="AD323" s="57"/>
      <c r="AE323" s="40"/>
      <c r="AF323" s="40"/>
      <c r="AG323" s="42"/>
      <c r="AH323" s="42"/>
      <c r="AI323" s="42"/>
      <c r="AJ323" s="220"/>
    </row>
    <row r="324" spans="2:36">
      <c r="D324" s="199"/>
      <c r="E324" s="13" t="s">
        <v>547</v>
      </c>
      <c r="F324" s="57"/>
      <c r="G324" s="57"/>
      <c r="H324" s="57"/>
      <c r="I324" s="57"/>
      <c r="J324" s="57"/>
      <c r="K324" s="57"/>
      <c r="L324" s="57"/>
      <c r="M324" s="192"/>
      <c r="N324" s="192"/>
      <c r="O324" s="192"/>
      <c r="P324" s="192"/>
      <c r="Q324" s="192"/>
      <c r="R324" s="192"/>
      <c r="S324" s="192"/>
      <c r="T324" s="192"/>
      <c r="U324" s="192"/>
      <c r="V324" s="192"/>
      <c r="W324" s="192"/>
      <c r="X324" s="57"/>
      <c r="Y324" s="57"/>
      <c r="Z324" s="57"/>
      <c r="AA324" s="57"/>
      <c r="AB324" s="57"/>
      <c r="AC324" s="57"/>
      <c r="AD324" s="57"/>
      <c r="AE324" s="40"/>
      <c r="AF324" s="40"/>
      <c r="AG324" s="42"/>
      <c r="AH324" s="42"/>
      <c r="AI324" s="42"/>
      <c r="AJ324" s="220"/>
    </row>
    <row r="325" spans="2:36">
      <c r="D325" s="199"/>
      <c r="E325" s="57"/>
      <c r="F325" s="57"/>
      <c r="G325" s="57"/>
      <c r="H325" s="57"/>
      <c r="I325" s="82" t="s">
        <v>213</v>
      </c>
      <c r="J325" s="96"/>
      <c r="K325" s="445">
        <f>M322</f>
        <v>4.8683783193512449</v>
      </c>
      <c r="L325" s="446"/>
      <c r="M325" s="447"/>
      <c r="N325" s="94" t="s">
        <v>3</v>
      </c>
      <c r="O325" s="192"/>
      <c r="P325" s="13"/>
      <c r="Q325" s="192"/>
      <c r="R325" s="192"/>
      <c r="S325" s="192"/>
      <c r="T325" s="192"/>
      <c r="U325" s="192"/>
      <c r="V325" s="192"/>
      <c r="W325" s="192"/>
      <c r="X325" s="57"/>
      <c r="Y325" s="57"/>
      <c r="Z325" s="57"/>
      <c r="AA325" s="57"/>
      <c r="AB325" s="57"/>
      <c r="AC325" s="57"/>
      <c r="AD325" s="57"/>
      <c r="AE325" s="40"/>
      <c r="AF325" s="40"/>
      <c r="AG325" s="42"/>
      <c r="AH325" s="42"/>
      <c r="AI325" s="42"/>
      <c r="AJ325" s="220"/>
    </row>
    <row r="326" spans="2:36">
      <c r="D326" s="105"/>
      <c r="E326" s="106"/>
      <c r="F326" s="106"/>
      <c r="G326" s="106"/>
      <c r="H326" s="106"/>
      <c r="I326" s="106"/>
      <c r="J326" s="106"/>
      <c r="K326" s="106"/>
      <c r="L326" s="106"/>
      <c r="M326" s="62"/>
      <c r="N326" s="62"/>
      <c r="O326" s="62"/>
      <c r="P326" s="62"/>
      <c r="Q326" s="62"/>
      <c r="R326" s="62"/>
      <c r="S326" s="62"/>
      <c r="T326" s="62"/>
      <c r="U326" s="62"/>
      <c r="V326" s="62"/>
      <c r="W326" s="62"/>
      <c r="X326" s="106"/>
      <c r="Y326" s="106"/>
      <c r="Z326" s="106"/>
      <c r="AA326" s="106"/>
      <c r="AB326" s="106"/>
      <c r="AC326" s="106"/>
      <c r="AD326" s="106"/>
      <c r="AE326" s="107"/>
      <c r="AF326" s="107"/>
      <c r="AG326" s="108"/>
      <c r="AH326" s="108"/>
      <c r="AI326" s="108"/>
      <c r="AJ326" s="109"/>
    </row>
    <row r="328" spans="2:36">
      <c r="B328" s="1" t="s">
        <v>161</v>
      </c>
      <c r="W328" t="s">
        <v>64</v>
      </c>
    </row>
    <row r="329" spans="2:36">
      <c r="C329" s="9" t="s">
        <v>162</v>
      </c>
      <c r="D329" s="10"/>
      <c r="E329" s="10"/>
      <c r="F329" s="10"/>
      <c r="G329" s="10"/>
      <c r="H329" s="10"/>
      <c r="I329" s="10"/>
      <c r="J329" s="10"/>
      <c r="K329" s="10"/>
      <c r="L329" s="10"/>
      <c r="M329" s="10"/>
      <c r="N329" s="10"/>
      <c r="O329" s="10"/>
      <c r="P329" s="10"/>
      <c r="Q329" s="10"/>
      <c r="R329" s="10"/>
      <c r="S329" s="10"/>
      <c r="T329" s="10"/>
      <c r="U329" s="10"/>
      <c r="V329" s="10"/>
      <c r="W329" s="3" t="s">
        <v>7</v>
      </c>
      <c r="X329" s="10"/>
      <c r="Y329" s="10"/>
      <c r="Z329" s="10"/>
      <c r="AA329" s="10"/>
      <c r="AB329" s="10"/>
      <c r="AC329" s="10"/>
      <c r="AD329" s="10"/>
      <c r="AE329" s="10"/>
      <c r="AF329" s="10"/>
      <c r="AG329" s="10"/>
      <c r="AH329" s="10"/>
      <c r="AI329" s="11"/>
    </row>
    <row r="330" spans="2:36">
      <c r="C330" s="16"/>
      <c r="D330" s="17"/>
      <c r="E330" s="17"/>
      <c r="F330" s="17"/>
      <c r="G330" s="17"/>
      <c r="H330" s="17"/>
      <c r="I330" s="17"/>
      <c r="J330" s="17"/>
      <c r="K330" s="17"/>
      <c r="L330" s="17"/>
      <c r="M330" s="17"/>
      <c r="N330" s="17"/>
      <c r="O330" s="17"/>
      <c r="P330" s="17"/>
      <c r="Q330" s="17"/>
      <c r="R330" s="17"/>
      <c r="S330" s="17"/>
      <c r="T330" s="17"/>
      <c r="U330" s="17"/>
      <c r="V330" s="17"/>
      <c r="W330" s="25"/>
      <c r="X330" s="17"/>
      <c r="Y330" s="17"/>
      <c r="Z330" s="17"/>
      <c r="AA330" s="17"/>
      <c r="AB330" s="17"/>
      <c r="AC330" s="17"/>
      <c r="AD330" s="17"/>
      <c r="AE330" s="17"/>
      <c r="AF330" s="17"/>
      <c r="AG330" s="17"/>
      <c r="AH330" s="17"/>
      <c r="AI330" s="19"/>
    </row>
    <row r="332" spans="2:36">
      <c r="B332" s="1" t="s">
        <v>373</v>
      </c>
      <c r="C332" s="13"/>
      <c r="D332" s="13"/>
      <c r="E332" s="13"/>
      <c r="F332" s="13"/>
      <c r="G332" s="13"/>
      <c r="H332" s="13"/>
      <c r="I332" s="13"/>
      <c r="J332" s="13"/>
      <c r="K332" s="13"/>
      <c r="L332" s="13"/>
      <c r="M332" s="13"/>
      <c r="N332" s="13"/>
      <c r="O332" s="13"/>
      <c r="P332" s="13"/>
      <c r="Q332" s="13"/>
      <c r="R332" s="13"/>
      <c r="S332" s="13"/>
      <c r="T332" s="13"/>
      <c r="U332" s="13"/>
      <c r="V332" s="13"/>
      <c r="W332" t="s">
        <v>471</v>
      </c>
      <c r="X332" s="13"/>
      <c r="Y332" s="13"/>
      <c r="Z332" s="13"/>
      <c r="AA332" s="13"/>
      <c r="AB332" s="13"/>
      <c r="AC332" s="13"/>
      <c r="AD332" s="13"/>
      <c r="AE332" s="13"/>
      <c r="AF332" s="13"/>
      <c r="AG332" s="13"/>
      <c r="AH332" s="13"/>
      <c r="AI332" s="13"/>
    </row>
    <row r="333" spans="2:36">
      <c r="B333" s="13"/>
      <c r="C333" s="13" t="s">
        <v>472</v>
      </c>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row>
    <row r="334" spans="2:36">
      <c r="B334" s="13"/>
      <c r="C334" s="13" t="s">
        <v>825</v>
      </c>
      <c r="D334" s="13"/>
      <c r="E334" s="13"/>
      <c r="F334" s="13"/>
      <c r="G334" s="13"/>
      <c r="H334" s="13"/>
      <c r="I334" s="13"/>
      <c r="J334" s="13"/>
      <c r="K334" s="13"/>
      <c r="L334" s="13"/>
      <c r="M334" s="13"/>
      <c r="N334" s="13"/>
      <c r="O334" s="13"/>
      <c r="P334" s="13"/>
      <c r="Q334" s="13"/>
      <c r="R334" s="13"/>
      <c r="S334" s="13"/>
      <c r="T334" s="13"/>
      <c r="U334" s="13"/>
      <c r="V334" s="13"/>
      <c r="W334" t="s">
        <v>473</v>
      </c>
      <c r="X334" s="13"/>
      <c r="Y334" s="13"/>
      <c r="Z334" s="13"/>
      <c r="AA334" s="13"/>
      <c r="AB334" s="13"/>
      <c r="AC334" s="13"/>
      <c r="AD334" s="13"/>
      <c r="AE334" s="13"/>
      <c r="AF334" s="13"/>
      <c r="AG334" s="13"/>
      <c r="AH334" s="13"/>
      <c r="AI334" s="13"/>
    </row>
    <row r="335" spans="2:36">
      <c r="B335" s="13"/>
      <c r="C335" s="13"/>
      <c r="D335" s="9" t="s">
        <v>474</v>
      </c>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1"/>
    </row>
    <row r="336" spans="2:36">
      <c r="B336" s="13"/>
      <c r="C336" s="13"/>
      <c r="D336" s="12"/>
      <c r="E336" s="465" t="s">
        <v>475</v>
      </c>
      <c r="F336" s="465"/>
      <c r="G336" s="449" t="s">
        <v>2</v>
      </c>
      <c r="H336" s="466" t="s">
        <v>476</v>
      </c>
      <c r="I336" s="466"/>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5"/>
    </row>
    <row r="337" spans="2:40">
      <c r="B337" s="13"/>
      <c r="C337" s="13"/>
      <c r="D337" s="12"/>
      <c r="E337" s="465"/>
      <c r="F337" s="465"/>
      <c r="G337" s="449"/>
      <c r="H337" s="467" t="s">
        <v>65</v>
      </c>
      <c r="I337" s="467"/>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5"/>
    </row>
    <row r="338" spans="2:40">
      <c r="B338" s="13"/>
      <c r="C338" s="13"/>
      <c r="D338" s="12"/>
      <c r="E338" s="13"/>
      <c r="F338" s="13" t="s">
        <v>42</v>
      </c>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5"/>
    </row>
    <row r="339" spans="2:40">
      <c r="B339" s="13"/>
      <c r="C339" s="13"/>
      <c r="D339" s="12"/>
      <c r="E339" s="13"/>
      <c r="F339" s="13"/>
      <c r="G339" s="38" t="s">
        <v>477</v>
      </c>
      <c r="H339" s="13"/>
      <c r="I339" s="13"/>
      <c r="J339" s="13"/>
      <c r="K339" s="13"/>
      <c r="L339" s="13"/>
      <c r="M339" s="13"/>
      <c r="N339" s="13"/>
      <c r="O339" s="13"/>
      <c r="P339" s="13"/>
      <c r="Q339" s="13"/>
      <c r="R339" s="360" t="s">
        <v>478</v>
      </c>
      <c r="S339" s="360"/>
      <c r="T339" s="13" t="s">
        <v>479</v>
      </c>
      <c r="U339" s="469">
        <v>1.2</v>
      </c>
      <c r="V339" s="470"/>
      <c r="W339" s="13"/>
      <c r="X339" s="13"/>
      <c r="Y339" s="13"/>
      <c r="Z339" s="13"/>
      <c r="AA339" s="13"/>
      <c r="AB339" s="13"/>
      <c r="AC339" s="13"/>
      <c r="AD339" s="13"/>
      <c r="AE339" s="13"/>
      <c r="AF339" s="13"/>
      <c r="AG339" s="13"/>
      <c r="AH339" s="13"/>
      <c r="AI339" s="13"/>
      <c r="AJ339" s="15"/>
    </row>
    <row r="340" spans="2:40" ht="20.25">
      <c r="B340" s="13"/>
      <c r="C340" s="13"/>
      <c r="D340" s="12"/>
      <c r="E340" s="13"/>
      <c r="F340" s="13"/>
      <c r="G340" s="34" t="s">
        <v>480</v>
      </c>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5"/>
    </row>
    <row r="341" spans="2:40">
      <c r="B341" s="13"/>
      <c r="C341" s="13"/>
      <c r="D341" s="12"/>
      <c r="E341" s="13"/>
      <c r="F341" s="13"/>
      <c r="G341" s="13"/>
      <c r="H341" s="13"/>
      <c r="I341" s="34" t="s">
        <v>476</v>
      </c>
      <c r="J341" s="13" t="s">
        <v>2</v>
      </c>
      <c r="K341" s="37" t="s">
        <v>481</v>
      </c>
      <c r="L341" s="13" t="s">
        <v>66</v>
      </c>
      <c r="M341" s="476" t="s">
        <v>482</v>
      </c>
      <c r="N341" s="476"/>
      <c r="O341" s="13"/>
      <c r="P341" s="13"/>
      <c r="Q341" s="13"/>
      <c r="R341" s="13"/>
      <c r="S341" s="13"/>
      <c r="T341" s="13"/>
      <c r="U341" s="13"/>
      <c r="V341" s="13"/>
      <c r="W341" s="13"/>
      <c r="X341" s="13"/>
      <c r="Y341" s="13"/>
      <c r="Z341" s="13"/>
      <c r="AA341" s="13"/>
      <c r="AB341" s="13"/>
      <c r="AC341" s="13"/>
      <c r="AD341" s="13"/>
      <c r="AE341" s="13"/>
      <c r="AF341" s="13"/>
      <c r="AG341" s="13"/>
      <c r="AH341" s="13"/>
      <c r="AI341" s="13"/>
      <c r="AJ341" s="15"/>
    </row>
    <row r="342" spans="2:40" ht="20.25">
      <c r="B342" s="13"/>
      <c r="C342" s="13"/>
      <c r="D342" s="12"/>
      <c r="E342" s="13"/>
      <c r="F342" s="13"/>
      <c r="G342" s="13"/>
      <c r="H342" s="13"/>
      <c r="I342" s="13"/>
      <c r="J342" s="37" t="s">
        <v>483</v>
      </c>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5"/>
    </row>
    <row r="343" spans="2:40">
      <c r="B343" s="13"/>
      <c r="C343" s="13"/>
      <c r="D343" s="12"/>
      <c r="E343" s="13"/>
      <c r="F343" s="13"/>
      <c r="G343" s="13"/>
      <c r="H343" s="13"/>
      <c r="I343" s="13"/>
      <c r="J343" s="13" t="s">
        <v>484</v>
      </c>
      <c r="K343" s="13"/>
      <c r="L343" s="13"/>
      <c r="M343" s="13"/>
      <c r="N343" s="13"/>
      <c r="O343" s="13"/>
      <c r="P343" s="13"/>
      <c r="Q343" s="13"/>
      <c r="R343" s="13"/>
      <c r="S343" s="13"/>
      <c r="T343" s="13"/>
      <c r="U343" s="13"/>
      <c r="V343" s="37"/>
      <c r="W343" s="13"/>
      <c r="X343" s="477"/>
      <c r="Y343" s="477"/>
      <c r="Z343" s="13"/>
      <c r="AA343" s="13"/>
      <c r="AB343" s="13"/>
      <c r="AC343" s="13"/>
      <c r="AD343" s="13"/>
      <c r="AE343" s="13"/>
      <c r="AF343" s="13"/>
      <c r="AG343" s="13"/>
      <c r="AH343" s="13"/>
      <c r="AI343" s="13"/>
      <c r="AJ343" s="15"/>
    </row>
    <row r="344" spans="2:40">
      <c r="B344" s="13"/>
      <c r="C344" s="13"/>
      <c r="D344" s="12"/>
      <c r="E344" s="13"/>
      <c r="F344" s="13"/>
      <c r="G344" s="13"/>
      <c r="H344" s="13"/>
      <c r="I344" s="13"/>
      <c r="J344" s="13"/>
      <c r="K344" s="13"/>
      <c r="L344" s="13"/>
      <c r="M344" s="13"/>
      <c r="N344" s="13"/>
      <c r="O344" s="13"/>
      <c r="P344" s="13"/>
      <c r="Q344" s="13"/>
      <c r="R344" s="13"/>
      <c r="S344" s="13"/>
      <c r="T344" s="13"/>
      <c r="U344" s="13"/>
      <c r="V344" s="37"/>
      <c r="W344" s="13"/>
      <c r="X344" s="40"/>
      <c r="Y344" s="40"/>
      <c r="Z344" s="13"/>
      <c r="AA344" s="13"/>
      <c r="AB344" s="13"/>
      <c r="AC344" s="13"/>
      <c r="AD344" s="13"/>
      <c r="AE344" s="13"/>
      <c r="AF344" s="13"/>
      <c r="AG344" s="13"/>
      <c r="AH344" s="13"/>
      <c r="AI344" s="13"/>
      <c r="AJ344" s="15"/>
    </row>
    <row r="345" spans="2:40">
      <c r="B345" s="13"/>
      <c r="C345" s="13"/>
      <c r="D345" s="12"/>
      <c r="E345" s="13"/>
      <c r="F345" s="13"/>
      <c r="G345" s="13"/>
      <c r="H345" s="13"/>
      <c r="I345" s="13" t="s">
        <v>485</v>
      </c>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5"/>
    </row>
    <row r="346" spans="2:40">
      <c r="B346" s="13"/>
      <c r="C346" s="13"/>
      <c r="D346" s="12"/>
      <c r="E346" s="13"/>
      <c r="F346" s="13"/>
      <c r="G346" s="13"/>
      <c r="H346" s="13"/>
      <c r="I346" s="13" t="s">
        <v>486</v>
      </c>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5"/>
    </row>
    <row r="347" spans="2:40">
      <c r="B347" s="13"/>
      <c r="C347" s="13"/>
      <c r="D347" s="12"/>
      <c r="E347" s="13"/>
      <c r="F347" s="13"/>
      <c r="G347" s="13"/>
      <c r="H347" s="13"/>
      <c r="I347"/>
      <c r="J347"/>
      <c r="K347"/>
      <c r="L347" s="410" t="s">
        <v>8</v>
      </c>
      <c r="M347" s="411"/>
      <c r="N347" s="413" t="s">
        <v>12</v>
      </c>
      <c r="O347" s="414"/>
      <c r="P347" s="414"/>
      <c r="Q347" s="415"/>
      <c r="R347" s="413" t="s">
        <v>487</v>
      </c>
      <c r="S347" s="414"/>
      <c r="T347" s="414"/>
      <c r="U347" s="415"/>
      <c r="V347" s="413" t="s">
        <v>13</v>
      </c>
      <c r="W347" s="414"/>
      <c r="X347" s="414"/>
      <c r="Y347" s="415"/>
      <c r="Z347" s="413"/>
      <c r="AA347" s="414"/>
      <c r="AB347" s="414"/>
      <c r="AC347" s="415"/>
      <c r="AD347" s="13"/>
      <c r="AE347" s="13"/>
      <c r="AF347" s="13"/>
      <c r="AG347" s="13"/>
      <c r="AH347" s="13"/>
      <c r="AI347" s="13"/>
      <c r="AJ347" s="15"/>
      <c r="AN347" s="13"/>
    </row>
    <row r="348" spans="2:40">
      <c r="B348" s="13"/>
      <c r="C348" s="13"/>
      <c r="D348" s="12"/>
      <c r="E348" s="13"/>
      <c r="F348" s="13"/>
      <c r="G348" s="13"/>
      <c r="H348" s="13"/>
      <c r="I348"/>
      <c r="J348"/>
      <c r="K348"/>
      <c r="L348" s="421" t="s">
        <v>15</v>
      </c>
      <c r="M348" s="422"/>
      <c r="N348" s="416" t="s">
        <v>16</v>
      </c>
      <c r="O348" s="380"/>
      <c r="P348" s="380"/>
      <c r="Q348" s="417"/>
      <c r="R348" s="432" t="s">
        <v>488</v>
      </c>
      <c r="S348" s="433"/>
      <c r="T348" s="433"/>
      <c r="U348" s="434"/>
      <c r="V348" s="416" t="s">
        <v>17</v>
      </c>
      <c r="W348" s="380"/>
      <c r="X348" s="380"/>
      <c r="Y348" s="417"/>
      <c r="Z348" s="478" t="s">
        <v>489</v>
      </c>
      <c r="AA348" s="380"/>
      <c r="AB348" s="380"/>
      <c r="AC348" s="417"/>
      <c r="AD348" s="13"/>
      <c r="AE348" s="13"/>
      <c r="AF348" s="13"/>
      <c r="AG348" s="13"/>
      <c r="AH348" s="13"/>
      <c r="AI348" s="13"/>
      <c r="AJ348" s="15"/>
      <c r="AN348" s="13"/>
    </row>
    <row r="349" spans="2:40" ht="20.25">
      <c r="B349" s="13"/>
      <c r="C349" s="13"/>
      <c r="D349" s="12"/>
      <c r="E349" s="13"/>
      <c r="F349" s="13"/>
      <c r="G349" s="13"/>
      <c r="H349" s="13"/>
      <c r="I349"/>
      <c r="J349"/>
      <c r="K349"/>
      <c r="L349" s="418" t="s">
        <v>20</v>
      </c>
      <c r="M349" s="420"/>
      <c r="N349" s="418" t="s">
        <v>40</v>
      </c>
      <c r="O349" s="419"/>
      <c r="P349" s="419"/>
      <c r="Q349" s="420"/>
      <c r="R349" s="418" t="s">
        <v>490</v>
      </c>
      <c r="S349" s="419"/>
      <c r="T349" s="419"/>
      <c r="U349" s="420"/>
      <c r="V349" s="418" t="s">
        <v>40</v>
      </c>
      <c r="W349" s="419"/>
      <c r="X349" s="419"/>
      <c r="Y349" s="420"/>
      <c r="Z349" s="418" t="s">
        <v>491</v>
      </c>
      <c r="AA349" s="419"/>
      <c r="AB349" s="419"/>
      <c r="AC349" s="420"/>
      <c r="AD349" s="13"/>
      <c r="AE349" s="13"/>
      <c r="AF349" s="13"/>
      <c r="AG349" s="13"/>
      <c r="AH349" s="13"/>
      <c r="AI349" s="13"/>
      <c r="AJ349" s="15"/>
      <c r="AN349" s="13"/>
    </row>
    <row r="350" spans="2:40">
      <c r="B350" s="13"/>
      <c r="C350" s="13"/>
      <c r="D350" s="12"/>
      <c r="E350" s="13"/>
      <c r="F350" s="13"/>
      <c r="G350" s="13"/>
      <c r="H350" s="13"/>
      <c r="I350"/>
      <c r="J350" s="398" t="s">
        <v>114</v>
      </c>
      <c r="K350" s="398"/>
      <c r="L350" s="397">
        <f>'1.設計条件'!F26</f>
        <v>3</v>
      </c>
      <c r="M350" s="397"/>
      <c r="N350" s="471">
        <f>'1.設計条件'!P26</f>
        <v>18</v>
      </c>
      <c r="O350" s="472"/>
      <c r="P350" s="472"/>
      <c r="Q350" s="473"/>
      <c r="R350" s="474">
        <f>-AD365</f>
        <v>-10</v>
      </c>
      <c r="S350" s="474"/>
      <c r="T350" s="474"/>
      <c r="U350" s="474"/>
      <c r="V350" s="348">
        <f>N350+R350</f>
        <v>8</v>
      </c>
      <c r="W350" s="348"/>
      <c r="X350" s="348"/>
      <c r="Y350" s="348"/>
      <c r="Z350" s="348">
        <f>L350*V350</f>
        <v>24</v>
      </c>
      <c r="AA350" s="348"/>
      <c r="AB350" s="348"/>
      <c r="AC350" s="348"/>
      <c r="AD350" s="13"/>
      <c r="AE350" s="13"/>
      <c r="AF350" s="13"/>
      <c r="AG350" s="13"/>
      <c r="AH350" s="13"/>
      <c r="AI350" s="13"/>
      <c r="AJ350" s="15"/>
      <c r="AN350" s="13"/>
    </row>
    <row r="351" spans="2:40">
      <c r="B351" s="13"/>
      <c r="C351" s="13"/>
      <c r="D351" s="12"/>
      <c r="E351" s="13"/>
      <c r="F351" s="13"/>
      <c r="G351" s="13"/>
      <c r="H351" s="13"/>
      <c r="I351"/>
      <c r="J351" s="398" t="s">
        <v>418</v>
      </c>
      <c r="K351" s="398"/>
      <c r="L351" s="397">
        <f>L352-L350</f>
        <v>1.7300000000000004</v>
      </c>
      <c r="M351" s="397"/>
      <c r="N351" s="471">
        <f>'1.設計条件'!P27</f>
        <v>18</v>
      </c>
      <c r="O351" s="472"/>
      <c r="P351" s="472"/>
      <c r="Q351" s="473"/>
      <c r="R351" s="474">
        <f>-AD365</f>
        <v>-10</v>
      </c>
      <c r="S351" s="474"/>
      <c r="T351" s="474"/>
      <c r="U351" s="474"/>
      <c r="V351" s="348">
        <f>N351+R351</f>
        <v>8</v>
      </c>
      <c r="W351" s="348"/>
      <c r="X351" s="348"/>
      <c r="Y351" s="348"/>
      <c r="Z351" s="348">
        <f>L351*V351</f>
        <v>13.840000000000003</v>
      </c>
      <c r="AA351" s="348"/>
      <c r="AB351" s="348"/>
      <c r="AC351" s="348"/>
      <c r="AD351" s="13"/>
      <c r="AE351" s="13"/>
      <c r="AF351" s="13"/>
      <c r="AG351" s="13"/>
      <c r="AH351" s="13"/>
      <c r="AI351" s="13"/>
      <c r="AJ351" s="15"/>
      <c r="AN351" s="13"/>
    </row>
    <row r="352" spans="2:40">
      <c r="B352" s="13"/>
      <c r="C352" s="13"/>
      <c r="D352" s="12"/>
      <c r="E352" s="13"/>
      <c r="F352" s="13"/>
      <c r="G352" s="13"/>
      <c r="H352" s="13"/>
      <c r="I352" s="13"/>
      <c r="J352" s="462" t="s">
        <v>252</v>
      </c>
      <c r="K352" s="463"/>
      <c r="L352" s="437">
        <f>AB396</f>
        <v>4.7300000000000004</v>
      </c>
      <c r="M352" s="439"/>
      <c r="N352" s="30"/>
      <c r="O352" s="30"/>
      <c r="P352" s="30"/>
      <c r="Q352" s="463"/>
      <c r="R352" s="463"/>
      <c r="S352" s="463"/>
      <c r="T352" s="463"/>
      <c r="U352" s="30"/>
      <c r="V352" s="30"/>
      <c r="W352" s="30"/>
      <c r="X352" s="30"/>
      <c r="Y352" s="30"/>
      <c r="Z352" s="462">
        <f>SUM(Z350:AC351)</f>
        <v>37.840000000000003</v>
      </c>
      <c r="AA352" s="463"/>
      <c r="AB352" s="463"/>
      <c r="AC352" s="464"/>
      <c r="AD352" s="13"/>
      <c r="AE352" s="13"/>
      <c r="AF352" s="13"/>
      <c r="AG352" s="13"/>
      <c r="AH352" s="13"/>
      <c r="AI352" s="13"/>
      <c r="AJ352" s="15"/>
    </row>
    <row r="353" spans="2:36">
      <c r="B353" s="13"/>
      <c r="C353" s="13"/>
      <c r="D353" s="12"/>
      <c r="E353" s="13"/>
      <c r="F353" s="13"/>
      <c r="G353" s="13"/>
      <c r="H353" s="13"/>
      <c r="I353" s="13"/>
      <c r="J353" s="14"/>
      <c r="K353" s="14"/>
      <c r="L353" s="475" t="s">
        <v>492</v>
      </c>
      <c r="M353" s="475"/>
      <c r="N353" s="13"/>
      <c r="O353" s="13"/>
      <c r="P353" s="13"/>
      <c r="Q353" s="14"/>
      <c r="R353" s="14"/>
      <c r="S353" s="14"/>
      <c r="T353" s="14"/>
      <c r="U353" s="13"/>
      <c r="V353" s="13"/>
      <c r="W353" s="13"/>
      <c r="X353" s="13"/>
      <c r="Y353" s="13"/>
      <c r="Z353" s="14"/>
      <c r="AA353" s="14"/>
      <c r="AB353" s="14"/>
      <c r="AC353" s="14"/>
      <c r="AD353" s="13"/>
      <c r="AE353" s="13"/>
      <c r="AF353" s="13"/>
      <c r="AG353" s="13"/>
      <c r="AH353" s="13"/>
      <c r="AI353" s="13"/>
      <c r="AJ353" s="15"/>
    </row>
    <row r="354" spans="2:36">
      <c r="B354" s="13"/>
      <c r="C354" s="13"/>
      <c r="D354" s="12"/>
      <c r="E354" s="13"/>
      <c r="F354" s="13"/>
      <c r="G354" s="13"/>
      <c r="H354" s="13"/>
      <c r="I354" s="13" t="s">
        <v>67</v>
      </c>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5"/>
    </row>
    <row r="355" spans="2:36">
      <c r="B355" s="13"/>
      <c r="C355" s="13"/>
      <c r="D355" s="12"/>
      <c r="E355" s="13"/>
      <c r="F355" s="13"/>
      <c r="G355" s="13"/>
      <c r="H355" s="13"/>
      <c r="I355" s="13"/>
      <c r="J355" s="456" t="s">
        <v>493</v>
      </c>
      <c r="K355" s="456"/>
      <c r="L355" s="456"/>
      <c r="M355" s="456"/>
      <c r="N355" s="457" t="s">
        <v>494</v>
      </c>
      <c r="O355" s="457"/>
      <c r="P355" s="457"/>
      <c r="Q355" s="457"/>
      <c r="R355" s="13"/>
      <c r="S355" s="13"/>
      <c r="T355" s="13"/>
      <c r="U355" s="13"/>
      <c r="V355" s="13"/>
      <c r="W355" s="13"/>
      <c r="X355" s="32"/>
      <c r="Y355" s="32"/>
      <c r="Z355" s="32"/>
      <c r="AA355" s="32"/>
      <c r="AB355" s="13"/>
      <c r="AC355" s="13"/>
      <c r="AD355" s="13"/>
      <c r="AE355" s="13"/>
      <c r="AF355" s="13"/>
      <c r="AG355" s="13"/>
      <c r="AH355" s="13"/>
      <c r="AI355" s="13"/>
      <c r="AJ355" s="15"/>
    </row>
    <row r="356" spans="2:36">
      <c r="B356" s="13"/>
      <c r="C356" s="13"/>
      <c r="D356" s="12"/>
      <c r="E356" s="13"/>
      <c r="F356" s="13"/>
      <c r="G356" s="13"/>
      <c r="H356" s="13"/>
      <c r="I356" s="13"/>
      <c r="J356" s="456"/>
      <c r="K356" s="456"/>
      <c r="L356" s="456"/>
      <c r="M356" s="456"/>
      <c r="N356" s="436" t="s">
        <v>495</v>
      </c>
      <c r="O356" s="436"/>
      <c r="P356" s="436"/>
      <c r="Q356" s="436"/>
      <c r="R356" s="13"/>
      <c r="S356" s="13"/>
      <c r="T356" s="13"/>
      <c r="U356" s="13"/>
      <c r="V356" s="13"/>
      <c r="W356" s="13"/>
      <c r="X356" s="32"/>
      <c r="Y356" s="32"/>
      <c r="Z356" s="32"/>
      <c r="AA356" s="32"/>
      <c r="AB356" s="13"/>
      <c r="AC356" s="13"/>
      <c r="AD356" s="13"/>
      <c r="AE356" s="13"/>
      <c r="AF356" s="13"/>
      <c r="AG356" s="13"/>
      <c r="AH356" s="13"/>
      <c r="AI356" s="13"/>
      <c r="AJ356" s="15"/>
    </row>
    <row r="357" spans="2:36">
      <c r="B357" s="13"/>
      <c r="C357" s="13"/>
      <c r="D357" s="12"/>
      <c r="E357" s="13"/>
      <c r="F357" s="13"/>
      <c r="G357" s="13"/>
      <c r="H357" s="13"/>
      <c r="I357" s="13"/>
      <c r="J357" s="197"/>
      <c r="K357" s="197"/>
      <c r="L357" s="197"/>
      <c r="M357" s="449" t="s">
        <v>2</v>
      </c>
      <c r="N357" s="451">
        <f>Z352</f>
        <v>37.840000000000003</v>
      </c>
      <c r="O357" s="451"/>
      <c r="P357" s="451"/>
      <c r="Q357" s="14"/>
      <c r="R357" s="13"/>
      <c r="S357" s="28"/>
      <c r="T357" s="24"/>
      <c r="U357" s="24"/>
      <c r="V357" s="24"/>
      <c r="W357" s="13"/>
      <c r="X357" s="28"/>
      <c r="Y357" s="28"/>
      <c r="Z357" s="28"/>
      <c r="AA357" s="28"/>
      <c r="AB357" s="13"/>
      <c r="AC357" s="13"/>
      <c r="AD357" s="13"/>
      <c r="AE357" s="13"/>
      <c r="AF357" s="13"/>
      <c r="AG357" s="13"/>
      <c r="AH357" s="13"/>
      <c r="AI357" s="13"/>
      <c r="AJ357" s="15"/>
    </row>
    <row r="358" spans="2:36">
      <c r="B358" s="13"/>
      <c r="C358" s="13"/>
      <c r="D358" s="12"/>
      <c r="E358" s="13"/>
      <c r="F358" s="13"/>
      <c r="G358" s="13"/>
      <c r="H358" s="13"/>
      <c r="I358" s="13"/>
      <c r="J358" s="197"/>
      <c r="K358" s="197"/>
      <c r="L358" s="197"/>
      <c r="M358" s="449"/>
      <c r="N358" s="448">
        <f>L352</f>
        <v>4.7300000000000004</v>
      </c>
      <c r="O358" s="448"/>
      <c r="P358" s="448"/>
      <c r="Q358" s="14"/>
      <c r="R358" s="13"/>
      <c r="S358" s="28"/>
      <c r="T358" s="24"/>
      <c r="U358" s="24"/>
      <c r="V358" s="24"/>
      <c r="W358" s="13"/>
      <c r="X358" s="28"/>
      <c r="Y358" s="28"/>
      <c r="Z358" s="28"/>
      <c r="AA358" s="28"/>
      <c r="AB358" s="13"/>
      <c r="AC358" s="13"/>
      <c r="AD358" s="13"/>
      <c r="AE358" s="13"/>
      <c r="AF358" s="13"/>
      <c r="AG358" s="13"/>
      <c r="AH358" s="13"/>
      <c r="AI358" s="13"/>
      <c r="AJ358" s="15"/>
    </row>
    <row r="359" spans="2:36">
      <c r="B359" s="13"/>
      <c r="C359" s="13"/>
      <c r="D359" s="12"/>
      <c r="E359" s="13"/>
      <c r="F359" s="13"/>
      <c r="G359" s="13"/>
      <c r="H359" s="13"/>
      <c r="I359" s="13"/>
      <c r="J359" s="197"/>
      <c r="K359" s="197"/>
      <c r="L359" s="197"/>
      <c r="M359" s="197"/>
      <c r="N359" s="14"/>
      <c r="O359" s="14"/>
      <c r="P359" s="14"/>
      <c r="Q359" s="14"/>
      <c r="R359" s="13"/>
      <c r="S359" s="28"/>
      <c r="T359" s="24"/>
      <c r="U359" s="24"/>
      <c r="V359" s="24"/>
      <c r="W359" s="13"/>
      <c r="X359" s="28"/>
      <c r="Y359" s="28"/>
      <c r="Z359" s="28"/>
      <c r="AA359" s="28"/>
      <c r="AB359" s="13"/>
      <c r="AC359" s="13"/>
      <c r="AD359" s="13"/>
      <c r="AE359" s="13"/>
      <c r="AF359" s="13"/>
      <c r="AG359" s="13"/>
      <c r="AH359" s="13"/>
      <c r="AI359" s="13"/>
      <c r="AJ359" s="15"/>
    </row>
    <row r="360" spans="2:36">
      <c r="B360" s="13"/>
      <c r="C360" s="13"/>
      <c r="D360" s="12"/>
      <c r="E360" s="13"/>
      <c r="F360" s="13"/>
      <c r="G360" s="13"/>
      <c r="H360" s="13"/>
      <c r="I360" s="13"/>
      <c r="J360" s="197"/>
      <c r="K360" s="197"/>
      <c r="L360" s="197"/>
      <c r="M360" s="197" t="s">
        <v>2</v>
      </c>
      <c r="N360" s="462">
        <f>N357/N358</f>
        <v>8</v>
      </c>
      <c r="O360" s="464"/>
      <c r="P360" s="13"/>
      <c r="Q360" s="14"/>
      <c r="R360" s="13"/>
      <c r="S360" s="28"/>
      <c r="T360" s="24"/>
      <c r="U360" s="24"/>
      <c r="V360" s="24"/>
      <c r="W360" s="13"/>
      <c r="X360" s="28"/>
      <c r="Y360" s="28"/>
      <c r="Z360" s="28"/>
      <c r="AA360" s="28"/>
      <c r="AB360" s="13"/>
      <c r="AC360" s="13"/>
      <c r="AD360" s="13"/>
      <c r="AE360" s="13"/>
      <c r="AF360" s="13"/>
      <c r="AG360" s="13"/>
      <c r="AH360" s="13"/>
      <c r="AI360" s="13"/>
      <c r="AJ360" s="15"/>
    </row>
    <row r="361" spans="2:36">
      <c r="B361" s="13"/>
      <c r="C361" s="13"/>
      <c r="D361" s="12"/>
      <c r="E361" s="13"/>
      <c r="F361" s="13"/>
      <c r="G361" s="13"/>
      <c r="H361" s="13"/>
      <c r="I361" s="13"/>
      <c r="J361" s="197"/>
      <c r="K361" s="197"/>
      <c r="L361" s="197"/>
      <c r="M361" s="197"/>
      <c r="N361" s="14"/>
      <c r="O361" s="14"/>
      <c r="P361" s="13"/>
      <c r="Q361" s="14"/>
      <c r="R361" s="13"/>
      <c r="S361" s="28"/>
      <c r="T361" s="24"/>
      <c r="U361" s="24"/>
      <c r="V361" s="24"/>
      <c r="W361" s="13"/>
      <c r="X361" s="28"/>
      <c r="Y361" s="28"/>
      <c r="Z361" s="28"/>
      <c r="AA361" s="28"/>
      <c r="AB361" s="13"/>
      <c r="AC361" s="13"/>
      <c r="AD361" s="13"/>
      <c r="AE361" s="13"/>
      <c r="AF361" s="13"/>
      <c r="AG361" s="13"/>
      <c r="AH361" s="13"/>
      <c r="AI361" s="13"/>
      <c r="AJ361" s="15"/>
    </row>
    <row r="362" spans="2:36" ht="20.25">
      <c r="B362" s="13"/>
      <c r="C362" s="13"/>
      <c r="D362" s="12"/>
      <c r="E362" s="13"/>
      <c r="F362" s="13"/>
      <c r="G362" s="38" t="s">
        <v>496</v>
      </c>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5"/>
    </row>
    <row r="363" spans="2:36">
      <c r="B363" s="13"/>
      <c r="C363" s="13"/>
      <c r="D363" s="12"/>
      <c r="E363" s="13"/>
      <c r="F363" s="13"/>
      <c r="G363" s="13"/>
      <c r="H363" s="13"/>
      <c r="I363" s="465" t="s">
        <v>65</v>
      </c>
      <c r="J363" s="449" t="s">
        <v>2</v>
      </c>
      <c r="K363" s="449" t="s">
        <v>497</v>
      </c>
      <c r="L363" s="451" t="s">
        <v>498</v>
      </c>
      <c r="M363" s="451"/>
      <c r="N363" s="451"/>
      <c r="O363" s="451"/>
      <c r="P363" s="451"/>
      <c r="Q363" s="13"/>
      <c r="R363" s="13"/>
      <c r="S363" s="13"/>
      <c r="T363" s="13"/>
      <c r="U363" s="13"/>
      <c r="V363" s="13"/>
      <c r="W363" s="13"/>
      <c r="X363" s="13"/>
      <c r="Y363" s="13"/>
      <c r="Z363" s="13"/>
      <c r="AA363" s="13"/>
      <c r="AB363" s="13"/>
      <c r="AC363" s="13"/>
      <c r="AD363" s="13"/>
      <c r="AE363" s="13"/>
      <c r="AF363" s="13"/>
      <c r="AG363" s="13"/>
      <c r="AH363" s="13"/>
      <c r="AI363" s="13"/>
      <c r="AJ363" s="15"/>
    </row>
    <row r="364" spans="2:36">
      <c r="B364" s="13"/>
      <c r="C364" s="13"/>
      <c r="D364" s="12"/>
      <c r="E364" s="13"/>
      <c r="F364" s="13"/>
      <c r="G364" s="13"/>
      <c r="H364" s="13"/>
      <c r="I364" s="465"/>
      <c r="J364" s="449"/>
      <c r="K364" s="449"/>
      <c r="L364" s="468">
        <v>4</v>
      </c>
      <c r="M364" s="468"/>
      <c r="N364" s="468"/>
      <c r="O364" s="468"/>
      <c r="P364" s="468"/>
      <c r="Q364" s="13"/>
      <c r="R364" s="13"/>
      <c r="S364" s="13"/>
      <c r="T364" s="13"/>
      <c r="U364" s="13"/>
      <c r="V364" s="13"/>
      <c r="W364" s="13"/>
      <c r="X364" s="13"/>
      <c r="Y364" s="13"/>
      <c r="Z364" s="13"/>
      <c r="AA364" s="13"/>
      <c r="AB364" s="13"/>
      <c r="AC364" s="13"/>
      <c r="AD364" s="13"/>
      <c r="AE364" s="13"/>
      <c r="AF364" s="13"/>
      <c r="AG364" s="13"/>
      <c r="AH364" s="13"/>
      <c r="AI364" s="13"/>
      <c r="AJ364" s="15"/>
    </row>
    <row r="365" spans="2:36" ht="20.25">
      <c r="B365" s="13"/>
      <c r="C365" s="13"/>
      <c r="D365" s="12"/>
      <c r="E365" s="13"/>
      <c r="F365" s="13"/>
      <c r="G365" s="13"/>
      <c r="H365" s="13"/>
      <c r="I365" s="13"/>
      <c r="J365" s="13" t="s">
        <v>499</v>
      </c>
      <c r="K365" s="13"/>
      <c r="L365" s="13"/>
      <c r="M365" s="13"/>
      <c r="N365" s="13"/>
      <c r="O365" s="13"/>
      <c r="P365" s="13"/>
      <c r="Q365" s="13"/>
      <c r="R365" s="13"/>
      <c r="S365" s="13"/>
      <c r="T365" s="13"/>
      <c r="U365" s="13"/>
      <c r="V365" s="13"/>
      <c r="W365" s="13"/>
      <c r="X365" s="13"/>
      <c r="Y365" s="13"/>
      <c r="Z365" s="13"/>
      <c r="AA365" s="13"/>
      <c r="AB365" s="13" t="s">
        <v>500</v>
      </c>
      <c r="AC365" s="13"/>
      <c r="AD365" s="469">
        <v>10</v>
      </c>
      <c r="AE365" s="470"/>
      <c r="AF365" s="13"/>
      <c r="AG365" s="13"/>
      <c r="AH365" s="13"/>
      <c r="AI365" s="13"/>
      <c r="AJ365" s="15"/>
    </row>
    <row r="366" spans="2:36">
      <c r="B366" s="13"/>
      <c r="C366" s="13"/>
      <c r="D366" s="12"/>
      <c r="E366" s="13"/>
      <c r="F366" s="13"/>
      <c r="G366" s="13"/>
      <c r="H366" s="13"/>
      <c r="I366" s="13"/>
      <c r="J366" s="38" t="s">
        <v>501</v>
      </c>
      <c r="K366" s="13"/>
      <c r="L366" s="13"/>
      <c r="M366" s="13"/>
      <c r="N366" s="13"/>
      <c r="O366" s="13"/>
      <c r="P366" s="13"/>
      <c r="Q366" s="13"/>
      <c r="R366" s="13"/>
      <c r="S366" s="13"/>
      <c r="T366" s="13"/>
      <c r="U366" s="13"/>
      <c r="V366" s="13"/>
      <c r="W366" s="13"/>
      <c r="X366" s="13"/>
      <c r="Y366" s="13"/>
      <c r="Z366" s="13"/>
      <c r="AA366" s="13"/>
      <c r="AB366" s="34" t="s">
        <v>502</v>
      </c>
      <c r="AC366" s="13"/>
      <c r="AD366" s="462">
        <f>'1.設計条件'!L25</f>
        <v>4.5</v>
      </c>
      <c r="AE366" s="464"/>
      <c r="AF366" s="13"/>
      <c r="AG366" s="13"/>
      <c r="AH366" s="13"/>
      <c r="AI366" s="13"/>
      <c r="AJ366" s="15"/>
    </row>
    <row r="367" spans="2:36">
      <c r="B367" s="13"/>
      <c r="C367" s="13"/>
      <c r="D367" s="12"/>
      <c r="E367" s="13"/>
      <c r="F367" s="13"/>
      <c r="G367" s="13"/>
      <c r="H367" s="13"/>
      <c r="I367" s="28"/>
      <c r="J367" s="33" t="s">
        <v>503</v>
      </c>
      <c r="K367" s="28"/>
      <c r="L367" s="27"/>
      <c r="M367" s="27"/>
      <c r="N367" s="27"/>
      <c r="O367" s="27"/>
      <c r="P367" s="27"/>
      <c r="Q367" s="13"/>
      <c r="R367" s="13"/>
      <c r="S367" s="13"/>
      <c r="T367" s="13"/>
      <c r="U367" s="13"/>
      <c r="V367" s="13"/>
      <c r="W367" s="13"/>
      <c r="X367" s="13"/>
      <c r="Y367" s="13"/>
      <c r="Z367" s="13"/>
      <c r="AA367" s="13"/>
      <c r="AB367" s="13"/>
      <c r="AC367" s="13"/>
      <c r="AD367" s="13"/>
      <c r="AE367" s="13"/>
      <c r="AF367" s="13"/>
      <c r="AG367" s="13"/>
      <c r="AH367" s="13"/>
      <c r="AI367" s="13"/>
      <c r="AJ367" s="15"/>
    </row>
    <row r="368" spans="2:36" ht="20.25">
      <c r="B368" s="13"/>
      <c r="C368" s="13"/>
      <c r="D368" s="12"/>
      <c r="E368" s="13"/>
      <c r="F368" s="13"/>
      <c r="G368" s="13"/>
      <c r="H368" s="13"/>
      <c r="I368" s="13"/>
      <c r="J368" s="13"/>
      <c r="K368" s="13" t="s">
        <v>504</v>
      </c>
      <c r="L368" s="13"/>
      <c r="M368" s="13"/>
      <c r="N368" s="13"/>
      <c r="O368" s="13"/>
      <c r="P368" s="13"/>
      <c r="Q368" s="13"/>
      <c r="R368" s="13"/>
      <c r="S368" s="13"/>
      <c r="T368" s="13"/>
      <c r="U368" s="13"/>
      <c r="V368" s="13"/>
      <c r="W368" s="13"/>
      <c r="X368" s="13"/>
      <c r="Y368" s="13"/>
      <c r="Z368" s="13"/>
      <c r="AA368" s="13"/>
      <c r="AB368" s="13"/>
      <c r="AC368" s="13"/>
      <c r="AD368" s="13"/>
      <c r="AE368" s="13"/>
      <c r="AF368" s="13"/>
      <c r="AG368" s="13"/>
      <c r="AH368" s="13"/>
      <c r="AI368" s="13"/>
      <c r="AJ368" s="15"/>
    </row>
    <row r="369" spans="2:36" ht="20.25">
      <c r="B369" s="13"/>
      <c r="C369" s="13"/>
      <c r="D369" s="12"/>
      <c r="E369" s="13"/>
      <c r="F369" s="13"/>
      <c r="G369" s="13"/>
      <c r="H369" s="13"/>
      <c r="I369" s="13"/>
      <c r="J369" s="13"/>
      <c r="K369" s="13"/>
      <c r="L369" s="13"/>
      <c r="M369" s="13" t="s">
        <v>505</v>
      </c>
      <c r="N369" s="13"/>
      <c r="O369" s="13"/>
      <c r="P369" s="13"/>
      <c r="Q369" s="13"/>
      <c r="R369" s="13"/>
      <c r="S369" s="13"/>
      <c r="T369" s="13"/>
      <c r="U369" s="13"/>
      <c r="V369" s="13"/>
      <c r="W369" s="13"/>
      <c r="X369" s="13"/>
      <c r="Y369" s="13"/>
      <c r="Z369" s="13"/>
      <c r="AA369" s="13"/>
      <c r="AB369" s="13"/>
      <c r="AC369" s="13"/>
      <c r="AD369" s="13"/>
      <c r="AE369" s="13"/>
      <c r="AF369" s="13"/>
      <c r="AG369" s="13"/>
      <c r="AH369" s="13"/>
      <c r="AI369" s="13"/>
      <c r="AJ369" s="15"/>
    </row>
    <row r="370" spans="2:36" ht="21">
      <c r="B370" s="13"/>
      <c r="C370" s="13"/>
      <c r="D370" s="12"/>
      <c r="E370" s="13"/>
      <c r="F370" s="13"/>
      <c r="G370" s="13"/>
      <c r="H370" s="13"/>
      <c r="I370" s="13"/>
      <c r="J370" s="13"/>
      <c r="K370" s="13"/>
      <c r="L370" s="13"/>
      <c r="M370" s="13"/>
      <c r="N370" s="13" t="s">
        <v>506</v>
      </c>
      <c r="O370" s="13"/>
      <c r="P370" s="13"/>
      <c r="Q370" s="13"/>
      <c r="R370" s="13"/>
      <c r="S370" s="13"/>
      <c r="T370" s="13"/>
      <c r="U370" s="13"/>
      <c r="V370" s="13"/>
      <c r="W370" s="13"/>
      <c r="X370" s="13"/>
      <c r="Y370" s="13"/>
      <c r="Z370" s="13"/>
      <c r="AA370" s="13"/>
      <c r="AB370" s="13"/>
      <c r="AC370" s="13"/>
      <c r="AD370" s="13"/>
      <c r="AE370" s="13"/>
      <c r="AF370" s="13"/>
      <c r="AG370" s="13"/>
      <c r="AH370" s="13"/>
      <c r="AI370" s="13"/>
      <c r="AJ370" s="15"/>
    </row>
    <row r="371" spans="2:36">
      <c r="B371" s="13"/>
      <c r="C371" s="13"/>
      <c r="D371" s="12"/>
      <c r="E371" s="13"/>
      <c r="F371" s="13"/>
      <c r="G371" s="13"/>
      <c r="H371" s="13"/>
      <c r="I371" s="13"/>
      <c r="J371" s="13"/>
      <c r="K371" s="13"/>
      <c r="L371" s="13"/>
      <c r="M371" s="13"/>
      <c r="N371" s="13"/>
      <c r="O371" s="38" t="s">
        <v>507</v>
      </c>
      <c r="P371" s="13"/>
      <c r="Q371" s="13"/>
      <c r="R371" s="13"/>
      <c r="S371" s="13"/>
      <c r="T371" s="13"/>
      <c r="U371" s="13"/>
      <c r="V371" s="13"/>
      <c r="W371" s="13"/>
      <c r="X371" s="13"/>
      <c r="Y371" s="13"/>
      <c r="Z371" s="13"/>
      <c r="AA371" s="13"/>
      <c r="AB371" s="38" t="s">
        <v>508</v>
      </c>
      <c r="AC371" s="13"/>
      <c r="AD371" s="462">
        <f>'1.設計条件'!R12</f>
        <v>7.2</v>
      </c>
      <c r="AE371" s="463"/>
      <c r="AF371" s="464"/>
      <c r="AG371" s="13"/>
      <c r="AH371" s="13"/>
      <c r="AI371" s="13"/>
      <c r="AJ371" s="15"/>
    </row>
    <row r="372" spans="2:36" ht="20.25">
      <c r="B372" s="13"/>
      <c r="C372" s="13"/>
      <c r="D372" s="12"/>
      <c r="E372" s="13"/>
      <c r="F372" s="13"/>
      <c r="G372" s="13"/>
      <c r="H372" s="13"/>
      <c r="I372" s="13"/>
      <c r="J372" s="13"/>
      <c r="K372" s="13"/>
      <c r="L372" s="13"/>
      <c r="M372" s="13"/>
      <c r="N372" s="13"/>
      <c r="O372" s="13" t="s">
        <v>509</v>
      </c>
      <c r="P372" s="13"/>
      <c r="Q372" s="13"/>
      <c r="R372" s="13"/>
      <c r="S372" s="13"/>
      <c r="T372" s="13"/>
      <c r="U372" s="13"/>
      <c r="V372" s="13"/>
      <c r="W372" s="13"/>
      <c r="X372" s="13"/>
      <c r="Y372" s="13"/>
      <c r="Z372" s="13"/>
      <c r="AA372" s="13"/>
      <c r="AB372" s="13"/>
      <c r="AC372" s="13"/>
      <c r="AD372" s="13"/>
      <c r="AE372" s="13"/>
      <c r="AF372" s="13"/>
      <c r="AG372" s="13"/>
      <c r="AH372" s="13"/>
      <c r="AI372" s="13"/>
      <c r="AJ372" s="15"/>
    </row>
    <row r="373" spans="2:36">
      <c r="B373" s="13"/>
      <c r="C373" s="13"/>
      <c r="D373" s="12"/>
      <c r="E373" s="13"/>
      <c r="F373" s="13"/>
      <c r="G373" s="13"/>
      <c r="H373" s="13"/>
      <c r="I373" s="13"/>
      <c r="J373" s="13"/>
      <c r="K373" s="13"/>
      <c r="L373" s="13"/>
      <c r="M373" s="13"/>
      <c r="N373" s="13"/>
      <c r="O373" s="13" t="s">
        <v>510</v>
      </c>
      <c r="P373" s="13"/>
      <c r="Q373" s="13"/>
      <c r="R373" s="13"/>
      <c r="S373" s="13"/>
      <c r="T373" s="13"/>
      <c r="U373" s="13"/>
      <c r="V373" s="13"/>
      <c r="W373" s="13"/>
      <c r="X373" s="13"/>
      <c r="Y373" s="13"/>
      <c r="Z373" s="13"/>
      <c r="AA373" s="13"/>
      <c r="AB373" s="13"/>
      <c r="AC373" s="13"/>
      <c r="AD373" s="13"/>
      <c r="AE373" s="13"/>
      <c r="AF373" s="13"/>
      <c r="AG373" s="13"/>
      <c r="AH373" s="13"/>
      <c r="AI373" s="13"/>
      <c r="AJ373" s="15"/>
    </row>
    <row r="374" spans="2:36">
      <c r="B374" s="13"/>
      <c r="C374" s="13"/>
      <c r="D374" s="12"/>
      <c r="E374" s="13"/>
      <c r="F374" s="13"/>
      <c r="G374" s="13"/>
      <c r="H374" s="13"/>
      <c r="I374" s="13"/>
      <c r="J374" s="13"/>
      <c r="K374" s="13"/>
      <c r="L374" s="13"/>
      <c r="M374" s="13"/>
      <c r="N374" s="13" t="s">
        <v>67</v>
      </c>
      <c r="O374" s="13"/>
      <c r="P374" s="13"/>
      <c r="Q374" s="13"/>
      <c r="R374" s="13"/>
      <c r="S374" s="13"/>
      <c r="T374" s="13"/>
      <c r="U374" s="13"/>
      <c r="V374" s="13"/>
      <c r="W374" s="13"/>
      <c r="X374" s="13"/>
      <c r="Y374" s="13"/>
      <c r="Z374" s="13"/>
      <c r="AA374" s="13"/>
      <c r="AB374" s="13"/>
      <c r="AC374" s="13"/>
      <c r="AD374" s="13"/>
      <c r="AE374" s="13"/>
      <c r="AF374" s="13"/>
      <c r="AG374" s="13"/>
      <c r="AH374" s="13"/>
      <c r="AI374" s="13"/>
      <c r="AJ374" s="15"/>
    </row>
    <row r="375" spans="2:36" ht="21">
      <c r="B375" s="13"/>
      <c r="C375" s="13"/>
      <c r="D375" s="12"/>
      <c r="E375" s="13"/>
      <c r="F375" s="13"/>
      <c r="G375" s="13"/>
      <c r="H375" s="13"/>
      <c r="I375" s="13"/>
      <c r="J375" s="13"/>
      <c r="K375" s="13"/>
      <c r="L375" s="13"/>
      <c r="M375" s="13"/>
      <c r="N375" s="461" t="s">
        <v>511</v>
      </c>
      <c r="O375" s="461"/>
      <c r="P375" s="448">
        <v>1.3</v>
      </c>
      <c r="Q375" s="448"/>
      <c r="R375" s="13" t="s">
        <v>68</v>
      </c>
      <c r="S375" s="436">
        <v>0.7</v>
      </c>
      <c r="T375" s="436"/>
      <c r="U375" s="13" t="s">
        <v>69</v>
      </c>
      <c r="V375" s="436">
        <f>AD371</f>
        <v>7.2</v>
      </c>
      <c r="W375" s="436"/>
      <c r="X375" s="436"/>
      <c r="Y375" s="13" t="s">
        <v>70</v>
      </c>
      <c r="Z375" s="448">
        <f>AB396</f>
        <v>4.7300000000000004</v>
      </c>
      <c r="AA375" s="448"/>
      <c r="AB375" s="13" t="s">
        <v>512</v>
      </c>
      <c r="AC375" s="13"/>
      <c r="AD375" s="13"/>
      <c r="AE375" s="13"/>
      <c r="AF375" s="13"/>
      <c r="AG375" s="13"/>
      <c r="AH375" s="13"/>
      <c r="AI375" s="13"/>
      <c r="AJ375" s="15"/>
    </row>
    <row r="376" spans="2:36">
      <c r="B376" s="13"/>
      <c r="C376" s="13"/>
      <c r="D376" s="12"/>
      <c r="E376" s="13"/>
      <c r="F376" s="13"/>
      <c r="G376" s="13"/>
      <c r="H376" s="13"/>
      <c r="I376" s="13"/>
      <c r="J376" s="13"/>
      <c r="K376" s="13"/>
      <c r="L376" s="13"/>
      <c r="M376" s="13"/>
      <c r="N376" s="13"/>
      <c r="O376" s="219" t="s">
        <v>2</v>
      </c>
      <c r="P376" s="448">
        <f>ROUND(P375+S375*(V375/Z375)^(-0.45),2)</f>
        <v>1.88</v>
      </c>
      <c r="Q376" s="448"/>
      <c r="R376" s="448"/>
      <c r="S376" s="13"/>
      <c r="T376" s="13"/>
      <c r="U376" s="13"/>
      <c r="V376" s="13"/>
      <c r="W376" s="13"/>
      <c r="X376" s="13"/>
      <c r="Y376" s="13"/>
      <c r="Z376" s="13"/>
      <c r="AA376" s="13"/>
      <c r="AB376" s="13"/>
      <c r="AC376" s="13"/>
      <c r="AD376" s="13"/>
      <c r="AE376" s="13"/>
      <c r="AF376" s="13"/>
      <c r="AG376" s="13"/>
      <c r="AH376" s="13"/>
      <c r="AI376" s="13"/>
      <c r="AJ376" s="15"/>
    </row>
    <row r="377" spans="2:36">
      <c r="B377" s="13"/>
      <c r="C377" s="13"/>
      <c r="D377" s="12"/>
      <c r="E377" s="13"/>
      <c r="F377" s="13"/>
      <c r="G377" s="13"/>
      <c r="H377" s="13"/>
      <c r="I377" s="13"/>
      <c r="J377" s="13"/>
      <c r="K377" s="13"/>
      <c r="L377" s="13"/>
      <c r="M377" s="13"/>
      <c r="N377" s="13" t="s">
        <v>513</v>
      </c>
      <c r="O377" s="13"/>
      <c r="P377" s="13"/>
      <c r="Q377" s="13"/>
      <c r="R377" s="13"/>
      <c r="S377" s="13"/>
      <c r="T377" s="13"/>
      <c r="U377" s="13"/>
      <c r="V377" s="13"/>
      <c r="W377" s="13"/>
      <c r="X377" s="13"/>
      <c r="Y377" s="13"/>
      <c r="Z377" s="13"/>
      <c r="AA377" s="13"/>
      <c r="AB377" s="13"/>
      <c r="AC377" s="13"/>
      <c r="AD377" s="13"/>
      <c r="AE377" s="13"/>
      <c r="AF377" s="13"/>
      <c r="AG377" s="13"/>
      <c r="AH377" s="13"/>
      <c r="AI377" s="13"/>
      <c r="AJ377" s="15"/>
    </row>
    <row r="378" spans="2:36" ht="20.25">
      <c r="B378" s="13"/>
      <c r="C378" s="13"/>
      <c r="D378" s="12"/>
      <c r="E378" s="13"/>
      <c r="F378" s="13"/>
      <c r="G378" s="13"/>
      <c r="H378" s="13"/>
      <c r="I378" s="13"/>
      <c r="J378" s="13"/>
      <c r="K378" s="13"/>
      <c r="L378" s="13"/>
      <c r="M378" s="13"/>
      <c r="N378" s="461" t="s">
        <v>511</v>
      </c>
      <c r="O378" s="461"/>
      <c r="P378" s="437">
        <f>IF(P376&lt;1.5,1.5,P376)</f>
        <v>1.88</v>
      </c>
      <c r="Q378" s="438"/>
      <c r="R378" s="439"/>
      <c r="S378" s="13"/>
      <c r="T378" s="13"/>
      <c r="U378" s="13"/>
      <c r="V378" s="13"/>
      <c r="W378" s="13"/>
      <c r="X378" s="13"/>
      <c r="Y378" s="13"/>
      <c r="Z378" s="13"/>
      <c r="AA378" s="13"/>
      <c r="AB378" s="13"/>
      <c r="AC378" s="13"/>
      <c r="AD378" s="13"/>
      <c r="AE378" s="13"/>
      <c r="AF378" s="13"/>
      <c r="AG378" s="13"/>
      <c r="AH378" s="13"/>
      <c r="AI378" s="13"/>
      <c r="AJ378" s="15"/>
    </row>
    <row r="379" spans="2:36" ht="20.25">
      <c r="B379" s="13"/>
      <c r="C379" s="13"/>
      <c r="D379" s="12"/>
      <c r="E379" s="13"/>
      <c r="F379" s="13"/>
      <c r="G379" s="13"/>
      <c r="H379" s="13"/>
      <c r="I379" s="13"/>
      <c r="J379" s="13"/>
      <c r="K379" s="13"/>
      <c r="L379" s="13"/>
      <c r="M379" s="13" t="s">
        <v>514</v>
      </c>
      <c r="N379" s="13"/>
      <c r="O379" s="13"/>
      <c r="P379" s="13"/>
      <c r="Q379" s="13"/>
      <c r="R379" s="13"/>
      <c r="S379" s="13"/>
      <c r="T379" s="13"/>
      <c r="U379" s="13"/>
      <c r="V379" s="13"/>
      <c r="W379" s="13"/>
      <c r="X379" s="13"/>
      <c r="Y379" s="13"/>
      <c r="Z379" s="13"/>
      <c r="AA379" s="13"/>
      <c r="AB379" s="13"/>
      <c r="AC379" s="13"/>
      <c r="AD379" s="13"/>
      <c r="AE379" s="13"/>
      <c r="AF379" s="13"/>
      <c r="AG379" s="13"/>
      <c r="AH379" s="13"/>
      <c r="AI379" s="13"/>
      <c r="AJ379" s="15"/>
    </row>
    <row r="380" spans="2:36" ht="21">
      <c r="B380" s="13"/>
      <c r="C380" s="13"/>
      <c r="D380" s="12"/>
      <c r="E380" s="13"/>
      <c r="F380" s="13"/>
      <c r="G380" s="13"/>
      <c r="H380" s="13"/>
      <c r="I380" s="13"/>
      <c r="J380" s="13"/>
      <c r="K380" s="13"/>
      <c r="L380" s="13"/>
      <c r="M380" s="13"/>
      <c r="N380" s="13" t="s">
        <v>515</v>
      </c>
      <c r="O380" s="13"/>
      <c r="P380" s="13"/>
      <c r="Q380" s="13"/>
      <c r="R380" s="13"/>
      <c r="S380" s="13"/>
      <c r="T380" s="13"/>
      <c r="U380" s="13"/>
      <c r="V380" s="13"/>
      <c r="W380" s="13"/>
      <c r="X380" s="13"/>
      <c r="Y380" s="13"/>
      <c r="Z380" s="13"/>
      <c r="AA380" s="13"/>
      <c r="AB380" s="13"/>
      <c r="AC380" s="13"/>
      <c r="AD380" s="13"/>
      <c r="AE380" s="13"/>
      <c r="AF380" s="13"/>
      <c r="AG380" s="13"/>
      <c r="AH380" s="13"/>
      <c r="AI380" s="13"/>
      <c r="AJ380" s="15"/>
    </row>
    <row r="381" spans="2:36">
      <c r="B381" s="13"/>
      <c r="C381" s="13"/>
      <c r="D381" s="12"/>
      <c r="E381" s="13"/>
      <c r="F381" s="13"/>
      <c r="G381" s="13"/>
      <c r="H381" s="13"/>
      <c r="I381" s="13"/>
      <c r="J381" s="13"/>
      <c r="K381" s="13"/>
      <c r="L381" s="13"/>
      <c r="M381" s="13"/>
      <c r="N381" s="13"/>
      <c r="O381" s="38" t="s">
        <v>516</v>
      </c>
      <c r="P381" s="13"/>
      <c r="Q381" s="13"/>
      <c r="R381" s="13"/>
      <c r="S381" s="13"/>
      <c r="T381" s="13"/>
      <c r="U381" s="13"/>
      <c r="V381" s="13"/>
      <c r="W381" s="13"/>
      <c r="X381" s="13"/>
      <c r="Y381" s="13"/>
      <c r="Z381" s="13"/>
      <c r="AA381" s="13"/>
      <c r="AB381" s="38" t="s">
        <v>517</v>
      </c>
      <c r="AC381" s="13"/>
      <c r="AD381" s="462">
        <f>'1.設計条件'!R11</f>
        <v>36</v>
      </c>
      <c r="AE381" s="463"/>
      <c r="AF381" s="464"/>
      <c r="AG381" s="13"/>
      <c r="AH381" s="13"/>
      <c r="AI381" s="13"/>
      <c r="AJ381" s="15"/>
    </row>
    <row r="382" spans="2:36">
      <c r="B382" s="13"/>
      <c r="C382" s="13"/>
      <c r="D382" s="12"/>
      <c r="E382" s="13"/>
      <c r="F382" s="13"/>
      <c r="G382" s="13"/>
      <c r="H382" s="13"/>
      <c r="I382" s="13"/>
      <c r="J382" s="13"/>
      <c r="K382" s="13"/>
      <c r="L382" s="13"/>
      <c r="M382" s="13"/>
      <c r="N382" s="13" t="s">
        <v>67</v>
      </c>
      <c r="O382" s="13"/>
      <c r="P382" s="13"/>
      <c r="Q382" s="13"/>
      <c r="R382" s="13"/>
      <c r="S382" s="13"/>
      <c r="T382" s="13"/>
      <c r="U382" s="13"/>
      <c r="V382" s="13"/>
      <c r="W382" s="13"/>
      <c r="X382" s="13"/>
      <c r="Y382" s="13"/>
      <c r="Z382" s="13"/>
      <c r="AA382" s="13"/>
      <c r="AB382" s="13"/>
      <c r="AC382" s="13"/>
      <c r="AD382" s="13"/>
      <c r="AE382" s="13"/>
      <c r="AF382" s="13"/>
      <c r="AG382" s="13"/>
      <c r="AH382" s="13"/>
      <c r="AI382" s="13"/>
      <c r="AJ382" s="15"/>
    </row>
    <row r="383" spans="2:36" ht="21">
      <c r="B383" s="13"/>
      <c r="C383" s="13"/>
      <c r="D383" s="12"/>
      <c r="E383" s="13"/>
      <c r="F383" s="13"/>
      <c r="G383" s="13"/>
      <c r="H383" s="13"/>
      <c r="I383" s="13"/>
      <c r="J383" s="13"/>
      <c r="K383" s="13"/>
      <c r="L383" s="13"/>
      <c r="M383" s="13"/>
      <c r="N383" s="461" t="s">
        <v>518</v>
      </c>
      <c r="O383" s="461"/>
      <c r="P383" s="448">
        <v>0.95</v>
      </c>
      <c r="Q383" s="448"/>
      <c r="R383" s="13" t="s">
        <v>68</v>
      </c>
      <c r="S383" s="448">
        <v>0.09</v>
      </c>
      <c r="T383" s="448"/>
      <c r="U383" s="13" t="s">
        <v>519</v>
      </c>
      <c r="V383" s="436">
        <f>AD381</f>
        <v>36</v>
      </c>
      <c r="W383" s="436"/>
      <c r="X383" s="436"/>
      <c r="Y383" s="13" t="s">
        <v>70</v>
      </c>
      <c r="Z383" s="436">
        <f>AD371</f>
        <v>7.2</v>
      </c>
      <c r="AA383" s="436"/>
      <c r="AB383" s="436"/>
      <c r="AC383" s="13" t="s">
        <v>520</v>
      </c>
      <c r="AD383" s="448">
        <v>0.37</v>
      </c>
      <c r="AE383" s="448"/>
      <c r="AF383" s="13" t="s">
        <v>521</v>
      </c>
      <c r="AG383" s="13"/>
      <c r="AH383" s="13"/>
      <c r="AI383" s="13"/>
      <c r="AJ383" s="15"/>
    </row>
    <row r="384" spans="2:36">
      <c r="B384" s="13"/>
      <c r="C384" s="13"/>
      <c r="D384" s="12"/>
      <c r="E384" s="13"/>
      <c r="F384" s="13"/>
      <c r="G384" s="13"/>
      <c r="H384" s="13"/>
      <c r="I384" s="13"/>
      <c r="J384" s="13"/>
      <c r="K384" s="13"/>
      <c r="L384" s="13"/>
      <c r="M384" s="13"/>
      <c r="N384" s="13"/>
      <c r="O384" s="219" t="s">
        <v>2</v>
      </c>
      <c r="P384" s="437">
        <f>ROUND(P383+S383*((V383/Z383)+AD383)^(-2),2)</f>
        <v>0.95</v>
      </c>
      <c r="Q384" s="438"/>
      <c r="R384" s="439"/>
      <c r="S384" s="13"/>
      <c r="T384" s="13"/>
      <c r="U384" s="13"/>
      <c r="V384" s="13"/>
      <c r="W384" s="13"/>
      <c r="X384" s="13"/>
      <c r="Y384" s="13"/>
      <c r="Z384" s="13"/>
      <c r="AA384" s="13"/>
      <c r="AB384" s="13"/>
      <c r="AC384" s="13"/>
      <c r="AD384" s="13"/>
      <c r="AE384" s="13"/>
      <c r="AF384" s="13"/>
      <c r="AG384" s="13"/>
      <c r="AH384" s="13"/>
      <c r="AI384" s="13"/>
      <c r="AJ384" s="15"/>
    </row>
    <row r="385" spans="2:36">
      <c r="B385" s="13"/>
      <c r="C385" s="13"/>
      <c r="D385" s="12"/>
      <c r="E385" s="13" t="s">
        <v>522</v>
      </c>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c r="AH385" s="13"/>
      <c r="AI385" s="13"/>
      <c r="AJ385" s="15"/>
    </row>
    <row r="386" spans="2:36">
      <c r="B386" s="13"/>
      <c r="C386" s="13"/>
      <c r="D386" s="12"/>
      <c r="E386" s="465" t="s">
        <v>475</v>
      </c>
      <c r="F386" s="465"/>
      <c r="G386" s="449" t="s">
        <v>2</v>
      </c>
      <c r="H386" s="466" t="s">
        <v>476</v>
      </c>
      <c r="I386" s="466"/>
      <c r="J386" s="449" t="s">
        <v>2</v>
      </c>
      <c r="K386" s="17" t="s">
        <v>481</v>
      </c>
      <c r="L386" s="17" t="s">
        <v>66</v>
      </c>
      <c r="M386" s="17" t="s">
        <v>523</v>
      </c>
      <c r="N386" s="17" t="s">
        <v>66</v>
      </c>
      <c r="O386" s="29">
        <v>4</v>
      </c>
      <c r="P386" s="17"/>
      <c r="Q386" s="17"/>
      <c r="R386" s="17"/>
      <c r="S386" s="13"/>
      <c r="T386" s="13"/>
      <c r="U386" s="13"/>
      <c r="V386" s="13"/>
      <c r="W386" s="13"/>
      <c r="X386" s="13"/>
      <c r="Y386" s="13"/>
      <c r="Z386" s="13"/>
      <c r="AA386" s="13"/>
      <c r="AB386" s="13"/>
      <c r="AC386" s="13"/>
      <c r="AD386" s="13"/>
      <c r="AE386" s="13"/>
      <c r="AF386" s="13"/>
      <c r="AG386" s="13"/>
      <c r="AH386" s="13"/>
      <c r="AI386" s="13"/>
      <c r="AJ386" s="15"/>
    </row>
    <row r="387" spans="2:36" ht="20.25">
      <c r="B387" s="13"/>
      <c r="C387" s="13"/>
      <c r="D387" s="12"/>
      <c r="E387" s="465"/>
      <c r="F387" s="465"/>
      <c r="G387" s="449"/>
      <c r="H387" s="467" t="s">
        <v>65</v>
      </c>
      <c r="I387" s="467"/>
      <c r="J387" s="449"/>
      <c r="K387" s="436" t="s">
        <v>524</v>
      </c>
      <c r="L387" s="436"/>
      <c r="M387" s="436"/>
      <c r="N387" s="436"/>
      <c r="O387" s="436"/>
      <c r="P387" s="436"/>
      <c r="Q387" s="436"/>
      <c r="R387" s="436"/>
      <c r="S387" s="13"/>
      <c r="T387" s="13"/>
      <c r="U387" s="13"/>
      <c r="V387" s="13"/>
      <c r="W387" s="13"/>
      <c r="X387" s="13"/>
      <c r="Y387" s="13"/>
      <c r="Z387" s="13"/>
      <c r="AA387" s="13"/>
      <c r="AB387" s="13"/>
      <c r="AC387" s="13"/>
      <c r="AD387" s="13"/>
      <c r="AE387" s="13"/>
      <c r="AF387" s="13"/>
      <c r="AG387" s="13"/>
      <c r="AH387" s="13"/>
      <c r="AI387" s="13"/>
      <c r="AJ387" s="15"/>
    </row>
    <row r="388" spans="2:36">
      <c r="B388" s="13"/>
      <c r="C388" s="13"/>
      <c r="D388" s="12"/>
      <c r="E388" s="36"/>
      <c r="F388" s="36"/>
      <c r="G388" s="28"/>
      <c r="H388" s="35"/>
      <c r="I388" s="35"/>
      <c r="J388" s="28"/>
      <c r="K388" s="14"/>
      <c r="L388" s="14"/>
      <c r="M388" s="14"/>
      <c r="N388" s="14"/>
      <c r="O388" s="14"/>
      <c r="P388" s="14"/>
      <c r="Q388" s="14"/>
      <c r="R388" s="14"/>
      <c r="S388" s="13"/>
      <c r="T388" s="13"/>
      <c r="U388" s="13"/>
      <c r="V388" s="13"/>
      <c r="W388" s="13"/>
      <c r="X388" s="13"/>
      <c r="Y388" s="13"/>
      <c r="Z388" s="13"/>
      <c r="AA388" s="13"/>
      <c r="AB388" s="13"/>
      <c r="AC388" s="13"/>
      <c r="AD388" s="13"/>
      <c r="AE388" s="13"/>
      <c r="AF388" s="13"/>
      <c r="AG388" s="13"/>
      <c r="AH388" s="13"/>
      <c r="AI388" s="13"/>
      <c r="AJ388" s="15"/>
    </row>
    <row r="389" spans="2:36">
      <c r="B389" s="13"/>
      <c r="C389" s="13"/>
      <c r="D389" s="12"/>
      <c r="E389" s="13" t="s">
        <v>525</v>
      </c>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5"/>
    </row>
    <row r="390" spans="2:36" ht="20.25">
      <c r="B390" s="13"/>
      <c r="C390" s="13"/>
      <c r="D390" s="12"/>
      <c r="E390" s="449" t="s">
        <v>523</v>
      </c>
      <c r="F390" s="449"/>
      <c r="G390" s="449" t="s">
        <v>2</v>
      </c>
      <c r="H390" s="450" t="s">
        <v>526</v>
      </c>
      <c r="I390" s="451"/>
      <c r="J390" s="451"/>
      <c r="K390" s="451"/>
      <c r="L390" s="451"/>
      <c r="M390" s="451"/>
      <c r="N390" s="451"/>
      <c r="O390" s="451"/>
      <c r="P390" s="451"/>
      <c r="Q390" s="451"/>
      <c r="R390" s="13"/>
      <c r="S390" s="13"/>
      <c r="T390" s="13"/>
      <c r="U390" s="13"/>
      <c r="V390" s="13"/>
      <c r="W390" s="13"/>
      <c r="X390" s="13"/>
      <c r="Y390" s="13"/>
      <c r="Z390" s="13"/>
      <c r="AA390" s="13"/>
      <c r="AB390" s="13"/>
      <c r="AC390" s="13"/>
      <c r="AD390" s="13"/>
      <c r="AE390" s="13"/>
      <c r="AF390" s="13"/>
      <c r="AG390" s="13"/>
      <c r="AH390" s="13"/>
      <c r="AI390" s="13"/>
      <c r="AJ390" s="15"/>
    </row>
    <row r="391" spans="2:36">
      <c r="B391" s="13"/>
      <c r="C391" s="13"/>
      <c r="D391" s="12"/>
      <c r="E391" s="449"/>
      <c r="F391" s="449"/>
      <c r="G391" s="449"/>
      <c r="H391" s="13"/>
      <c r="I391" s="13"/>
      <c r="J391" s="13" t="s">
        <v>527</v>
      </c>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5"/>
    </row>
    <row r="392" spans="2:36">
      <c r="B392" s="13"/>
      <c r="C392" s="13"/>
      <c r="D392" s="12"/>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5"/>
    </row>
    <row r="393" spans="2:36">
      <c r="B393" s="13"/>
      <c r="C393" s="13"/>
      <c r="D393" s="12"/>
      <c r="E393" s="13"/>
      <c r="F393" s="13"/>
      <c r="G393" s="449" t="s">
        <v>2</v>
      </c>
      <c r="H393" s="451">
        <f>U339</f>
        <v>1.2</v>
      </c>
      <c r="I393" s="451"/>
      <c r="J393" s="17" t="s">
        <v>66</v>
      </c>
      <c r="K393" s="452">
        <f>P378</f>
        <v>1.88</v>
      </c>
      <c r="L393" s="452"/>
      <c r="M393" s="17" t="s">
        <v>66</v>
      </c>
      <c r="N393" s="452">
        <f>P384</f>
        <v>0.95</v>
      </c>
      <c r="O393" s="452"/>
      <c r="P393" s="17" t="s">
        <v>66</v>
      </c>
      <c r="Q393" s="452">
        <v>1.57</v>
      </c>
      <c r="R393" s="452"/>
      <c r="S393" s="17" t="s">
        <v>66</v>
      </c>
      <c r="T393" s="451">
        <f>AD365</f>
        <v>10</v>
      </c>
      <c r="U393" s="451"/>
      <c r="V393" s="17" t="s">
        <v>66</v>
      </c>
      <c r="W393" s="451">
        <f>AD366</f>
        <v>4.5</v>
      </c>
      <c r="X393" s="451"/>
      <c r="Y393" s="13"/>
      <c r="Z393" s="13"/>
      <c r="AA393" s="13"/>
      <c r="AB393" s="13"/>
      <c r="AC393" s="13"/>
      <c r="AD393" s="13"/>
      <c r="AE393" s="13"/>
      <c r="AF393" s="13"/>
      <c r="AG393" s="13"/>
      <c r="AH393" s="13"/>
      <c r="AI393" s="13"/>
      <c r="AJ393" s="15"/>
    </row>
    <row r="394" spans="2:36">
      <c r="B394" s="13"/>
      <c r="C394" s="13"/>
      <c r="D394" s="12"/>
      <c r="E394" s="13"/>
      <c r="F394" s="13"/>
      <c r="G394" s="449"/>
      <c r="H394" s="13"/>
      <c r="I394" s="13"/>
      <c r="J394" s="13"/>
      <c r="K394" s="13"/>
      <c r="L394" s="453">
        <f>N360</f>
        <v>8</v>
      </c>
      <c r="M394" s="453"/>
      <c r="N394" s="13" t="s">
        <v>66</v>
      </c>
      <c r="O394" s="31">
        <v>4</v>
      </c>
      <c r="P394" s="13"/>
      <c r="Q394" s="13"/>
      <c r="R394" s="13"/>
      <c r="S394" s="13"/>
      <c r="T394" s="13"/>
      <c r="U394" s="13"/>
      <c r="V394" s="13"/>
      <c r="W394" s="13"/>
      <c r="X394" s="13"/>
      <c r="Y394" s="13"/>
      <c r="Z394" s="13"/>
      <c r="AA394" s="13"/>
      <c r="AB394" s="13"/>
      <c r="AC394" s="13"/>
      <c r="AD394" s="13"/>
      <c r="AE394" s="13"/>
      <c r="AF394" s="13"/>
      <c r="AG394" s="13"/>
      <c r="AH394" s="13"/>
      <c r="AI394" s="13"/>
      <c r="AJ394" s="15"/>
    </row>
    <row r="395" spans="2:36">
      <c r="B395" s="13"/>
      <c r="C395" s="13"/>
      <c r="D395" s="12"/>
      <c r="E395" s="13"/>
      <c r="F395" s="13"/>
      <c r="G395" s="28"/>
      <c r="H395" s="13"/>
      <c r="I395" s="13"/>
      <c r="J395" s="13"/>
      <c r="K395" s="13"/>
      <c r="L395" s="14"/>
      <c r="M395" s="14"/>
      <c r="N395" s="13"/>
      <c r="O395" s="31"/>
      <c r="P395" s="13"/>
      <c r="Q395" s="13"/>
      <c r="R395" s="13"/>
      <c r="S395" s="13"/>
      <c r="T395" s="13"/>
      <c r="U395" s="13"/>
      <c r="V395" s="13"/>
      <c r="W395" s="13"/>
      <c r="X395" s="13"/>
      <c r="Y395" s="9" t="s">
        <v>528</v>
      </c>
      <c r="Z395" s="10"/>
      <c r="AA395" s="10"/>
      <c r="AB395" s="10"/>
      <c r="AC395" s="10"/>
      <c r="AD395" s="10"/>
      <c r="AE395" s="10"/>
      <c r="AF395" s="10"/>
      <c r="AG395" s="10"/>
      <c r="AH395" s="11"/>
      <c r="AI395" s="13"/>
      <c r="AJ395" s="15"/>
    </row>
    <row r="396" spans="2:36" ht="20.25">
      <c r="B396" s="13"/>
      <c r="C396" s="13"/>
      <c r="D396" s="12"/>
      <c r="E396" s="13"/>
      <c r="F396" s="13"/>
      <c r="G396" s="13" t="s">
        <v>2</v>
      </c>
      <c r="H396" s="437">
        <f>ROUND(H393*K393*N393*Q393*T393*W393/L394/O394,2)</f>
        <v>4.7300000000000004</v>
      </c>
      <c r="I396" s="438"/>
      <c r="J396" s="439"/>
      <c r="K396" s="13" t="s">
        <v>3</v>
      </c>
      <c r="L396" s="13"/>
      <c r="M396" s="13"/>
      <c r="N396" s="13"/>
      <c r="O396" s="13"/>
      <c r="P396" s="13"/>
      <c r="Q396" s="13"/>
      <c r="R396" s="13"/>
      <c r="S396" s="13"/>
      <c r="T396" s="13"/>
      <c r="U396" s="13"/>
      <c r="V396" s="13"/>
      <c r="W396" s="13"/>
      <c r="X396" s="13"/>
      <c r="Y396" s="12"/>
      <c r="Z396" s="454" t="s">
        <v>529</v>
      </c>
      <c r="AA396" s="454"/>
      <c r="AB396" s="455">
        <v>4.7300000000000004</v>
      </c>
      <c r="AC396" s="455"/>
      <c r="AD396" s="13"/>
      <c r="AE396" s="458">
        <f>H396-AB396</f>
        <v>0</v>
      </c>
      <c r="AF396" s="458"/>
      <c r="AG396" s="13"/>
      <c r="AH396" s="15"/>
      <c r="AI396" s="13"/>
      <c r="AJ396" s="15"/>
    </row>
    <row r="397" spans="2:36">
      <c r="B397" s="13"/>
      <c r="C397" s="13"/>
      <c r="D397" s="12"/>
      <c r="E397" s="13"/>
      <c r="F397" s="13"/>
      <c r="G397" s="13"/>
      <c r="H397" s="24"/>
      <c r="I397" s="24"/>
      <c r="J397" s="24"/>
      <c r="K397" s="13"/>
      <c r="L397" s="13"/>
      <c r="M397" s="13"/>
      <c r="N397" s="13"/>
      <c r="O397" s="13"/>
      <c r="P397" s="13"/>
      <c r="Q397" s="13"/>
      <c r="R397" s="13"/>
      <c r="S397" s="13"/>
      <c r="T397" s="13"/>
      <c r="U397" s="13"/>
      <c r="V397" s="13"/>
      <c r="W397" s="13"/>
      <c r="X397" s="13"/>
      <c r="Y397" s="12"/>
      <c r="Z397" s="13"/>
      <c r="AA397" s="13"/>
      <c r="AB397" s="13" t="s">
        <v>530</v>
      </c>
      <c r="AC397" s="13"/>
      <c r="AD397" s="13"/>
      <c r="AE397" s="13" t="s">
        <v>530</v>
      </c>
      <c r="AF397" s="13"/>
      <c r="AG397" s="13"/>
      <c r="AH397" s="15"/>
      <c r="AI397" s="13"/>
      <c r="AJ397" s="15"/>
    </row>
    <row r="398" spans="2:36">
      <c r="B398" s="13"/>
      <c r="C398" s="13"/>
      <c r="D398" s="12"/>
      <c r="E398" s="13"/>
      <c r="F398" s="13"/>
      <c r="G398" s="13"/>
      <c r="H398" s="24"/>
      <c r="I398" s="24"/>
      <c r="J398" s="24"/>
      <c r="K398" s="13"/>
      <c r="L398" s="13"/>
      <c r="M398" s="13"/>
      <c r="N398" s="13"/>
      <c r="O398" s="13"/>
      <c r="P398" s="13"/>
      <c r="Q398" s="13"/>
      <c r="R398" s="13"/>
      <c r="S398" s="13"/>
      <c r="T398" s="13"/>
      <c r="U398" s="13"/>
      <c r="V398" s="13"/>
      <c r="W398" s="13"/>
      <c r="X398" s="13"/>
      <c r="Y398" s="459" t="s">
        <v>531</v>
      </c>
      <c r="Z398" s="454"/>
      <c r="AA398" s="454"/>
      <c r="AB398" s="454"/>
      <c r="AC398" s="454"/>
      <c r="AD398" s="13"/>
      <c r="AE398" s="454" t="s">
        <v>532</v>
      </c>
      <c r="AF398" s="454"/>
      <c r="AG398" s="454"/>
      <c r="AH398" s="460"/>
      <c r="AI398" s="13"/>
      <c r="AJ398" s="15"/>
    </row>
    <row r="399" spans="2:36">
      <c r="B399" s="13"/>
      <c r="C399" s="13"/>
      <c r="D399" s="12"/>
      <c r="E399" s="13"/>
      <c r="F399" s="13"/>
      <c r="G399" s="13"/>
      <c r="H399" s="24"/>
      <c r="I399" s="24"/>
      <c r="J399" s="24"/>
      <c r="K399" s="13"/>
      <c r="L399" s="13"/>
      <c r="M399" s="13"/>
      <c r="N399" s="13"/>
      <c r="O399" s="13"/>
      <c r="P399" s="13"/>
      <c r="Q399" s="13"/>
      <c r="R399" s="13"/>
      <c r="S399" s="13"/>
      <c r="T399" s="13"/>
      <c r="U399" s="13"/>
      <c r="V399" s="13"/>
      <c r="W399" s="13"/>
      <c r="X399" s="13"/>
      <c r="Y399" s="12"/>
      <c r="Z399" s="13"/>
      <c r="AA399" s="13"/>
      <c r="AB399" s="13"/>
      <c r="AC399" s="13"/>
      <c r="AD399" s="13"/>
      <c r="AE399" s="13"/>
      <c r="AF399" s="13"/>
      <c r="AG399" s="13"/>
      <c r="AH399" s="15"/>
      <c r="AI399" s="13"/>
      <c r="AJ399" s="15"/>
    </row>
    <row r="400" spans="2:36">
      <c r="B400" s="13"/>
      <c r="C400" s="13"/>
      <c r="D400" s="12"/>
      <c r="E400" s="13"/>
      <c r="F400" s="13"/>
      <c r="G400" s="13"/>
      <c r="H400" s="24"/>
      <c r="I400" s="24"/>
      <c r="J400" s="24"/>
      <c r="K400" s="13"/>
      <c r="L400" s="13"/>
      <c r="M400" s="13"/>
      <c r="N400" s="13"/>
      <c r="O400" s="13"/>
      <c r="P400" s="13"/>
      <c r="Q400" s="13"/>
      <c r="R400" s="13"/>
      <c r="S400" s="13"/>
      <c r="T400" s="13"/>
      <c r="U400" s="13"/>
      <c r="V400" s="13"/>
      <c r="W400" s="13"/>
      <c r="X400" s="13"/>
      <c r="Y400" s="16"/>
      <c r="Z400" s="17" t="s">
        <v>533</v>
      </c>
      <c r="AA400" s="17"/>
      <c r="AB400" s="17"/>
      <c r="AC400" s="17"/>
      <c r="AD400" s="17"/>
      <c r="AE400" s="17"/>
      <c r="AF400" s="17"/>
      <c r="AG400" s="17"/>
      <c r="AH400" s="19"/>
      <c r="AI400" s="13"/>
      <c r="AJ400" s="15"/>
    </row>
    <row r="401" spans="2:36">
      <c r="B401" s="13"/>
      <c r="C401" s="13"/>
      <c r="D401" s="16"/>
      <c r="E401" s="17"/>
      <c r="F401" s="17"/>
      <c r="G401" s="17"/>
      <c r="H401" s="150"/>
      <c r="I401" s="150"/>
      <c r="J401" s="150"/>
      <c r="K401" s="17"/>
      <c r="L401" s="17"/>
      <c r="M401" s="17"/>
      <c r="N401" s="17"/>
      <c r="O401" s="17"/>
      <c r="P401" s="17"/>
      <c r="Q401" s="17"/>
      <c r="R401" s="17"/>
      <c r="S401" s="17"/>
      <c r="T401" s="17"/>
      <c r="U401" s="17"/>
      <c r="V401" s="17"/>
      <c r="W401" s="17"/>
      <c r="X401" s="17"/>
      <c r="Y401" s="17"/>
      <c r="Z401" s="17"/>
      <c r="AA401" s="17"/>
      <c r="AB401" s="17"/>
      <c r="AC401" s="17"/>
      <c r="AD401" s="17"/>
      <c r="AE401" s="17"/>
      <c r="AF401" s="17"/>
      <c r="AG401" s="17"/>
      <c r="AH401" s="17"/>
      <c r="AI401" s="17"/>
      <c r="AJ401" s="19"/>
    </row>
    <row r="402" spans="2:36">
      <c r="B402" s="13"/>
      <c r="C402" s="13" t="s">
        <v>826</v>
      </c>
      <c r="D402" s="13"/>
      <c r="E402" s="13"/>
      <c r="F402" s="13"/>
      <c r="G402" s="13"/>
      <c r="H402" s="13"/>
      <c r="I402" s="13"/>
      <c r="J402"/>
      <c r="K402" s="13"/>
      <c r="L402" s="13"/>
      <c r="M402" s="13"/>
      <c r="N402" s="13"/>
      <c r="O402" s="13"/>
      <c r="P402" s="13"/>
      <c r="Q402" s="13"/>
      <c r="R402" s="13"/>
      <c r="S402" s="13"/>
      <c r="T402" s="13"/>
      <c r="U402" s="13"/>
      <c r="V402" s="13"/>
      <c r="W402" s="1" t="s">
        <v>534</v>
      </c>
      <c r="X402" s="13"/>
      <c r="Y402" s="13"/>
      <c r="Z402" s="13"/>
      <c r="AA402" s="13"/>
      <c r="AB402" s="13"/>
      <c r="AC402" s="13"/>
      <c r="AD402" s="13"/>
      <c r="AE402" s="13"/>
      <c r="AF402" s="13"/>
      <c r="AG402" s="13"/>
      <c r="AH402" s="13"/>
      <c r="AI402" s="13"/>
      <c r="AJ402" s="13"/>
    </row>
    <row r="403" spans="2:36">
      <c r="B403" s="13"/>
      <c r="C403" s="13"/>
      <c r="D403" s="9" t="s">
        <v>535</v>
      </c>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1"/>
    </row>
    <row r="404" spans="2:36">
      <c r="B404" s="13"/>
      <c r="C404" s="13"/>
      <c r="D404" s="12"/>
      <c r="E404" s="13" t="s">
        <v>536</v>
      </c>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c r="AJ404" s="15"/>
    </row>
    <row r="405" spans="2:36">
      <c r="B405" s="13"/>
      <c r="C405" s="13"/>
      <c r="D405" s="12"/>
      <c r="E405" s="13"/>
      <c r="F405" s="13" t="s">
        <v>42</v>
      </c>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c r="AH405" s="13"/>
      <c r="AI405" s="13"/>
      <c r="AJ405" s="15"/>
    </row>
    <row r="406" spans="2:36">
      <c r="B406" s="13"/>
      <c r="C406" s="13"/>
      <c r="D406" s="12"/>
      <c r="E406" s="13"/>
      <c r="F406" s="13"/>
      <c r="G406" s="13" t="s">
        <v>537</v>
      </c>
      <c r="H406" s="13"/>
      <c r="I406" s="13"/>
      <c r="J406" s="13"/>
      <c r="K406" s="13"/>
      <c r="L406" s="13"/>
      <c r="M406" s="13"/>
      <c r="N406" s="13"/>
      <c r="O406" s="13"/>
      <c r="P406" s="13"/>
      <c r="Q406" s="13"/>
      <c r="R406" s="35"/>
      <c r="S406" s="35"/>
      <c r="T406" s="13"/>
      <c r="U406" s="40"/>
      <c r="V406" s="40"/>
      <c r="W406" s="13"/>
      <c r="X406" s="13"/>
      <c r="Y406" s="13"/>
      <c r="Z406" s="13"/>
      <c r="AA406" s="13"/>
      <c r="AB406" s="13"/>
      <c r="AC406" s="13"/>
      <c r="AD406" s="13"/>
      <c r="AE406" s="13"/>
      <c r="AF406" s="13"/>
      <c r="AG406" s="13"/>
      <c r="AH406" s="13"/>
      <c r="AI406" s="13"/>
      <c r="AJ406" s="15"/>
    </row>
    <row r="407" spans="2:36">
      <c r="B407" s="13"/>
      <c r="C407" s="13"/>
      <c r="D407" s="12"/>
      <c r="E407" s="13"/>
      <c r="F407" s="13"/>
      <c r="G407" s="13"/>
      <c r="H407" s="13"/>
      <c r="I407" s="13" t="s">
        <v>538</v>
      </c>
      <c r="J407" s="13"/>
      <c r="K407" s="13"/>
      <c r="L407" s="13"/>
      <c r="M407" s="13"/>
      <c r="N407" s="13"/>
      <c r="O407" s="13"/>
      <c r="P407" s="13"/>
      <c r="Q407" s="13"/>
      <c r="R407" s="35"/>
      <c r="S407" s="35"/>
      <c r="T407" s="13"/>
      <c r="U407" s="40"/>
      <c r="V407" s="40"/>
      <c r="W407" s="13"/>
      <c r="X407" s="13"/>
      <c r="Y407" s="13"/>
      <c r="Z407" s="13"/>
      <c r="AA407" s="13"/>
      <c r="AB407" s="13"/>
      <c r="AC407" s="13"/>
      <c r="AD407" s="13"/>
      <c r="AE407" s="13"/>
      <c r="AF407" s="13"/>
      <c r="AG407" s="13"/>
      <c r="AH407" s="13"/>
      <c r="AI407" s="13"/>
      <c r="AJ407" s="15"/>
    </row>
    <row r="408" spans="2:36">
      <c r="B408" s="13"/>
      <c r="C408" s="13"/>
      <c r="D408" s="12"/>
      <c r="E408" s="13"/>
      <c r="F408" s="13"/>
      <c r="G408" s="13"/>
      <c r="H408" s="13"/>
      <c r="I408" s="13" t="s">
        <v>539</v>
      </c>
      <c r="J408" s="13"/>
      <c r="K408" s="13"/>
      <c r="L408" s="13"/>
      <c r="M408" s="13"/>
      <c r="N408" s="13"/>
      <c r="O408" s="13"/>
      <c r="P408" s="13"/>
      <c r="Q408" s="13"/>
      <c r="R408" s="35"/>
      <c r="S408" s="35"/>
      <c r="T408" s="13"/>
      <c r="U408" s="40"/>
      <c r="V408" s="40"/>
      <c r="W408" s="13"/>
      <c r="X408" s="13"/>
      <c r="Y408" s="13"/>
      <c r="Z408" s="13"/>
      <c r="AA408" s="13"/>
      <c r="AB408" s="13"/>
      <c r="AC408" s="13"/>
      <c r="AD408" s="13"/>
      <c r="AE408" s="13"/>
      <c r="AF408" s="13"/>
      <c r="AG408" s="13"/>
      <c r="AH408" s="13"/>
      <c r="AI408" s="13"/>
      <c r="AJ408" s="15"/>
    </row>
    <row r="409" spans="2:36">
      <c r="B409" s="13"/>
      <c r="C409" s="13"/>
      <c r="D409" s="12" t="s">
        <v>540</v>
      </c>
      <c r="E409" s="13"/>
      <c r="F409" s="13"/>
      <c r="G409" s="13"/>
      <c r="H409" s="13"/>
      <c r="I409" s="13"/>
      <c r="J409" s="13"/>
      <c r="K409" s="13"/>
      <c r="L409" s="13"/>
      <c r="M409" s="13"/>
      <c r="N409" s="13"/>
      <c r="O409" s="13"/>
      <c r="P409" s="13"/>
      <c r="Q409" s="13"/>
      <c r="R409" s="35"/>
      <c r="S409" s="35"/>
      <c r="T409" s="13"/>
      <c r="U409" s="40"/>
      <c r="V409" s="40"/>
      <c r="W409" s="13"/>
      <c r="X409" s="13"/>
      <c r="Y409" s="13"/>
      <c r="Z409" s="13"/>
      <c r="AA409" s="13"/>
      <c r="AB409" s="13"/>
      <c r="AC409" s="13"/>
      <c r="AD409" s="13"/>
      <c r="AE409" s="13"/>
      <c r="AF409" s="13"/>
      <c r="AG409" s="13"/>
      <c r="AH409" s="13"/>
      <c r="AI409" s="13"/>
      <c r="AJ409" s="15"/>
    </row>
    <row r="410" spans="2:36">
      <c r="B410" s="13"/>
      <c r="C410" s="13"/>
      <c r="D410" s="12"/>
      <c r="E410" s="13" t="s">
        <v>541</v>
      </c>
      <c r="F410" s="13"/>
      <c r="G410" s="13"/>
      <c r="H410" s="13"/>
      <c r="I410" s="13"/>
      <c r="J410" s="13"/>
      <c r="K410" s="13"/>
      <c r="L410" s="13"/>
      <c r="M410" s="13"/>
      <c r="N410" s="13"/>
      <c r="O410" s="13"/>
      <c r="P410" s="13"/>
      <c r="Q410" s="13"/>
      <c r="R410" s="35"/>
      <c r="S410" s="35"/>
      <c r="T410" s="13"/>
      <c r="U410" s="40"/>
      <c r="V410" s="40"/>
      <c r="W410" s="13"/>
      <c r="X410" s="13"/>
      <c r="Y410" s="13"/>
      <c r="Z410" s="13"/>
      <c r="AA410" s="13"/>
      <c r="AB410" s="13"/>
      <c r="AC410" s="13"/>
      <c r="AD410" s="13"/>
      <c r="AE410" s="13"/>
      <c r="AF410" s="13"/>
      <c r="AG410" s="13"/>
      <c r="AH410" s="13"/>
      <c r="AI410" s="13"/>
      <c r="AJ410" s="15"/>
    </row>
    <row r="411" spans="2:36">
      <c r="B411" s="13"/>
      <c r="C411" s="13"/>
      <c r="D411" s="12" t="s">
        <v>89</v>
      </c>
      <c r="E411" s="13"/>
      <c r="F411" s="13"/>
      <c r="G411" s="13"/>
      <c r="H411" s="13"/>
      <c r="I411" s="13"/>
      <c r="J411" s="13"/>
      <c r="K411" s="13"/>
      <c r="L411" s="13"/>
      <c r="M411" s="13"/>
      <c r="N411" s="13"/>
      <c r="O411" s="13"/>
      <c r="P411" s="13"/>
      <c r="Q411" s="13"/>
      <c r="R411" s="35"/>
      <c r="S411" s="35"/>
      <c r="T411" s="13"/>
      <c r="U411" s="40"/>
      <c r="V411" s="40"/>
      <c r="W411" s="13"/>
      <c r="X411" s="13"/>
      <c r="Y411" s="13"/>
      <c r="Z411" s="13"/>
      <c r="AA411" s="13"/>
      <c r="AB411" s="13"/>
      <c r="AC411" s="13"/>
      <c r="AD411" s="13"/>
      <c r="AE411" s="13"/>
      <c r="AF411" s="13"/>
      <c r="AG411" s="13"/>
      <c r="AH411" s="13"/>
      <c r="AI411" s="13"/>
      <c r="AJ411" s="15"/>
    </row>
    <row r="412" spans="2:36">
      <c r="B412" s="13"/>
      <c r="C412" s="13"/>
      <c r="D412" s="12"/>
      <c r="E412" s="13" t="s">
        <v>542</v>
      </c>
      <c r="F412" s="13"/>
      <c r="G412" s="13"/>
      <c r="H412" s="13"/>
      <c r="I412" s="13"/>
      <c r="J412" s="13" t="s">
        <v>2</v>
      </c>
      <c r="K412" s="436">
        <f>AD366</f>
        <v>4.5</v>
      </c>
      <c r="L412" s="436"/>
      <c r="M412" s="41" t="s">
        <v>543</v>
      </c>
      <c r="N412" s="13"/>
      <c r="O412" s="13" t="s">
        <v>2</v>
      </c>
      <c r="P412" s="437">
        <f>K412/2</f>
        <v>2.25</v>
      </c>
      <c r="Q412" s="438"/>
      <c r="R412" s="439"/>
      <c r="S412" s="13" t="s">
        <v>3</v>
      </c>
      <c r="T412" s="13"/>
      <c r="U412" s="40"/>
      <c r="V412" s="40"/>
      <c r="W412" s="13"/>
      <c r="X412" s="13"/>
      <c r="Y412" s="13"/>
      <c r="Z412" s="13"/>
      <c r="AA412" s="13"/>
      <c r="AB412" s="13"/>
      <c r="AC412" s="13"/>
      <c r="AD412" s="13"/>
      <c r="AE412" s="13"/>
      <c r="AF412" s="13"/>
      <c r="AG412" s="13"/>
      <c r="AH412" s="13"/>
      <c r="AI412" s="13"/>
      <c r="AJ412" s="15"/>
    </row>
    <row r="413" spans="2:36">
      <c r="B413" s="13"/>
      <c r="C413" s="13"/>
      <c r="D413" s="16"/>
      <c r="E413" s="17"/>
      <c r="F413" s="17"/>
      <c r="G413" s="17"/>
      <c r="H413" s="17"/>
      <c r="I413" s="17"/>
      <c r="J413" s="17"/>
      <c r="K413" s="17"/>
      <c r="L413" s="17"/>
      <c r="M413" s="17"/>
      <c r="N413" s="17"/>
      <c r="O413" s="17"/>
      <c r="P413" s="17"/>
      <c r="Q413" s="17"/>
      <c r="R413" s="17"/>
      <c r="S413" s="17"/>
      <c r="T413" s="17"/>
      <c r="U413" s="17"/>
      <c r="V413" s="17"/>
      <c r="W413" s="17"/>
      <c r="X413" s="17"/>
      <c r="Y413" s="17"/>
      <c r="Z413" s="17"/>
      <c r="AA413" s="17"/>
      <c r="AB413" s="17"/>
      <c r="AC413" s="17"/>
      <c r="AD413" s="17"/>
      <c r="AE413" s="17"/>
      <c r="AF413" s="17"/>
      <c r="AG413" s="17"/>
      <c r="AH413" s="17"/>
      <c r="AI413" s="17"/>
      <c r="AJ413" s="19"/>
    </row>
    <row r="415" spans="2:36">
      <c r="B415" s="1" t="s">
        <v>160</v>
      </c>
      <c r="W415" t="s">
        <v>64</v>
      </c>
    </row>
    <row r="416" spans="2:36" s="234" customFormat="1">
      <c r="C416" s="337"/>
      <c r="D416" s="215"/>
      <c r="E416" s="215"/>
      <c r="F416" s="215"/>
      <c r="G416" s="215"/>
      <c r="H416" s="215"/>
      <c r="I416" s="215"/>
      <c r="J416" s="215"/>
      <c r="K416" s="215"/>
      <c r="L416" s="215"/>
      <c r="M416" s="215"/>
      <c r="N416" s="215"/>
      <c r="O416" s="215"/>
      <c r="P416" s="215"/>
      <c r="Q416" s="215"/>
      <c r="R416" s="215"/>
      <c r="S416" s="215"/>
      <c r="T416" s="215"/>
      <c r="U416" s="215"/>
      <c r="V416" s="215"/>
      <c r="W416" s="3"/>
      <c r="X416" s="215"/>
      <c r="Y416" s="215"/>
      <c r="Z416" s="215"/>
      <c r="AA416" s="215"/>
      <c r="AB416" s="215"/>
      <c r="AC416" s="215"/>
      <c r="AD416" s="215"/>
      <c r="AE416" s="215"/>
      <c r="AF416" s="215"/>
      <c r="AG416" s="215"/>
      <c r="AH416" s="215"/>
      <c r="AI416" s="338"/>
    </row>
    <row r="417" spans="2:35">
      <c r="C417" s="12"/>
      <c r="D417" s="34"/>
      <c r="E417" s="436" t="s">
        <v>79</v>
      </c>
      <c r="F417" s="436"/>
      <c r="G417" s="13" t="s">
        <v>2</v>
      </c>
      <c r="H417" s="582">
        <v>3</v>
      </c>
      <c r="I417" s="583"/>
      <c r="J417" s="584"/>
      <c r="K417" s="13" t="s">
        <v>3</v>
      </c>
      <c r="L417" s="31"/>
      <c r="M417" s="13"/>
      <c r="N417" s="13"/>
      <c r="O417" s="13"/>
      <c r="T417" s="13"/>
      <c r="U417" s="13"/>
      <c r="V417" s="13"/>
      <c r="W417" s="13"/>
      <c r="X417" s="13"/>
      <c r="Y417" s="13"/>
      <c r="Z417" s="13"/>
      <c r="AA417" s="13"/>
      <c r="AB417" s="13"/>
      <c r="AC417" s="13"/>
      <c r="AD417" s="13"/>
      <c r="AE417" s="13"/>
      <c r="AF417" s="13"/>
      <c r="AG417" s="13"/>
      <c r="AH417" s="13"/>
      <c r="AI417" s="15"/>
    </row>
    <row r="418" spans="2:35">
      <c r="C418" s="16"/>
      <c r="D418" s="17"/>
      <c r="E418" s="17"/>
      <c r="F418" s="17"/>
      <c r="G418" s="17"/>
      <c r="H418" s="17"/>
      <c r="I418" s="17"/>
      <c r="J418" s="17"/>
      <c r="K418" s="17"/>
      <c r="L418" s="17"/>
      <c r="M418" s="17"/>
      <c r="N418" s="17"/>
      <c r="O418" s="17"/>
      <c r="P418" s="17"/>
      <c r="Q418" s="17"/>
      <c r="R418" s="17"/>
      <c r="S418" s="17"/>
      <c r="T418" s="17"/>
      <c r="U418" s="17"/>
      <c r="V418" s="17"/>
      <c r="W418" s="17"/>
      <c r="X418" s="17"/>
      <c r="Y418" s="17"/>
      <c r="Z418" s="17"/>
      <c r="AA418" s="17"/>
      <c r="AB418" s="17"/>
      <c r="AC418" s="17"/>
      <c r="AD418" s="17"/>
      <c r="AE418" s="17"/>
      <c r="AF418" s="17"/>
      <c r="AG418" s="17"/>
      <c r="AH418" s="17"/>
      <c r="AI418" s="19"/>
    </row>
    <row r="420" spans="2:35">
      <c r="B420" s="1" t="s">
        <v>381</v>
      </c>
      <c r="W420" t="s">
        <v>64</v>
      </c>
    </row>
    <row r="421" spans="2:35">
      <c r="C421" s="9" t="s">
        <v>406</v>
      </c>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1"/>
    </row>
    <row r="422" spans="2:35">
      <c r="C422" s="12"/>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5"/>
    </row>
    <row r="423" spans="2:35">
      <c r="C423" s="12"/>
      <c r="D423" s="13" t="s">
        <v>407</v>
      </c>
      <c r="E423" s="13"/>
      <c r="F423" s="13"/>
      <c r="G423" s="13"/>
      <c r="H423" s="13"/>
      <c r="I423" s="13"/>
      <c r="J423" s="13"/>
      <c r="K423" s="13"/>
      <c r="L423" s="13"/>
      <c r="M423" s="13"/>
      <c r="N423" s="13"/>
      <c r="O423" s="13"/>
      <c r="P423" s="13"/>
      <c r="Q423" s="13"/>
      <c r="R423" s="13"/>
      <c r="S423" s="13"/>
      <c r="T423" s="13"/>
      <c r="U423" s="13"/>
      <c r="V423" s="13"/>
      <c r="W423" s="13"/>
      <c r="X423" s="13"/>
      <c r="Y423" s="13" t="s">
        <v>166</v>
      </c>
      <c r="Z423" s="13"/>
      <c r="AA423" s="13" t="s">
        <v>2</v>
      </c>
      <c r="AB423" s="448">
        <f>K325</f>
        <v>4.8683783193512449</v>
      </c>
      <c r="AC423" s="448"/>
      <c r="AD423" s="448"/>
      <c r="AE423" s="13"/>
      <c r="AF423" s="13"/>
      <c r="AG423" s="13"/>
      <c r="AH423" s="13"/>
      <c r="AI423" s="15"/>
    </row>
    <row r="424" spans="2:35" ht="20.25">
      <c r="C424" s="12"/>
      <c r="D424" s="13" t="s">
        <v>548</v>
      </c>
      <c r="E424" s="13"/>
      <c r="F424" s="13"/>
      <c r="G424" s="13"/>
      <c r="H424" s="13"/>
      <c r="I424" s="13"/>
      <c r="J424" s="13"/>
      <c r="K424" s="13"/>
      <c r="L424" s="13"/>
      <c r="M424" s="13"/>
      <c r="N424" s="13"/>
      <c r="O424" s="13"/>
      <c r="P424" s="13"/>
      <c r="Q424" s="13"/>
      <c r="R424" s="13"/>
      <c r="S424" s="13"/>
      <c r="T424" s="13"/>
      <c r="U424" s="13"/>
      <c r="V424" s="13"/>
      <c r="W424" s="13"/>
      <c r="X424" s="13"/>
      <c r="Y424" s="13" t="s">
        <v>549</v>
      </c>
      <c r="Z424" s="13"/>
      <c r="AA424" s="13" t="s">
        <v>2</v>
      </c>
      <c r="AB424" s="448">
        <f>H396</f>
        <v>4.7300000000000004</v>
      </c>
      <c r="AC424" s="448"/>
      <c r="AD424" s="448"/>
      <c r="AE424" s="13"/>
      <c r="AF424" s="13"/>
      <c r="AG424" s="13"/>
      <c r="AH424" s="13"/>
      <c r="AI424" s="15"/>
    </row>
    <row r="425" spans="2:35">
      <c r="C425" s="12"/>
      <c r="D425" s="13" t="s">
        <v>73</v>
      </c>
      <c r="E425" s="13"/>
      <c r="F425" s="13"/>
      <c r="G425" s="13"/>
      <c r="H425" s="13"/>
      <c r="I425" s="13"/>
      <c r="J425" s="13"/>
      <c r="K425" s="13"/>
      <c r="L425" s="13"/>
      <c r="M425" s="13"/>
      <c r="N425" s="13"/>
      <c r="O425" s="13"/>
      <c r="P425" s="13"/>
      <c r="Q425" s="13"/>
      <c r="Y425" s="13" t="s">
        <v>79</v>
      </c>
      <c r="Z425" s="13"/>
      <c r="AA425" s="13" t="s">
        <v>2</v>
      </c>
      <c r="AB425" s="448">
        <f>H417</f>
        <v>3</v>
      </c>
      <c r="AC425" s="448"/>
      <c r="AD425" s="448"/>
      <c r="AE425" s="13"/>
      <c r="AF425" s="13"/>
      <c r="AG425" s="13"/>
      <c r="AH425" s="13"/>
      <c r="AI425" s="15"/>
    </row>
    <row r="426" spans="2:35">
      <c r="C426" s="12"/>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5"/>
    </row>
    <row r="427" spans="2:35">
      <c r="C427" s="12" t="s">
        <v>67</v>
      </c>
      <c r="D427" s="13"/>
      <c r="E427" s="13"/>
      <c r="F427" s="13"/>
      <c r="G427" s="13"/>
      <c r="H427" s="13"/>
      <c r="I427" s="13"/>
      <c r="J427" s="13"/>
      <c r="K427" s="13"/>
      <c r="L427" s="13"/>
      <c r="M427" s="13" t="s">
        <v>74</v>
      </c>
      <c r="N427" s="13"/>
      <c r="O427" s="13"/>
      <c r="P427" s="13"/>
      <c r="Q427" s="13"/>
      <c r="R427" s="34" t="s">
        <v>75</v>
      </c>
      <c r="S427" s="13"/>
      <c r="T427" s="13" t="s">
        <v>2</v>
      </c>
      <c r="U427" s="437">
        <f>MAX(AB423:AD425)</f>
        <v>4.8683783193512449</v>
      </c>
      <c r="V427" s="438"/>
      <c r="W427" s="439"/>
      <c r="X427" s="13" t="s">
        <v>3</v>
      </c>
      <c r="Y427" s="13"/>
      <c r="Z427" s="13"/>
      <c r="AA427" s="13"/>
      <c r="AB427" s="13"/>
      <c r="AC427" s="13"/>
      <c r="AD427" s="13"/>
      <c r="AE427" s="13"/>
      <c r="AF427" s="13"/>
      <c r="AG427" s="13"/>
      <c r="AH427" s="13"/>
      <c r="AI427" s="15"/>
    </row>
    <row r="428" spans="2:35">
      <c r="C428" s="16"/>
      <c r="D428" s="17"/>
      <c r="E428" s="17"/>
      <c r="F428" s="17"/>
      <c r="G428" s="17"/>
      <c r="H428" s="17"/>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9"/>
    </row>
    <row r="430" spans="2:35">
      <c r="B430" s="1" t="s">
        <v>382</v>
      </c>
      <c r="W430"/>
    </row>
    <row r="431" spans="2:35">
      <c r="C431" s="9" t="s">
        <v>117</v>
      </c>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1"/>
    </row>
    <row r="432" spans="2:35">
      <c r="C432" s="12"/>
      <c r="D432" s="34" t="s">
        <v>71</v>
      </c>
      <c r="E432" s="13" t="s">
        <v>2</v>
      </c>
      <c r="F432" s="360" t="s">
        <v>1</v>
      </c>
      <c r="G432" s="360"/>
      <c r="H432" s="360"/>
      <c r="I432" s="13" t="s">
        <v>68</v>
      </c>
      <c r="J432" s="572" t="s">
        <v>75</v>
      </c>
      <c r="K432" s="572"/>
      <c r="L432" s="572"/>
      <c r="M432" s="13"/>
      <c r="N432" s="13"/>
      <c r="O432" s="13"/>
      <c r="P432" s="13"/>
      <c r="Q432" s="13"/>
      <c r="R432" s="13"/>
      <c r="S432" s="13"/>
      <c r="T432" s="13"/>
      <c r="U432" s="13"/>
      <c r="V432" s="13"/>
      <c r="W432" s="13"/>
      <c r="X432" s="13"/>
      <c r="Y432" s="13"/>
      <c r="Z432" s="13"/>
      <c r="AA432" s="13"/>
      <c r="AB432" s="13"/>
      <c r="AC432" s="13"/>
      <c r="AD432" s="13"/>
      <c r="AE432" s="13"/>
      <c r="AF432" s="13"/>
      <c r="AG432" s="13"/>
      <c r="AH432" s="13"/>
      <c r="AI432" s="15"/>
    </row>
    <row r="433" spans="3:35">
      <c r="C433" s="12"/>
      <c r="D433" s="34"/>
      <c r="E433" s="13" t="s">
        <v>2</v>
      </c>
      <c r="F433" s="436">
        <f>'1.設計条件'!R10</f>
        <v>7</v>
      </c>
      <c r="G433" s="436"/>
      <c r="H433" s="436"/>
      <c r="I433" s="13" t="s">
        <v>68</v>
      </c>
      <c r="J433" s="448">
        <f>U427</f>
        <v>4.8683783193512449</v>
      </c>
      <c r="K433" s="448"/>
      <c r="L433" s="448"/>
      <c r="M433" s="13"/>
      <c r="N433" s="13"/>
      <c r="O433" s="13"/>
      <c r="P433" s="13"/>
      <c r="Q433" s="13"/>
      <c r="R433" s="13"/>
      <c r="S433" s="13"/>
      <c r="T433" s="13"/>
      <c r="U433" s="13"/>
      <c r="V433" s="13"/>
      <c r="W433" s="13"/>
      <c r="X433" s="13"/>
      <c r="Y433" s="13"/>
      <c r="Z433" s="13"/>
      <c r="AA433" s="13"/>
      <c r="AB433" s="13"/>
      <c r="AC433" s="13"/>
      <c r="AD433" s="13"/>
      <c r="AE433" s="13"/>
      <c r="AF433" s="13"/>
      <c r="AG433" s="13"/>
      <c r="AH433" s="13"/>
      <c r="AI433" s="15"/>
    </row>
    <row r="434" spans="3:35">
      <c r="C434" s="12"/>
      <c r="D434" s="13"/>
      <c r="E434" s="13" t="s">
        <v>2</v>
      </c>
      <c r="F434" s="448">
        <f>F433+J433</f>
        <v>11.868378319351244</v>
      </c>
      <c r="G434" s="448"/>
      <c r="H434" s="448"/>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c r="AI434" s="15"/>
    </row>
    <row r="435" spans="3:35">
      <c r="C435" s="12"/>
      <c r="D435" s="13"/>
      <c r="E435" s="13" t="s">
        <v>90</v>
      </c>
      <c r="F435" s="585">
        <f>ROUNDUP(F434/0.5, 0) * 0.5</f>
        <v>12</v>
      </c>
      <c r="G435" s="586"/>
      <c r="H435" s="587"/>
      <c r="I435" s="13" t="s">
        <v>3</v>
      </c>
      <c r="J435" s="13"/>
      <c r="K435" s="13"/>
      <c r="L435" s="13" t="s">
        <v>93</v>
      </c>
      <c r="M435" s="13"/>
      <c r="N435" s="13"/>
      <c r="O435" s="13"/>
      <c r="P435" s="13"/>
      <c r="Q435" s="13"/>
      <c r="R435" s="13"/>
      <c r="S435" s="13"/>
      <c r="T435" s="13"/>
      <c r="U435" s="13"/>
      <c r="V435" s="13"/>
      <c r="W435" s="13"/>
      <c r="X435" s="13"/>
      <c r="Y435" s="13"/>
      <c r="Z435" s="13"/>
      <c r="AA435" s="13"/>
      <c r="AB435" s="13"/>
      <c r="AC435" s="13"/>
      <c r="AD435" s="13"/>
      <c r="AE435" s="13"/>
      <c r="AF435" s="13"/>
      <c r="AG435" s="13"/>
      <c r="AH435" s="13"/>
      <c r="AI435" s="15"/>
    </row>
    <row r="436" spans="3:35">
      <c r="C436" s="12"/>
      <c r="D436" s="13"/>
      <c r="E436" s="13"/>
      <c r="F436" s="13"/>
      <c r="G436" s="13"/>
      <c r="H436" s="13"/>
      <c r="I436" s="13"/>
      <c r="J436" s="13"/>
      <c r="K436" s="13"/>
      <c r="L436" s="13" t="s">
        <v>118</v>
      </c>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5"/>
    </row>
    <row r="437" spans="3:35">
      <c r="C437" s="12"/>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c r="AH437" s="13"/>
      <c r="AI437" s="15"/>
    </row>
    <row r="438" spans="3:35">
      <c r="C438" s="12"/>
      <c r="D438" s="13"/>
      <c r="F438" s="13"/>
      <c r="G438" s="13"/>
      <c r="H438" s="13"/>
      <c r="I438" s="13"/>
      <c r="J438" s="13"/>
      <c r="K438" s="13" t="s">
        <v>99</v>
      </c>
      <c r="L438" s="13"/>
      <c r="N438" s="13"/>
      <c r="O438" s="13"/>
      <c r="P438" s="13"/>
      <c r="Q438" s="13"/>
      <c r="S438" t="s">
        <v>92</v>
      </c>
      <c r="T438" s="13"/>
      <c r="U438" s="13"/>
      <c r="V438" s="13"/>
      <c r="W438" s="13"/>
      <c r="X438" s="13" t="s">
        <v>105</v>
      </c>
      <c r="Y438" s="13"/>
      <c r="Z438" s="13"/>
      <c r="AA438" s="13"/>
      <c r="AB438" s="13"/>
      <c r="AC438" s="13"/>
      <c r="AD438" s="13"/>
      <c r="AE438" s="13"/>
      <c r="AF438" s="13"/>
      <c r="AG438" s="13"/>
      <c r="AH438" s="13"/>
      <c r="AI438" s="15"/>
    </row>
    <row r="439" spans="3:35">
      <c r="C439" s="12"/>
      <c r="D439" s="13"/>
      <c r="E439" s="13"/>
      <c r="F439" s="13"/>
      <c r="G439" s="13"/>
      <c r="H439" s="13"/>
      <c r="I439" s="13"/>
      <c r="J439" s="15"/>
      <c r="K439" s="464" t="s">
        <v>100</v>
      </c>
      <c r="L439" s="348"/>
      <c r="M439" s="348"/>
      <c r="N439" s="348"/>
      <c r="O439" s="348"/>
      <c r="P439" s="348"/>
      <c r="Q439" s="348"/>
      <c r="R439" s="348"/>
      <c r="S439" s="348" t="s">
        <v>103</v>
      </c>
      <c r="T439" s="348"/>
      <c r="U439" s="348"/>
      <c r="V439" s="348"/>
      <c r="W439" s="348"/>
      <c r="X439" s="348"/>
      <c r="Y439" s="348" t="s">
        <v>104</v>
      </c>
      <c r="Z439" s="348"/>
      <c r="AA439" s="348"/>
      <c r="AB439" s="13"/>
      <c r="AC439" s="13"/>
      <c r="AD439" s="13"/>
      <c r="AE439" s="13"/>
      <c r="AF439" s="13"/>
      <c r="AG439" s="13"/>
      <c r="AH439" s="13"/>
      <c r="AI439" s="15"/>
    </row>
    <row r="440" spans="3:35">
      <c r="C440" s="12"/>
      <c r="D440" s="13"/>
      <c r="E440" s="13"/>
      <c r="F440" s="32"/>
      <c r="G440" s="32"/>
      <c r="H440" s="32"/>
      <c r="I440" s="32"/>
      <c r="J440" s="45" t="str">
        <f>IF('1.設計条件'!T$37='2.根入れ長'!K440,1,"")</f>
        <v/>
      </c>
      <c r="K440" s="464" t="s">
        <v>108</v>
      </c>
      <c r="L440" s="348"/>
      <c r="M440" s="348"/>
      <c r="N440" s="348"/>
      <c r="O440" s="348"/>
      <c r="P440" s="348"/>
      <c r="Q440" s="348"/>
      <c r="R440" s="348"/>
      <c r="S440" s="471">
        <v>4</v>
      </c>
      <c r="T440" s="472"/>
      <c r="U440" s="463" t="s">
        <v>107</v>
      </c>
      <c r="V440" s="463"/>
      <c r="W440" s="472">
        <v>8</v>
      </c>
      <c r="X440" s="473"/>
      <c r="Y440" s="372">
        <v>4</v>
      </c>
      <c r="Z440" s="372"/>
      <c r="AA440" s="372"/>
      <c r="AC440" s="13"/>
      <c r="AD440" s="13"/>
      <c r="AE440" s="13"/>
      <c r="AF440" s="13"/>
      <c r="AG440" s="13"/>
      <c r="AH440" s="13"/>
      <c r="AI440" s="15"/>
    </row>
    <row r="441" spans="3:35">
      <c r="C441" s="12"/>
      <c r="D441" s="13"/>
      <c r="E441" s="13"/>
      <c r="F441" s="32"/>
      <c r="G441" s="32"/>
      <c r="H441" s="32"/>
      <c r="I441" s="32"/>
      <c r="J441" s="45">
        <f>IF('1.設計条件'!T$37='2.根入れ長'!K441,1,"")</f>
        <v>1</v>
      </c>
      <c r="K441" s="464" t="s">
        <v>106</v>
      </c>
      <c r="L441" s="348"/>
      <c r="M441" s="348"/>
      <c r="N441" s="348"/>
      <c r="O441" s="348"/>
      <c r="P441" s="348"/>
      <c r="Q441" s="348"/>
      <c r="R441" s="348"/>
      <c r="S441" s="471">
        <v>6</v>
      </c>
      <c r="T441" s="472"/>
      <c r="U441" s="463" t="s">
        <v>107</v>
      </c>
      <c r="V441" s="463"/>
      <c r="W441" s="472">
        <v>15</v>
      </c>
      <c r="X441" s="473"/>
      <c r="Y441" s="372">
        <v>5</v>
      </c>
      <c r="Z441" s="372"/>
      <c r="AA441" s="372"/>
      <c r="AC441" s="13"/>
      <c r="AD441" s="13"/>
      <c r="AE441" s="13"/>
      <c r="AF441" s="13"/>
      <c r="AG441" s="13"/>
      <c r="AH441" s="13"/>
      <c r="AI441" s="15"/>
    </row>
    <row r="442" spans="3:35">
      <c r="C442" s="12"/>
      <c r="D442" s="13"/>
      <c r="E442" s="13"/>
      <c r="F442" s="32"/>
      <c r="G442" s="32"/>
      <c r="H442" s="32"/>
      <c r="I442" s="32"/>
      <c r="J442" s="45" t="str">
        <f>IF('1.設計条件'!T$37='2.根入れ長'!K442,1,"")</f>
        <v/>
      </c>
      <c r="K442" s="464" t="s">
        <v>101</v>
      </c>
      <c r="L442" s="348"/>
      <c r="M442" s="348"/>
      <c r="N442" s="348"/>
      <c r="O442" s="348"/>
      <c r="P442" s="348"/>
      <c r="Q442" s="348"/>
      <c r="R442" s="348"/>
      <c r="S442" s="471">
        <v>13</v>
      </c>
      <c r="T442" s="472"/>
      <c r="U442" s="463" t="s">
        <v>107</v>
      </c>
      <c r="V442" s="463"/>
      <c r="W442" s="472">
        <v>20</v>
      </c>
      <c r="X442" s="473"/>
      <c r="Y442" s="372">
        <v>8</v>
      </c>
      <c r="Z442" s="372"/>
      <c r="AA442" s="372"/>
      <c r="AC442" s="13"/>
      <c r="AD442" s="13"/>
      <c r="AE442" s="13"/>
      <c r="AF442" s="13"/>
      <c r="AG442" s="13"/>
      <c r="AH442" s="13"/>
      <c r="AI442" s="15"/>
    </row>
    <row r="443" spans="3:35">
      <c r="C443" s="12"/>
      <c r="D443" s="13"/>
      <c r="E443" s="13"/>
      <c r="F443" s="32"/>
      <c r="G443" s="32"/>
      <c r="H443" s="32"/>
      <c r="I443" s="32"/>
      <c r="J443" s="45" t="str">
        <f>IF('1.設計条件'!T$37='2.根入れ長'!K443,1,"")</f>
        <v/>
      </c>
      <c r="K443" s="462" t="s">
        <v>109</v>
      </c>
      <c r="L443" s="463"/>
      <c r="M443" s="463"/>
      <c r="N443" s="463"/>
      <c r="O443" s="463"/>
      <c r="P443" s="463"/>
      <c r="Q443" s="463"/>
      <c r="R443" s="464"/>
      <c r="S443" s="471">
        <v>15</v>
      </c>
      <c r="T443" s="472"/>
      <c r="U443" s="463" t="s">
        <v>107</v>
      </c>
      <c r="V443" s="463"/>
      <c r="W443" s="472">
        <v>22</v>
      </c>
      <c r="X443" s="473"/>
      <c r="Y443" s="471">
        <v>9</v>
      </c>
      <c r="Z443" s="472"/>
      <c r="AA443" s="473"/>
      <c r="AC443" s="13"/>
      <c r="AD443" s="13"/>
      <c r="AE443" s="13"/>
      <c r="AF443" s="13"/>
      <c r="AG443" s="13"/>
      <c r="AH443" s="13"/>
      <c r="AI443" s="15"/>
    </row>
    <row r="444" spans="3:35">
      <c r="C444" s="12"/>
      <c r="D444" s="13"/>
      <c r="E444" s="13"/>
      <c r="F444" s="28"/>
      <c r="G444" s="28"/>
      <c r="H444" s="28"/>
      <c r="I444" s="28"/>
      <c r="J444" s="28"/>
      <c r="K444" s="43"/>
      <c r="L444" s="43"/>
      <c r="M444" s="43"/>
      <c r="N444" s="43"/>
      <c r="O444" s="43"/>
      <c r="P444" s="43"/>
      <c r="Q444" s="43"/>
      <c r="R444" s="43"/>
      <c r="S444" s="44"/>
      <c r="T444" s="44"/>
      <c r="U444" s="43"/>
      <c r="V444" s="43"/>
      <c r="W444" s="44"/>
      <c r="X444" s="44"/>
      <c r="Y444" s="44"/>
      <c r="Z444" s="44"/>
      <c r="AA444" s="44"/>
      <c r="AB444" s="13"/>
      <c r="AC444" s="13"/>
      <c r="AD444" s="13"/>
      <c r="AE444" s="13"/>
      <c r="AF444" s="13"/>
      <c r="AG444" s="13"/>
      <c r="AH444" s="13"/>
      <c r="AI444" s="15"/>
    </row>
    <row r="445" spans="3:35">
      <c r="C445" s="12"/>
      <c r="D445" s="13"/>
      <c r="E445" s="13" t="s">
        <v>102</v>
      </c>
      <c r="F445" s="28"/>
      <c r="G445" s="28"/>
      <c r="H445" s="28"/>
      <c r="I445" s="28"/>
      <c r="J445" s="28"/>
      <c r="K445" s="14"/>
      <c r="L445" s="14"/>
      <c r="M445" s="14"/>
      <c r="N445" s="14"/>
      <c r="O445" s="14"/>
      <c r="P445" s="14"/>
      <c r="Q445" s="14"/>
      <c r="R445" s="14"/>
      <c r="S445" s="27"/>
      <c r="T445" s="27"/>
      <c r="U445" s="14"/>
      <c r="V445" s="14"/>
      <c r="W445" s="27"/>
      <c r="X445" s="27"/>
      <c r="Y445" s="27"/>
      <c r="Z445" s="27"/>
      <c r="AA445" s="27"/>
      <c r="AB445" s="13"/>
      <c r="AC445" s="13"/>
      <c r="AD445" s="13"/>
      <c r="AE445" s="13"/>
      <c r="AF445" s="13"/>
      <c r="AG445" s="13"/>
      <c r="AH445" s="13"/>
      <c r="AI445" s="15"/>
    </row>
    <row r="446" spans="3:35">
      <c r="C446" s="12"/>
      <c r="D446" s="13"/>
      <c r="E446" s="13"/>
      <c r="F446" s="449">
        <f>VLOOKUP(1,J440:AA443,10)</f>
        <v>6</v>
      </c>
      <c r="G446" s="449"/>
      <c r="H446" s="449" t="s">
        <v>107</v>
      </c>
      <c r="I446" s="449"/>
      <c r="J446" s="449">
        <f>VLOOKUP(1,J440:AA443,14)</f>
        <v>15</v>
      </c>
      <c r="K446" s="449"/>
      <c r="L446" s="14" t="s">
        <v>3</v>
      </c>
      <c r="M446" s="14"/>
      <c r="N446" s="462" t="str">
        <f>IF(AND(F435&gt;=F446,F435&lt;=J446),"OK","NG")</f>
        <v>OK</v>
      </c>
      <c r="O446" s="464"/>
      <c r="P446" s="14"/>
      <c r="Q446" s="14"/>
      <c r="R446" s="14"/>
      <c r="S446" s="27"/>
      <c r="T446" s="27"/>
      <c r="U446" s="14"/>
      <c r="V446" s="14"/>
      <c r="W446" s="27"/>
      <c r="X446" s="27"/>
      <c r="Y446" s="27"/>
      <c r="Z446" s="27"/>
      <c r="AA446" s="27"/>
      <c r="AB446" s="13"/>
      <c r="AC446" s="13"/>
      <c r="AD446" s="13"/>
      <c r="AE446" s="13"/>
      <c r="AF446" s="13"/>
      <c r="AG446" s="13"/>
      <c r="AH446" s="13"/>
      <c r="AI446" s="15"/>
    </row>
    <row r="447" spans="3:35">
      <c r="C447" s="12"/>
      <c r="D447" s="13"/>
      <c r="E447" s="13" t="s">
        <v>104</v>
      </c>
      <c r="F447" s="28"/>
      <c r="G447" s="28"/>
      <c r="H447" s="28"/>
      <c r="I447" s="28"/>
      <c r="J447" s="28"/>
      <c r="K447" s="28"/>
      <c r="L447" s="14"/>
      <c r="M447" s="14"/>
      <c r="N447" s="14"/>
      <c r="O447" s="14"/>
      <c r="P447" s="14"/>
      <c r="Q447" s="14"/>
      <c r="R447" s="14"/>
      <c r="S447" s="27"/>
      <c r="T447" s="27"/>
      <c r="U447" s="14"/>
      <c r="V447" s="14"/>
      <c r="W447" s="27"/>
      <c r="X447" s="27"/>
      <c r="Y447" s="27"/>
      <c r="Z447" s="27"/>
      <c r="AA447" s="27"/>
      <c r="AB447" s="13"/>
      <c r="AC447" s="13"/>
      <c r="AD447" s="13"/>
      <c r="AE447" s="13"/>
      <c r="AF447" s="13"/>
      <c r="AG447" s="13"/>
      <c r="AH447" s="13"/>
      <c r="AI447" s="15"/>
    </row>
    <row r="448" spans="3:35">
      <c r="C448" s="12"/>
      <c r="D448" s="13"/>
      <c r="E448" s="13"/>
      <c r="F448" s="449">
        <f>VLOOKUP(1,J440:AA443,16)</f>
        <v>5</v>
      </c>
      <c r="G448" s="449"/>
      <c r="H448" s="28" t="s">
        <v>3</v>
      </c>
      <c r="I448" s="28"/>
      <c r="J448" s="28"/>
      <c r="K448" s="14"/>
      <c r="L448" s="14"/>
      <c r="M448" s="14"/>
      <c r="N448" s="462" t="str">
        <f>IF(F435&gt;=F448,"OK","NG")</f>
        <v>OK</v>
      </c>
      <c r="O448" s="464"/>
      <c r="P448" s="14"/>
      <c r="Q448" s="14"/>
      <c r="R448" s="14"/>
      <c r="S448" s="27"/>
      <c r="T448" s="27"/>
      <c r="U448" s="14"/>
      <c r="V448" s="14"/>
      <c r="W448" s="27"/>
      <c r="X448" s="27"/>
      <c r="Y448" s="27"/>
      <c r="Z448" s="27"/>
      <c r="AA448" s="27"/>
      <c r="AB448" s="13"/>
      <c r="AC448" s="13"/>
      <c r="AD448" s="13"/>
      <c r="AE448" s="13"/>
      <c r="AF448" s="13"/>
      <c r="AG448" s="13"/>
      <c r="AH448" s="13"/>
      <c r="AI448" s="15"/>
    </row>
    <row r="449" spans="3:35">
      <c r="C449" s="16"/>
      <c r="D449" s="17"/>
      <c r="E449" s="17"/>
      <c r="F449" s="17"/>
      <c r="G449" s="17"/>
      <c r="H449" s="17"/>
      <c r="I449" s="17"/>
      <c r="J449" s="17"/>
      <c r="K449" s="17"/>
      <c r="L449" s="17"/>
      <c r="M449" s="17"/>
      <c r="N449" s="17"/>
      <c r="O449" s="17"/>
      <c r="P449" s="17"/>
      <c r="Q449" s="17"/>
      <c r="R449" s="17"/>
      <c r="S449" s="17"/>
      <c r="T449" s="17"/>
      <c r="U449" s="17"/>
      <c r="V449" s="17"/>
      <c r="W449" s="17"/>
      <c r="X449" s="17"/>
      <c r="Y449" s="17"/>
      <c r="Z449" s="17"/>
      <c r="AA449" s="17"/>
      <c r="AB449" s="17"/>
      <c r="AC449" s="17"/>
      <c r="AD449" s="17"/>
      <c r="AE449" s="17"/>
      <c r="AF449" s="17"/>
      <c r="AG449" s="17"/>
      <c r="AH449" s="17"/>
      <c r="AI449" s="19"/>
    </row>
  </sheetData>
  <sheetProtection sheet="1" objects="1" scenarios="1"/>
  <mergeCells count="1266">
    <mergeCell ref="R175:T175"/>
    <mergeCell ref="E187:G187"/>
    <mergeCell ref="H187:M187"/>
    <mergeCell ref="Y187:AA187"/>
    <mergeCell ref="AB187:AC187"/>
    <mergeCell ref="E188:G188"/>
    <mergeCell ref="H188:J188"/>
    <mergeCell ref="M188:N188"/>
    <mergeCell ref="O188:P188"/>
    <mergeCell ref="R188:T188"/>
    <mergeCell ref="X182:Z182"/>
    <mergeCell ref="AA182:AC182"/>
    <mergeCell ref="K176:L176"/>
    <mergeCell ref="I179:J179"/>
    <mergeCell ref="K179:L179"/>
    <mergeCell ref="M179:O179"/>
    <mergeCell ref="P179:Q179"/>
    <mergeCell ref="R179:T179"/>
    <mergeCell ref="U179:W179"/>
    <mergeCell ref="L243:M243"/>
    <mergeCell ref="O243:P243"/>
    <mergeCell ref="V243:X243"/>
    <mergeCell ref="AB243:AD243"/>
    <mergeCell ref="E167:F168"/>
    <mergeCell ref="G167:H167"/>
    <mergeCell ref="I167:J168"/>
    <mergeCell ref="K167:L168"/>
    <mergeCell ref="M167:O168"/>
    <mergeCell ref="P167:Q168"/>
    <mergeCell ref="R167:T167"/>
    <mergeCell ref="E205:F206"/>
    <mergeCell ref="O242:P242"/>
    <mergeCell ref="V242:X242"/>
    <mergeCell ref="AB242:AD242"/>
    <mergeCell ref="G219:H219"/>
    <mergeCell ref="L219:M219"/>
    <mergeCell ref="I219:J219"/>
    <mergeCell ref="V219:X219"/>
    <mergeCell ref="AB219:AD219"/>
    <mergeCell ref="E215:F216"/>
    <mergeCell ref="G215:H215"/>
    <mergeCell ref="L215:M215"/>
    <mergeCell ref="I215:J215"/>
    <mergeCell ref="E174:G174"/>
    <mergeCell ref="H174:M174"/>
    <mergeCell ref="Y174:AA174"/>
    <mergeCell ref="AB174:AC174"/>
    <mergeCell ref="E175:G175"/>
    <mergeCell ref="H175:J175"/>
    <mergeCell ref="M175:N175"/>
    <mergeCell ref="O175:P175"/>
    <mergeCell ref="G263:H263"/>
    <mergeCell ref="Z263:AB263"/>
    <mergeCell ref="E201:F202"/>
    <mergeCell ref="G201:H201"/>
    <mergeCell ref="I201:J201"/>
    <mergeCell ref="K201:L201"/>
    <mergeCell ref="M201:O201"/>
    <mergeCell ref="P201:R201"/>
    <mergeCell ref="G202:H202"/>
    <mergeCell ref="I202:J202"/>
    <mergeCell ref="K202:L202"/>
    <mergeCell ref="AG228:AI228"/>
    <mergeCell ref="E227:F228"/>
    <mergeCell ref="O228:P228"/>
    <mergeCell ref="V228:X228"/>
    <mergeCell ref="AE297:AG297"/>
    <mergeCell ref="J298:L298"/>
    <mergeCell ref="E229:H229"/>
    <mergeCell ref="V229:X229"/>
    <mergeCell ref="AB229:AD229"/>
    <mergeCell ref="AG229:AI229"/>
    <mergeCell ref="V227:X227"/>
    <mergeCell ref="AG227:AI227"/>
    <mergeCell ref="N298:P298"/>
    <mergeCell ref="Z298:AB298"/>
    <mergeCell ref="AE298:AG298"/>
    <mergeCell ref="E271:F271"/>
    <mergeCell ref="G271:H271"/>
    <mergeCell ref="I271:K271"/>
    <mergeCell ref="Z271:AB271"/>
    <mergeCell ref="U271:W271"/>
    <mergeCell ref="E274:H274"/>
    <mergeCell ref="I274:K274"/>
    <mergeCell ref="G272:H272"/>
    <mergeCell ref="U272:W272"/>
    <mergeCell ref="O272:Q272"/>
    <mergeCell ref="G273:H273"/>
    <mergeCell ref="I273:K273"/>
    <mergeCell ref="O273:Q273"/>
    <mergeCell ref="U273:W273"/>
    <mergeCell ref="Z273:AB273"/>
    <mergeCell ref="E272:F273"/>
    <mergeCell ref="I245:U245"/>
    <mergeCell ref="E208:G208"/>
    <mergeCell ref="H208:J208"/>
    <mergeCell ref="K208:L208"/>
    <mergeCell ref="M208:N208"/>
    <mergeCell ref="P208:Q208"/>
    <mergeCell ref="E260:F261"/>
    <mergeCell ref="G260:H260"/>
    <mergeCell ref="I260:K260"/>
    <mergeCell ref="O260:Q260"/>
    <mergeCell ref="U260:W260"/>
    <mergeCell ref="Z260:AB260"/>
    <mergeCell ref="G261:H261"/>
    <mergeCell ref="I261:K261"/>
    <mergeCell ref="O261:Q261"/>
    <mergeCell ref="L221:M221"/>
    <mergeCell ref="I221:J221"/>
    <mergeCell ref="E219:F221"/>
    <mergeCell ref="E241:F243"/>
    <mergeCell ref="G243:H243"/>
    <mergeCell ref="I243:J243"/>
    <mergeCell ref="O258:Q258"/>
    <mergeCell ref="U258:W258"/>
    <mergeCell ref="Z258:AB258"/>
    <mergeCell ref="G259:H259"/>
    <mergeCell ref="I259:K259"/>
    <mergeCell ref="O259:Q259"/>
    <mergeCell ref="U259:W259"/>
    <mergeCell ref="Z259:AB259"/>
    <mergeCell ref="E239:F240"/>
    <mergeCell ref="Q218:S218"/>
    <mergeCell ref="U167:W168"/>
    <mergeCell ref="X167:Z167"/>
    <mergeCell ref="AA167:AC167"/>
    <mergeCell ref="AD167:AF167"/>
    <mergeCell ref="AG167:AI167"/>
    <mergeCell ref="G168:H168"/>
    <mergeCell ref="R168:T168"/>
    <mergeCell ref="X168:Z168"/>
    <mergeCell ref="AA168:AC168"/>
    <mergeCell ref="AD168:AF168"/>
    <mergeCell ref="AG168:AI168"/>
    <mergeCell ref="AG243:AI243"/>
    <mergeCell ref="AB250:AD250"/>
    <mergeCell ref="AG250:AI250"/>
    <mergeCell ref="E249:F250"/>
    <mergeCell ref="I254:AB254"/>
    <mergeCell ref="I255:AB255"/>
    <mergeCell ref="E256:F257"/>
    <mergeCell ref="G256:H256"/>
    <mergeCell ref="I256:K256"/>
    <mergeCell ref="O256:Q256"/>
    <mergeCell ref="U256:W256"/>
    <mergeCell ref="Z256:AB256"/>
    <mergeCell ref="K316:M316"/>
    <mergeCell ref="J303:L303"/>
    <mergeCell ref="N303:P303"/>
    <mergeCell ref="J304:L304"/>
    <mergeCell ref="N304:P304"/>
    <mergeCell ref="J305:L305"/>
    <mergeCell ref="N305:P305"/>
    <mergeCell ref="K308:M308"/>
    <mergeCell ref="AB311:AC311"/>
    <mergeCell ref="K312:M312"/>
    <mergeCell ref="G205:H205"/>
    <mergeCell ref="I205:J205"/>
    <mergeCell ref="K205:L205"/>
    <mergeCell ref="M205:O205"/>
    <mergeCell ref="P205:R205"/>
    <mergeCell ref="G206:H206"/>
    <mergeCell ref="I206:J206"/>
    <mergeCell ref="K206:L206"/>
    <mergeCell ref="M206:O206"/>
    <mergeCell ref="P206:R206"/>
    <mergeCell ref="G221:H221"/>
    <mergeCell ref="J297:L297"/>
    <mergeCell ref="N297:P297"/>
    <mergeCell ref="Z297:AB297"/>
    <mergeCell ref="J301:L301"/>
    <mergeCell ref="N301:P301"/>
    <mergeCell ref="Z301:AB301"/>
    <mergeCell ref="O274:Q274"/>
    <mergeCell ref="U274:W274"/>
    <mergeCell ref="Z274:AB274"/>
    <mergeCell ref="F280:H280"/>
    <mergeCell ref="L280:N280"/>
    <mergeCell ref="AE301:AG301"/>
    <mergeCell ref="K315:M315"/>
    <mergeCell ref="O315:Q315"/>
    <mergeCell ref="J286:L286"/>
    <mergeCell ref="J289:L289"/>
    <mergeCell ref="N289:P289"/>
    <mergeCell ref="Z289:AB289"/>
    <mergeCell ref="AE289:AG289"/>
    <mergeCell ref="J290:L290"/>
    <mergeCell ref="N290:P290"/>
    <mergeCell ref="Z290:AB290"/>
    <mergeCell ref="AE290:AG290"/>
    <mergeCell ref="J294:L294"/>
    <mergeCell ref="N294:P294"/>
    <mergeCell ref="Z294:AB294"/>
    <mergeCell ref="AE294:AG294"/>
    <mergeCell ref="J295:L295"/>
    <mergeCell ref="N295:P295"/>
    <mergeCell ref="Z295:AB295"/>
    <mergeCell ref="AE295:AG295"/>
    <mergeCell ref="G311:L311"/>
    <mergeCell ref="M311:N311"/>
    <mergeCell ref="P311:R311"/>
    <mergeCell ref="T311:V311"/>
    <mergeCell ref="X311:Z311"/>
    <mergeCell ref="J300:L300"/>
    <mergeCell ref="N300:P300"/>
    <mergeCell ref="Z300:AB300"/>
    <mergeCell ref="AE300:AG300"/>
    <mergeCell ref="R280:T280"/>
    <mergeCell ref="W280:Y280"/>
    <mergeCell ref="J283:L283"/>
    <mergeCell ref="J285:L285"/>
    <mergeCell ref="Z285:AB285"/>
    <mergeCell ref="V245:AI245"/>
    <mergeCell ref="I246:U246"/>
    <mergeCell ref="V246:AI246"/>
    <mergeCell ref="V247:AI247"/>
    <mergeCell ref="E248:F248"/>
    <mergeCell ref="G248:H248"/>
    <mergeCell ref="I248:J248"/>
    <mergeCell ref="L248:M248"/>
    <mergeCell ref="O248:P248"/>
    <mergeCell ref="V248:X248"/>
    <mergeCell ref="AB248:AD248"/>
    <mergeCell ref="AG248:AI248"/>
    <mergeCell ref="I268:AB268"/>
    <mergeCell ref="I269:AB269"/>
    <mergeCell ref="I270:AB270"/>
    <mergeCell ref="G249:H249"/>
    <mergeCell ref="I249:J249"/>
    <mergeCell ref="L249:M249"/>
    <mergeCell ref="O249:P249"/>
    <mergeCell ref="V249:X249"/>
    <mergeCell ref="AB249:AD249"/>
    <mergeCell ref="AG249:AI249"/>
    <mergeCell ref="G250:H250"/>
    <mergeCell ref="I250:J250"/>
    <mergeCell ref="L250:M250"/>
    <mergeCell ref="O250:P250"/>
    <mergeCell ref="V250:X250"/>
    <mergeCell ref="E265:H265"/>
    <mergeCell ref="I265:K265"/>
    <mergeCell ref="O265:Q265"/>
    <mergeCell ref="U265:W265"/>
    <mergeCell ref="Z265:AB265"/>
    <mergeCell ref="I223:U223"/>
    <mergeCell ref="V223:AI223"/>
    <mergeCell ref="I224:U224"/>
    <mergeCell ref="V224:AI224"/>
    <mergeCell ref="V225:AI225"/>
    <mergeCell ref="E226:F226"/>
    <mergeCell ref="G226:H226"/>
    <mergeCell ref="L226:M226"/>
    <mergeCell ref="I226:J226"/>
    <mergeCell ref="N226:O226"/>
    <mergeCell ref="AG226:AI226"/>
    <mergeCell ref="AB226:AD226"/>
    <mergeCell ref="V226:X226"/>
    <mergeCell ref="U261:W261"/>
    <mergeCell ref="Z261:AB261"/>
    <mergeCell ref="E262:F264"/>
    <mergeCell ref="G262:H262"/>
    <mergeCell ref="I262:K262"/>
    <mergeCell ref="O262:Q262"/>
    <mergeCell ref="U262:W262"/>
    <mergeCell ref="Z262:AB262"/>
    <mergeCell ref="G264:H264"/>
    <mergeCell ref="I264:K264"/>
    <mergeCell ref="O264:Q264"/>
    <mergeCell ref="U264:W264"/>
    <mergeCell ref="Z264:AB264"/>
    <mergeCell ref="I253:AB253"/>
    <mergeCell ref="G257:H257"/>
    <mergeCell ref="I257:K257"/>
    <mergeCell ref="O257:Q257"/>
    <mergeCell ref="U257:W257"/>
    <mergeCell ref="Z257:AB257"/>
    <mergeCell ref="E258:F259"/>
    <mergeCell ref="G258:H258"/>
    <mergeCell ref="I258:K258"/>
    <mergeCell ref="G239:H239"/>
    <mergeCell ref="I239:J239"/>
    <mergeCell ref="L239:M239"/>
    <mergeCell ref="O239:P239"/>
    <mergeCell ref="V239:X239"/>
    <mergeCell ref="AB239:AD239"/>
    <mergeCell ref="AG239:AI239"/>
    <mergeCell ref="G240:H240"/>
    <mergeCell ref="I240:J240"/>
    <mergeCell ref="L240:M240"/>
    <mergeCell ref="O240:P240"/>
    <mergeCell ref="V240:X240"/>
    <mergeCell ref="AB240:AD240"/>
    <mergeCell ref="AG240:AI240"/>
    <mergeCell ref="G241:H241"/>
    <mergeCell ref="I241:J241"/>
    <mergeCell ref="L241:M241"/>
    <mergeCell ref="O241:P241"/>
    <mergeCell ref="V241:X241"/>
    <mergeCell ref="AB241:AD241"/>
    <mergeCell ref="AG241:AI241"/>
    <mergeCell ref="G242:H242"/>
    <mergeCell ref="I242:J242"/>
    <mergeCell ref="L242:M242"/>
    <mergeCell ref="AG242:AI242"/>
    <mergeCell ref="V234:AI234"/>
    <mergeCell ref="E235:F236"/>
    <mergeCell ref="G235:H235"/>
    <mergeCell ref="I235:J235"/>
    <mergeCell ref="L235:M235"/>
    <mergeCell ref="O235:P235"/>
    <mergeCell ref="V235:X235"/>
    <mergeCell ref="AB235:AD235"/>
    <mergeCell ref="AG235:AI235"/>
    <mergeCell ref="G236:H236"/>
    <mergeCell ref="I236:J236"/>
    <mergeCell ref="L236:M236"/>
    <mergeCell ref="O236:P236"/>
    <mergeCell ref="V236:X236"/>
    <mergeCell ref="AB236:AD236"/>
    <mergeCell ref="AG236:AI236"/>
    <mergeCell ref="E237:F238"/>
    <mergeCell ref="G237:H237"/>
    <mergeCell ref="I237:J237"/>
    <mergeCell ref="L237:M237"/>
    <mergeCell ref="O237:P237"/>
    <mergeCell ref="V237:X237"/>
    <mergeCell ref="AB237:AD237"/>
    <mergeCell ref="AG237:AI237"/>
    <mergeCell ref="G238:H238"/>
    <mergeCell ref="I238:J238"/>
    <mergeCell ref="L238:M238"/>
    <mergeCell ref="O238:P238"/>
    <mergeCell ref="V238:X238"/>
    <mergeCell ref="AB238:AD238"/>
    <mergeCell ref="AG238:AI238"/>
    <mergeCell ref="AG219:AI219"/>
    <mergeCell ref="G220:H220"/>
    <mergeCell ref="L220:M220"/>
    <mergeCell ref="I220:J220"/>
    <mergeCell ref="V220:X220"/>
    <mergeCell ref="AB220:AD220"/>
    <mergeCell ref="AG220:AI220"/>
    <mergeCell ref="I232:U232"/>
    <mergeCell ref="V232:AI232"/>
    <mergeCell ref="I233:U233"/>
    <mergeCell ref="V233:AI233"/>
    <mergeCell ref="V221:X221"/>
    <mergeCell ref="AB221:AD221"/>
    <mergeCell ref="AG221:AI221"/>
    <mergeCell ref="O221:P221"/>
    <mergeCell ref="Q228:S228"/>
    <mergeCell ref="J228:L228"/>
    <mergeCell ref="G227:H227"/>
    <mergeCell ref="L227:M227"/>
    <mergeCell ref="I227:J227"/>
    <mergeCell ref="N227:O227"/>
    <mergeCell ref="AB227:AD227"/>
    <mergeCell ref="G228:H228"/>
    <mergeCell ref="M228:N228"/>
    <mergeCell ref="AB228:AD228"/>
    <mergeCell ref="V215:X215"/>
    <mergeCell ref="AB215:AD215"/>
    <mergeCell ref="AG215:AI215"/>
    <mergeCell ref="G216:H216"/>
    <mergeCell ref="L216:M216"/>
    <mergeCell ref="I216:J216"/>
    <mergeCell ref="V216:X216"/>
    <mergeCell ref="AB216:AD216"/>
    <mergeCell ref="AG216:AI216"/>
    <mergeCell ref="E217:F218"/>
    <mergeCell ref="G217:H217"/>
    <mergeCell ref="L217:M217"/>
    <mergeCell ref="I217:J217"/>
    <mergeCell ref="V217:X217"/>
    <mergeCell ref="AB217:AD217"/>
    <mergeCell ref="AG217:AI217"/>
    <mergeCell ref="G218:H218"/>
    <mergeCell ref="J218:K218"/>
    <mergeCell ref="N218:P218"/>
    <mergeCell ref="V218:X218"/>
    <mergeCell ref="AB218:AD218"/>
    <mergeCell ref="AG218:AI218"/>
    <mergeCell ref="I210:U210"/>
    <mergeCell ref="V210:AI210"/>
    <mergeCell ref="I211:U211"/>
    <mergeCell ref="V211:AI211"/>
    <mergeCell ref="V212:AI212"/>
    <mergeCell ref="E213:F214"/>
    <mergeCell ref="G213:H213"/>
    <mergeCell ref="L213:M213"/>
    <mergeCell ref="I213:J213"/>
    <mergeCell ref="V213:X213"/>
    <mergeCell ref="AB213:AD213"/>
    <mergeCell ref="AG213:AI213"/>
    <mergeCell ref="G214:H214"/>
    <mergeCell ref="L214:M214"/>
    <mergeCell ref="I214:J214"/>
    <mergeCell ref="V214:X214"/>
    <mergeCell ref="AB214:AD214"/>
    <mergeCell ref="AG214:AI214"/>
    <mergeCell ref="G204:H204"/>
    <mergeCell ref="I204:J204"/>
    <mergeCell ref="K204:L204"/>
    <mergeCell ref="M204:O204"/>
    <mergeCell ref="P204:R204"/>
    <mergeCell ref="E197:F198"/>
    <mergeCell ref="G197:H197"/>
    <mergeCell ref="I197:J197"/>
    <mergeCell ref="K197:L197"/>
    <mergeCell ref="M197:O197"/>
    <mergeCell ref="P197:R197"/>
    <mergeCell ref="G198:H198"/>
    <mergeCell ref="I198:J198"/>
    <mergeCell ref="K198:L198"/>
    <mergeCell ref="M198:O198"/>
    <mergeCell ref="P198:R198"/>
    <mergeCell ref="E199:F200"/>
    <mergeCell ref="G199:H199"/>
    <mergeCell ref="M202:O202"/>
    <mergeCell ref="P202:R202"/>
    <mergeCell ref="AG183:AI183"/>
    <mergeCell ref="I199:J199"/>
    <mergeCell ref="K199:L199"/>
    <mergeCell ref="M199:O199"/>
    <mergeCell ref="P199:R199"/>
    <mergeCell ref="G200:H200"/>
    <mergeCell ref="I200:J200"/>
    <mergeCell ref="K200:L200"/>
    <mergeCell ref="M200:O200"/>
    <mergeCell ref="P200:R200"/>
    <mergeCell ref="P196:R196"/>
    <mergeCell ref="E189:G189"/>
    <mergeCell ref="H189:J189"/>
    <mergeCell ref="K189:L189"/>
    <mergeCell ref="I192:J192"/>
    <mergeCell ref="K192:L192"/>
    <mergeCell ref="M192:R192"/>
    <mergeCell ref="I195:J195"/>
    <mergeCell ref="K195:L195"/>
    <mergeCell ref="M195:O195"/>
    <mergeCell ref="P195:R195"/>
    <mergeCell ref="G196:H196"/>
    <mergeCell ref="I196:J196"/>
    <mergeCell ref="K196:L196"/>
    <mergeCell ref="M196:O196"/>
    <mergeCell ref="AD182:AF182"/>
    <mergeCell ref="AG182:AI182"/>
    <mergeCell ref="G183:H183"/>
    <mergeCell ref="R183:T183"/>
    <mergeCell ref="X183:Z183"/>
    <mergeCell ref="AA183:AC183"/>
    <mergeCell ref="AD183:AF183"/>
    <mergeCell ref="X184:Z184"/>
    <mergeCell ref="AA184:AC184"/>
    <mergeCell ref="AD184:AF184"/>
    <mergeCell ref="AG184:AI184"/>
    <mergeCell ref="G185:H185"/>
    <mergeCell ref="I193:J193"/>
    <mergeCell ref="K193:L193"/>
    <mergeCell ref="M193:R193"/>
    <mergeCell ref="X179:Z179"/>
    <mergeCell ref="AA179:AC179"/>
    <mergeCell ref="AD179:AI179"/>
    <mergeCell ref="I180:J180"/>
    <mergeCell ref="K180:L180"/>
    <mergeCell ref="M180:O180"/>
    <mergeCell ref="P180:Q180"/>
    <mergeCell ref="R180:T180"/>
    <mergeCell ref="X180:Z180"/>
    <mergeCell ref="AA180:AC180"/>
    <mergeCell ref="AD180:AI180"/>
    <mergeCell ref="K181:L181"/>
    <mergeCell ref="P181:Q181"/>
    <mergeCell ref="R181:T181"/>
    <mergeCell ref="U181:W181"/>
    <mergeCell ref="X181:Z181"/>
    <mergeCell ref="AA181:AC181"/>
    <mergeCell ref="AD181:AI181"/>
    <mergeCell ref="E169:F170"/>
    <mergeCell ref="G169:H169"/>
    <mergeCell ref="I169:J170"/>
    <mergeCell ref="K169:L170"/>
    <mergeCell ref="M169:O170"/>
    <mergeCell ref="P169:Q170"/>
    <mergeCell ref="R169:T169"/>
    <mergeCell ref="U169:W170"/>
    <mergeCell ref="X169:Z169"/>
    <mergeCell ref="AA169:AC169"/>
    <mergeCell ref="AD169:AF169"/>
    <mergeCell ref="AG169:AI169"/>
    <mergeCell ref="G170:H170"/>
    <mergeCell ref="R170:T170"/>
    <mergeCell ref="X170:Z170"/>
    <mergeCell ref="AA170:AC170"/>
    <mergeCell ref="AD170:AF170"/>
    <mergeCell ref="AG170:AI170"/>
    <mergeCell ref="E171:F172"/>
    <mergeCell ref="M176:R176"/>
    <mergeCell ref="G171:H171"/>
    <mergeCell ref="I171:J172"/>
    <mergeCell ref="K171:L172"/>
    <mergeCell ref="M171:O172"/>
    <mergeCell ref="P171:Q172"/>
    <mergeCell ref="R171:T171"/>
    <mergeCell ref="U171:W172"/>
    <mergeCell ref="X171:Z171"/>
    <mergeCell ref="G172:H172"/>
    <mergeCell ref="E176:G176"/>
    <mergeCell ref="H176:J176"/>
    <mergeCell ref="E165:F166"/>
    <mergeCell ref="G165:H165"/>
    <mergeCell ref="I165:J166"/>
    <mergeCell ref="K165:L166"/>
    <mergeCell ref="M165:O166"/>
    <mergeCell ref="P165:Q166"/>
    <mergeCell ref="R165:T165"/>
    <mergeCell ref="U165:W166"/>
    <mergeCell ref="X165:Z165"/>
    <mergeCell ref="AA165:AC165"/>
    <mergeCell ref="AD165:AF165"/>
    <mergeCell ref="AG165:AI165"/>
    <mergeCell ref="G166:H166"/>
    <mergeCell ref="R166:T166"/>
    <mergeCell ref="X166:Z166"/>
    <mergeCell ref="AA166:AC166"/>
    <mergeCell ref="AD166:AF166"/>
    <mergeCell ref="AG166:AI166"/>
    <mergeCell ref="E163:F164"/>
    <mergeCell ref="G163:H163"/>
    <mergeCell ref="I163:J164"/>
    <mergeCell ref="K163:L164"/>
    <mergeCell ref="M163:O164"/>
    <mergeCell ref="P163:Q164"/>
    <mergeCell ref="R163:T163"/>
    <mergeCell ref="U163:W164"/>
    <mergeCell ref="X163:Z163"/>
    <mergeCell ref="AA163:AC163"/>
    <mergeCell ref="AD163:AF163"/>
    <mergeCell ref="AG163:AI163"/>
    <mergeCell ref="G164:H164"/>
    <mergeCell ref="R164:T164"/>
    <mergeCell ref="X164:Z164"/>
    <mergeCell ref="AA164:AC164"/>
    <mergeCell ref="AD164:AF164"/>
    <mergeCell ref="AG164:AI164"/>
    <mergeCell ref="I160:J160"/>
    <mergeCell ref="K160:L160"/>
    <mergeCell ref="P160:Q160"/>
    <mergeCell ref="R160:T160"/>
    <mergeCell ref="U160:W160"/>
    <mergeCell ref="X160:Z160"/>
    <mergeCell ref="AA160:AC160"/>
    <mergeCell ref="AD160:AI160"/>
    <mergeCell ref="E161:F162"/>
    <mergeCell ref="G161:H161"/>
    <mergeCell ref="I161:J162"/>
    <mergeCell ref="K161:L162"/>
    <mergeCell ref="M161:O162"/>
    <mergeCell ref="P161:Q162"/>
    <mergeCell ref="R161:T161"/>
    <mergeCell ref="U161:W162"/>
    <mergeCell ref="X161:Z161"/>
    <mergeCell ref="AA161:AC161"/>
    <mergeCell ref="AD161:AF161"/>
    <mergeCell ref="AG161:AI161"/>
    <mergeCell ref="G162:H162"/>
    <mergeCell ref="R162:T162"/>
    <mergeCell ref="X162:Z162"/>
    <mergeCell ref="AA162:AC162"/>
    <mergeCell ref="AD162:AF162"/>
    <mergeCell ref="AG162:AI162"/>
    <mergeCell ref="I158:J158"/>
    <mergeCell ref="K158:L158"/>
    <mergeCell ref="M158:O158"/>
    <mergeCell ref="P158:Q158"/>
    <mergeCell ref="R158:T158"/>
    <mergeCell ref="U158:W158"/>
    <mergeCell ref="X158:Z158"/>
    <mergeCell ref="AA158:AC158"/>
    <mergeCell ref="AD158:AI158"/>
    <mergeCell ref="I159:J159"/>
    <mergeCell ref="K159:L159"/>
    <mergeCell ref="M159:O159"/>
    <mergeCell ref="P159:Q159"/>
    <mergeCell ref="R159:T159"/>
    <mergeCell ref="U159:W159"/>
    <mergeCell ref="X159:Z159"/>
    <mergeCell ref="AA159:AC159"/>
    <mergeCell ref="AD159:AI159"/>
    <mergeCell ref="K150:M150"/>
    <mergeCell ref="O150:Q150"/>
    <mergeCell ref="K151:M151"/>
    <mergeCell ref="E76:F77"/>
    <mergeCell ref="G76:H76"/>
    <mergeCell ref="F115:H115"/>
    <mergeCell ref="L115:N115"/>
    <mergeCell ref="R115:T115"/>
    <mergeCell ref="W115:Y115"/>
    <mergeCell ref="E82:F83"/>
    <mergeCell ref="G82:H82"/>
    <mergeCell ref="I82:J82"/>
    <mergeCell ref="L82:M82"/>
    <mergeCell ref="O82:P82"/>
    <mergeCell ref="G83:H83"/>
    <mergeCell ref="I83:J83"/>
    <mergeCell ref="L83:M83"/>
    <mergeCell ref="O83:P83"/>
    <mergeCell ref="I81:J81"/>
    <mergeCell ref="L81:M81"/>
    <mergeCell ref="I77:J77"/>
    <mergeCell ref="L77:M77"/>
    <mergeCell ref="O77:P77"/>
    <mergeCell ref="E80:F81"/>
    <mergeCell ref="G80:H80"/>
    <mergeCell ref="I80:J80"/>
    <mergeCell ref="L80:M80"/>
    <mergeCell ref="O80:P80"/>
    <mergeCell ref="G81:H81"/>
    <mergeCell ref="E100:F101"/>
    <mergeCell ref="G100:H100"/>
    <mergeCell ref="O100:Q100"/>
    <mergeCell ref="O81:P81"/>
    <mergeCell ref="E78:F79"/>
    <mergeCell ref="G78:H78"/>
    <mergeCell ref="I78:J78"/>
    <mergeCell ref="L78:M78"/>
    <mergeCell ref="O78:P78"/>
    <mergeCell ref="G79:H79"/>
    <mergeCell ref="G77:H77"/>
    <mergeCell ref="V10:X10"/>
    <mergeCell ref="X14:Z14"/>
    <mergeCell ref="E25:G25"/>
    <mergeCell ref="H25:M25"/>
    <mergeCell ref="Y25:AA25"/>
    <mergeCell ref="G65:H65"/>
    <mergeCell ref="L65:M65"/>
    <mergeCell ref="I65:J65"/>
    <mergeCell ref="P13:Q13"/>
    <mergeCell ref="R15:T15"/>
    <mergeCell ref="U20:W21"/>
    <mergeCell ref="Q63:R63"/>
    <mergeCell ref="L60:M60"/>
    <mergeCell ref="I60:J60"/>
    <mergeCell ref="J63:K63"/>
    <mergeCell ref="V63:X63"/>
    <mergeCell ref="N63:P63"/>
    <mergeCell ref="R16:T16"/>
    <mergeCell ref="E58:F59"/>
    <mergeCell ref="G58:H58"/>
    <mergeCell ref="G59:H59"/>
    <mergeCell ref="E60:F61"/>
    <mergeCell ref="G60:H60"/>
    <mergeCell ref="G61:H61"/>
    <mergeCell ref="G6:H6"/>
    <mergeCell ref="N70:O70"/>
    <mergeCell ref="M13:O13"/>
    <mergeCell ref="L79:M79"/>
    <mergeCell ref="O79:P79"/>
    <mergeCell ref="Y10:Z10"/>
    <mergeCell ref="AB10:AD10"/>
    <mergeCell ref="AD16:AF16"/>
    <mergeCell ref="AA14:AC14"/>
    <mergeCell ref="AD14:AI14"/>
    <mergeCell ref="AD15:AI15"/>
    <mergeCell ref="AG77:AI77"/>
    <mergeCell ref="AB25:AC25"/>
    <mergeCell ref="E26:G26"/>
    <mergeCell ref="H26:J26"/>
    <mergeCell ref="M26:N26"/>
    <mergeCell ref="O26:P26"/>
    <mergeCell ref="R26:T26"/>
    <mergeCell ref="E27:G27"/>
    <mergeCell ref="G64:H64"/>
    <mergeCell ref="L64:M64"/>
    <mergeCell ref="I64:J64"/>
    <mergeCell ref="K13:L13"/>
    <mergeCell ref="K20:L21"/>
    <mergeCell ref="I14:J14"/>
    <mergeCell ref="D10:U10"/>
    <mergeCell ref="U14:W14"/>
    <mergeCell ref="K14:L14"/>
    <mergeCell ref="K15:L15"/>
    <mergeCell ref="K16:L17"/>
    <mergeCell ref="P18:Q19"/>
    <mergeCell ref="M16:O17"/>
    <mergeCell ref="AB77:AD77"/>
    <mergeCell ref="V74:AI74"/>
    <mergeCell ref="V75:AI75"/>
    <mergeCell ref="I73:U73"/>
    <mergeCell ref="I74:U74"/>
    <mergeCell ref="AG64:AI64"/>
    <mergeCell ref="AG58:AI58"/>
    <mergeCell ref="AG59:AI59"/>
    <mergeCell ref="I76:J76"/>
    <mergeCell ref="L76:M76"/>
    <mergeCell ref="O76:P76"/>
    <mergeCell ref="AG76:AI76"/>
    <mergeCell ref="AD21:AF21"/>
    <mergeCell ref="AA20:AC20"/>
    <mergeCell ref="AA21:AC21"/>
    <mergeCell ref="AD17:AF17"/>
    <mergeCell ref="AD18:AF18"/>
    <mergeCell ref="AD19:AF19"/>
    <mergeCell ref="R18:T18"/>
    <mergeCell ref="R17:T17"/>
    <mergeCell ref="AB65:AD65"/>
    <mergeCell ref="V64:X64"/>
    <mergeCell ref="V65:X65"/>
    <mergeCell ref="AB64:AD64"/>
    <mergeCell ref="I43:J43"/>
    <mergeCell ref="K43:L43"/>
    <mergeCell ref="V60:X60"/>
    <mergeCell ref="L62:M62"/>
    <mergeCell ref="AB63:AD63"/>
    <mergeCell ref="M48:O48"/>
    <mergeCell ref="I50:J50"/>
    <mergeCell ref="I33:J33"/>
    <mergeCell ref="AD13:AI13"/>
    <mergeCell ref="U13:W13"/>
    <mergeCell ref="X13:Z13"/>
    <mergeCell ref="AA13:AC13"/>
    <mergeCell ref="X15:Z15"/>
    <mergeCell ref="AG19:AI19"/>
    <mergeCell ref="U18:W19"/>
    <mergeCell ref="R19:T19"/>
    <mergeCell ref="AA19:AC19"/>
    <mergeCell ref="X19:Z19"/>
    <mergeCell ref="AG18:AI18"/>
    <mergeCell ref="AG16:AI16"/>
    <mergeCell ref="AA17:AC17"/>
    <mergeCell ref="AA18:AC18"/>
    <mergeCell ref="X18:Z18"/>
    <mergeCell ref="R13:T13"/>
    <mergeCell ref="AA16:AC16"/>
    <mergeCell ref="X16:Z16"/>
    <mergeCell ref="AG17:AI17"/>
    <mergeCell ref="R14:T14"/>
    <mergeCell ref="K33:L33"/>
    <mergeCell ref="I31:J31"/>
    <mergeCell ref="K31:L31"/>
    <mergeCell ref="M31:O31"/>
    <mergeCell ref="P31:Q31"/>
    <mergeCell ref="I32:J32"/>
    <mergeCell ref="K32:L32"/>
    <mergeCell ref="M32:O32"/>
    <mergeCell ref="P32:Q32"/>
    <mergeCell ref="X33:Z33"/>
    <mergeCell ref="U31:W31"/>
    <mergeCell ref="X31:Z31"/>
    <mergeCell ref="X32:Z32"/>
    <mergeCell ref="U15:W15"/>
    <mergeCell ref="P15:Q15"/>
    <mergeCell ref="M18:O19"/>
    <mergeCell ref="X17:Z17"/>
    <mergeCell ref="M20:O21"/>
    <mergeCell ref="U33:W33"/>
    <mergeCell ref="P16:Q17"/>
    <mergeCell ref="K18:L19"/>
    <mergeCell ref="I15:J15"/>
    <mergeCell ref="I20:J21"/>
    <mergeCell ref="K27:L27"/>
    <mergeCell ref="X20:Z20"/>
    <mergeCell ref="P20:Q21"/>
    <mergeCell ref="Y442:AA442"/>
    <mergeCell ref="W442:X442"/>
    <mergeCell ref="S442:T442"/>
    <mergeCell ref="C5:AC5"/>
    <mergeCell ref="AD5:AE5"/>
    <mergeCell ref="AF5:AI5"/>
    <mergeCell ref="G16:H16"/>
    <mergeCell ref="G17:H17"/>
    <mergeCell ref="G18:H18"/>
    <mergeCell ref="G19:H19"/>
    <mergeCell ref="G20:H20"/>
    <mergeCell ref="G21:H21"/>
    <mergeCell ref="E16:F17"/>
    <mergeCell ref="E18:F19"/>
    <mergeCell ref="E20:F21"/>
    <mergeCell ref="M14:O14"/>
    <mergeCell ref="P14:Q14"/>
    <mergeCell ref="I13:J13"/>
    <mergeCell ref="AA15:AC15"/>
    <mergeCell ref="U16:W17"/>
    <mergeCell ref="X21:Z21"/>
    <mergeCell ref="AG21:AI21"/>
    <mergeCell ref="I16:J17"/>
    <mergeCell ref="I18:J19"/>
    <mergeCell ref="I42:J42"/>
    <mergeCell ref="R20:T20"/>
    <mergeCell ref="R21:T21"/>
    <mergeCell ref="P33:Q33"/>
    <mergeCell ref="R33:T33"/>
    <mergeCell ref="R32:T32"/>
    <mergeCell ref="AD20:AF20"/>
    <mergeCell ref="AG20:AI20"/>
    <mergeCell ref="AB423:AD423"/>
    <mergeCell ref="S441:T441"/>
    <mergeCell ref="U441:V441"/>
    <mergeCell ref="AD22:AF22"/>
    <mergeCell ref="AG22:AI22"/>
    <mergeCell ref="AA31:AC31"/>
    <mergeCell ref="AD31:AI31"/>
    <mergeCell ref="AG65:AI65"/>
    <mergeCell ref="AG62:AI62"/>
    <mergeCell ref="AG63:AI63"/>
    <mergeCell ref="AD23:AF23"/>
    <mergeCell ref="AG23:AI23"/>
    <mergeCell ref="AA32:AC32"/>
    <mergeCell ref="R31:T31"/>
    <mergeCell ref="AD32:AI32"/>
    <mergeCell ref="AE124:AG124"/>
    <mergeCell ref="AE125:AG125"/>
    <mergeCell ref="P49:R49"/>
    <mergeCell ref="P50:R50"/>
    <mergeCell ref="M43:R43"/>
    <mergeCell ref="M42:R42"/>
    <mergeCell ref="M44:R44"/>
    <mergeCell ref="P45:R45"/>
    <mergeCell ref="P46:R46"/>
    <mergeCell ref="P47:R47"/>
    <mergeCell ref="AB425:AD425"/>
    <mergeCell ref="AA33:AC33"/>
    <mergeCell ref="AG60:AI60"/>
    <mergeCell ref="AG61:AI61"/>
    <mergeCell ref="V59:X59"/>
    <mergeCell ref="V61:X61"/>
    <mergeCell ref="V62:X62"/>
    <mergeCell ref="F434:H434"/>
    <mergeCell ref="E417:F417"/>
    <mergeCell ref="H417:J417"/>
    <mergeCell ref="F435:H435"/>
    <mergeCell ref="F432:H432"/>
    <mergeCell ref="F433:H433"/>
    <mergeCell ref="F448:G448"/>
    <mergeCell ref="N448:O448"/>
    <mergeCell ref="S443:T443"/>
    <mergeCell ref="W443:X443"/>
    <mergeCell ref="Y443:AA443"/>
    <mergeCell ref="K443:R443"/>
    <mergeCell ref="U442:V442"/>
    <mergeCell ref="U443:V443"/>
    <mergeCell ref="S440:T440"/>
    <mergeCell ref="W440:X440"/>
    <mergeCell ref="U440:V440"/>
    <mergeCell ref="F446:G446"/>
    <mergeCell ref="H446:I446"/>
    <mergeCell ref="J446:K446"/>
    <mergeCell ref="N446:O446"/>
    <mergeCell ref="K442:R442"/>
    <mergeCell ref="K441:R441"/>
    <mergeCell ref="K439:R439"/>
    <mergeCell ref="K440:R440"/>
    <mergeCell ref="U427:W427"/>
    <mergeCell ref="W441:X441"/>
    <mergeCell ref="S439:X439"/>
    <mergeCell ref="Y439:AA439"/>
    <mergeCell ref="Y440:AA440"/>
    <mergeCell ref="Y441:AA441"/>
    <mergeCell ref="J433:L433"/>
    <mergeCell ref="U34:W35"/>
    <mergeCell ref="X34:Z34"/>
    <mergeCell ref="P51:R51"/>
    <mergeCell ref="J125:L125"/>
    <mergeCell ref="N125:P125"/>
    <mergeCell ref="Z125:AB125"/>
    <mergeCell ref="X35:Z35"/>
    <mergeCell ref="U95:W95"/>
    <mergeCell ref="Z95:AB95"/>
    <mergeCell ref="I94:K94"/>
    <mergeCell ref="I95:K95"/>
    <mergeCell ref="V87:AI87"/>
    <mergeCell ref="I85:U85"/>
    <mergeCell ref="I86:U86"/>
    <mergeCell ref="I105:AB105"/>
    <mergeCell ref="I106:AB106"/>
    <mergeCell ref="I107:AB107"/>
    <mergeCell ref="I56:U56"/>
    <mergeCell ref="V73:AI73"/>
    <mergeCell ref="V58:X58"/>
    <mergeCell ref="AB58:AD58"/>
    <mergeCell ref="AB59:AD59"/>
    <mergeCell ref="AB60:AD60"/>
    <mergeCell ref="V76:X76"/>
    <mergeCell ref="V77:X77"/>
    <mergeCell ref="M51:O51"/>
    <mergeCell ref="K49:L49"/>
    <mergeCell ref="U100:W100"/>
    <mergeCell ref="Z100:AB100"/>
    <mergeCell ref="I79:J79"/>
    <mergeCell ref="I91:AB91"/>
    <mergeCell ref="I92:AB92"/>
    <mergeCell ref="J432:L432"/>
    <mergeCell ref="K42:L42"/>
    <mergeCell ref="K45:L45"/>
    <mergeCell ref="K50:L50"/>
    <mergeCell ref="M49:O49"/>
    <mergeCell ref="M50:O50"/>
    <mergeCell ref="K44:L44"/>
    <mergeCell ref="AA22:AC22"/>
    <mergeCell ref="E22:F23"/>
    <mergeCell ref="G22:H22"/>
    <mergeCell ref="I22:J23"/>
    <mergeCell ref="K22:L23"/>
    <mergeCell ref="M22:O23"/>
    <mergeCell ref="P22:Q23"/>
    <mergeCell ref="R22:T22"/>
    <mergeCell ref="U22:W23"/>
    <mergeCell ref="X22:Z22"/>
    <mergeCell ref="G23:H23"/>
    <mergeCell ref="R23:T23"/>
    <mergeCell ref="X23:Z23"/>
    <mergeCell ref="AA23:AC23"/>
    <mergeCell ref="H27:J27"/>
    <mergeCell ref="M27:R27"/>
    <mergeCell ref="G48:H48"/>
    <mergeCell ref="I49:J49"/>
    <mergeCell ref="G49:H49"/>
    <mergeCell ref="G50:H50"/>
    <mergeCell ref="E49:F50"/>
    <mergeCell ref="E51:F52"/>
    <mergeCell ref="G51:H51"/>
    <mergeCell ref="I51:J51"/>
    <mergeCell ref="K51:L51"/>
    <mergeCell ref="P34:Q35"/>
    <mergeCell ref="R34:T34"/>
    <mergeCell ref="E34:F35"/>
    <mergeCell ref="K46:L46"/>
    <mergeCell ref="K47:L47"/>
    <mergeCell ref="K48:L48"/>
    <mergeCell ref="P48:R48"/>
    <mergeCell ref="M45:O45"/>
    <mergeCell ref="M46:O46"/>
    <mergeCell ref="G46:H46"/>
    <mergeCell ref="E47:F48"/>
    <mergeCell ref="G47:H47"/>
    <mergeCell ref="G34:H34"/>
    <mergeCell ref="I34:J35"/>
    <mergeCell ref="G35:H35"/>
    <mergeCell ref="R35:T35"/>
    <mergeCell ref="M47:O47"/>
    <mergeCell ref="I47:J47"/>
    <mergeCell ref="I48:J48"/>
    <mergeCell ref="I45:J45"/>
    <mergeCell ref="I46:J46"/>
    <mergeCell ref="E45:F46"/>
    <mergeCell ref="G45:H45"/>
    <mergeCell ref="I44:J44"/>
    <mergeCell ref="K34:L35"/>
    <mergeCell ref="M34:O35"/>
    <mergeCell ref="K38:L38"/>
    <mergeCell ref="G97:H97"/>
    <mergeCell ref="O97:Q97"/>
    <mergeCell ref="U97:W97"/>
    <mergeCell ref="Z97:AB97"/>
    <mergeCell ref="I96:K96"/>
    <mergeCell ref="I97:K97"/>
    <mergeCell ref="E38:G38"/>
    <mergeCell ref="H38:J38"/>
    <mergeCell ref="E94:F95"/>
    <mergeCell ref="G94:H94"/>
    <mergeCell ref="O94:Q94"/>
    <mergeCell ref="U94:W94"/>
    <mergeCell ref="Z94:AB94"/>
    <mergeCell ref="G95:H95"/>
    <mergeCell ref="O95:Q95"/>
    <mergeCell ref="E37:G37"/>
    <mergeCell ref="H37:J37"/>
    <mergeCell ref="K37:L37"/>
    <mergeCell ref="E62:F63"/>
    <mergeCell ref="G62:H62"/>
    <mergeCell ref="G63:H63"/>
    <mergeCell ref="L61:M61"/>
    <mergeCell ref="I61:J61"/>
    <mergeCell ref="AB61:AD61"/>
    <mergeCell ref="I62:J62"/>
    <mergeCell ref="AB62:AD62"/>
    <mergeCell ref="E64:F65"/>
    <mergeCell ref="L58:M58"/>
    <mergeCell ref="I58:J58"/>
    <mergeCell ref="L59:M59"/>
    <mergeCell ref="I59:J59"/>
    <mergeCell ref="AB76:AD76"/>
    <mergeCell ref="U101:W101"/>
    <mergeCell ref="Z101:AB101"/>
    <mergeCell ref="I100:K100"/>
    <mergeCell ref="I101:K101"/>
    <mergeCell ref="E98:F99"/>
    <mergeCell ref="G98:H98"/>
    <mergeCell ref="O98:Q98"/>
    <mergeCell ref="U98:W98"/>
    <mergeCell ref="Z98:AB98"/>
    <mergeCell ref="G99:H99"/>
    <mergeCell ref="O99:Q99"/>
    <mergeCell ref="U99:W99"/>
    <mergeCell ref="Z99:AB99"/>
    <mergeCell ref="I98:K98"/>
    <mergeCell ref="I99:K99"/>
    <mergeCell ref="AD33:AI33"/>
    <mergeCell ref="AA34:AC34"/>
    <mergeCell ref="AG34:AI34"/>
    <mergeCell ref="AA35:AC35"/>
    <mergeCell ref="AG35:AI35"/>
    <mergeCell ref="AD35:AF35"/>
    <mergeCell ref="AD34:AF34"/>
    <mergeCell ref="G52:H52"/>
    <mergeCell ref="I52:J52"/>
    <mergeCell ref="K52:L52"/>
    <mergeCell ref="M52:O52"/>
    <mergeCell ref="P52:R52"/>
    <mergeCell ref="E96:F97"/>
    <mergeCell ref="G96:H96"/>
    <mergeCell ref="O96:Q96"/>
    <mergeCell ref="U96:W96"/>
    <mergeCell ref="Z96:AB96"/>
    <mergeCell ref="V55:AI55"/>
    <mergeCell ref="V56:AI56"/>
    <mergeCell ref="V57:AI57"/>
    <mergeCell ref="I55:U55"/>
    <mergeCell ref="AB80:AD80"/>
    <mergeCell ref="E108:F108"/>
    <mergeCell ref="G108:H108"/>
    <mergeCell ref="I108:K108"/>
    <mergeCell ref="O108:Q108"/>
    <mergeCell ref="U108:W108"/>
    <mergeCell ref="Z108:AB108"/>
    <mergeCell ref="AB88:AD88"/>
    <mergeCell ref="AG88:AI88"/>
    <mergeCell ref="G88:H88"/>
    <mergeCell ref="I88:J88"/>
    <mergeCell ref="L88:M88"/>
    <mergeCell ref="O88:P88"/>
    <mergeCell ref="V88:X88"/>
    <mergeCell ref="E88:F88"/>
    <mergeCell ref="E70:F70"/>
    <mergeCell ref="I102:K102"/>
    <mergeCell ref="O102:Q102"/>
    <mergeCell ref="U102:W102"/>
    <mergeCell ref="Z102:AB102"/>
    <mergeCell ref="E102:H102"/>
    <mergeCell ref="G70:H70"/>
    <mergeCell ref="L70:M70"/>
    <mergeCell ref="I67:U67"/>
    <mergeCell ref="I68:U68"/>
    <mergeCell ref="V70:X70"/>
    <mergeCell ref="V86:AI86"/>
    <mergeCell ref="G101:H101"/>
    <mergeCell ref="E109:H109"/>
    <mergeCell ref="I109:K109"/>
    <mergeCell ref="O109:Q109"/>
    <mergeCell ref="U109:W109"/>
    <mergeCell ref="Z109:AB109"/>
    <mergeCell ref="AE129:AG129"/>
    <mergeCell ref="J130:L130"/>
    <mergeCell ref="N130:P130"/>
    <mergeCell ref="Z130:AB130"/>
    <mergeCell ref="AE130:AG130"/>
    <mergeCell ref="J129:L129"/>
    <mergeCell ref="N129:P129"/>
    <mergeCell ref="Z129:AB129"/>
    <mergeCell ref="J118:L118"/>
    <mergeCell ref="J120:L120"/>
    <mergeCell ref="Z120:AB120"/>
    <mergeCell ref="J121:L121"/>
    <mergeCell ref="J124:L124"/>
    <mergeCell ref="N124:P124"/>
    <mergeCell ref="Z124:AB124"/>
    <mergeCell ref="AB82:AD82"/>
    <mergeCell ref="V82:X82"/>
    <mergeCell ref="V83:X83"/>
    <mergeCell ref="AG80:AI80"/>
    <mergeCell ref="AB81:AD81"/>
    <mergeCell ref="AG81:AI81"/>
    <mergeCell ref="AG79:AI79"/>
    <mergeCell ref="V85:AI85"/>
    <mergeCell ref="N146:O146"/>
    <mergeCell ref="K147:M147"/>
    <mergeCell ref="J133:L133"/>
    <mergeCell ref="N133:P133"/>
    <mergeCell ref="Z133:AB133"/>
    <mergeCell ref="AE133:AG133"/>
    <mergeCell ref="J135:L135"/>
    <mergeCell ref="N135:P135"/>
    <mergeCell ref="Z135:AB135"/>
    <mergeCell ref="AE135:AG135"/>
    <mergeCell ref="J136:L136"/>
    <mergeCell ref="N136:P136"/>
    <mergeCell ref="Z136:AB136"/>
    <mergeCell ref="AE136:AG136"/>
    <mergeCell ref="J138:L138"/>
    <mergeCell ref="N138:P138"/>
    <mergeCell ref="J139:L139"/>
    <mergeCell ref="N139:P139"/>
    <mergeCell ref="J132:L132"/>
    <mergeCell ref="V80:X80"/>
    <mergeCell ref="V81:X81"/>
    <mergeCell ref="AB79:AD79"/>
    <mergeCell ref="I93:AB93"/>
    <mergeCell ref="O101:Q101"/>
    <mergeCell ref="I70:J70"/>
    <mergeCell ref="AB70:AD70"/>
    <mergeCell ref="V67:AI67"/>
    <mergeCell ref="V68:AI68"/>
    <mergeCell ref="V69:AI69"/>
    <mergeCell ref="V78:X78"/>
    <mergeCell ref="AB78:AD78"/>
    <mergeCell ref="AG78:AI78"/>
    <mergeCell ref="R185:T185"/>
    <mergeCell ref="X185:Z185"/>
    <mergeCell ref="AA185:AC185"/>
    <mergeCell ref="AD185:AF185"/>
    <mergeCell ref="AG185:AI185"/>
    <mergeCell ref="M189:R189"/>
    <mergeCell ref="AA171:AC171"/>
    <mergeCell ref="AD171:AF171"/>
    <mergeCell ref="AG171:AI171"/>
    <mergeCell ref="R172:T172"/>
    <mergeCell ref="X172:Z172"/>
    <mergeCell ref="AA172:AC172"/>
    <mergeCell ref="AD172:AF172"/>
    <mergeCell ref="AG172:AI172"/>
    <mergeCell ref="N132:P132"/>
    <mergeCell ref="Z132:AB132"/>
    <mergeCell ref="AE132:AG132"/>
    <mergeCell ref="J140:L140"/>
    <mergeCell ref="N140:P140"/>
    <mergeCell ref="K143:M143"/>
    <mergeCell ref="AG82:AI82"/>
    <mergeCell ref="AG83:AI83"/>
    <mergeCell ref="AB83:AD83"/>
    <mergeCell ref="V79:X79"/>
    <mergeCell ref="E336:F337"/>
    <mergeCell ref="G336:G337"/>
    <mergeCell ref="H336:I336"/>
    <mergeCell ref="H337:I337"/>
    <mergeCell ref="G184:H184"/>
    <mergeCell ref="I184:J185"/>
    <mergeCell ref="K184:L185"/>
    <mergeCell ref="M184:O185"/>
    <mergeCell ref="P184:Q185"/>
    <mergeCell ref="R184:T184"/>
    <mergeCell ref="U184:W185"/>
    <mergeCell ref="E182:F183"/>
    <mergeCell ref="G182:H182"/>
    <mergeCell ref="U182:W183"/>
    <mergeCell ref="E195:F196"/>
    <mergeCell ref="I181:J181"/>
    <mergeCell ref="E184:F185"/>
    <mergeCell ref="G195:H195"/>
    <mergeCell ref="I182:J183"/>
    <mergeCell ref="K182:L183"/>
    <mergeCell ref="M182:O183"/>
    <mergeCell ref="P182:Q183"/>
    <mergeCell ref="R182:T182"/>
    <mergeCell ref="I194:J194"/>
    <mergeCell ref="K194:L194"/>
    <mergeCell ref="M194:R194"/>
    <mergeCell ref="E203:F204"/>
    <mergeCell ref="G203:H203"/>
    <mergeCell ref="I203:J203"/>
    <mergeCell ref="K203:L203"/>
    <mergeCell ref="M203:O203"/>
    <mergeCell ref="P203:R203"/>
    <mergeCell ref="R339:S339"/>
    <mergeCell ref="U339:V339"/>
    <mergeCell ref="M341:N341"/>
    <mergeCell ref="X343:Y343"/>
    <mergeCell ref="L347:M347"/>
    <mergeCell ref="N347:Q347"/>
    <mergeCell ref="R347:U347"/>
    <mergeCell ref="V347:Y347"/>
    <mergeCell ref="Z347:AC347"/>
    <mergeCell ref="L348:M348"/>
    <mergeCell ref="N348:Q348"/>
    <mergeCell ref="R348:U348"/>
    <mergeCell ref="V348:Y348"/>
    <mergeCell ref="Z348:AC348"/>
    <mergeCell ref="L349:M349"/>
    <mergeCell ref="N349:Q349"/>
    <mergeCell ref="R349:U349"/>
    <mergeCell ref="V349:Y349"/>
    <mergeCell ref="Z349:AC349"/>
    <mergeCell ref="N358:P358"/>
    <mergeCell ref="N360:O360"/>
    <mergeCell ref="I363:I364"/>
    <mergeCell ref="J363:J364"/>
    <mergeCell ref="K363:K364"/>
    <mergeCell ref="L363:P363"/>
    <mergeCell ref="L364:P364"/>
    <mergeCell ref="AD365:AE365"/>
    <mergeCell ref="AD366:AE366"/>
    <mergeCell ref="AD371:AF371"/>
    <mergeCell ref="N375:O375"/>
    <mergeCell ref="P375:Q375"/>
    <mergeCell ref="S375:T375"/>
    <mergeCell ref="V375:X375"/>
    <mergeCell ref="Z375:AA375"/>
    <mergeCell ref="J350:K350"/>
    <mergeCell ref="L350:M350"/>
    <mergeCell ref="N350:Q350"/>
    <mergeCell ref="R350:U350"/>
    <mergeCell ref="V350:Y350"/>
    <mergeCell ref="Z350:AC350"/>
    <mergeCell ref="J351:K351"/>
    <mergeCell ref="L351:M351"/>
    <mergeCell ref="N351:Q351"/>
    <mergeCell ref="R351:U351"/>
    <mergeCell ref="V351:Y351"/>
    <mergeCell ref="Z351:AC351"/>
    <mergeCell ref="J352:K352"/>
    <mergeCell ref="L352:M352"/>
    <mergeCell ref="Q352:T352"/>
    <mergeCell ref="Z352:AC352"/>
    <mergeCell ref="L353:M353"/>
    <mergeCell ref="AE396:AF396"/>
    <mergeCell ref="Y398:AC398"/>
    <mergeCell ref="AE398:AH398"/>
    <mergeCell ref="P376:R376"/>
    <mergeCell ref="N378:O378"/>
    <mergeCell ref="P378:R378"/>
    <mergeCell ref="AD381:AF381"/>
    <mergeCell ref="N383:O383"/>
    <mergeCell ref="P383:Q383"/>
    <mergeCell ref="S383:T383"/>
    <mergeCell ref="V383:X383"/>
    <mergeCell ref="Z383:AB383"/>
    <mergeCell ref="AD383:AE383"/>
    <mergeCell ref="P384:R384"/>
    <mergeCell ref="E386:F387"/>
    <mergeCell ref="G386:G387"/>
    <mergeCell ref="H386:I386"/>
    <mergeCell ref="J386:J387"/>
    <mergeCell ref="H387:I387"/>
    <mergeCell ref="K387:R387"/>
    <mergeCell ref="K412:L412"/>
    <mergeCell ref="P412:R412"/>
    <mergeCell ref="E321:L321"/>
    <mergeCell ref="E322:L322"/>
    <mergeCell ref="M320:P320"/>
    <mergeCell ref="M321:P321"/>
    <mergeCell ref="M322:P322"/>
    <mergeCell ref="Q320:W320"/>
    <mergeCell ref="Q321:W321"/>
    <mergeCell ref="Q322:W322"/>
    <mergeCell ref="E320:L320"/>
    <mergeCell ref="K325:M325"/>
    <mergeCell ref="AB424:AD424"/>
    <mergeCell ref="E390:F391"/>
    <mergeCell ref="G390:G391"/>
    <mergeCell ref="H390:Q390"/>
    <mergeCell ref="G393:G394"/>
    <mergeCell ref="H393:I393"/>
    <mergeCell ref="K393:L393"/>
    <mergeCell ref="N393:O393"/>
    <mergeCell ref="Q393:R393"/>
    <mergeCell ref="T393:U393"/>
    <mergeCell ref="W393:X393"/>
    <mergeCell ref="L394:M394"/>
    <mergeCell ref="H396:J396"/>
    <mergeCell ref="Z396:AA396"/>
    <mergeCell ref="AB396:AC396"/>
    <mergeCell ref="J355:M356"/>
    <mergeCell ref="N355:Q355"/>
    <mergeCell ref="N356:Q356"/>
    <mergeCell ref="M357:M358"/>
    <mergeCell ref="N357:P357"/>
  </mergeCells>
  <phoneticPr fontId="3"/>
  <conditionalFormatting sqref="T25 T27">
    <cfRule type="cellIs" dxfId="26" priority="5" operator="greaterThan">
      <formula>#REF!</formula>
    </cfRule>
  </conditionalFormatting>
  <conditionalFormatting sqref="T28 T37:T39">
    <cfRule type="cellIs" dxfId="25" priority="24" operator="greaterThan">
      <formula>#REF!</formula>
    </cfRule>
  </conditionalFormatting>
  <conditionalFormatting sqref="T174">
    <cfRule type="cellIs" dxfId="24" priority="3" operator="greaterThan">
      <formula>#REF!</formula>
    </cfRule>
  </conditionalFormatting>
  <conditionalFormatting sqref="T176:T177">
    <cfRule type="cellIs" dxfId="23" priority="14" operator="greaterThan">
      <formula>#REF!</formula>
    </cfRule>
  </conditionalFormatting>
  <conditionalFormatting sqref="T187">
    <cfRule type="cellIs" dxfId="22" priority="1" operator="greaterThan">
      <formula>#REF!</formula>
    </cfRule>
  </conditionalFormatting>
  <conditionalFormatting sqref="U272:V273">
    <cfRule type="cellIs" dxfId="21" priority="8" operator="greaterThan">
      <formula>#REF!</formula>
    </cfRule>
  </conditionalFormatting>
  <conditionalFormatting sqref="V48:X48 Z48:AA48 V55:V57 AB58:AC62 V58:W65 AG58:AH65 AB65:AC65 V66:AA72 AB70:AC70 V89:AA90 U94:V98 O94:P101 Z94:AA101 U101:V101 O108:P108 Z108:AA108 V116:AA117 V145:AA150 T189 V189:AA197 T208 Z271:AA271 O272:P273 Z273:AA273 V312:AA315">
    <cfRule type="cellIs" dxfId="20" priority="17" operator="greaterThan">
      <formula>#REF!</formula>
    </cfRule>
  </conditionalFormatting>
  <conditionalFormatting sqref="V198:X198 Z198:AA198 V210:V212 AB213:AC217 AG213:AH230 AB220:AC230 V222:AA222 V231:AA231 V244:AA244 V252:AA252 U256:V260 O256:P264 Z256:AA264 U264:V264 V267:AA267 V281:AA282 V310:AA310 W311:X311 AA311">
    <cfRule type="cellIs" dxfId="19" priority="10" operator="greaterThan">
      <formula>#REF!</formula>
    </cfRule>
  </conditionalFormatting>
  <conditionalFormatting sqref="V24:AA25 H25:K25 V26:W26">
    <cfRule type="cellIs" dxfId="18" priority="7" operator="greaterThan">
      <formula>#REF!</formula>
    </cfRule>
  </conditionalFormatting>
  <conditionalFormatting sqref="V27:AA28">
    <cfRule type="cellIs" dxfId="17" priority="6" operator="greaterThan">
      <formula>#REF!</formula>
    </cfRule>
  </conditionalFormatting>
  <conditionalFormatting sqref="V36:AA47 V49:AA54 V110:AA113 S115:X115">
    <cfRule type="cellIs" dxfId="16" priority="20" operator="greaterThan">
      <formula>#REF!</formula>
    </cfRule>
  </conditionalFormatting>
  <conditionalFormatting sqref="V84:AA84 V103:AA104 V213:W230">
    <cfRule type="cellIs" dxfId="15" priority="9" operator="greaterThan">
      <formula>#REF!</formula>
    </cfRule>
  </conditionalFormatting>
  <conditionalFormatting sqref="V173:AA174 H174:K174 V175:W175">
    <cfRule type="cellIs" dxfId="14" priority="4" operator="greaterThan">
      <formula>#REF!</formula>
    </cfRule>
  </conditionalFormatting>
  <conditionalFormatting sqref="V176:AA177 V199:AA209 V275:AA278 U280:X280">
    <cfRule type="cellIs" dxfId="13" priority="11" operator="greaterThan">
      <formula>#REF!</formula>
    </cfRule>
  </conditionalFormatting>
  <conditionalFormatting sqref="V186:AA187 H187:K187 V188:W188">
    <cfRule type="cellIs" dxfId="12" priority="2" operator="greaterThan">
      <formula>#REF!</formula>
    </cfRule>
  </conditionalFormatting>
  <pageMargins left="0.70866141732283472" right="0.70866141732283472" top="0.74803149606299213" bottom="0.74803149606299213" header="0.31496062992125984" footer="0.31496062992125984"/>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A3950-0887-46BE-9725-D57D986FEF80}">
  <dimension ref="A2:AS225"/>
  <sheetViews>
    <sheetView showOutlineSymbols="0" zoomScaleNormal="100" workbookViewId="0"/>
  </sheetViews>
  <sheetFormatPr defaultRowHeight="18.75"/>
  <cols>
    <col min="1" max="35" width="3" style="1" customWidth="1"/>
    <col min="36" max="36" width="1.625" style="1" customWidth="1"/>
    <col min="37" max="16384" width="9" style="1"/>
  </cols>
  <sheetData>
    <row r="2" spans="1:36">
      <c r="A2" s="1" t="s">
        <v>554</v>
      </c>
      <c r="W2" s="1" t="s">
        <v>553</v>
      </c>
    </row>
    <row r="3" spans="1:36">
      <c r="C3" s="764" t="s">
        <v>410</v>
      </c>
      <c r="D3" s="764"/>
      <c r="E3" s="764"/>
      <c r="F3" s="764"/>
      <c r="G3" s="764"/>
      <c r="H3" s="764"/>
      <c r="I3" s="764"/>
      <c r="J3" s="764"/>
      <c r="K3" s="764"/>
      <c r="L3" s="764"/>
      <c r="M3" s="764"/>
      <c r="N3" s="764"/>
      <c r="O3" s="764"/>
      <c r="P3" s="764"/>
      <c r="Q3" s="764"/>
      <c r="R3" s="764"/>
      <c r="S3" s="764"/>
      <c r="T3" s="764"/>
      <c r="U3" s="764"/>
      <c r="V3" s="764"/>
      <c r="W3" s="764"/>
      <c r="X3" s="764"/>
      <c r="Y3" s="764"/>
      <c r="Z3" s="764"/>
      <c r="AA3" s="764"/>
      <c r="AB3" s="764"/>
      <c r="AC3" s="764"/>
      <c r="AD3" s="764"/>
      <c r="AE3" s="764"/>
      <c r="AF3" s="764"/>
      <c r="AG3" s="764"/>
      <c r="AH3" s="764"/>
      <c r="AI3" s="764"/>
    </row>
    <row r="4" spans="1:36" ht="18.75" customHeight="1">
      <c r="B4" s="13"/>
      <c r="C4" s="764"/>
      <c r="D4" s="764"/>
      <c r="E4" s="764"/>
      <c r="F4" s="764"/>
      <c r="G4" s="764"/>
      <c r="H4" s="764"/>
      <c r="I4" s="764"/>
      <c r="J4" s="764"/>
      <c r="K4" s="764"/>
      <c r="L4" s="764"/>
      <c r="M4" s="764"/>
      <c r="N4" s="764"/>
      <c r="O4" s="764"/>
      <c r="P4" s="764"/>
      <c r="Q4" s="764"/>
      <c r="R4" s="764"/>
      <c r="S4" s="764"/>
      <c r="T4" s="764"/>
      <c r="U4" s="764"/>
      <c r="V4" s="764"/>
      <c r="W4" s="764"/>
      <c r="X4" s="764"/>
      <c r="Y4" s="764"/>
      <c r="Z4" s="764"/>
      <c r="AA4" s="764"/>
      <c r="AB4" s="764"/>
      <c r="AC4" s="764"/>
      <c r="AD4" s="764"/>
      <c r="AE4" s="764"/>
      <c r="AF4" s="764"/>
      <c r="AG4" s="764"/>
      <c r="AH4" s="764"/>
      <c r="AI4" s="764"/>
    </row>
    <row r="5" spans="1:36">
      <c r="B5" s="13"/>
      <c r="C5" s="764"/>
      <c r="D5" s="764"/>
      <c r="E5" s="764"/>
      <c r="F5" s="764"/>
      <c r="G5" s="764"/>
      <c r="H5" s="764"/>
      <c r="I5" s="764"/>
      <c r="J5" s="764"/>
      <c r="K5" s="764"/>
      <c r="L5" s="764"/>
      <c r="M5" s="764"/>
      <c r="N5" s="764"/>
      <c r="O5" s="764"/>
      <c r="P5" s="764"/>
      <c r="Q5" s="764"/>
      <c r="R5" s="764"/>
      <c r="S5" s="764"/>
      <c r="T5" s="764"/>
      <c r="U5" s="764"/>
      <c r="V5" s="764"/>
      <c r="W5" s="764"/>
      <c r="X5" s="764"/>
      <c r="Y5" s="764"/>
      <c r="Z5" s="764"/>
      <c r="AA5" s="764"/>
      <c r="AB5" s="764"/>
      <c r="AC5" s="764"/>
      <c r="AD5" s="764"/>
      <c r="AE5" s="764"/>
      <c r="AF5" s="764"/>
      <c r="AG5" s="764"/>
      <c r="AH5" s="764"/>
      <c r="AI5" s="764"/>
    </row>
    <row r="6" spans="1:36">
      <c r="B6" s="13"/>
      <c r="C6" s="764"/>
      <c r="D6" s="764"/>
      <c r="E6" s="764"/>
      <c r="F6" s="764"/>
      <c r="G6" s="764"/>
      <c r="H6" s="764"/>
      <c r="I6" s="764"/>
      <c r="J6" s="764"/>
      <c r="K6" s="764"/>
      <c r="L6" s="764"/>
      <c r="M6" s="764"/>
      <c r="N6" s="764"/>
      <c r="O6" s="764"/>
      <c r="P6" s="764"/>
      <c r="Q6" s="764"/>
      <c r="R6" s="764"/>
      <c r="S6" s="764"/>
      <c r="T6" s="764"/>
      <c r="U6" s="764"/>
      <c r="V6" s="764"/>
      <c r="W6" s="764"/>
      <c r="X6" s="764"/>
      <c r="Y6" s="764"/>
      <c r="Z6" s="764"/>
      <c r="AA6" s="764"/>
      <c r="AB6" s="764"/>
      <c r="AC6" s="764"/>
      <c r="AD6" s="764"/>
      <c r="AE6" s="764"/>
      <c r="AF6" s="764"/>
      <c r="AG6" s="764"/>
      <c r="AH6" s="764"/>
      <c r="AI6" s="764"/>
    </row>
    <row r="7" spans="1:36">
      <c r="B7" s="13" t="s">
        <v>550</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row>
    <row r="8" spans="1:36">
      <c r="C8" s="1" t="s">
        <v>551</v>
      </c>
      <c r="D8" s="116"/>
      <c r="E8" s="116"/>
      <c r="F8" s="116"/>
      <c r="G8" s="116"/>
      <c r="H8" s="116"/>
      <c r="I8" s="116"/>
      <c r="J8" s="116"/>
      <c r="K8" s="116"/>
      <c r="L8" s="116"/>
      <c r="M8" s="116"/>
      <c r="N8" s="116"/>
      <c r="O8" s="116"/>
      <c r="P8" s="116"/>
      <c r="Q8" s="116"/>
      <c r="R8" s="116"/>
      <c r="S8" s="116"/>
      <c r="T8" s="116"/>
      <c r="U8" s="116"/>
      <c r="V8" s="116"/>
      <c r="W8" s="116"/>
      <c r="X8" t="s">
        <v>216</v>
      </c>
      <c r="Y8" s="116"/>
      <c r="Z8" s="116"/>
      <c r="AA8" s="116"/>
      <c r="AB8" s="116"/>
      <c r="AC8" s="116"/>
      <c r="AD8" s="116"/>
      <c r="AE8" s="116"/>
      <c r="AF8" s="116"/>
      <c r="AG8" s="116"/>
      <c r="AH8" s="116"/>
      <c r="AI8" s="116"/>
      <c r="AJ8" s="116"/>
    </row>
    <row r="9" spans="1:36" ht="18.75" customHeight="1">
      <c r="C9" s="13"/>
      <c r="D9" s="760" t="s">
        <v>217</v>
      </c>
      <c r="E9" s="761"/>
      <c r="F9" s="761"/>
      <c r="G9" s="761"/>
      <c r="H9" s="761"/>
      <c r="I9" s="761"/>
      <c r="J9" s="761"/>
      <c r="K9" s="761"/>
      <c r="L9" s="761"/>
      <c r="M9" s="761"/>
      <c r="N9" s="761"/>
      <c r="O9" s="761"/>
      <c r="P9" s="761"/>
      <c r="Q9" s="761"/>
      <c r="R9" s="761"/>
      <c r="S9" s="761"/>
      <c r="T9" s="761"/>
      <c r="U9" s="761"/>
      <c r="V9" s="761"/>
      <c r="W9" s="761"/>
      <c r="X9" s="761"/>
      <c r="Y9" s="761"/>
      <c r="Z9" s="761"/>
      <c r="AA9" s="761"/>
      <c r="AB9" s="761"/>
      <c r="AC9" s="761"/>
      <c r="AD9" s="761"/>
      <c r="AE9" s="761"/>
      <c r="AF9" s="761"/>
      <c r="AG9" s="761"/>
      <c r="AH9" s="761"/>
      <c r="AI9" s="761"/>
      <c r="AJ9" s="762"/>
    </row>
    <row r="10" spans="1:36">
      <c r="C10" s="13"/>
      <c r="D10" s="763"/>
      <c r="E10" s="764"/>
      <c r="F10" s="764"/>
      <c r="G10" s="764"/>
      <c r="H10" s="764"/>
      <c r="I10" s="764"/>
      <c r="J10" s="764"/>
      <c r="K10" s="764"/>
      <c r="L10" s="764"/>
      <c r="M10" s="764"/>
      <c r="N10" s="764"/>
      <c r="O10" s="764"/>
      <c r="P10" s="764"/>
      <c r="Q10" s="764"/>
      <c r="R10" s="764"/>
      <c r="S10" s="764"/>
      <c r="T10" s="764"/>
      <c r="U10" s="764"/>
      <c r="V10" s="764"/>
      <c r="W10" s="764"/>
      <c r="X10" s="764"/>
      <c r="Y10" s="764"/>
      <c r="Z10" s="764"/>
      <c r="AA10" s="764"/>
      <c r="AB10" s="764"/>
      <c r="AC10" s="764"/>
      <c r="AD10" s="764"/>
      <c r="AE10" s="764"/>
      <c r="AF10" s="764"/>
      <c r="AG10" s="764"/>
      <c r="AH10" s="764"/>
      <c r="AI10" s="764"/>
      <c r="AJ10" s="765"/>
    </row>
    <row r="11" spans="1:36">
      <c r="C11" s="13"/>
      <c r="D11" s="12" t="s">
        <v>555</v>
      </c>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1"/>
    </row>
    <row r="12" spans="1:36">
      <c r="C12" s="13"/>
      <c r="D12" s="12"/>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1"/>
    </row>
    <row r="13" spans="1:36">
      <c r="C13" s="13"/>
      <c r="D13" s="12"/>
      <c r="E13" s="465" t="s">
        <v>218</v>
      </c>
      <c r="F13" s="465"/>
      <c r="G13" s="449" t="s">
        <v>2</v>
      </c>
      <c r="H13" s="766" t="s">
        <v>219</v>
      </c>
      <c r="I13" s="466"/>
      <c r="J13" s="110"/>
      <c r="K13" s="110"/>
      <c r="L13" s="110"/>
      <c r="M13" s="110"/>
      <c r="N13" s="110"/>
      <c r="O13" s="110"/>
      <c r="P13" s="110"/>
      <c r="Q13" s="110"/>
      <c r="R13" s="110"/>
      <c r="S13" s="110"/>
      <c r="T13" s="110"/>
      <c r="U13" s="13"/>
      <c r="V13" s="13"/>
      <c r="W13" s="13"/>
      <c r="X13" s="13"/>
      <c r="Y13" s="13"/>
      <c r="Z13" s="110"/>
      <c r="AA13" s="110"/>
      <c r="AB13" s="110"/>
      <c r="AC13" s="110"/>
      <c r="AD13" s="110"/>
      <c r="AE13" s="110"/>
      <c r="AF13" s="110"/>
      <c r="AG13" s="110"/>
      <c r="AH13" s="110"/>
      <c r="AI13" s="110"/>
      <c r="AJ13" s="111"/>
    </row>
    <row r="14" spans="1:36">
      <c r="C14" s="13"/>
      <c r="D14" s="12"/>
      <c r="E14" s="465"/>
      <c r="F14" s="465"/>
      <c r="G14" s="449"/>
      <c r="H14" s="359" t="s">
        <v>220</v>
      </c>
      <c r="I14" s="360"/>
      <c r="J14" s="110"/>
      <c r="K14" s="110"/>
      <c r="L14" s="110"/>
      <c r="M14" s="110"/>
      <c r="N14" s="110"/>
      <c r="O14" s="110"/>
      <c r="P14" s="110"/>
      <c r="Q14" s="110"/>
      <c r="R14" s="110"/>
      <c r="S14" s="110"/>
      <c r="T14" s="110"/>
      <c r="U14" s="13"/>
      <c r="V14" s="13"/>
      <c r="W14" s="13"/>
      <c r="X14" s="13"/>
      <c r="Y14" s="13"/>
      <c r="Z14" s="110"/>
      <c r="AA14" s="110"/>
      <c r="AB14" s="110"/>
      <c r="AC14" s="110"/>
      <c r="AD14" s="110"/>
      <c r="AE14" s="110"/>
      <c r="AF14" s="110"/>
      <c r="AG14" s="110"/>
      <c r="AH14" s="110"/>
      <c r="AI14" s="110"/>
      <c r="AJ14" s="111"/>
    </row>
    <row r="15" spans="1:36">
      <c r="C15" s="13"/>
      <c r="D15" s="12"/>
      <c r="E15" s="110"/>
      <c r="F15" s="13" t="s">
        <v>42</v>
      </c>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1"/>
    </row>
    <row r="16" spans="1:36" ht="21">
      <c r="C16" s="13"/>
      <c r="D16" s="12"/>
      <c r="E16" s="13"/>
      <c r="F16" s="13"/>
      <c r="G16" s="359" t="s">
        <v>219</v>
      </c>
      <c r="H16" s="360"/>
      <c r="I16" s="13" t="s">
        <v>2</v>
      </c>
      <c r="J16" s="448">
        <f>'2.根入れ長'!I109</f>
        <v>9</v>
      </c>
      <c r="K16" s="448"/>
      <c r="L16" s="448"/>
      <c r="M16" s="98" t="s">
        <v>228</v>
      </c>
      <c r="N16" s="13"/>
      <c r="O16" s="13" t="s">
        <v>68</v>
      </c>
      <c r="P16" s="436">
        <f>'2.根入れ長'!O109</f>
        <v>54</v>
      </c>
      <c r="Q16" s="436"/>
      <c r="R16" s="436"/>
      <c r="S16" s="98" t="s">
        <v>227</v>
      </c>
      <c r="T16" s="13"/>
      <c r="U16" s="13"/>
      <c r="V16" s="13"/>
      <c r="W16" s="13"/>
      <c r="X16" s="13"/>
      <c r="Y16" s="767" t="s">
        <v>218</v>
      </c>
      <c r="Z16" s="767"/>
      <c r="AA16" s="13"/>
      <c r="AB16" s="13"/>
      <c r="AC16" s="13"/>
      <c r="AD16" s="13"/>
      <c r="AE16" s="13"/>
      <c r="AF16" s="13"/>
      <c r="AG16" s="13"/>
      <c r="AH16" s="13"/>
      <c r="AI16" s="13"/>
      <c r="AJ16" s="15"/>
    </row>
    <row r="17" spans="3:37" ht="21">
      <c r="C17" s="13"/>
      <c r="D17" s="12"/>
      <c r="E17" s="13"/>
      <c r="F17" s="13"/>
      <c r="G17" s="359" t="s">
        <v>220</v>
      </c>
      <c r="H17" s="360"/>
      <c r="I17" s="13" t="s">
        <v>2</v>
      </c>
      <c r="J17" s="448">
        <f>'2.根入れ長'!V70</f>
        <v>13.5</v>
      </c>
      <c r="K17" s="448"/>
      <c r="L17" s="448"/>
      <c r="M17" s="98" t="s">
        <v>227</v>
      </c>
      <c r="N17" s="13"/>
      <c r="O17" s="13"/>
      <c r="P17" s="13"/>
      <c r="Q17" s="13"/>
      <c r="R17" s="13"/>
      <c r="S17" s="13"/>
      <c r="T17" s="13"/>
      <c r="U17" s="13"/>
      <c r="V17" s="13"/>
      <c r="Y17" s="767"/>
      <c r="Z17" s="767"/>
      <c r="AA17" s="13"/>
      <c r="AB17" s="13"/>
      <c r="AC17" s="13"/>
      <c r="AD17" s="13"/>
      <c r="AE17" s="13"/>
      <c r="AF17" s="13"/>
      <c r="AG17" s="13"/>
      <c r="AH17" s="13"/>
      <c r="AI17" s="13"/>
      <c r="AJ17" s="15"/>
    </row>
    <row r="18" spans="3:37" ht="20.25">
      <c r="C18" s="13"/>
      <c r="D18" s="12"/>
      <c r="E18" s="13"/>
      <c r="F18" s="13"/>
      <c r="G18" s="82" t="s">
        <v>230</v>
      </c>
      <c r="H18" s="13"/>
      <c r="I18" s="13" t="s">
        <v>2</v>
      </c>
      <c r="J18" s="448">
        <f>'2.根入れ長'!K143</f>
        <v>3.7243915649448081</v>
      </c>
      <c r="K18" s="448"/>
      <c r="L18" s="448"/>
      <c r="M18" s="13"/>
      <c r="N18" s="13"/>
      <c r="O18" s="13"/>
      <c r="P18" s="13"/>
      <c r="Q18" s="13"/>
      <c r="R18" s="13"/>
      <c r="S18" s="13"/>
      <c r="T18" s="13"/>
      <c r="U18" s="13"/>
      <c r="V18" s="13"/>
      <c r="Y18" s="13"/>
      <c r="Z18" s="13"/>
      <c r="AA18" s="13"/>
      <c r="AB18" s="13"/>
      <c r="AC18" s="13"/>
      <c r="AD18" s="13"/>
      <c r="AE18" s="13"/>
      <c r="AF18" s="13"/>
      <c r="AG18" s="13"/>
      <c r="AH18" s="13"/>
      <c r="AI18" s="13"/>
      <c r="AJ18" s="15"/>
    </row>
    <row r="19" spans="3:37">
      <c r="C19" s="13"/>
      <c r="D19" s="12"/>
      <c r="E19" s="13"/>
      <c r="F19" s="13" t="s">
        <v>231</v>
      </c>
      <c r="G19" s="82"/>
      <c r="H19" s="13"/>
      <c r="I19" s="13"/>
      <c r="J19" s="24"/>
      <c r="K19" s="24"/>
      <c r="L19" s="24"/>
      <c r="M19" s="13"/>
      <c r="N19" s="13"/>
      <c r="O19" s="13"/>
      <c r="P19" s="13"/>
      <c r="Q19" s="13"/>
      <c r="R19" s="13"/>
      <c r="S19" s="13"/>
      <c r="T19" s="13"/>
      <c r="U19" s="13"/>
      <c r="V19" s="13"/>
      <c r="W19" s="13"/>
      <c r="X19" s="13"/>
      <c r="Y19" s="13"/>
      <c r="Z19" s="13"/>
      <c r="AA19" s="13"/>
      <c r="AB19" s="13"/>
      <c r="AC19" s="13"/>
      <c r="AD19" s="13"/>
      <c r="AE19" s="13"/>
      <c r="AF19" s="13"/>
      <c r="AG19" s="13"/>
      <c r="AH19" s="13"/>
      <c r="AI19" s="13"/>
      <c r="AJ19" s="15"/>
    </row>
    <row r="20" spans="3:37">
      <c r="C20" s="13"/>
      <c r="D20" s="12"/>
      <c r="E20" s="465" t="s">
        <v>218</v>
      </c>
      <c r="F20" s="465"/>
      <c r="G20" s="449" t="s">
        <v>2</v>
      </c>
      <c r="H20" s="569">
        <f>J16</f>
        <v>9</v>
      </c>
      <c r="I20" s="569"/>
      <c r="J20" s="26" t="s">
        <v>27</v>
      </c>
      <c r="K20" s="569">
        <f>J18</f>
        <v>3.7243915649448081</v>
      </c>
      <c r="L20" s="569"/>
      <c r="M20" s="17" t="s">
        <v>232</v>
      </c>
      <c r="N20" s="26" t="s">
        <v>68</v>
      </c>
      <c r="O20" s="770">
        <f>P16</f>
        <v>54</v>
      </c>
      <c r="P20" s="770"/>
      <c r="Q20" s="26" t="s">
        <v>27</v>
      </c>
      <c r="R20" s="569">
        <f>J18</f>
        <v>3.7243915649448081</v>
      </c>
      <c r="S20" s="569"/>
      <c r="T20" s="17" t="s">
        <v>233</v>
      </c>
      <c r="U20" s="13"/>
      <c r="V20" s="13"/>
      <c r="W20" s="13"/>
      <c r="X20" s="13"/>
      <c r="Y20" s="13"/>
      <c r="Z20" s="13"/>
      <c r="AA20" s="13"/>
      <c r="AB20" s="13"/>
      <c r="AC20" s="13"/>
      <c r="AD20" s="13"/>
      <c r="AE20" s="32"/>
      <c r="AF20" s="13"/>
      <c r="AG20" s="13"/>
      <c r="AH20" s="13"/>
      <c r="AI20" s="13"/>
      <c r="AJ20" s="15"/>
    </row>
    <row r="21" spans="3:37">
      <c r="C21" s="13"/>
      <c r="D21" s="12"/>
      <c r="E21" s="465"/>
      <c r="F21" s="465"/>
      <c r="G21" s="449"/>
      <c r="H21" s="13"/>
      <c r="I21" s="13"/>
      <c r="J21" s="628">
        <f>J17</f>
        <v>13.5</v>
      </c>
      <c r="K21" s="628"/>
      <c r="L21" s="628"/>
      <c r="M21" s="13" t="s">
        <v>27</v>
      </c>
      <c r="N21" s="625">
        <f>J18</f>
        <v>3.7243915649448081</v>
      </c>
      <c r="O21" s="625"/>
      <c r="P21" s="13" t="s">
        <v>233</v>
      </c>
      <c r="Q21" s="13"/>
      <c r="R21" s="13"/>
      <c r="S21" s="115"/>
      <c r="T21" s="13"/>
      <c r="W21" s="13"/>
      <c r="X21" s="768" t="s">
        <v>239</v>
      </c>
      <c r="Y21" s="769"/>
      <c r="Z21" s="13"/>
      <c r="AA21" s="13"/>
      <c r="AB21" s="13"/>
      <c r="AC21" s="13"/>
      <c r="AD21" s="13"/>
      <c r="AE21" s="13"/>
      <c r="AF21" s="13"/>
      <c r="AG21" s="13"/>
      <c r="AH21" s="13"/>
      <c r="AI21" s="13"/>
      <c r="AJ21" s="113"/>
    </row>
    <row r="22" spans="3:37">
      <c r="C22" s="13"/>
      <c r="D22" s="12"/>
      <c r="E22" s="13"/>
      <c r="F22" s="13"/>
      <c r="G22" s="449" t="s">
        <v>2</v>
      </c>
      <c r="H22" s="451">
        <f>H20*K20^3+O20*R20^2</f>
        <v>1213.9914166729927</v>
      </c>
      <c r="I22" s="451"/>
      <c r="J22" s="451"/>
      <c r="K22" s="24"/>
      <c r="L22" s="24"/>
      <c r="M22" s="13"/>
      <c r="N22" s="13"/>
      <c r="O22" s="13"/>
      <c r="P22" s="13"/>
      <c r="Q22" s="13"/>
      <c r="R22" s="13"/>
      <c r="S22" s="13"/>
      <c r="T22" s="13"/>
      <c r="U22" s="13"/>
      <c r="V22" s="13"/>
      <c r="W22" s="13"/>
      <c r="X22" s="13"/>
      <c r="Y22" s="13"/>
      <c r="Z22" s="13"/>
      <c r="AA22" s="13"/>
      <c r="AB22" s="13"/>
      <c r="AC22" s="13"/>
      <c r="AD22" s="13"/>
      <c r="AE22" s="13"/>
      <c r="AF22" s="13"/>
      <c r="AG22" s="13"/>
      <c r="AH22" s="13"/>
      <c r="AI22" s="13"/>
      <c r="AJ22" s="15"/>
    </row>
    <row r="23" spans="3:37">
      <c r="C23" s="13"/>
      <c r="D23" s="12"/>
      <c r="E23" s="13"/>
      <c r="F23" s="13"/>
      <c r="G23" s="449"/>
      <c r="H23" s="453">
        <f>J21*N21^2</f>
        <v>187.2597491419325</v>
      </c>
      <c r="I23" s="453"/>
      <c r="J23" s="453"/>
      <c r="K23" s="24"/>
      <c r="L23" s="24"/>
      <c r="M23" s="13"/>
      <c r="N23" s="13"/>
      <c r="O23" s="13"/>
      <c r="P23" s="13"/>
      <c r="Q23" s="13"/>
      <c r="R23" s="13"/>
      <c r="S23" s="13"/>
      <c r="T23" s="13"/>
      <c r="U23" s="13"/>
      <c r="V23" s="13"/>
      <c r="W23" s="13"/>
      <c r="X23" s="13"/>
      <c r="Y23" s="13"/>
      <c r="Z23" s="13"/>
      <c r="AA23" s="13"/>
      <c r="AB23" s="13"/>
      <c r="AC23" s="13"/>
      <c r="AD23" s="13"/>
      <c r="AE23" s="13"/>
      <c r="AF23" s="13"/>
      <c r="AG23" s="13"/>
      <c r="AH23" s="13"/>
      <c r="AI23" s="13"/>
      <c r="AJ23" s="15"/>
    </row>
    <row r="24" spans="3:37">
      <c r="C24" s="13"/>
      <c r="D24" s="12"/>
      <c r="E24" s="13"/>
      <c r="F24" s="13"/>
      <c r="G24" s="28"/>
      <c r="H24" s="14"/>
      <c r="I24" s="14"/>
      <c r="J24" s="14"/>
      <c r="K24" s="24"/>
      <c r="L24" s="24"/>
      <c r="M24" s="13"/>
      <c r="N24" s="13"/>
      <c r="O24" s="13"/>
      <c r="P24" s="13"/>
      <c r="Q24" s="13"/>
      <c r="R24" s="13"/>
      <c r="S24" s="13"/>
      <c r="T24" s="13"/>
      <c r="W24" s="13"/>
      <c r="X24" s="13"/>
      <c r="Y24" s="13"/>
      <c r="Z24" s="13"/>
      <c r="AA24" s="13"/>
      <c r="AB24" s="13"/>
      <c r="AC24" s="13"/>
      <c r="AD24" s="13"/>
      <c r="AE24" s="13"/>
      <c r="AF24" s="13"/>
      <c r="AG24" s="13"/>
      <c r="AH24" s="13"/>
      <c r="AI24" s="13"/>
      <c r="AJ24" s="15"/>
    </row>
    <row r="25" spans="3:37">
      <c r="C25" s="13"/>
      <c r="D25" s="12"/>
      <c r="E25" s="13"/>
      <c r="F25" s="13"/>
      <c r="G25" s="28" t="s">
        <v>2</v>
      </c>
      <c r="H25" s="771">
        <f>H22/H23</f>
        <v>6.4829277099632048</v>
      </c>
      <c r="I25" s="772"/>
      <c r="J25" s="773"/>
      <c r="K25" s="24" t="s">
        <v>3</v>
      </c>
      <c r="L25" s="24"/>
      <c r="M25" s="13"/>
      <c r="N25" s="13"/>
      <c r="O25" s="13"/>
      <c r="P25" s="13"/>
      <c r="Q25" s="13"/>
      <c r="R25" s="13"/>
      <c r="S25" s="13"/>
      <c r="T25" s="13"/>
      <c r="U25" s="13"/>
      <c r="V25" s="13"/>
      <c r="W25" s="13"/>
      <c r="X25" s="13"/>
      <c r="Y25" s="13"/>
      <c r="Z25" s="13"/>
      <c r="AA25" s="13"/>
      <c r="AB25" s="13"/>
      <c r="AC25" s="13"/>
      <c r="AD25" s="13"/>
      <c r="AE25" s="13"/>
      <c r="AF25" s="13"/>
      <c r="AG25" s="13"/>
      <c r="AH25" s="13"/>
      <c r="AI25" s="13"/>
      <c r="AJ25" s="15"/>
    </row>
    <row r="26" spans="3:37">
      <c r="C26" s="13"/>
      <c r="D26" s="12"/>
      <c r="E26" s="13"/>
      <c r="F26" s="13"/>
      <c r="G26" s="32"/>
      <c r="H26" s="114"/>
      <c r="I26" s="114"/>
      <c r="J26" s="114"/>
      <c r="K26" s="24"/>
      <c r="L26" s="24"/>
      <c r="M26" s="13"/>
      <c r="N26" s="13"/>
      <c r="O26" s="13"/>
      <c r="P26" s="13"/>
      <c r="Q26" s="13"/>
      <c r="R26" s="13"/>
      <c r="S26" s="13"/>
      <c r="T26" s="13"/>
      <c r="U26" s="13"/>
      <c r="V26" s="13"/>
      <c r="W26" s="13"/>
      <c r="X26" s="13"/>
      <c r="Y26" s="13"/>
      <c r="Z26" s="13"/>
      <c r="AA26" s="13"/>
      <c r="AB26" s="13"/>
      <c r="AC26" s="13"/>
      <c r="AD26" s="13"/>
      <c r="AE26" s="13"/>
      <c r="AF26" s="13"/>
      <c r="AG26" s="13"/>
      <c r="AH26" s="13"/>
      <c r="AI26" s="13"/>
      <c r="AJ26" s="15"/>
    </row>
    <row r="27" spans="3:37">
      <c r="C27" s="13"/>
      <c r="D27" s="12"/>
      <c r="E27" s="13"/>
      <c r="F27" s="454" t="s">
        <v>234</v>
      </c>
      <c r="G27" s="454"/>
      <c r="H27" s="454"/>
      <c r="I27" s="454"/>
      <c r="J27" s="454"/>
      <c r="K27" s="454"/>
      <c r="L27" s="454"/>
      <c r="M27" s="454"/>
      <c r="N27" s="454"/>
      <c r="O27" s="454"/>
      <c r="P27" s="454"/>
      <c r="Q27" s="454"/>
      <c r="R27" s="448">
        <f>'2.根入れ長'!I48</f>
        <v>1.5</v>
      </c>
      <c r="S27" s="448"/>
      <c r="T27" s="448"/>
      <c r="U27" s="13" t="s">
        <v>68</v>
      </c>
      <c r="V27" s="448">
        <f>'2.根入れ長'!I50</f>
        <v>2.5</v>
      </c>
      <c r="W27" s="448"/>
      <c r="X27" s="448"/>
      <c r="Y27" s="13" t="s">
        <v>2</v>
      </c>
      <c r="Z27" s="448">
        <f>R27+V27</f>
        <v>4</v>
      </c>
      <c r="AA27" s="448"/>
      <c r="AB27" s="448"/>
      <c r="AC27" s="13" t="s">
        <v>3</v>
      </c>
      <c r="AD27" s="13" t="s">
        <v>231</v>
      </c>
      <c r="AF27" s="13"/>
      <c r="AG27" s="13"/>
      <c r="AH27" s="13"/>
      <c r="AI27" s="13"/>
      <c r="AJ27" s="15"/>
    </row>
    <row r="28" spans="3:37">
      <c r="C28" s="13"/>
      <c r="D28" s="12"/>
      <c r="E28" s="13"/>
      <c r="F28" s="596" t="s">
        <v>235</v>
      </c>
      <c r="G28" s="596"/>
      <c r="H28" s="596"/>
      <c r="I28" s="596"/>
      <c r="J28" s="596"/>
      <c r="K28" s="596"/>
      <c r="L28" s="596"/>
      <c r="M28" s="596"/>
      <c r="N28" s="596"/>
      <c r="O28" s="596"/>
      <c r="P28" s="596"/>
      <c r="Q28" s="596"/>
      <c r="R28" s="448">
        <f>H25</f>
        <v>6.4829277099632048</v>
      </c>
      <c r="S28" s="448"/>
      <c r="T28" s="448"/>
      <c r="U28" s="13" t="s">
        <v>236</v>
      </c>
      <c r="V28" s="448">
        <f>Z27</f>
        <v>4</v>
      </c>
      <c r="W28" s="448"/>
      <c r="X28" s="448"/>
      <c r="Y28" s="13" t="s">
        <v>2</v>
      </c>
      <c r="Z28" s="437">
        <f>R28-V28</f>
        <v>2.4829277099632048</v>
      </c>
      <c r="AA28" s="438"/>
      <c r="AB28" s="439"/>
      <c r="AC28" s="13" t="s">
        <v>3</v>
      </c>
      <c r="AD28" s="13" t="s">
        <v>237</v>
      </c>
      <c r="AE28" s="13"/>
      <c r="AF28" s="13"/>
      <c r="AG28" s="13"/>
      <c r="AH28" s="13"/>
      <c r="AI28" s="13"/>
      <c r="AJ28" s="15"/>
    </row>
    <row r="29" spans="3:37">
      <c r="D29" s="16"/>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9"/>
      <c r="AK29" s="13"/>
    </row>
    <row r="30" spans="3:37">
      <c r="C30" s="13"/>
      <c r="D30" s="117"/>
      <c r="E30" s="117"/>
      <c r="F30" s="117"/>
      <c r="G30" s="117"/>
      <c r="H30" s="117"/>
      <c r="I30" s="117"/>
      <c r="J30" s="117"/>
      <c r="K30" s="117"/>
      <c r="L30" s="117"/>
      <c r="M30" s="117"/>
      <c r="N30" s="117"/>
      <c r="O30" s="117"/>
      <c r="P30" s="117"/>
      <c r="Q30" s="117"/>
      <c r="R30" s="13"/>
      <c r="S30" s="13"/>
      <c r="T30" s="13"/>
      <c r="U30" s="13"/>
      <c r="V30" s="13"/>
      <c r="W30" s="13"/>
      <c r="X30" s="13"/>
      <c r="Y30" s="13"/>
      <c r="Z30" s="13"/>
      <c r="AA30" s="13"/>
      <c r="AB30" s="13"/>
      <c r="AC30" s="13"/>
      <c r="AD30" s="13"/>
      <c r="AE30" s="13"/>
      <c r="AF30" s="13"/>
      <c r="AG30" s="13"/>
      <c r="AH30" s="13"/>
      <c r="AI30" s="13"/>
      <c r="AJ30" s="13"/>
    </row>
    <row r="31" spans="3:37">
      <c r="C31" s="1" t="s">
        <v>552</v>
      </c>
      <c r="X31" t="s">
        <v>216</v>
      </c>
      <c r="Y31" s="234"/>
      <c r="Z31" s="234"/>
      <c r="AA31" s="234"/>
      <c r="AB31" s="234"/>
    </row>
    <row r="32" spans="3:37">
      <c r="D32" s="9" t="s">
        <v>393</v>
      </c>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1"/>
    </row>
    <row r="33" spans="4:36">
      <c r="D33" s="12"/>
      <c r="E33" s="13" t="s">
        <v>411</v>
      </c>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5"/>
    </row>
    <row r="34" spans="4:36">
      <c r="D34" s="12"/>
      <c r="E34" s="13" t="s">
        <v>590</v>
      </c>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5"/>
    </row>
    <row r="35" spans="4:36">
      <c r="D35" s="12"/>
      <c r="F35" s="117" t="s">
        <v>561</v>
      </c>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3"/>
      <c r="AE35" s="13"/>
      <c r="AF35" s="13"/>
      <c r="AG35" s="13"/>
      <c r="AH35" s="13"/>
      <c r="AI35" s="13"/>
      <c r="AJ35" s="15"/>
    </row>
    <row r="36" spans="4:36">
      <c r="D36" s="12"/>
      <c r="E36" s="117"/>
      <c r="O36" s="117"/>
      <c r="P36" s="117"/>
      <c r="Q36" s="117"/>
      <c r="R36" s="117"/>
      <c r="S36" s="117"/>
      <c r="T36" s="117"/>
      <c r="U36" s="117"/>
      <c r="V36" s="117"/>
      <c r="W36" s="117"/>
      <c r="X36" s="117"/>
      <c r="Y36" s="117"/>
      <c r="Z36" s="117"/>
      <c r="AA36" s="117"/>
      <c r="AB36" s="117"/>
      <c r="AC36" s="117"/>
      <c r="AD36" s="13"/>
      <c r="AE36" s="13"/>
      <c r="AF36" s="13"/>
      <c r="AG36" s="13"/>
      <c r="AH36" s="13"/>
      <c r="AI36" s="13"/>
      <c r="AJ36" s="15"/>
    </row>
    <row r="37" spans="4:36">
      <c r="D37" s="12"/>
      <c r="E37" s="117"/>
      <c r="F37" s="98" t="s">
        <v>587</v>
      </c>
      <c r="N37" s="117"/>
      <c r="O37" s="117"/>
      <c r="P37" s="117"/>
      <c r="Q37" s="117"/>
      <c r="R37" s="117"/>
      <c r="S37" s="117"/>
      <c r="T37" s="117"/>
      <c r="U37" s="117"/>
      <c r="V37" s="117"/>
      <c r="W37" s="117"/>
      <c r="X37" s="117"/>
      <c r="AJ37" s="15"/>
    </row>
    <row r="38" spans="4:36">
      <c r="D38" s="12"/>
      <c r="E38" s="117"/>
      <c r="X38" s="117"/>
      <c r="AJ38" s="15"/>
    </row>
    <row r="39" spans="4:36">
      <c r="D39" s="12"/>
      <c r="E39" s="117"/>
      <c r="F39" s="525" t="s">
        <v>16</v>
      </c>
      <c r="G39" s="743" t="s">
        <v>2</v>
      </c>
      <c r="H39" s="744" t="s">
        <v>571</v>
      </c>
      <c r="I39" s="744"/>
      <c r="J39" s="744"/>
      <c r="K39" s="229"/>
      <c r="L39" s="743" t="s">
        <v>2</v>
      </c>
      <c r="M39" s="744">
        <f>AG46</f>
        <v>89.846349389668845</v>
      </c>
      <c r="N39" s="744"/>
      <c r="O39" s="744"/>
      <c r="U39" s="117"/>
      <c r="V39" s="117"/>
      <c r="W39" s="117"/>
      <c r="X39" s="117"/>
      <c r="Y39"/>
      <c r="Z39"/>
      <c r="AA39" s="410" t="s">
        <v>8</v>
      </c>
      <c r="AB39" s="411"/>
      <c r="AC39" s="413" t="s">
        <v>12</v>
      </c>
      <c r="AD39" s="414"/>
      <c r="AE39" s="414"/>
      <c r="AF39" s="415"/>
      <c r="AG39" s="540"/>
      <c r="AH39" s="453"/>
      <c r="AI39" s="541"/>
      <c r="AJ39" s="15"/>
    </row>
    <row r="40" spans="4:36">
      <c r="D40" s="12"/>
      <c r="E40" s="117"/>
      <c r="F40" s="525"/>
      <c r="G40" s="743"/>
      <c r="H40" s="745" t="s">
        <v>572</v>
      </c>
      <c r="I40" s="745"/>
      <c r="J40" s="745"/>
      <c r="K40" s="226"/>
      <c r="L40" s="743"/>
      <c r="M40" s="745">
        <f>AA46</f>
        <v>7.4829277099632048</v>
      </c>
      <c r="N40" s="745"/>
      <c r="O40" s="745"/>
      <c r="U40" s="117"/>
      <c r="V40" s="117"/>
      <c r="W40" s="117"/>
      <c r="X40" s="117"/>
      <c r="Y40"/>
      <c r="Z40"/>
      <c r="AA40" s="421" t="s">
        <v>15</v>
      </c>
      <c r="AB40" s="422"/>
      <c r="AC40" s="416" t="s">
        <v>16</v>
      </c>
      <c r="AD40" s="380"/>
      <c r="AE40" s="380"/>
      <c r="AF40" s="417"/>
      <c r="AG40" s="421" t="s">
        <v>569</v>
      </c>
      <c r="AH40" s="360"/>
      <c r="AI40" s="422"/>
      <c r="AJ40" s="15"/>
    </row>
    <row r="41" spans="4:36" ht="20.25">
      <c r="D41" s="12"/>
      <c r="E41" s="117"/>
      <c r="U41" s="117"/>
      <c r="V41" s="117"/>
      <c r="W41" s="117"/>
      <c r="X41" s="117"/>
      <c r="Y41"/>
      <c r="Z41"/>
      <c r="AA41" s="418" t="s">
        <v>20</v>
      </c>
      <c r="AB41" s="419"/>
      <c r="AC41" s="418" t="s">
        <v>40</v>
      </c>
      <c r="AD41" s="419"/>
      <c r="AE41" s="419"/>
      <c r="AF41" s="420"/>
      <c r="AG41" s="748" t="s">
        <v>570</v>
      </c>
      <c r="AH41" s="451"/>
      <c r="AI41" s="749"/>
      <c r="AJ41" s="15"/>
    </row>
    <row r="42" spans="4:36">
      <c r="D42" s="12"/>
      <c r="E42" s="117"/>
      <c r="G42" s="1" t="s">
        <v>2</v>
      </c>
      <c r="H42" s="437">
        <f>M39/M40</f>
        <v>12.006844496177905</v>
      </c>
      <c r="I42" s="438"/>
      <c r="J42" s="439"/>
      <c r="K42" s="1" t="s">
        <v>573</v>
      </c>
      <c r="U42" s="117"/>
      <c r="V42" s="117"/>
      <c r="W42" s="117"/>
      <c r="X42" s="117"/>
      <c r="Y42" s="398" t="s">
        <v>21</v>
      </c>
      <c r="Z42" s="398"/>
      <c r="AA42" s="747">
        <f>'2.根入れ長'!I16</f>
        <v>1</v>
      </c>
      <c r="AB42" s="747"/>
      <c r="AC42" s="746">
        <f>'2.根入れ長'!P16</f>
        <v>18</v>
      </c>
      <c r="AD42" s="746"/>
      <c r="AE42" s="746"/>
      <c r="AF42" s="746"/>
      <c r="AG42" s="373">
        <f>AA42*AC42</f>
        <v>18</v>
      </c>
      <c r="AH42" s="373"/>
      <c r="AI42" s="373"/>
      <c r="AJ42" s="15"/>
    </row>
    <row r="43" spans="4:36">
      <c r="D43" s="12"/>
      <c r="E43" s="117"/>
      <c r="U43" s="117"/>
      <c r="V43" s="117"/>
      <c r="W43" s="117"/>
      <c r="X43" s="117"/>
      <c r="Y43" s="398" t="s">
        <v>22</v>
      </c>
      <c r="Z43" s="398"/>
      <c r="AA43" s="747">
        <f>'2.根入れ長'!I18</f>
        <v>1.5</v>
      </c>
      <c r="AB43" s="747"/>
      <c r="AC43" s="746">
        <f>'2.根入れ長'!P18</f>
        <v>18</v>
      </c>
      <c r="AD43" s="746"/>
      <c r="AE43" s="746"/>
      <c r="AF43" s="746"/>
      <c r="AG43" s="373">
        <f t="shared" ref="AG43:AG45" si="0">AA43*AC43</f>
        <v>27</v>
      </c>
      <c r="AH43" s="373"/>
      <c r="AI43" s="373"/>
      <c r="AJ43" s="15"/>
    </row>
    <row r="44" spans="4:36">
      <c r="D44" s="12"/>
      <c r="E44" s="117"/>
      <c r="U44" s="117"/>
      <c r="V44" s="117"/>
      <c r="W44" s="117"/>
      <c r="X44" s="117"/>
      <c r="Y44" s="398" t="s">
        <v>444</v>
      </c>
      <c r="Z44" s="398"/>
      <c r="AA44" s="747">
        <f>'2.根入れ長'!I20</f>
        <v>2.5</v>
      </c>
      <c r="AB44" s="747"/>
      <c r="AC44" s="746">
        <f>'2.根入れ長'!P20</f>
        <v>9</v>
      </c>
      <c r="AD44" s="746"/>
      <c r="AE44" s="746"/>
      <c r="AF44" s="746"/>
      <c r="AG44" s="373">
        <f t="shared" si="0"/>
        <v>22.5</v>
      </c>
      <c r="AH44" s="373"/>
      <c r="AI44" s="373"/>
      <c r="AJ44" s="15"/>
    </row>
    <row r="45" spans="4:36" ht="19.5" thickBot="1">
      <c r="D45" s="12"/>
      <c r="E45" s="117"/>
      <c r="F45" s="117" t="s">
        <v>564</v>
      </c>
      <c r="G45" s="117"/>
      <c r="H45" s="117"/>
      <c r="I45" s="117"/>
      <c r="J45" s="117"/>
      <c r="K45" s="117"/>
      <c r="L45" s="117"/>
      <c r="M45" s="117"/>
      <c r="U45" s="117"/>
      <c r="V45" s="117"/>
      <c r="W45" s="117"/>
      <c r="X45" s="117"/>
      <c r="Y45" s="754" t="s">
        <v>445</v>
      </c>
      <c r="Z45" s="754"/>
      <c r="AA45" s="755">
        <f>Z28</f>
        <v>2.4829277099632048</v>
      </c>
      <c r="AB45" s="755"/>
      <c r="AC45" s="756">
        <f>'2.根入れ長'!P22</f>
        <v>9</v>
      </c>
      <c r="AD45" s="756"/>
      <c r="AE45" s="756"/>
      <c r="AF45" s="756"/>
      <c r="AG45" s="753">
        <f t="shared" si="0"/>
        <v>22.346349389668845</v>
      </c>
      <c r="AH45" s="753"/>
      <c r="AI45" s="753"/>
      <c r="AJ45" s="15"/>
    </row>
    <row r="46" spans="4:36" ht="19.5" thickTop="1">
      <c r="D46" s="12"/>
      <c r="E46" s="117"/>
      <c r="G46" s="117" t="s">
        <v>563</v>
      </c>
      <c r="H46" s="117"/>
      <c r="I46" s="117"/>
      <c r="J46" s="117"/>
      <c r="K46" s="477">
        <f>-'2.根入れ長'!AB10</f>
        <v>5</v>
      </c>
      <c r="L46" s="477"/>
      <c r="M46" s="117" t="s">
        <v>3</v>
      </c>
      <c r="N46" s="117"/>
      <c r="O46" s="117"/>
      <c r="P46" s="117"/>
      <c r="Q46" s="117"/>
      <c r="R46" s="117"/>
      <c r="S46" s="117"/>
      <c r="T46" s="117"/>
      <c r="U46" s="117"/>
      <c r="V46" s="117"/>
      <c r="W46" s="117"/>
      <c r="X46" s="117"/>
      <c r="Y46" s="757" t="s">
        <v>252</v>
      </c>
      <c r="Z46" s="758"/>
      <c r="AA46" s="750">
        <f>SUM(AA42:AB45)</f>
        <v>7.4829277099632048</v>
      </c>
      <c r="AB46" s="752"/>
      <c r="AC46" s="759"/>
      <c r="AD46" s="759"/>
      <c r="AE46" s="759"/>
      <c r="AF46" s="759"/>
      <c r="AG46" s="750">
        <f>SUM(AG42:AI45)</f>
        <v>89.846349389668845</v>
      </c>
      <c r="AH46" s="751"/>
      <c r="AI46" s="752"/>
      <c r="AJ46" s="15"/>
    </row>
    <row r="47" spans="4:36">
      <c r="D47" s="12"/>
      <c r="E47" s="117"/>
      <c r="F47" s="1" t="s">
        <v>231</v>
      </c>
      <c r="L47" s="117"/>
      <c r="N47" s="117"/>
      <c r="O47" s="117"/>
      <c r="P47" s="117"/>
      <c r="Q47" s="117"/>
      <c r="R47" s="117"/>
      <c r="S47" s="117"/>
      <c r="T47" s="117"/>
      <c r="U47" s="117"/>
      <c r="V47" s="117"/>
      <c r="W47" s="117"/>
      <c r="X47" s="117"/>
      <c r="Y47" s="117"/>
      <c r="Z47" s="117"/>
      <c r="AA47" s="117"/>
      <c r="AB47" s="117"/>
      <c r="AC47" s="117"/>
      <c r="AD47" s="13"/>
      <c r="AE47" s="13"/>
      <c r="AF47" s="13"/>
      <c r="AG47" s="13"/>
      <c r="AH47" s="13"/>
      <c r="AI47" s="13"/>
      <c r="AJ47" s="15"/>
    </row>
    <row r="48" spans="4:36">
      <c r="D48" s="12"/>
      <c r="E48" s="117"/>
      <c r="F48" s="117"/>
      <c r="G48" s="477" t="s">
        <v>565</v>
      </c>
      <c r="H48" s="477"/>
      <c r="I48" s="407">
        <v>1</v>
      </c>
      <c r="J48" s="409"/>
      <c r="K48" s="117"/>
      <c r="L48" s="117"/>
      <c r="M48" s="117"/>
      <c r="N48" s="226"/>
      <c r="O48" s="226"/>
      <c r="P48" s="227"/>
      <c r="Q48" s="227"/>
      <c r="R48" s="13"/>
      <c r="S48" s="13"/>
      <c r="T48" s="13"/>
      <c r="AI48" s="13"/>
      <c r="AJ48" s="15"/>
    </row>
    <row r="49" spans="4:36">
      <c r="D49" s="12"/>
      <c r="E49" s="117"/>
      <c r="G49" s="117"/>
      <c r="H49" s="117"/>
      <c r="I49" s="117"/>
      <c r="J49" s="117"/>
      <c r="K49" s="117"/>
      <c r="L49" s="117"/>
      <c r="M49" s="117"/>
      <c r="Q49" s="227"/>
      <c r="R49" s="13"/>
      <c r="S49" s="13"/>
      <c r="T49" s="13"/>
      <c r="AI49" s="13"/>
      <c r="AJ49" s="15"/>
    </row>
    <row r="50" spans="4:36">
      <c r="D50" s="12"/>
      <c r="E50" s="117"/>
      <c r="F50" s="117" t="s">
        <v>566</v>
      </c>
      <c r="Q50" s="227"/>
      <c r="R50" s="13"/>
      <c r="S50" s="13"/>
      <c r="T50" s="13"/>
      <c r="AI50" s="13"/>
      <c r="AJ50" s="15"/>
    </row>
    <row r="51" spans="4:36">
      <c r="D51" s="12"/>
      <c r="E51" s="117"/>
      <c r="G51" s="117" t="s">
        <v>562</v>
      </c>
      <c r="H51" s="117"/>
      <c r="I51" s="117"/>
      <c r="J51" s="477" t="str">
        <f>'1.設計条件'!H22</f>
        <v>砂質</v>
      </c>
      <c r="K51" s="477"/>
      <c r="Q51" s="13"/>
      <c r="R51" s="13"/>
      <c r="S51" s="13"/>
      <c r="T51" s="13"/>
      <c r="AI51" s="13"/>
      <c r="AJ51" s="15"/>
    </row>
    <row r="52" spans="4:36">
      <c r="D52" s="12"/>
      <c r="E52" s="117"/>
      <c r="F52" s="117" t="s">
        <v>231</v>
      </c>
      <c r="G52" s="117"/>
      <c r="H52" s="117"/>
      <c r="I52" s="117"/>
      <c r="J52" s="117"/>
      <c r="K52" s="117"/>
      <c r="Q52" s="13"/>
      <c r="R52" s="13"/>
      <c r="S52" s="13"/>
      <c r="T52" s="13"/>
      <c r="AI52" s="13"/>
      <c r="AJ52" s="15"/>
    </row>
    <row r="53" spans="4:36">
      <c r="D53" s="12"/>
      <c r="E53" s="117"/>
      <c r="F53" s="117"/>
      <c r="G53" s="477" t="s">
        <v>567</v>
      </c>
      <c r="H53" s="477"/>
      <c r="I53" s="407">
        <v>2</v>
      </c>
      <c r="J53" s="409"/>
      <c r="K53" s="117"/>
      <c r="Q53" s="13"/>
      <c r="R53" s="13"/>
      <c r="S53" s="13"/>
      <c r="T53" s="13"/>
      <c r="AI53" s="13"/>
      <c r="AJ53" s="15"/>
    </row>
    <row r="54" spans="4:36">
      <c r="D54" s="12"/>
      <c r="E54" s="117"/>
      <c r="Q54" s="13"/>
      <c r="R54" s="13"/>
      <c r="S54" s="13"/>
      <c r="T54" s="13"/>
      <c r="AI54" s="13"/>
      <c r="AJ54" s="15"/>
    </row>
    <row r="55" spans="4:36">
      <c r="D55" s="12"/>
      <c r="E55" s="117"/>
      <c r="F55" s="1" t="s">
        <v>574</v>
      </c>
      <c r="Q55" s="227"/>
      <c r="R55" s="228"/>
      <c r="S55" s="228"/>
      <c r="T55" s="228"/>
      <c r="U55" s="228"/>
      <c r="AG55" s="13"/>
      <c r="AH55" s="13"/>
      <c r="AI55" s="13"/>
      <c r="AJ55" s="15"/>
    </row>
    <row r="56" spans="4:36">
      <c r="D56" s="12"/>
      <c r="E56" s="117"/>
      <c r="F56" s="81"/>
      <c r="G56" s="81"/>
      <c r="H56" s="226"/>
      <c r="I56" s="226"/>
      <c r="J56" s="226"/>
      <c r="K56" s="226"/>
      <c r="L56" s="226"/>
      <c r="M56" s="226"/>
      <c r="N56" s="226"/>
      <c r="O56" s="226"/>
      <c r="P56" s="227"/>
      <c r="Q56" s="227"/>
      <c r="R56" s="228"/>
      <c r="S56" s="228"/>
      <c r="T56" s="228"/>
      <c r="U56" s="228"/>
      <c r="V56" s="228"/>
      <c r="W56" s="228"/>
      <c r="X56" s="228"/>
      <c r="Y56" s="228"/>
      <c r="Z56" s="228"/>
      <c r="AA56" s="228"/>
      <c r="AB56" s="228"/>
      <c r="AC56" s="228"/>
      <c r="AD56" s="13"/>
      <c r="AE56" s="13"/>
      <c r="AF56" s="13"/>
      <c r="AG56" s="13"/>
      <c r="AH56" s="13"/>
      <c r="AI56" s="13"/>
      <c r="AJ56" s="15"/>
    </row>
    <row r="57" spans="4:36">
      <c r="D57" s="12"/>
      <c r="E57" s="117"/>
      <c r="F57" s="81"/>
      <c r="G57" s="81" t="s">
        <v>149</v>
      </c>
      <c r="H57" s="226" t="s">
        <v>2</v>
      </c>
      <c r="I57" s="226" t="s">
        <v>193</v>
      </c>
      <c r="J57" s="226" t="s">
        <v>66</v>
      </c>
      <c r="K57" s="226" t="s">
        <v>195</v>
      </c>
      <c r="L57" s="226" t="s">
        <v>66</v>
      </c>
      <c r="M57" s="226" t="s">
        <v>16</v>
      </c>
      <c r="N57" s="226"/>
      <c r="O57" s="226"/>
      <c r="P57" s="227"/>
      <c r="Q57" s="227"/>
      <c r="R57" s="228"/>
      <c r="S57" s="228"/>
      <c r="T57" s="228"/>
      <c r="U57" s="228"/>
      <c r="V57" s="228"/>
      <c r="W57" s="228"/>
      <c r="X57" s="228"/>
      <c r="Y57" s="228"/>
      <c r="Z57" s="228"/>
      <c r="AA57" s="228"/>
      <c r="AB57" s="228"/>
      <c r="AC57" s="228"/>
      <c r="AD57" s="13"/>
      <c r="AE57" s="13"/>
      <c r="AF57" s="13"/>
      <c r="AG57" s="13"/>
      <c r="AH57" s="13"/>
      <c r="AI57" s="13"/>
      <c r="AJ57" s="15"/>
    </row>
    <row r="58" spans="4:36">
      <c r="D58" s="12"/>
      <c r="E58" s="117"/>
      <c r="F58" s="81"/>
      <c r="G58" s="81"/>
      <c r="H58" s="226" t="s">
        <v>2</v>
      </c>
      <c r="I58" s="227">
        <f>I48</f>
        <v>1</v>
      </c>
      <c r="J58" s="226" t="s">
        <v>66</v>
      </c>
      <c r="K58" s="227">
        <f>I53</f>
        <v>2</v>
      </c>
      <c r="L58" s="226" t="s">
        <v>66</v>
      </c>
      <c r="M58" s="739">
        <f>H42</f>
        <v>12.006844496177905</v>
      </c>
      <c r="N58" s="739"/>
      <c r="O58" s="739"/>
      <c r="P58" s="227"/>
      <c r="Q58" s="227"/>
      <c r="R58" s="228"/>
      <c r="S58" s="228"/>
      <c r="T58" s="228"/>
      <c r="U58" s="228"/>
      <c r="V58" s="228"/>
      <c r="W58" s="228"/>
      <c r="X58" s="228"/>
      <c r="Y58" s="228"/>
      <c r="Z58" s="228"/>
      <c r="AA58" s="228"/>
      <c r="AB58" s="228"/>
      <c r="AC58" s="228"/>
      <c r="AD58" s="13"/>
      <c r="AE58" s="13"/>
      <c r="AF58" s="13"/>
      <c r="AG58" s="13"/>
      <c r="AH58" s="13"/>
      <c r="AI58" s="13"/>
      <c r="AJ58" s="15"/>
    </row>
    <row r="59" spans="4:36">
      <c r="D59" s="12"/>
      <c r="E59" s="117"/>
      <c r="F59" s="81"/>
      <c r="G59" s="81"/>
      <c r="H59" s="226" t="s">
        <v>2</v>
      </c>
      <c r="I59" s="740">
        <f>I58*K58*M58</f>
        <v>24.01368899235581</v>
      </c>
      <c r="J59" s="741"/>
      <c r="K59" s="742"/>
      <c r="L59" s="1" t="s">
        <v>575</v>
      </c>
      <c r="M59" s="226"/>
      <c r="N59" s="226"/>
      <c r="O59" s="226"/>
      <c r="P59" s="227"/>
      <c r="Q59" s="227"/>
      <c r="R59" s="228"/>
      <c r="S59" s="228"/>
      <c r="T59" s="228"/>
      <c r="U59" s="228"/>
      <c r="V59" s="228"/>
      <c r="W59" s="228"/>
      <c r="X59" s="228"/>
      <c r="Y59" s="228"/>
      <c r="Z59" s="228"/>
      <c r="AA59" s="228"/>
      <c r="AB59" s="228"/>
      <c r="AC59" s="228"/>
      <c r="AD59" s="13"/>
      <c r="AE59" s="13"/>
      <c r="AF59" s="13"/>
      <c r="AG59" s="13"/>
      <c r="AH59" s="13"/>
      <c r="AI59" s="13"/>
      <c r="AJ59" s="15"/>
    </row>
    <row r="60" spans="4:36">
      <c r="D60" s="12"/>
      <c r="E60" s="117"/>
      <c r="F60" s="81"/>
      <c r="G60" s="81"/>
      <c r="H60" s="226"/>
      <c r="I60" s="226"/>
      <c r="J60" s="226"/>
      <c r="K60" s="226"/>
      <c r="L60" s="226"/>
      <c r="M60" s="226"/>
      <c r="N60" s="226"/>
      <c r="O60" s="226"/>
      <c r="P60" s="227"/>
      <c r="Q60" s="227"/>
      <c r="R60" s="228"/>
      <c r="S60" s="228"/>
      <c r="T60" s="228"/>
      <c r="U60" s="228"/>
      <c r="V60" s="228"/>
      <c r="W60" s="228"/>
      <c r="X60" s="228"/>
      <c r="Y60" s="228"/>
      <c r="Z60" s="228"/>
      <c r="AA60" s="228"/>
      <c r="AB60" s="228"/>
      <c r="AC60" s="228"/>
      <c r="AD60" s="13"/>
      <c r="AE60" s="13"/>
      <c r="AF60" s="13"/>
      <c r="AG60" s="13"/>
      <c r="AH60" s="13"/>
      <c r="AI60" s="13"/>
      <c r="AJ60" s="15"/>
    </row>
    <row r="61" spans="4:36">
      <c r="D61" s="12"/>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5"/>
    </row>
    <row r="62" spans="4:36">
      <c r="D62" s="12"/>
      <c r="E62" s="13"/>
      <c r="F62" s="13" t="s">
        <v>588</v>
      </c>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5"/>
    </row>
    <row r="63" spans="4:36">
      <c r="D63" s="12"/>
      <c r="E63" s="13"/>
      <c r="F63" s="13"/>
      <c r="G63" s="13" t="s">
        <v>589</v>
      </c>
      <c r="H63" s="13"/>
      <c r="I63" s="13"/>
      <c r="J63" s="13" t="s">
        <v>2</v>
      </c>
      <c r="K63" s="13" t="s">
        <v>6</v>
      </c>
      <c r="L63" s="13" t="s">
        <v>70</v>
      </c>
      <c r="M63" s="13" t="s">
        <v>16</v>
      </c>
      <c r="N63" s="13"/>
      <c r="O63" s="13"/>
      <c r="P63" s="13"/>
      <c r="Q63" s="13"/>
      <c r="R63" s="13"/>
      <c r="S63" s="13"/>
      <c r="T63" s="13"/>
      <c r="U63" s="13"/>
      <c r="V63" s="13"/>
      <c r="W63" s="13"/>
      <c r="X63" s="13"/>
      <c r="Y63" s="13"/>
      <c r="Z63" s="13"/>
      <c r="AA63" s="13"/>
      <c r="AB63" s="13"/>
      <c r="AC63" s="13"/>
      <c r="AD63" s="13"/>
      <c r="AE63" s="13"/>
      <c r="AF63" s="13"/>
      <c r="AG63" s="13"/>
      <c r="AH63" s="13"/>
      <c r="AI63" s="13"/>
      <c r="AJ63" s="15"/>
    </row>
    <row r="64" spans="4:36">
      <c r="D64" s="12"/>
      <c r="E64" s="13"/>
      <c r="F64" s="13"/>
      <c r="G64" s="13"/>
      <c r="H64" s="13"/>
      <c r="I64" s="13"/>
      <c r="J64" s="13" t="s">
        <v>2</v>
      </c>
      <c r="K64" s="477">
        <f>'1.設計条件'!R13</f>
        <v>10</v>
      </c>
      <c r="L64" s="477"/>
      <c r="M64" s="13" t="s">
        <v>70</v>
      </c>
      <c r="N64" s="448">
        <f>H42</f>
        <v>12.006844496177905</v>
      </c>
      <c r="O64" s="448"/>
      <c r="P64" s="448"/>
      <c r="Q64" s="13"/>
      <c r="R64" s="13"/>
      <c r="S64" s="13"/>
      <c r="T64" s="13"/>
      <c r="U64" s="13"/>
      <c r="V64" s="13"/>
      <c r="W64" s="13"/>
      <c r="X64" s="13"/>
      <c r="Y64" s="13"/>
      <c r="Z64" s="13"/>
      <c r="AA64" s="13"/>
      <c r="AB64" s="13"/>
      <c r="AC64" s="13"/>
      <c r="AD64" s="13"/>
      <c r="AE64" s="13"/>
      <c r="AF64" s="13"/>
      <c r="AG64" s="13"/>
      <c r="AH64" s="13"/>
      <c r="AI64" s="13"/>
      <c r="AJ64" s="15"/>
    </row>
    <row r="65" spans="3:36">
      <c r="D65" s="12"/>
      <c r="E65" s="13"/>
      <c r="F65" s="13"/>
      <c r="G65" s="13"/>
      <c r="H65" s="13"/>
      <c r="I65" s="13"/>
      <c r="J65" s="13" t="s">
        <v>2</v>
      </c>
      <c r="K65" s="448">
        <f>K64/N64</f>
        <v>0.83285829205027706</v>
      </c>
      <c r="L65" s="448"/>
      <c r="M65" s="448"/>
      <c r="N65" s="13" t="s">
        <v>20</v>
      </c>
      <c r="O65" s="13"/>
      <c r="P65" s="13"/>
      <c r="Q65" s="13"/>
      <c r="R65" s="13"/>
      <c r="S65" s="13"/>
      <c r="T65" s="13"/>
      <c r="U65" s="13"/>
      <c r="V65" s="13"/>
      <c r="W65" s="13"/>
      <c r="X65" s="13"/>
      <c r="Y65" s="13"/>
      <c r="Z65" s="13"/>
      <c r="AA65" s="13"/>
      <c r="AB65" s="13"/>
      <c r="AC65" s="13"/>
      <c r="AD65" s="13"/>
      <c r="AE65" s="13"/>
      <c r="AF65" s="13"/>
      <c r="AG65" s="13"/>
      <c r="AH65" s="13"/>
      <c r="AI65" s="13"/>
      <c r="AJ65" s="15"/>
    </row>
    <row r="66" spans="3:36">
      <c r="D66" s="12"/>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5"/>
    </row>
    <row r="67" spans="3:36">
      <c r="D67" s="12"/>
      <c r="E67" s="13" t="s">
        <v>591</v>
      </c>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5"/>
    </row>
    <row r="68" spans="3:36">
      <c r="D68" s="12"/>
      <c r="E68" s="13"/>
      <c r="F68" s="13" t="s">
        <v>592</v>
      </c>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5"/>
    </row>
    <row r="69" spans="3:36">
      <c r="D69" s="12"/>
      <c r="E69" s="13"/>
      <c r="F69" s="13" t="s">
        <v>593</v>
      </c>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5"/>
    </row>
    <row r="70" spans="3:36">
      <c r="D70" s="12"/>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5"/>
    </row>
    <row r="71" spans="3:36">
      <c r="D71" s="12"/>
      <c r="E71" s="13" t="s">
        <v>602</v>
      </c>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5"/>
    </row>
    <row r="72" spans="3:36">
      <c r="D72" s="12"/>
      <c r="E72" s="13"/>
      <c r="F72" s="13" t="s">
        <v>603</v>
      </c>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5"/>
    </row>
    <row r="73" spans="3:36">
      <c r="D73" s="12"/>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5"/>
    </row>
    <row r="74" spans="3:36">
      <c r="D74" s="12"/>
      <c r="E74" s="13" t="s">
        <v>827</v>
      </c>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5"/>
    </row>
    <row r="75" spans="3:36">
      <c r="D75" s="12"/>
      <c r="E75" s="13" t="s">
        <v>828</v>
      </c>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5"/>
    </row>
    <row r="76" spans="3:36">
      <c r="C76" s="13"/>
      <c r="D76" s="12"/>
      <c r="E76" s="13"/>
      <c r="F76" s="13"/>
      <c r="G76" s="13"/>
      <c r="H76"/>
      <c r="I76" s="410" t="s">
        <v>23</v>
      </c>
      <c r="J76" s="411"/>
      <c r="K76" s="410" t="s">
        <v>25</v>
      </c>
      <c r="L76" s="412"/>
      <c r="M76" s="412"/>
      <c r="N76" s="412"/>
      <c r="O76" s="412"/>
      <c r="P76" s="411"/>
      <c r="Q76" s="410" t="s">
        <v>31</v>
      </c>
      <c r="R76" s="412"/>
      <c r="S76" s="412"/>
      <c r="T76" s="412"/>
      <c r="U76" s="412"/>
      <c r="V76" s="411"/>
      <c r="W76" s="410" t="s">
        <v>167</v>
      </c>
      <c r="X76" s="412"/>
      <c r="Y76" s="412"/>
      <c r="Z76" s="412"/>
      <c r="AA76" s="412"/>
      <c r="AB76" s="411"/>
      <c r="AC76" s="13"/>
      <c r="AD76" s="410" t="s">
        <v>242</v>
      </c>
      <c r="AE76" s="412"/>
      <c r="AF76" s="412"/>
      <c r="AG76" s="412"/>
      <c r="AH76" s="412"/>
      <c r="AI76" s="411"/>
      <c r="AJ76" s="15"/>
    </row>
    <row r="77" spans="3:36">
      <c r="C77" s="13"/>
      <c r="D77" s="12"/>
      <c r="E77" s="13"/>
      <c r="F77" s="13"/>
      <c r="G77" s="13"/>
      <c r="H77"/>
      <c r="I77" s="421" t="s">
        <v>15</v>
      </c>
      <c r="J77" s="422"/>
      <c r="K77" s="421" t="s">
        <v>116</v>
      </c>
      <c r="L77" s="360"/>
      <c r="M77" s="360"/>
      <c r="N77" s="360"/>
      <c r="O77" s="360"/>
      <c r="P77" s="422"/>
      <c r="Q77" s="421" t="s">
        <v>148</v>
      </c>
      <c r="R77" s="360"/>
      <c r="S77" s="360"/>
      <c r="T77" s="360"/>
      <c r="U77" s="360"/>
      <c r="V77" s="422"/>
      <c r="W77" s="421" t="s">
        <v>172</v>
      </c>
      <c r="X77" s="360"/>
      <c r="Y77" s="360"/>
      <c r="Z77" s="360"/>
      <c r="AA77" s="360"/>
      <c r="AB77" s="422"/>
      <c r="AC77" s="13"/>
      <c r="AD77" s="421" t="s">
        <v>243</v>
      </c>
      <c r="AE77" s="360"/>
      <c r="AF77" s="360"/>
      <c r="AG77" s="360"/>
      <c r="AH77" s="360"/>
      <c r="AI77" s="422"/>
      <c r="AJ77" s="15"/>
    </row>
    <row r="78" spans="3:36" ht="20.25">
      <c r="C78" s="13"/>
      <c r="D78" s="12"/>
      <c r="E78" s="13"/>
      <c r="F78" s="13"/>
      <c r="G78" s="13"/>
      <c r="H78"/>
      <c r="I78" s="498" t="s">
        <v>20</v>
      </c>
      <c r="J78" s="499"/>
      <c r="K78" s="498" t="s">
        <v>36</v>
      </c>
      <c r="L78" s="500"/>
      <c r="M78" s="500"/>
      <c r="N78" s="500"/>
      <c r="O78" s="500"/>
      <c r="P78" s="499"/>
      <c r="Q78" s="498" t="s">
        <v>36</v>
      </c>
      <c r="R78" s="500"/>
      <c r="S78" s="500"/>
      <c r="T78" s="500"/>
      <c r="U78" s="500"/>
      <c r="V78" s="499"/>
      <c r="W78" s="498" t="s">
        <v>36</v>
      </c>
      <c r="X78" s="500"/>
      <c r="Y78" s="500"/>
      <c r="Z78" s="500"/>
      <c r="AA78" s="500"/>
      <c r="AB78" s="499"/>
      <c r="AC78" s="13"/>
      <c r="AD78" s="498" t="s">
        <v>36</v>
      </c>
      <c r="AE78" s="500"/>
      <c r="AF78" s="500"/>
      <c r="AG78" s="500"/>
      <c r="AH78" s="500"/>
      <c r="AI78" s="499"/>
      <c r="AJ78" s="15"/>
    </row>
    <row r="79" spans="3:36">
      <c r="C79" s="13"/>
      <c r="D79" s="12"/>
      <c r="E79" s="497" t="s">
        <v>597</v>
      </c>
      <c r="F79" s="497"/>
      <c r="G79" s="413" t="s">
        <v>130</v>
      </c>
      <c r="H79" s="415"/>
      <c r="I79" s="487">
        <f>K65</f>
        <v>0.83285829205027706</v>
      </c>
      <c r="J79" s="489"/>
      <c r="K79" s="502" t="s">
        <v>598</v>
      </c>
      <c r="L79" s="503"/>
      <c r="M79" s="503"/>
      <c r="N79" s="504">
        <f t="shared" ref="N79:N88" si="1">I$59</f>
        <v>24.01368899235581</v>
      </c>
      <c r="O79" s="504"/>
      <c r="P79" s="505"/>
      <c r="Q79" s="502" t="s">
        <v>600</v>
      </c>
      <c r="R79" s="503"/>
      <c r="S79" s="503"/>
      <c r="T79" s="504">
        <f>'2.根入れ長'!P41</f>
        <v>0</v>
      </c>
      <c r="U79" s="504"/>
      <c r="V79" s="505"/>
      <c r="W79" s="9"/>
      <c r="X79" s="10"/>
      <c r="Y79" s="10"/>
      <c r="Z79" s="10"/>
      <c r="AA79" s="10"/>
      <c r="AB79" s="11"/>
      <c r="AC79" s="13"/>
      <c r="AD79" s="502" t="s">
        <v>627</v>
      </c>
      <c r="AE79" s="503"/>
      <c r="AF79" s="503"/>
      <c r="AG79" s="504">
        <f t="shared" ref="AG79:AG88" si="2">N79+T79-Z79</f>
        <v>24.01368899235581</v>
      </c>
      <c r="AH79" s="504"/>
      <c r="AI79" s="505"/>
      <c r="AJ79" s="15"/>
    </row>
    <row r="80" spans="3:36">
      <c r="C80" s="13"/>
      <c r="D80" s="12"/>
      <c r="E80" s="497"/>
      <c r="F80" s="497"/>
      <c r="G80" s="418" t="s">
        <v>131</v>
      </c>
      <c r="H80" s="420"/>
      <c r="I80" s="490"/>
      <c r="J80" s="492"/>
      <c r="K80" s="513" t="s">
        <v>599</v>
      </c>
      <c r="L80" s="514"/>
      <c r="M80" s="514"/>
      <c r="N80" s="515">
        <f t="shared" si="1"/>
        <v>24.01368899235581</v>
      </c>
      <c r="O80" s="515"/>
      <c r="P80" s="516"/>
      <c r="Q80" s="513" t="s">
        <v>601</v>
      </c>
      <c r="R80" s="514"/>
      <c r="S80" s="514"/>
      <c r="T80" s="591">
        <f>'2.根入れ長'!P42</f>
        <v>0</v>
      </c>
      <c r="U80" s="591"/>
      <c r="V80" s="578"/>
      <c r="W80" s="12"/>
      <c r="X80" s="13"/>
      <c r="Y80" s="13"/>
      <c r="Z80" s="13"/>
      <c r="AA80" s="13"/>
      <c r="AB80" s="15"/>
      <c r="AC80" s="13"/>
      <c r="AD80" s="513" t="s">
        <v>628</v>
      </c>
      <c r="AE80" s="514"/>
      <c r="AF80" s="514"/>
      <c r="AG80" s="515">
        <f t="shared" si="2"/>
        <v>24.01368899235581</v>
      </c>
      <c r="AH80" s="515"/>
      <c r="AI80" s="516"/>
      <c r="AJ80" s="15"/>
    </row>
    <row r="81" spans="3:36">
      <c r="C81" s="13"/>
      <c r="D81" s="12"/>
      <c r="E81" s="497" t="s">
        <v>21</v>
      </c>
      <c r="F81" s="497"/>
      <c r="G81" s="413" t="s">
        <v>130</v>
      </c>
      <c r="H81" s="415"/>
      <c r="I81" s="487">
        <f>'2.根入れ長'!I16</f>
        <v>1</v>
      </c>
      <c r="J81" s="489"/>
      <c r="K81" s="502" t="s">
        <v>132</v>
      </c>
      <c r="L81" s="503"/>
      <c r="M81" s="503"/>
      <c r="N81" s="504">
        <f t="shared" si="1"/>
        <v>24.01368899235581</v>
      </c>
      <c r="O81" s="504"/>
      <c r="P81" s="505"/>
      <c r="Q81" s="502" t="s">
        <v>146</v>
      </c>
      <c r="R81" s="503"/>
      <c r="S81" s="503"/>
      <c r="T81" s="504">
        <f>'2.根入れ長'!P43</f>
        <v>0</v>
      </c>
      <c r="U81" s="504"/>
      <c r="V81" s="505"/>
      <c r="W81" s="9"/>
      <c r="X81" s="10"/>
      <c r="Y81" s="10"/>
      <c r="Z81" s="10"/>
      <c r="AA81" s="10"/>
      <c r="AB81" s="11"/>
      <c r="AC81" s="13"/>
      <c r="AD81" s="502" t="s">
        <v>273</v>
      </c>
      <c r="AE81" s="503"/>
      <c r="AF81" s="503"/>
      <c r="AG81" s="504">
        <f t="shared" si="2"/>
        <v>24.01368899235581</v>
      </c>
      <c r="AH81" s="504"/>
      <c r="AI81" s="505"/>
      <c r="AJ81" s="15"/>
    </row>
    <row r="82" spans="3:36">
      <c r="C82" s="13"/>
      <c r="D82" s="12"/>
      <c r="E82" s="497"/>
      <c r="F82" s="497"/>
      <c r="G82" s="418" t="s">
        <v>131</v>
      </c>
      <c r="H82" s="420"/>
      <c r="I82" s="490"/>
      <c r="J82" s="492"/>
      <c r="K82" s="513" t="s">
        <v>141</v>
      </c>
      <c r="L82" s="514"/>
      <c r="M82" s="514"/>
      <c r="N82" s="515">
        <f t="shared" si="1"/>
        <v>24.01368899235581</v>
      </c>
      <c r="O82" s="515"/>
      <c r="P82" s="516"/>
      <c r="Q82" s="513" t="s">
        <v>139</v>
      </c>
      <c r="R82" s="514"/>
      <c r="S82" s="514"/>
      <c r="T82" s="591">
        <f>'2.根入れ長'!P44</f>
        <v>0</v>
      </c>
      <c r="U82" s="591"/>
      <c r="V82" s="578"/>
      <c r="W82" s="12"/>
      <c r="X82" s="13"/>
      <c r="Y82" s="13"/>
      <c r="Z82" s="13"/>
      <c r="AA82" s="13"/>
      <c r="AB82" s="15"/>
      <c r="AC82" s="13"/>
      <c r="AD82" s="513" t="s">
        <v>274</v>
      </c>
      <c r="AE82" s="514"/>
      <c r="AF82" s="514"/>
      <c r="AG82" s="515">
        <f t="shared" si="2"/>
        <v>24.01368899235581</v>
      </c>
      <c r="AH82" s="515"/>
      <c r="AI82" s="516"/>
      <c r="AJ82" s="15"/>
    </row>
    <row r="83" spans="3:36">
      <c r="C83" s="13"/>
      <c r="D83" s="12"/>
      <c r="E83" s="497" t="s">
        <v>22</v>
      </c>
      <c r="F83" s="497"/>
      <c r="G83" s="413" t="s">
        <v>130</v>
      </c>
      <c r="H83" s="415"/>
      <c r="I83" s="487">
        <f>'2.根入れ長'!I18</f>
        <v>1.5</v>
      </c>
      <c r="J83" s="489"/>
      <c r="K83" s="502" t="s">
        <v>133</v>
      </c>
      <c r="L83" s="503"/>
      <c r="M83" s="503"/>
      <c r="N83" s="504">
        <f t="shared" si="1"/>
        <v>24.01368899235581</v>
      </c>
      <c r="O83" s="504"/>
      <c r="P83" s="505"/>
      <c r="Q83" s="502" t="s">
        <v>140</v>
      </c>
      <c r="R83" s="503"/>
      <c r="S83" s="503"/>
      <c r="T83" s="504">
        <f>'2.根入れ長'!P43</f>
        <v>0</v>
      </c>
      <c r="U83" s="504"/>
      <c r="V83" s="505"/>
      <c r="W83" s="9"/>
      <c r="X83" s="10"/>
      <c r="Y83" s="10"/>
      <c r="Z83" s="10"/>
      <c r="AA83" s="10"/>
      <c r="AB83" s="11"/>
      <c r="AC83" s="13"/>
      <c r="AD83" s="502" t="s">
        <v>244</v>
      </c>
      <c r="AE83" s="503"/>
      <c r="AF83" s="503"/>
      <c r="AG83" s="504">
        <f t="shared" si="2"/>
        <v>24.01368899235581</v>
      </c>
      <c r="AH83" s="504"/>
      <c r="AI83" s="505"/>
      <c r="AJ83" s="15"/>
    </row>
    <row r="84" spans="3:36">
      <c r="C84" s="13"/>
      <c r="D84" s="12"/>
      <c r="E84" s="497"/>
      <c r="F84" s="497"/>
      <c r="G84" s="418" t="s">
        <v>131</v>
      </c>
      <c r="H84" s="420"/>
      <c r="I84" s="490"/>
      <c r="J84" s="492"/>
      <c r="K84" s="513" t="s">
        <v>134</v>
      </c>
      <c r="L84" s="514"/>
      <c r="M84" s="514"/>
      <c r="N84" s="515">
        <f t="shared" si="1"/>
        <v>24.01368899235581</v>
      </c>
      <c r="O84" s="515"/>
      <c r="P84" s="516"/>
      <c r="Q84" s="513" t="s">
        <v>147</v>
      </c>
      <c r="R84" s="514"/>
      <c r="S84" s="514"/>
      <c r="T84" s="591">
        <f>'2.根入れ長'!P44</f>
        <v>0</v>
      </c>
      <c r="U84" s="591"/>
      <c r="V84" s="578"/>
      <c r="W84" s="16"/>
      <c r="X84" s="17"/>
      <c r="Y84" s="17"/>
      <c r="Z84" s="17"/>
      <c r="AA84" s="17"/>
      <c r="AB84" s="19"/>
      <c r="AC84" s="13"/>
      <c r="AD84" s="513" t="s">
        <v>245</v>
      </c>
      <c r="AE84" s="514"/>
      <c r="AF84" s="514"/>
      <c r="AG84" s="515">
        <f t="shared" si="2"/>
        <v>24.01368899235581</v>
      </c>
      <c r="AH84" s="515"/>
      <c r="AI84" s="516"/>
      <c r="AJ84" s="15"/>
    </row>
    <row r="85" spans="3:36">
      <c r="C85" s="13"/>
      <c r="D85" s="12"/>
      <c r="E85" s="554" t="s">
        <v>444</v>
      </c>
      <c r="F85" s="555"/>
      <c r="G85" s="413" t="s">
        <v>130</v>
      </c>
      <c r="H85" s="415"/>
      <c r="I85" s="487">
        <f>'2.根入れ長'!I20</f>
        <v>2.5</v>
      </c>
      <c r="J85" s="489"/>
      <c r="K85" s="502" t="s">
        <v>440</v>
      </c>
      <c r="L85" s="503"/>
      <c r="M85" s="503"/>
      <c r="N85" s="504">
        <f t="shared" si="1"/>
        <v>24.01368899235581</v>
      </c>
      <c r="O85" s="504"/>
      <c r="P85" s="505"/>
      <c r="Q85" s="502" t="s">
        <v>448</v>
      </c>
      <c r="R85" s="503"/>
      <c r="S85" s="503"/>
      <c r="T85" s="504">
        <f>'2.根入れ長'!P45</f>
        <v>0</v>
      </c>
      <c r="U85" s="504"/>
      <c r="V85" s="505"/>
      <c r="W85" s="12"/>
      <c r="X85" s="13"/>
      <c r="Y85" s="13"/>
      <c r="Z85" s="13"/>
      <c r="AA85" s="13"/>
      <c r="AB85" s="15"/>
      <c r="AC85" s="13"/>
      <c r="AD85" s="502" t="s">
        <v>619</v>
      </c>
      <c r="AE85" s="503"/>
      <c r="AF85" s="503"/>
      <c r="AG85" s="504">
        <f t="shared" si="2"/>
        <v>24.01368899235581</v>
      </c>
      <c r="AH85" s="504"/>
      <c r="AI85" s="505"/>
      <c r="AJ85" s="15"/>
    </row>
    <row r="86" spans="3:36">
      <c r="D86" s="12"/>
      <c r="E86" s="556"/>
      <c r="F86" s="557"/>
      <c r="G86" s="418" t="s">
        <v>131</v>
      </c>
      <c r="H86" s="420"/>
      <c r="I86" s="490"/>
      <c r="J86" s="492"/>
      <c r="K86" s="513" t="s">
        <v>441</v>
      </c>
      <c r="L86" s="514"/>
      <c r="M86" s="514"/>
      <c r="N86" s="515">
        <f t="shared" si="1"/>
        <v>24.01368899235581</v>
      </c>
      <c r="O86" s="515"/>
      <c r="P86" s="516"/>
      <c r="Q86" s="513" t="s">
        <v>449</v>
      </c>
      <c r="R86" s="514"/>
      <c r="S86" s="514"/>
      <c r="T86" s="515">
        <f>I85*10</f>
        <v>25</v>
      </c>
      <c r="U86" s="515"/>
      <c r="V86" s="516"/>
      <c r="W86" s="235"/>
      <c r="X86" s="236"/>
      <c r="Y86" s="236"/>
      <c r="Z86" s="237"/>
      <c r="AA86" s="237"/>
      <c r="AB86" s="238"/>
      <c r="AC86" s="13"/>
      <c r="AD86" s="513" t="s">
        <v>620</v>
      </c>
      <c r="AE86" s="514"/>
      <c r="AF86" s="514"/>
      <c r="AG86" s="515">
        <f t="shared" si="2"/>
        <v>49.01368899235581</v>
      </c>
      <c r="AH86" s="515"/>
      <c r="AI86" s="516"/>
      <c r="AJ86" s="15"/>
    </row>
    <row r="87" spans="3:36">
      <c r="D87" s="12"/>
      <c r="E87" s="554" t="s">
        <v>445</v>
      </c>
      <c r="F87" s="555"/>
      <c r="G87" s="413" t="s">
        <v>130</v>
      </c>
      <c r="H87" s="415"/>
      <c r="I87" s="735">
        <f>Z28</f>
        <v>2.4829277099632048</v>
      </c>
      <c r="J87" s="736"/>
      <c r="K87" s="502" t="s">
        <v>442</v>
      </c>
      <c r="L87" s="503"/>
      <c r="M87" s="503"/>
      <c r="N87" s="504">
        <f t="shared" si="1"/>
        <v>24.01368899235581</v>
      </c>
      <c r="O87" s="504"/>
      <c r="P87" s="505"/>
      <c r="Q87" s="659" t="s">
        <v>450</v>
      </c>
      <c r="R87" s="660"/>
      <c r="S87" s="660"/>
      <c r="T87" s="591">
        <f>T86</f>
        <v>25</v>
      </c>
      <c r="U87" s="591"/>
      <c r="V87" s="578"/>
      <c r="W87" s="502" t="s">
        <v>446</v>
      </c>
      <c r="X87" s="503"/>
      <c r="Y87" s="503"/>
      <c r="Z87" s="504">
        <f>Z86</f>
        <v>0</v>
      </c>
      <c r="AA87" s="504"/>
      <c r="AB87" s="505"/>
      <c r="AC87" s="13"/>
      <c r="AD87" s="502" t="s">
        <v>621</v>
      </c>
      <c r="AE87" s="503"/>
      <c r="AF87" s="503"/>
      <c r="AG87" s="504">
        <f t="shared" si="2"/>
        <v>49.01368899235581</v>
      </c>
      <c r="AH87" s="504"/>
      <c r="AI87" s="505"/>
      <c r="AJ87" s="15"/>
    </row>
    <row r="88" spans="3:36">
      <c r="D88" s="12"/>
      <c r="E88" s="556"/>
      <c r="F88" s="557"/>
      <c r="G88" s="418" t="s">
        <v>131</v>
      </c>
      <c r="H88" s="420"/>
      <c r="I88" s="737"/>
      <c r="J88" s="738"/>
      <c r="K88" s="513" t="s">
        <v>443</v>
      </c>
      <c r="L88" s="514"/>
      <c r="M88" s="514"/>
      <c r="N88" s="515">
        <f t="shared" si="1"/>
        <v>24.01368899235581</v>
      </c>
      <c r="O88" s="515"/>
      <c r="P88" s="516"/>
      <c r="Q88" s="513" t="s">
        <v>451</v>
      </c>
      <c r="R88" s="514"/>
      <c r="S88" s="514"/>
      <c r="T88" s="731">
        <f>T87*(J18-I87)/(J18)</f>
        <v>8.3333333333333375</v>
      </c>
      <c r="U88" s="731"/>
      <c r="V88" s="732"/>
      <c r="W88" s="513" t="s">
        <v>447</v>
      </c>
      <c r="X88" s="514"/>
      <c r="Y88" s="514"/>
      <c r="Z88" s="733">
        <f>'2.根入れ長'!H38*'3.断面力1'!I87</f>
        <v>67.039048169006534</v>
      </c>
      <c r="AA88" s="733"/>
      <c r="AB88" s="734"/>
      <c r="AC88" s="13"/>
      <c r="AD88" s="513" t="s">
        <v>622</v>
      </c>
      <c r="AE88" s="514"/>
      <c r="AF88" s="514"/>
      <c r="AG88" s="515">
        <f t="shared" si="2"/>
        <v>-34.692025843317388</v>
      </c>
      <c r="AH88" s="515"/>
      <c r="AI88" s="516"/>
      <c r="AJ88" s="15"/>
    </row>
    <row r="89" spans="3:36">
      <c r="D89" s="12"/>
      <c r="E89" s="28"/>
      <c r="F89" s="28"/>
      <c r="G89" s="166"/>
      <c r="H89" s="166"/>
      <c r="I89" s="239"/>
      <c r="J89" s="239"/>
      <c r="K89" s="134"/>
      <c r="L89" s="134"/>
      <c r="M89" s="134"/>
      <c r="N89" s="96"/>
      <c r="O89" s="96"/>
      <c r="P89" s="96"/>
      <c r="Q89" s="134"/>
      <c r="R89" s="134"/>
      <c r="S89" s="134"/>
      <c r="T89" s="184"/>
      <c r="U89" s="184"/>
      <c r="V89" s="184"/>
      <c r="W89" s="134"/>
      <c r="X89" s="134"/>
      <c r="Y89" s="134"/>
      <c r="Z89" s="96"/>
      <c r="AA89" s="96"/>
      <c r="AB89" s="96"/>
      <c r="AC89" s="13"/>
      <c r="AD89" s="134"/>
      <c r="AE89" s="134"/>
      <c r="AF89" s="134"/>
      <c r="AG89" s="96"/>
      <c r="AH89" s="96"/>
      <c r="AI89" s="96"/>
      <c r="AJ89" s="15"/>
    </row>
    <row r="90" spans="3:36">
      <c r="D90" s="12"/>
      <c r="E90" s="28"/>
      <c r="F90" s="28"/>
      <c r="G90" s="166"/>
      <c r="H90" s="166"/>
      <c r="I90" s="239"/>
      <c r="J90" s="239"/>
      <c r="K90" s="134"/>
      <c r="L90" s="134"/>
      <c r="M90" s="134"/>
      <c r="N90" s="96"/>
      <c r="O90" s="96"/>
      <c r="P90" s="96"/>
      <c r="Q90" s="134"/>
      <c r="R90" s="134"/>
      <c r="S90" s="134"/>
      <c r="T90" s="96"/>
      <c r="U90" s="96"/>
      <c r="V90" s="96"/>
      <c r="W90" s="134"/>
      <c r="X90" s="134"/>
      <c r="Y90" s="134"/>
      <c r="Z90" s="96"/>
      <c r="AA90" s="96"/>
      <c r="AB90" s="96"/>
      <c r="AC90" s="13"/>
      <c r="AD90" s="134"/>
      <c r="AE90" s="134"/>
      <c r="AF90" s="134"/>
      <c r="AG90" s="96"/>
      <c r="AH90" s="96"/>
      <c r="AI90" s="96"/>
      <c r="AJ90" s="15"/>
    </row>
    <row r="91" spans="3:36" ht="20.25">
      <c r="D91" s="12"/>
      <c r="E91" s="32" t="s">
        <v>609</v>
      </c>
      <c r="F91" s="28"/>
      <c r="G91" s="166"/>
      <c r="H91" s="166"/>
      <c r="I91" s="239"/>
      <c r="J91" s="239"/>
      <c r="K91" s="134"/>
      <c r="L91" s="134"/>
      <c r="M91" s="134"/>
      <c r="N91" s="96"/>
      <c r="O91" s="96"/>
      <c r="P91" s="96"/>
      <c r="Q91" s="134"/>
      <c r="R91" s="134"/>
      <c r="S91" s="134"/>
      <c r="T91" s="96"/>
      <c r="U91" s="96"/>
      <c r="V91" s="96"/>
      <c r="W91" s="134"/>
      <c r="X91" s="134"/>
      <c r="Y91" s="134"/>
      <c r="Z91" s="96"/>
      <c r="AA91" s="96"/>
      <c r="AB91" s="96"/>
      <c r="AC91" s="13"/>
      <c r="AD91" s="134"/>
      <c r="AE91" s="134"/>
      <c r="AF91" s="134"/>
      <c r="AG91" s="96"/>
      <c r="AH91" s="96"/>
      <c r="AI91" s="96"/>
      <c r="AJ91" s="15"/>
    </row>
    <row r="92" spans="3:36">
      <c r="D92" s="12"/>
      <c r="E92" s="28"/>
      <c r="F92" s="28"/>
      <c r="G92" s="166"/>
      <c r="H92" s="166"/>
      <c r="I92" s="239"/>
      <c r="J92" s="239"/>
      <c r="N92" s="96"/>
      <c r="O92" s="96"/>
      <c r="P92" s="96"/>
      <c r="Q92" s="134"/>
      <c r="R92" s="134"/>
      <c r="S92" s="134"/>
      <c r="T92" s="96"/>
      <c r="U92" s="96"/>
      <c r="V92" s="96"/>
      <c r="W92" s="134"/>
      <c r="X92" s="134"/>
      <c r="Y92" s="134"/>
      <c r="Z92" s="96"/>
      <c r="AA92" s="96"/>
      <c r="AB92" s="96"/>
      <c r="AC92" s="13"/>
      <c r="AD92" s="134"/>
      <c r="AE92" s="134"/>
      <c r="AF92" s="134"/>
      <c r="AG92" s="96"/>
      <c r="AH92" s="96"/>
      <c r="AI92" s="96"/>
      <c r="AJ92" s="15"/>
    </row>
    <row r="93" spans="3:36" ht="20.25">
      <c r="D93" s="12"/>
      <c r="E93" s="28"/>
      <c r="F93" s="729" t="s">
        <v>623</v>
      </c>
      <c r="G93" s="514"/>
      <c r="H93" s="514"/>
      <c r="I93" s="724" t="s">
        <v>2</v>
      </c>
      <c r="J93" s="17"/>
      <c r="K93" s="17"/>
      <c r="L93" s="515" t="s">
        <v>610</v>
      </c>
      <c r="M93" s="515"/>
      <c r="N93" s="515"/>
      <c r="O93" s="22"/>
      <c r="P93" s="22"/>
      <c r="Q93" s="134"/>
      <c r="R93" s="134"/>
      <c r="S93" s="134"/>
      <c r="T93" s="96"/>
      <c r="U93" s="96"/>
      <c r="V93" s="96"/>
      <c r="W93" s="134"/>
      <c r="X93" s="134"/>
      <c r="Y93" s="134"/>
      <c r="Z93" s="96"/>
      <c r="AA93" s="96"/>
      <c r="AB93" s="96"/>
      <c r="AC93" s="13"/>
      <c r="AD93" s="134"/>
      <c r="AE93" s="134"/>
      <c r="AF93" s="134"/>
      <c r="AG93" s="96"/>
      <c r="AH93" s="96"/>
      <c r="AI93" s="96"/>
      <c r="AJ93" s="15"/>
    </row>
    <row r="94" spans="3:36" ht="20.25">
      <c r="D94" s="12"/>
      <c r="E94" s="28"/>
      <c r="F94" s="730" t="s">
        <v>624</v>
      </c>
      <c r="G94" s="660"/>
      <c r="H94" s="660"/>
      <c r="I94" s="724"/>
      <c r="J94" s="724">
        <f>I87</f>
        <v>2.4829277099632048</v>
      </c>
      <c r="K94" s="724"/>
      <c r="L94" s="724"/>
      <c r="M94" s="264" t="s">
        <v>263</v>
      </c>
      <c r="N94" s="724" t="s">
        <v>625</v>
      </c>
      <c r="O94" s="724"/>
      <c r="P94" s="724"/>
      <c r="Q94" s="134"/>
      <c r="R94" s="134"/>
      <c r="S94" s="134"/>
      <c r="T94" s="96"/>
      <c r="U94" s="96"/>
      <c r="V94" s="96"/>
      <c r="W94" s="134"/>
      <c r="X94" s="134"/>
      <c r="Y94" s="134"/>
      <c r="Z94" s="96"/>
      <c r="AA94" s="96"/>
      <c r="AB94" s="96"/>
      <c r="AC94" s="13"/>
      <c r="AD94" s="134"/>
      <c r="AE94" s="134"/>
      <c r="AF94" s="134"/>
      <c r="AG94" s="96"/>
      <c r="AH94" s="96"/>
      <c r="AI94" s="96"/>
      <c r="AJ94" s="15"/>
    </row>
    <row r="95" spans="3:36">
      <c r="D95" s="12"/>
      <c r="E95" s="28"/>
      <c r="F95" s="28"/>
      <c r="G95" s="166"/>
      <c r="H95" s="166"/>
      <c r="I95" s="239"/>
      <c r="J95" s="239"/>
      <c r="K95" s="134"/>
      <c r="L95" s="134"/>
      <c r="M95" s="134"/>
      <c r="N95" s="96"/>
      <c r="O95" s="96"/>
      <c r="P95" s="96"/>
      <c r="Q95" s="134"/>
      <c r="R95" s="134"/>
      <c r="S95" s="134"/>
      <c r="T95" s="96"/>
      <c r="U95" s="96"/>
      <c r="V95" s="96"/>
      <c r="W95" s="134"/>
      <c r="X95" s="134"/>
      <c r="Y95" s="134"/>
      <c r="Z95" s="96"/>
      <c r="AA95" s="96"/>
      <c r="AB95" s="96"/>
      <c r="AC95" s="13"/>
      <c r="AD95" s="134"/>
      <c r="AE95" s="134"/>
      <c r="AF95" s="134"/>
      <c r="AG95" s="96"/>
      <c r="AH95" s="96"/>
      <c r="AI95" s="96"/>
      <c r="AJ95" s="15"/>
    </row>
    <row r="96" spans="3:36" ht="20.25">
      <c r="D96" s="12"/>
      <c r="E96" s="28"/>
      <c r="F96" s="725">
        <f>AG87</f>
        <v>49.01368899235581</v>
      </c>
      <c r="G96" s="726"/>
      <c r="H96" s="726"/>
      <c r="I96" s="724" t="s">
        <v>2</v>
      </c>
      <c r="J96" s="17"/>
      <c r="K96" s="17"/>
      <c r="L96" s="515" t="s">
        <v>610</v>
      </c>
      <c r="M96" s="515"/>
      <c r="N96" s="515"/>
      <c r="O96" s="22"/>
      <c r="P96" s="22"/>
      <c r="Q96" s="134"/>
      <c r="R96" s="134"/>
      <c r="S96" s="134"/>
      <c r="T96" s="96"/>
      <c r="U96" s="96"/>
      <c r="V96" s="96"/>
      <c r="W96" s="134"/>
      <c r="X96" s="134"/>
      <c r="Y96" s="134"/>
      <c r="Z96" s="96"/>
      <c r="AA96" s="96"/>
      <c r="AB96" s="96"/>
      <c r="AC96" s="13"/>
      <c r="AD96" s="134"/>
      <c r="AE96" s="134"/>
      <c r="AF96" s="134"/>
      <c r="AG96" s="96"/>
      <c r="AH96" s="96"/>
      <c r="AI96" s="96"/>
      <c r="AJ96" s="15"/>
    </row>
    <row r="97" spans="3:36" ht="20.25">
      <c r="D97" s="12"/>
      <c r="E97" s="28"/>
      <c r="F97" s="727">
        <f>-AG88</f>
        <v>34.692025843317388</v>
      </c>
      <c r="G97" s="728"/>
      <c r="H97" s="728"/>
      <c r="I97" s="724"/>
      <c r="J97" s="724">
        <f>J94</f>
        <v>2.4829277099632048</v>
      </c>
      <c r="K97" s="724"/>
      <c r="L97" s="724"/>
      <c r="M97" s="264" t="s">
        <v>263</v>
      </c>
      <c r="N97" s="724" t="s">
        <v>625</v>
      </c>
      <c r="O97" s="724"/>
      <c r="P97" s="724"/>
      <c r="Q97" s="134"/>
      <c r="R97" s="134"/>
      <c r="S97" s="134"/>
      <c r="T97" s="96"/>
      <c r="U97" s="96"/>
      <c r="V97" s="96"/>
      <c r="W97" s="134"/>
      <c r="X97" s="134"/>
      <c r="Y97" s="134"/>
      <c r="Z97" s="96"/>
      <c r="AA97" s="96"/>
      <c r="AB97" s="96"/>
      <c r="AC97" s="13"/>
      <c r="AD97" s="134"/>
      <c r="AE97" s="134"/>
      <c r="AF97" s="134"/>
      <c r="AG97" s="96"/>
      <c r="AH97" s="96"/>
      <c r="AI97" s="96"/>
      <c r="AJ97" s="15"/>
    </row>
    <row r="98" spans="3:36" ht="20.25">
      <c r="D98" s="12"/>
      <c r="E98" s="28"/>
      <c r="F98" s="28"/>
      <c r="G98" s="166"/>
      <c r="H98" s="166"/>
      <c r="I98" s="239"/>
      <c r="J98" s="239"/>
      <c r="K98" s="134"/>
      <c r="L98" s="134"/>
      <c r="M98" s="134"/>
      <c r="N98" s="96"/>
      <c r="O98" s="96"/>
      <c r="P98" s="96"/>
      <c r="Q98" s="134"/>
      <c r="R98" s="134"/>
      <c r="S98" s="134"/>
      <c r="T98" s="96"/>
      <c r="U98" s="96"/>
      <c r="V98" s="96"/>
      <c r="W98" s="134"/>
      <c r="X98" s="134"/>
      <c r="Y98" s="134"/>
      <c r="Z98" s="248" t="s">
        <v>610</v>
      </c>
      <c r="AA98" s="96"/>
      <c r="AB98" s="96"/>
      <c r="AC98" s="13"/>
      <c r="AD98" s="134"/>
      <c r="AE98" s="134"/>
      <c r="AF98" s="134"/>
      <c r="AG98" s="96"/>
      <c r="AH98" s="96"/>
      <c r="AI98" s="96"/>
      <c r="AJ98" s="15"/>
    </row>
    <row r="99" spans="3:36" ht="20.25" customHeight="1">
      <c r="D99" s="12"/>
      <c r="E99" s="28"/>
      <c r="F99" s="658" t="s">
        <v>610</v>
      </c>
      <c r="G99" s="658"/>
      <c r="H99" s="658"/>
      <c r="I99" s="724" t="s">
        <v>2</v>
      </c>
      <c r="J99" s="725">
        <f>J97</f>
        <v>2.4829277099632048</v>
      </c>
      <c r="K99" s="726"/>
      <c r="L99" s="245" t="s">
        <v>27</v>
      </c>
      <c r="M99" s="725">
        <f>F96</f>
        <v>49.01368899235581</v>
      </c>
      <c r="N99" s="726"/>
      <c r="O99" s="726"/>
      <c r="P99" s="22"/>
      <c r="Q99" s="134"/>
      <c r="R99" s="134"/>
      <c r="S99" s="134"/>
      <c r="T99" s="96"/>
      <c r="U99" s="96"/>
      <c r="V99" s="96"/>
      <c r="W99" s="134"/>
      <c r="X99" s="134"/>
      <c r="Y99" s="134"/>
      <c r="Z99" s="96"/>
      <c r="AA99" s="96"/>
      <c r="AB99" s="96"/>
      <c r="AC99" s="13"/>
      <c r="AD99" s="134"/>
      <c r="AE99" s="134"/>
      <c r="AF99" s="134"/>
      <c r="AG99" s="96"/>
      <c r="AH99" s="96"/>
      <c r="AI99" s="96"/>
      <c r="AJ99" s="15"/>
    </row>
    <row r="100" spans="3:36">
      <c r="D100" s="12"/>
      <c r="E100" s="28"/>
      <c r="F100" s="658"/>
      <c r="G100" s="658"/>
      <c r="H100" s="658"/>
      <c r="I100" s="724"/>
      <c r="J100" s="724">
        <f>F97</f>
        <v>34.692025843317388</v>
      </c>
      <c r="K100" s="724"/>
      <c r="L100" s="724"/>
      <c r="M100" s="134" t="s">
        <v>68</v>
      </c>
      <c r="N100" s="591">
        <f>F96</f>
        <v>49.01368899235581</v>
      </c>
      <c r="O100" s="591"/>
      <c r="P100" s="591"/>
      <c r="Q100" s="134"/>
      <c r="R100" s="134"/>
      <c r="S100" s="134"/>
      <c r="T100" s="96"/>
      <c r="U100" s="96"/>
      <c r="V100" s="96"/>
      <c r="W100" s="134"/>
      <c r="X100" s="134"/>
      <c r="Y100" s="134"/>
      <c r="Z100" s="96"/>
      <c r="AB100" s="96"/>
      <c r="AC100" s="13"/>
      <c r="AD100" s="134"/>
      <c r="AE100" s="134"/>
      <c r="AF100" s="134"/>
      <c r="AG100" s="96"/>
      <c r="AH100" s="96"/>
      <c r="AI100" s="96"/>
      <c r="AJ100" s="15"/>
    </row>
    <row r="101" spans="3:36">
      <c r="D101" s="12"/>
      <c r="E101" s="28"/>
      <c r="F101" s="28"/>
      <c r="G101" s="166"/>
      <c r="H101" s="166"/>
      <c r="I101" s="239"/>
      <c r="J101" s="239"/>
      <c r="K101" s="134"/>
      <c r="L101" s="134"/>
      <c r="M101" s="134"/>
      <c r="N101" s="96"/>
      <c r="O101" s="96"/>
      <c r="P101" s="96"/>
      <c r="Q101" s="134"/>
      <c r="R101" s="134"/>
      <c r="S101" s="134"/>
      <c r="T101" s="96"/>
      <c r="U101" s="96"/>
      <c r="V101" s="96"/>
      <c r="W101" s="134"/>
      <c r="X101" s="134"/>
      <c r="Y101" s="134"/>
      <c r="Z101" s="96"/>
      <c r="AA101" s="96"/>
      <c r="AB101" s="96"/>
      <c r="AC101" s="13"/>
      <c r="AD101" s="134"/>
      <c r="AE101" s="134"/>
      <c r="AF101" s="134"/>
      <c r="AG101" s="96"/>
      <c r="AH101" s="96"/>
      <c r="AI101" s="96"/>
      <c r="AJ101" s="15"/>
    </row>
    <row r="102" spans="3:36" ht="20.25">
      <c r="D102" s="12"/>
      <c r="E102" s="28"/>
      <c r="F102" s="591" t="s">
        <v>610</v>
      </c>
      <c r="G102" s="591"/>
      <c r="H102" s="591"/>
      <c r="I102" s="239" t="s">
        <v>2</v>
      </c>
      <c r="J102" s="721">
        <f>J99*M99/(J100+N100)</f>
        <v>1.4538726155740855</v>
      </c>
      <c r="K102" s="722"/>
      <c r="L102" s="723"/>
      <c r="M102" s="246" t="s">
        <v>3</v>
      </c>
      <c r="N102" s="96"/>
      <c r="O102" s="96"/>
      <c r="P102" s="96"/>
      <c r="Q102" s="134"/>
      <c r="R102" s="134"/>
      <c r="S102" s="134"/>
      <c r="T102" s="96"/>
      <c r="U102" s="96"/>
      <c r="V102" s="96"/>
      <c r="W102" s="134"/>
      <c r="X102" s="134"/>
      <c r="Y102" s="134"/>
      <c r="Z102" s="96"/>
      <c r="AA102" s="96"/>
      <c r="AB102" s="96"/>
      <c r="AC102" s="13"/>
      <c r="AD102" s="134"/>
      <c r="AE102" s="134"/>
      <c r="AF102" s="134"/>
      <c r="AG102" s="96"/>
      <c r="AH102" s="96"/>
      <c r="AI102" s="96"/>
      <c r="AJ102" s="15"/>
    </row>
    <row r="103" spans="3:36">
      <c r="D103" s="12"/>
      <c r="E103" s="28"/>
      <c r="F103" s="28"/>
      <c r="G103" s="166"/>
      <c r="H103" s="166"/>
      <c r="I103" s="239"/>
      <c r="J103" s="239"/>
      <c r="K103" s="134"/>
      <c r="L103" s="134"/>
      <c r="M103" s="134"/>
      <c r="N103" s="96"/>
      <c r="O103" s="96"/>
      <c r="P103" s="96"/>
      <c r="Q103" s="134"/>
      <c r="R103" s="134"/>
      <c r="S103" s="134"/>
      <c r="T103" s="96"/>
      <c r="U103" s="96"/>
      <c r="V103" s="96"/>
      <c r="W103" s="134"/>
      <c r="X103" s="134"/>
      <c r="Y103" s="134"/>
      <c r="Z103" s="96"/>
      <c r="AA103" s="96"/>
      <c r="AB103" s="96"/>
      <c r="AC103" s="13"/>
      <c r="AD103" s="134"/>
      <c r="AE103" s="134"/>
      <c r="AF103" s="134"/>
      <c r="AG103" s="96"/>
      <c r="AH103" s="96"/>
      <c r="AI103" s="96"/>
      <c r="AJ103" s="15"/>
    </row>
    <row r="104" spans="3:36">
      <c r="D104" s="12"/>
      <c r="E104" s="28"/>
      <c r="F104" s="28"/>
      <c r="G104" s="166"/>
      <c r="H104" s="166"/>
      <c r="I104" s="239"/>
      <c r="J104" s="239"/>
      <c r="K104" s="134"/>
      <c r="L104" s="134"/>
      <c r="M104" s="134"/>
      <c r="N104" s="96"/>
      <c r="O104" s="96"/>
      <c r="P104" s="96"/>
      <c r="Q104" s="134"/>
      <c r="R104" s="134"/>
      <c r="S104" s="134"/>
      <c r="T104" s="96"/>
      <c r="U104" s="96"/>
      <c r="V104" s="96"/>
      <c r="W104" s="134"/>
      <c r="X104" s="134"/>
      <c r="Y104" s="134"/>
      <c r="Z104" s="96"/>
      <c r="AA104" s="96"/>
      <c r="AB104" s="96"/>
      <c r="AC104" s="13"/>
      <c r="AD104" s="134"/>
      <c r="AE104" s="134"/>
      <c r="AF104" s="134"/>
      <c r="AG104" s="96"/>
      <c r="AH104" s="96"/>
      <c r="AI104" s="96"/>
      <c r="AJ104" s="15"/>
    </row>
    <row r="105" spans="3:36">
      <c r="D105" s="12"/>
      <c r="E105" s="32" t="s">
        <v>626</v>
      </c>
      <c r="F105" s="28"/>
      <c r="G105" s="166"/>
      <c r="H105" s="166"/>
      <c r="I105" s="239"/>
      <c r="J105" s="239"/>
      <c r="K105" s="134"/>
      <c r="L105" s="134"/>
      <c r="M105" s="134"/>
      <c r="N105" s="96"/>
      <c r="O105" s="96"/>
      <c r="P105" s="96"/>
      <c r="Q105" s="134"/>
      <c r="R105" s="134"/>
      <c r="S105" s="134"/>
      <c r="T105" s="96"/>
      <c r="U105" s="96"/>
      <c r="V105" s="96"/>
      <c r="W105" s="134"/>
      <c r="X105" s="134"/>
      <c r="Y105" s="134"/>
      <c r="Z105" s="96"/>
      <c r="AA105" s="96"/>
      <c r="AB105" s="96"/>
      <c r="AC105" s="13"/>
      <c r="AD105" s="134"/>
      <c r="AE105" s="134"/>
      <c r="AF105" s="134"/>
      <c r="AG105" s="96"/>
      <c r="AH105" s="96"/>
      <c r="AI105" s="96"/>
      <c r="AJ105" s="15"/>
    </row>
    <row r="106" spans="3:36">
      <c r="D106" s="12"/>
      <c r="E106" s="32" t="s">
        <v>615</v>
      </c>
      <c r="F106" s="28"/>
      <c r="G106" s="166"/>
      <c r="H106" s="166"/>
      <c r="I106" s="239"/>
      <c r="J106" s="239"/>
      <c r="K106" s="134"/>
      <c r="L106" s="134"/>
      <c r="M106" s="134"/>
      <c r="N106" s="96"/>
      <c r="O106" s="96"/>
      <c r="P106" s="96"/>
      <c r="Q106" s="134"/>
      <c r="R106" s="134"/>
      <c r="S106" s="134"/>
      <c r="T106" s="96"/>
      <c r="U106" s="96"/>
      <c r="V106" s="96"/>
      <c r="W106" s="134"/>
      <c r="X106" s="134"/>
      <c r="Y106" s="134"/>
      <c r="Z106" s="96"/>
      <c r="AA106" s="96"/>
      <c r="AB106" s="96"/>
      <c r="AC106" s="13"/>
      <c r="AD106" s="134"/>
      <c r="AE106" s="134"/>
      <c r="AF106" s="134"/>
      <c r="AG106" s="96"/>
      <c r="AH106" s="96"/>
      <c r="AI106" s="96"/>
      <c r="AJ106" s="15"/>
    </row>
    <row r="107" spans="3:36">
      <c r="C107" s="13"/>
      <c r="D107" s="12"/>
      <c r="E107" s="13"/>
      <c r="F107" s="13"/>
      <c r="G107" s="13"/>
      <c r="H107"/>
      <c r="I107" s="410" t="s">
        <v>23</v>
      </c>
      <c r="J107" s="411"/>
      <c r="K107" s="410"/>
      <c r="L107" s="412"/>
      <c r="M107" s="412"/>
      <c r="N107" s="412"/>
      <c r="O107" s="412"/>
      <c r="P107" s="411"/>
      <c r="Q107" s="13"/>
      <c r="R107" s="13"/>
      <c r="AJ107" s="15"/>
    </row>
    <row r="108" spans="3:36">
      <c r="C108" s="13"/>
      <c r="D108" s="12"/>
      <c r="E108" s="13"/>
      <c r="F108" s="13"/>
      <c r="G108" s="13"/>
      <c r="H108"/>
      <c r="I108" s="421" t="s">
        <v>15</v>
      </c>
      <c r="J108" s="422"/>
      <c r="K108" s="421" t="s">
        <v>249</v>
      </c>
      <c r="L108" s="360"/>
      <c r="M108" s="360"/>
      <c r="N108" s="360"/>
      <c r="O108" s="360"/>
      <c r="P108" s="422"/>
      <c r="Q108" s="13"/>
      <c r="R108" s="13"/>
      <c r="AJ108" s="15"/>
    </row>
    <row r="109" spans="3:36" ht="20.25">
      <c r="C109" s="13"/>
      <c r="D109" s="12"/>
      <c r="E109" s="13"/>
      <c r="F109" s="13"/>
      <c r="G109" s="13"/>
      <c r="H109"/>
      <c r="I109" s="498" t="s">
        <v>20</v>
      </c>
      <c r="J109" s="499"/>
      <c r="K109" s="498" t="s">
        <v>36</v>
      </c>
      <c r="L109" s="500"/>
      <c r="M109" s="500"/>
      <c r="N109" s="500"/>
      <c r="O109" s="500"/>
      <c r="P109" s="499"/>
      <c r="Q109" s="13"/>
      <c r="R109" s="13"/>
      <c r="AJ109" s="15"/>
    </row>
    <row r="110" spans="3:36">
      <c r="C110" s="13"/>
      <c r="D110" s="12"/>
      <c r="E110" s="554" t="s">
        <v>22</v>
      </c>
      <c r="F110" s="555"/>
      <c r="G110" s="413" t="s">
        <v>240</v>
      </c>
      <c r="H110" s="415"/>
      <c r="I110" s="487">
        <f>I83</f>
        <v>1.5</v>
      </c>
      <c r="J110" s="489"/>
      <c r="K110" s="502" t="s">
        <v>576</v>
      </c>
      <c r="L110" s="503"/>
      <c r="M110" s="503"/>
      <c r="N110" s="504">
        <f>AG83</f>
        <v>24.01368899235581</v>
      </c>
      <c r="O110" s="504"/>
      <c r="P110" s="505"/>
      <c r="Q110" s="13"/>
      <c r="R110" s="13"/>
      <c r="AJ110" s="15"/>
    </row>
    <row r="111" spans="3:36">
      <c r="D111" s="12"/>
      <c r="E111" s="556"/>
      <c r="F111" s="557"/>
      <c r="G111" s="418" t="s">
        <v>131</v>
      </c>
      <c r="H111" s="420"/>
      <c r="I111" s="490"/>
      <c r="J111" s="492"/>
      <c r="K111" s="513" t="s">
        <v>245</v>
      </c>
      <c r="L111" s="514"/>
      <c r="M111" s="514"/>
      <c r="N111" s="515">
        <f>AG84</f>
        <v>24.01368899235581</v>
      </c>
      <c r="O111" s="515"/>
      <c r="P111" s="516"/>
      <c r="Q111" s="13"/>
      <c r="R111" s="13"/>
      <c r="AJ111" s="15"/>
    </row>
    <row r="112" spans="3:36">
      <c r="C112" s="13"/>
      <c r="D112" s="12"/>
      <c r="E112" s="554" t="s">
        <v>444</v>
      </c>
      <c r="F112" s="555"/>
      <c r="G112" s="413" t="s">
        <v>130</v>
      </c>
      <c r="H112" s="415"/>
      <c r="I112" s="487">
        <f>I85</f>
        <v>2.5</v>
      </c>
      <c r="J112" s="489"/>
      <c r="K112" s="502" t="s">
        <v>619</v>
      </c>
      <c r="L112" s="503"/>
      <c r="M112" s="503"/>
      <c r="N112" s="504">
        <f>AG85</f>
        <v>24.01368899235581</v>
      </c>
      <c r="O112" s="504"/>
      <c r="P112" s="505"/>
      <c r="Q112" s="13"/>
      <c r="R112" s="13"/>
      <c r="AJ112" s="15"/>
    </row>
    <row r="113" spans="3:36">
      <c r="D113" s="12"/>
      <c r="E113" s="556"/>
      <c r="F113" s="557"/>
      <c r="G113" s="418" t="s">
        <v>131</v>
      </c>
      <c r="H113" s="420"/>
      <c r="I113" s="490"/>
      <c r="J113" s="492"/>
      <c r="K113" s="513" t="s">
        <v>620</v>
      </c>
      <c r="L113" s="514"/>
      <c r="M113" s="514"/>
      <c r="N113" s="515">
        <f>AG86</f>
        <v>49.01368899235581</v>
      </c>
      <c r="O113" s="515"/>
      <c r="P113" s="516"/>
      <c r="Q113" s="13"/>
      <c r="R113" s="13"/>
      <c r="AJ113" s="15"/>
    </row>
    <row r="114" spans="3:36">
      <c r="D114" s="12"/>
      <c r="E114" s="554" t="s">
        <v>445</v>
      </c>
      <c r="F114" s="555"/>
      <c r="G114" s="413" t="s">
        <v>130</v>
      </c>
      <c r="H114" s="415"/>
      <c r="I114" s="735">
        <f>J102</f>
        <v>1.4538726155740855</v>
      </c>
      <c r="J114" s="736"/>
      <c r="K114" s="502" t="s">
        <v>621</v>
      </c>
      <c r="L114" s="503"/>
      <c r="M114" s="503"/>
      <c r="N114" s="504">
        <f>AG87</f>
        <v>49.01368899235581</v>
      </c>
      <c r="O114" s="504"/>
      <c r="P114" s="505"/>
      <c r="Q114" s="13"/>
      <c r="R114" s="13"/>
      <c r="AJ114" s="15"/>
    </row>
    <row r="115" spans="3:36">
      <c r="D115" s="12"/>
      <c r="E115" s="556"/>
      <c r="F115" s="557"/>
      <c r="G115" s="418" t="s">
        <v>616</v>
      </c>
      <c r="H115" s="420"/>
      <c r="I115" s="737"/>
      <c r="J115" s="738"/>
      <c r="K115" s="513" t="s">
        <v>617</v>
      </c>
      <c r="L115" s="514"/>
      <c r="M115" s="514"/>
      <c r="N115" s="515">
        <v>0</v>
      </c>
      <c r="O115" s="515"/>
      <c r="P115" s="516"/>
      <c r="Q115" s="13"/>
      <c r="R115" s="13"/>
      <c r="AJ115" s="15"/>
    </row>
    <row r="116" spans="3:36">
      <c r="D116" s="12"/>
      <c r="E116" s="249"/>
      <c r="F116" s="249"/>
      <c r="G116" s="250"/>
      <c r="H116" s="250"/>
      <c r="I116" s="251"/>
      <c r="J116" s="251"/>
      <c r="K116" s="252"/>
      <c r="L116" s="252"/>
      <c r="M116" s="252"/>
      <c r="N116" s="211"/>
      <c r="O116" s="211"/>
      <c r="P116" s="211"/>
      <c r="Q116" s="13"/>
      <c r="R116" s="13"/>
      <c r="AJ116" s="15"/>
    </row>
    <row r="117" spans="3:36">
      <c r="D117" s="12"/>
      <c r="E117" s="97"/>
      <c r="F117" s="96"/>
      <c r="AJ117" s="15"/>
    </row>
    <row r="118" spans="3:36">
      <c r="D118" s="12"/>
      <c r="W118" s="96"/>
      <c r="X118" s="134"/>
      <c r="Y118" s="134"/>
      <c r="Z118" s="134"/>
      <c r="AA118" s="96"/>
      <c r="AB118" s="96"/>
      <c r="AC118" s="96"/>
      <c r="AD118" s="13"/>
      <c r="AE118" s="134"/>
      <c r="AF118" s="134"/>
      <c r="AG118" s="134"/>
      <c r="AH118" s="96"/>
      <c r="AI118" s="96"/>
      <c r="AJ118" s="121"/>
    </row>
    <row r="119" spans="3:36">
      <c r="D119" s="12"/>
      <c r="E119" s="96"/>
      <c r="F119" s="96"/>
      <c r="G119" s="410" t="s">
        <v>248</v>
      </c>
      <c r="H119" s="412"/>
      <c r="I119" s="412"/>
      <c r="J119" s="412"/>
      <c r="K119" s="412"/>
      <c r="L119" s="412"/>
      <c r="M119" s="412"/>
      <c r="N119" s="412"/>
      <c r="O119" s="412"/>
      <c r="P119" s="412"/>
      <c r="Q119" s="412"/>
      <c r="R119" s="412"/>
      <c r="S119" s="412"/>
      <c r="T119" s="412"/>
      <c r="U119" s="412"/>
      <c r="V119" s="411"/>
      <c r="W119" s="96"/>
      <c r="X119" s="134"/>
      <c r="Y119" s="134"/>
      <c r="Z119" s="134"/>
      <c r="AA119" s="96"/>
      <c r="AB119" s="96"/>
      <c r="AC119" s="96"/>
      <c r="AD119" s="13"/>
      <c r="AE119" s="134"/>
      <c r="AF119" s="134"/>
      <c r="AG119" s="134"/>
      <c r="AH119" s="96"/>
      <c r="AI119" s="96"/>
      <c r="AJ119" s="121"/>
    </row>
    <row r="120" spans="3:36">
      <c r="D120" s="12"/>
      <c r="E120" s="96"/>
      <c r="F120" s="96"/>
      <c r="G120" s="508" t="s">
        <v>33</v>
      </c>
      <c r="H120" s="509"/>
      <c r="I120" s="509"/>
      <c r="J120" s="509"/>
      <c r="K120" s="509"/>
      <c r="L120" s="509"/>
      <c r="M120" s="509"/>
      <c r="N120" s="509"/>
      <c r="O120" s="509"/>
      <c r="P120" s="509"/>
      <c r="Q120" s="509"/>
      <c r="R120" s="509"/>
      <c r="S120" s="509"/>
      <c r="T120" s="509"/>
      <c r="U120" s="509"/>
      <c r="V120" s="510"/>
      <c r="Y120" s="134"/>
      <c r="AC120" s="96"/>
      <c r="AD120" s="13"/>
      <c r="AE120" s="134"/>
      <c r="AF120" s="134"/>
      <c r="AG120" s="134"/>
      <c r="AH120" s="96"/>
      <c r="AI120" s="96"/>
      <c r="AJ120" s="121"/>
    </row>
    <row r="121" spans="3:36">
      <c r="D121" s="12"/>
      <c r="E121" s="96"/>
      <c r="F121" s="96"/>
      <c r="G121" s="498" t="s">
        <v>34</v>
      </c>
      <c r="H121" s="500"/>
      <c r="I121" s="500"/>
      <c r="J121" s="500"/>
      <c r="K121" s="500"/>
      <c r="L121" s="500"/>
      <c r="M121" s="500"/>
      <c r="N121" s="500"/>
      <c r="O121" s="500"/>
      <c r="P121" s="500"/>
      <c r="Q121" s="500"/>
      <c r="R121" s="500"/>
      <c r="S121" s="500"/>
      <c r="T121" s="500"/>
      <c r="U121" s="500"/>
      <c r="V121" s="499"/>
      <c r="Y121" s="134"/>
      <c r="AC121" s="96"/>
      <c r="AD121" s="13"/>
      <c r="AE121" s="134"/>
      <c r="AF121" s="134"/>
      <c r="AG121" s="134"/>
      <c r="AH121" s="96"/>
      <c r="AI121" s="96"/>
      <c r="AJ121" s="121"/>
    </row>
    <row r="122" spans="3:36">
      <c r="D122" s="12"/>
      <c r="E122" s="544" t="s">
        <v>151</v>
      </c>
      <c r="F122" s="619"/>
      <c r="G122" s="506">
        <f>N110</f>
        <v>24.01368899235581</v>
      </c>
      <c r="H122" s="507"/>
      <c r="I122" s="30" t="s">
        <v>27</v>
      </c>
      <c r="J122" s="30" t="s">
        <v>69</v>
      </c>
      <c r="K122" s="507">
        <f>I110</f>
        <v>1.5</v>
      </c>
      <c r="L122" s="507"/>
      <c r="M122" s="30" t="s">
        <v>68</v>
      </c>
      <c r="N122" s="438">
        <f>I112</f>
        <v>2.5</v>
      </c>
      <c r="O122" s="438"/>
      <c r="P122" s="194" t="s">
        <v>83</v>
      </c>
      <c r="Q122" s="30" t="s">
        <v>2</v>
      </c>
      <c r="R122" s="30"/>
      <c r="S122" s="80"/>
      <c r="T122" s="522">
        <f>G122*(K122+N122)</f>
        <v>96.05475596942324</v>
      </c>
      <c r="U122" s="452"/>
      <c r="V122" s="523"/>
      <c r="W122" s="96"/>
      <c r="X122" s="134"/>
      <c r="Y122" s="134"/>
      <c r="AC122" s="96"/>
      <c r="AD122" s="13"/>
      <c r="AE122" s="134"/>
      <c r="AF122" s="134"/>
      <c r="AG122" s="134"/>
      <c r="AH122" s="96"/>
      <c r="AI122" s="96"/>
      <c r="AJ122" s="121"/>
    </row>
    <row r="123" spans="3:36">
      <c r="D123" s="12"/>
      <c r="E123" s="719" t="s">
        <v>152</v>
      </c>
      <c r="F123" s="720"/>
      <c r="G123" s="16" t="s">
        <v>69</v>
      </c>
      <c r="H123" s="569">
        <f>N113</f>
        <v>49.01368899235581</v>
      </c>
      <c r="I123" s="569"/>
      <c r="J123" s="1" t="s">
        <v>236</v>
      </c>
      <c r="K123" s="569">
        <f>N112</f>
        <v>24.01368899235581</v>
      </c>
      <c r="L123" s="569"/>
      <c r="M123" s="1" t="s">
        <v>83</v>
      </c>
      <c r="N123" s="17" t="s">
        <v>27</v>
      </c>
      <c r="O123" s="452">
        <f>I112</f>
        <v>2.5</v>
      </c>
      <c r="P123" s="452"/>
      <c r="Q123" s="17" t="s">
        <v>70</v>
      </c>
      <c r="R123" s="49">
        <v>2</v>
      </c>
      <c r="S123" s="17" t="s">
        <v>2</v>
      </c>
      <c r="T123" s="437">
        <f>(H123-K123)*O123/R123</f>
        <v>31.25</v>
      </c>
      <c r="U123" s="438"/>
      <c r="V123" s="439"/>
      <c r="W123" s="96"/>
      <c r="X123" s="134"/>
      <c r="Y123" s="134"/>
      <c r="AC123" s="96"/>
      <c r="AD123" s="13"/>
      <c r="AE123" s="134"/>
      <c r="AF123" s="134"/>
      <c r="AG123" s="134"/>
      <c r="AH123" s="96"/>
      <c r="AI123" s="96"/>
      <c r="AJ123" s="121"/>
    </row>
    <row r="124" spans="3:36">
      <c r="D124" s="12"/>
      <c r="E124" s="544" t="s">
        <v>153</v>
      </c>
      <c r="F124" s="619"/>
      <c r="G124" s="506">
        <f>N114</f>
        <v>49.01368899235581</v>
      </c>
      <c r="H124" s="507"/>
      <c r="I124" s="30" t="s">
        <v>27</v>
      </c>
      <c r="J124" s="507">
        <f>I114</f>
        <v>1.4538726155740855</v>
      </c>
      <c r="K124" s="507"/>
      <c r="L124" s="30" t="s">
        <v>70</v>
      </c>
      <c r="M124" s="64">
        <v>2</v>
      </c>
      <c r="N124" s="30" t="s">
        <v>2</v>
      </c>
      <c r="O124" s="30"/>
      <c r="P124" s="30"/>
      <c r="Q124" s="30"/>
      <c r="R124" s="30"/>
      <c r="S124" s="343"/>
      <c r="T124" s="437">
        <f>G124*J124/M124</f>
        <v>35.629830107125557</v>
      </c>
      <c r="U124" s="438"/>
      <c r="V124" s="439"/>
      <c r="W124" s="13"/>
      <c r="X124" s="134"/>
      <c r="Y124" s="134"/>
      <c r="Z124" s="134"/>
      <c r="AA124" s="96"/>
      <c r="AB124" s="96"/>
      <c r="AC124" s="96"/>
      <c r="AD124" s="13"/>
      <c r="AE124" s="13"/>
      <c r="AF124" s="13"/>
      <c r="AG124" s="13"/>
      <c r="AH124" s="13"/>
      <c r="AI124" s="13"/>
      <c r="AJ124" s="15"/>
    </row>
    <row r="125" spans="3:36">
      <c r="D125" s="12"/>
      <c r="T125" s="96"/>
      <c r="U125" s="96"/>
      <c r="V125" s="96"/>
      <c r="W125" s="13"/>
      <c r="X125" s="134"/>
      <c r="Y125" s="134"/>
      <c r="Z125" s="134"/>
      <c r="AA125" s="96"/>
      <c r="AB125" s="96"/>
      <c r="AC125" s="96"/>
      <c r="AD125" s="13"/>
      <c r="AE125" s="13"/>
      <c r="AF125" s="13"/>
      <c r="AG125" s="13"/>
      <c r="AH125" s="13"/>
      <c r="AI125" s="13"/>
      <c r="AJ125" s="15"/>
    </row>
    <row r="126" spans="3:36">
      <c r="C126" s="13"/>
      <c r="D126" s="12"/>
      <c r="E126" s="97"/>
      <c r="F126" s="96"/>
      <c r="G126" s="410" t="s">
        <v>250</v>
      </c>
      <c r="H126" s="412"/>
      <c r="I126" s="412"/>
      <c r="J126" s="412"/>
      <c r="K126" s="412"/>
      <c r="L126" s="412"/>
      <c r="M126" s="412"/>
      <c r="N126" s="412"/>
      <c r="O126" s="412"/>
      <c r="P126" s="412"/>
      <c r="Q126" s="412"/>
      <c r="R126" s="412"/>
      <c r="S126" s="412"/>
      <c r="T126" s="412"/>
      <c r="U126" s="412"/>
      <c r="V126" s="412"/>
      <c r="W126" s="412"/>
      <c r="X126" s="411"/>
      <c r="Y126" s="13"/>
      <c r="Z126" s="13"/>
      <c r="AA126" s="13"/>
      <c r="AB126" s="13"/>
      <c r="AC126" s="13"/>
      <c r="AD126" s="13"/>
      <c r="AE126" s="13"/>
      <c r="AF126" s="13"/>
      <c r="AG126" s="13"/>
      <c r="AH126" s="13"/>
      <c r="AI126" s="13"/>
      <c r="AJ126" s="15"/>
    </row>
    <row r="127" spans="3:36">
      <c r="C127" s="13"/>
      <c r="D127" s="12"/>
      <c r="E127" s="97"/>
      <c r="F127" s="96"/>
      <c r="G127" s="508" t="s">
        <v>254</v>
      </c>
      <c r="H127" s="509"/>
      <c r="I127" s="509"/>
      <c r="J127" s="509"/>
      <c r="K127" s="509"/>
      <c r="L127" s="509"/>
      <c r="M127" s="509"/>
      <c r="N127" s="509"/>
      <c r="O127" s="509"/>
      <c r="P127" s="509"/>
      <c r="Q127" s="509"/>
      <c r="R127" s="509"/>
      <c r="S127" s="509"/>
      <c r="T127" s="509"/>
      <c r="U127" s="509"/>
      <c r="V127" s="509"/>
      <c r="W127" s="509"/>
      <c r="X127" s="510"/>
      <c r="Y127" s="13"/>
      <c r="Z127" s="13"/>
      <c r="AA127" s="13"/>
      <c r="AB127" s="13"/>
      <c r="AC127" s="13"/>
      <c r="AD127" s="13"/>
      <c r="AE127" s="13"/>
      <c r="AF127" s="13"/>
      <c r="AG127" s="13"/>
      <c r="AH127" s="13"/>
      <c r="AI127" s="13"/>
      <c r="AJ127" s="15"/>
    </row>
    <row r="128" spans="3:36">
      <c r="C128" s="13"/>
      <c r="D128" s="12"/>
      <c r="E128" s="97"/>
      <c r="F128" s="96"/>
      <c r="G128" s="498" t="s">
        <v>20</v>
      </c>
      <c r="H128" s="500"/>
      <c r="I128" s="500"/>
      <c r="J128" s="500"/>
      <c r="K128" s="500"/>
      <c r="L128" s="500"/>
      <c r="M128" s="500"/>
      <c r="N128" s="500"/>
      <c r="O128" s="500"/>
      <c r="P128" s="500"/>
      <c r="Q128" s="500"/>
      <c r="R128" s="500"/>
      <c r="S128" s="500"/>
      <c r="T128" s="500"/>
      <c r="U128" s="500"/>
      <c r="V128" s="500"/>
      <c r="W128" s="500"/>
      <c r="X128" s="499"/>
      <c r="Y128" s="13"/>
      <c r="Z128" s="13"/>
      <c r="AA128" s="13"/>
      <c r="AB128" s="13"/>
      <c r="AC128" s="13"/>
      <c r="AD128" s="13"/>
      <c r="AE128" s="13"/>
      <c r="AF128" s="13"/>
      <c r="AG128" s="13"/>
      <c r="AH128" s="13"/>
      <c r="AI128" s="13"/>
      <c r="AJ128" s="15"/>
    </row>
    <row r="129" spans="3:36">
      <c r="C129" s="13"/>
      <c r="D129" s="12"/>
      <c r="E129" s="493" t="s">
        <v>151</v>
      </c>
      <c r="F129" s="414"/>
      <c r="G129" s="622">
        <f>Z28</f>
        <v>2.4829277099632048</v>
      </c>
      <c r="H129" s="475"/>
      <c r="I129" s="10" t="s">
        <v>68</v>
      </c>
      <c r="J129" s="475">
        <f>Z27</f>
        <v>4</v>
      </c>
      <c r="K129" s="475"/>
      <c r="L129" s="10" t="s">
        <v>70</v>
      </c>
      <c r="M129" s="265">
        <v>2</v>
      </c>
      <c r="N129" s="10"/>
      <c r="O129" s="10"/>
      <c r="P129" s="10"/>
      <c r="Q129" s="10"/>
      <c r="R129" s="475"/>
      <c r="S129" s="475"/>
      <c r="U129" s="11" t="s">
        <v>2</v>
      </c>
      <c r="V129" s="622">
        <f>G129+J129/M129</f>
        <v>4.4829277099632048</v>
      </c>
      <c r="W129" s="475"/>
      <c r="X129" s="674"/>
      <c r="Y129" s="13"/>
      <c r="Z129" s="13"/>
      <c r="AA129" s="13"/>
      <c r="AB129" s="13"/>
      <c r="AC129" s="13"/>
      <c r="AD129" s="13"/>
      <c r="AE129" s="13"/>
      <c r="AF129" s="13"/>
      <c r="AG129" s="13"/>
      <c r="AH129" s="13"/>
      <c r="AI129" s="13"/>
      <c r="AJ129" s="15"/>
    </row>
    <row r="130" spans="3:36">
      <c r="C130" s="13"/>
      <c r="D130" s="12"/>
      <c r="E130" s="561" t="s">
        <v>152</v>
      </c>
      <c r="F130" s="562"/>
      <c r="G130" s="437">
        <f>Z28</f>
        <v>2.4829277099632048</v>
      </c>
      <c r="H130" s="438"/>
      <c r="I130" s="30" t="s">
        <v>68</v>
      </c>
      <c r="J130" s="438">
        <f>I112</f>
        <v>2.5</v>
      </c>
      <c r="K130" s="438"/>
      <c r="L130" s="30" t="s">
        <v>70</v>
      </c>
      <c r="M130" s="46">
        <v>3</v>
      </c>
      <c r="N130" s="30" t="s">
        <v>27</v>
      </c>
      <c r="O130" s="46">
        <v>1</v>
      </c>
      <c r="P130" s="30"/>
      <c r="Q130" s="30"/>
      <c r="R130" s="438"/>
      <c r="S130" s="438"/>
      <c r="T130" s="30"/>
      <c r="U130" s="80" t="s">
        <v>2</v>
      </c>
      <c r="V130" s="437">
        <f>G130+J130/M130*O130</f>
        <v>3.3162610432965383</v>
      </c>
      <c r="W130" s="438"/>
      <c r="X130" s="439"/>
      <c r="Y130" s="13"/>
      <c r="Z130" s="13"/>
      <c r="AA130" s="13"/>
      <c r="AB130" s="13"/>
      <c r="AC130" s="13"/>
      <c r="AD130" s="13"/>
      <c r="AE130" s="13"/>
      <c r="AF130" s="13"/>
      <c r="AG130" s="13"/>
      <c r="AH130" s="13"/>
      <c r="AI130" s="13"/>
      <c r="AJ130" s="15"/>
    </row>
    <row r="131" spans="3:36">
      <c r="C131" s="13"/>
      <c r="D131" s="12"/>
      <c r="E131" s="511" t="s">
        <v>153</v>
      </c>
      <c r="F131" s="419"/>
      <c r="G131" s="253" t="s">
        <v>69</v>
      </c>
      <c r="H131" s="438">
        <f>Z28</f>
        <v>2.4829277099632048</v>
      </c>
      <c r="I131" s="438"/>
      <c r="J131" s="17" t="s">
        <v>236</v>
      </c>
      <c r="K131" s="438">
        <f>I114</f>
        <v>1.4538726155740855</v>
      </c>
      <c r="L131" s="438"/>
      <c r="M131" s="254" t="s">
        <v>83</v>
      </c>
      <c r="N131" s="254" t="s">
        <v>68</v>
      </c>
      <c r="O131" s="438">
        <f>I114</f>
        <v>1.4538726155740855</v>
      </c>
      <c r="P131" s="438"/>
      <c r="Q131" s="30" t="s">
        <v>70</v>
      </c>
      <c r="R131" s="46">
        <v>3</v>
      </c>
      <c r="S131" s="30" t="s">
        <v>27</v>
      </c>
      <c r="T131" s="46">
        <v>2</v>
      </c>
      <c r="U131" s="80" t="s">
        <v>2</v>
      </c>
      <c r="V131" s="437">
        <f>(H131-K131)+O131/R131*T131</f>
        <v>1.9983035047718429</v>
      </c>
      <c r="W131" s="438"/>
      <c r="X131" s="439"/>
      <c r="Y131" s="13"/>
      <c r="Z131" s="13"/>
      <c r="AA131" s="13"/>
      <c r="AB131" s="13"/>
      <c r="AC131" s="13"/>
      <c r="AD131" s="13"/>
      <c r="AE131" s="13"/>
      <c r="AF131" s="13"/>
      <c r="AG131" s="13"/>
      <c r="AH131" s="13"/>
      <c r="AI131" s="13"/>
      <c r="AJ131" s="15"/>
    </row>
    <row r="132" spans="3:36">
      <c r="D132" s="12"/>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5"/>
    </row>
    <row r="133" spans="3:36">
      <c r="C133" s="13"/>
      <c r="D133" s="12"/>
      <c r="E133" s="96"/>
      <c r="F133" s="96"/>
      <c r="G133" s="410" t="s">
        <v>248</v>
      </c>
      <c r="H133" s="412"/>
      <c r="I133" s="411"/>
      <c r="J133" s="410" t="s">
        <v>32</v>
      </c>
      <c r="K133" s="412"/>
      <c r="L133" s="411"/>
      <c r="M133" s="410" t="s">
        <v>251</v>
      </c>
      <c r="N133" s="412"/>
      <c r="O133" s="412"/>
      <c r="P133" s="411"/>
      <c r="Q133" s="13"/>
      <c r="R133" s="13"/>
      <c r="S133" s="13"/>
      <c r="T133" s="13"/>
      <c r="U133" s="13"/>
      <c r="V133" s="13"/>
      <c r="W133" s="13"/>
      <c r="X133" s="13"/>
      <c r="Y133" s="13"/>
      <c r="Z133" s="13"/>
      <c r="AA133" s="13"/>
      <c r="AB133" s="13"/>
      <c r="AC133" s="13"/>
      <c r="AD133" s="13"/>
      <c r="AE133" s="13"/>
      <c r="AF133" s="13"/>
      <c r="AG133" s="13"/>
      <c r="AH133" s="13"/>
      <c r="AI133" s="13"/>
      <c r="AJ133" s="15"/>
    </row>
    <row r="134" spans="3:36">
      <c r="C134" s="13"/>
      <c r="D134" s="12"/>
      <c r="E134" s="96"/>
      <c r="F134" s="96"/>
      <c r="G134" s="508" t="s">
        <v>33</v>
      </c>
      <c r="H134" s="509"/>
      <c r="I134" s="510"/>
      <c r="J134" s="508" t="s">
        <v>254</v>
      </c>
      <c r="K134" s="509"/>
      <c r="L134" s="510"/>
      <c r="M134" s="508" t="s">
        <v>253</v>
      </c>
      <c r="N134" s="509"/>
      <c r="O134" s="509"/>
      <c r="P134" s="510"/>
      <c r="Q134" s="13"/>
      <c r="R134" s="13"/>
      <c r="S134" s="13"/>
      <c r="T134" s="13"/>
      <c r="U134" s="13"/>
      <c r="V134" s="13"/>
      <c r="W134" s="13"/>
      <c r="X134" s="13"/>
      <c r="Y134" s="13"/>
      <c r="Z134" s="13"/>
      <c r="AA134" s="13"/>
      <c r="AB134" s="13"/>
      <c r="AC134" s="13"/>
      <c r="AD134" s="13"/>
      <c r="AE134" s="13"/>
      <c r="AF134" s="13"/>
      <c r="AG134" s="13"/>
      <c r="AH134" s="13"/>
      <c r="AI134" s="13"/>
      <c r="AJ134" s="15"/>
    </row>
    <row r="135" spans="3:36">
      <c r="C135" s="13"/>
      <c r="D135" s="12"/>
      <c r="E135" s="96"/>
      <c r="F135" s="96"/>
      <c r="G135" s="498" t="s">
        <v>34</v>
      </c>
      <c r="H135" s="500"/>
      <c r="I135" s="499"/>
      <c r="J135" s="498" t="s">
        <v>20</v>
      </c>
      <c r="K135" s="500"/>
      <c r="L135" s="499"/>
      <c r="M135" s="498" t="s">
        <v>35</v>
      </c>
      <c r="N135" s="500"/>
      <c r="O135" s="500"/>
      <c r="P135" s="499"/>
      <c r="Q135" s="13"/>
      <c r="R135" s="13"/>
      <c r="S135" s="13"/>
      <c r="T135" s="13"/>
      <c r="U135" s="13"/>
      <c r="V135" s="13"/>
      <c r="W135" s="13"/>
      <c r="X135" s="13"/>
      <c r="Y135" s="13"/>
      <c r="Z135" s="13"/>
      <c r="AA135" s="13"/>
      <c r="AB135" s="13"/>
      <c r="AC135" s="13"/>
      <c r="AD135" s="13"/>
      <c r="AE135" s="13"/>
      <c r="AF135" s="13"/>
      <c r="AG135" s="13"/>
      <c r="AH135" s="13"/>
      <c r="AI135" s="13"/>
      <c r="AJ135" s="15"/>
    </row>
    <row r="136" spans="3:36">
      <c r="C136" s="13"/>
      <c r="D136" s="12"/>
      <c r="E136" s="544" t="s">
        <v>151</v>
      </c>
      <c r="F136" s="619"/>
      <c r="G136" s="506">
        <f>T122</f>
        <v>96.05475596942324</v>
      </c>
      <c r="H136" s="507"/>
      <c r="I136" s="715"/>
      <c r="J136" s="506">
        <f>V129</f>
        <v>4.4829277099632048</v>
      </c>
      <c r="K136" s="507"/>
      <c r="L136" s="507"/>
      <c r="M136" s="437">
        <f>G136*J136</f>
        <v>430.60652720908098</v>
      </c>
      <c r="N136" s="438"/>
      <c r="O136" s="438"/>
      <c r="P136" s="439"/>
      <c r="Q136" s="13"/>
      <c r="R136" s="13"/>
      <c r="S136" s="13"/>
      <c r="T136" s="13"/>
      <c r="U136" s="13"/>
      <c r="V136" s="13"/>
      <c r="W136" s="13"/>
      <c r="X136" s="13"/>
      <c r="Y136" s="13"/>
      <c r="Z136" s="13"/>
      <c r="AA136" s="13"/>
      <c r="AB136" s="13"/>
      <c r="AC136" s="13"/>
      <c r="AD136" s="13"/>
      <c r="AE136" s="13"/>
      <c r="AF136" s="13"/>
      <c r="AG136" s="13"/>
      <c r="AH136" s="13"/>
      <c r="AI136" s="13"/>
      <c r="AJ136" s="15"/>
    </row>
    <row r="137" spans="3:36">
      <c r="C137" s="13"/>
      <c r="D137" s="12"/>
      <c r="E137" s="719" t="s">
        <v>152</v>
      </c>
      <c r="F137" s="720"/>
      <c r="G137" s="506">
        <f>T123</f>
        <v>31.25</v>
      </c>
      <c r="H137" s="507"/>
      <c r="I137" s="715"/>
      <c r="J137" s="506">
        <f>V130</f>
        <v>3.3162610432965383</v>
      </c>
      <c r="K137" s="507"/>
      <c r="L137" s="507"/>
      <c r="M137" s="437">
        <f t="shared" ref="M137:M138" si="3">G137*J137</f>
        <v>103.63315760301683</v>
      </c>
      <c r="N137" s="438"/>
      <c r="O137" s="438"/>
      <c r="P137" s="439"/>
      <c r="Q137" s="13"/>
      <c r="R137" s="13"/>
      <c r="S137" s="13"/>
      <c r="T137" s="13"/>
      <c r="U137" s="13"/>
      <c r="V137" s="13"/>
      <c r="W137" s="13"/>
      <c r="X137" s="13"/>
      <c r="Y137" s="13"/>
      <c r="Z137" s="13"/>
      <c r="AA137" s="13"/>
      <c r="AB137" s="13"/>
      <c r="AC137" s="13"/>
      <c r="AD137" s="13"/>
      <c r="AE137" s="13"/>
      <c r="AF137" s="13"/>
      <c r="AG137" s="13"/>
      <c r="AH137" s="13"/>
      <c r="AI137" s="13"/>
      <c r="AJ137" s="15"/>
    </row>
    <row r="138" spans="3:36" ht="19.5" thickBot="1">
      <c r="C138" s="13"/>
      <c r="D138" s="12"/>
      <c r="E138" s="643" t="s">
        <v>153</v>
      </c>
      <c r="F138" s="714"/>
      <c r="G138" s="506">
        <f>T124</f>
        <v>35.629830107125557</v>
      </c>
      <c r="H138" s="507"/>
      <c r="I138" s="715"/>
      <c r="J138" s="552">
        <f>V131</f>
        <v>1.9983035047718429</v>
      </c>
      <c r="K138" s="553"/>
      <c r="L138" s="553"/>
      <c r="M138" s="673">
        <f t="shared" si="3"/>
        <v>71.199214377494329</v>
      </c>
      <c r="N138" s="670"/>
      <c r="O138" s="670"/>
      <c r="P138" s="671"/>
      <c r="Q138" s="13"/>
      <c r="R138" s="13"/>
      <c r="S138" s="13"/>
      <c r="T138" s="13"/>
      <c r="U138" s="13"/>
      <c r="V138" s="13"/>
      <c r="W138" s="13"/>
      <c r="X138" s="13"/>
      <c r="Y138" s="13"/>
      <c r="Z138" s="13"/>
      <c r="AA138" s="13"/>
      <c r="AB138" s="13"/>
      <c r="AC138" s="13"/>
      <c r="AD138" s="13"/>
      <c r="AE138" s="13"/>
      <c r="AF138" s="13"/>
      <c r="AG138" s="13"/>
      <c r="AH138" s="13"/>
      <c r="AI138" s="13"/>
      <c r="AJ138" s="15"/>
    </row>
    <row r="139" spans="3:36" ht="19.5" thickTop="1">
      <c r="D139" s="12"/>
      <c r="E139" s="716" t="s">
        <v>252</v>
      </c>
      <c r="F139" s="717"/>
      <c r="G139" s="716"/>
      <c r="H139" s="718"/>
      <c r="I139" s="717"/>
      <c r="J139" s="77"/>
      <c r="K139" s="77"/>
      <c r="L139" s="120"/>
      <c r="M139" s="522">
        <f>SUM(M136:P138)</f>
        <v>605.43889918959212</v>
      </c>
      <c r="N139" s="452"/>
      <c r="O139" s="452"/>
      <c r="P139" s="523"/>
      <c r="Q139" s="13"/>
      <c r="R139" s="13"/>
      <c r="S139" s="13"/>
      <c r="T139" s="13"/>
      <c r="U139" s="13"/>
      <c r="V139" s="13"/>
      <c r="W139" s="13"/>
      <c r="X139" s="13"/>
      <c r="Y139" s="13"/>
      <c r="Z139" s="13"/>
      <c r="AA139" s="13"/>
      <c r="AB139" s="13"/>
      <c r="AC139" s="13"/>
      <c r="AD139" s="13"/>
      <c r="AE139" s="13"/>
      <c r="AF139" s="13"/>
      <c r="AG139" s="13"/>
      <c r="AH139" s="13"/>
      <c r="AI139" s="13"/>
      <c r="AJ139" s="15"/>
    </row>
    <row r="140" spans="3:36">
      <c r="D140" s="12"/>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5"/>
    </row>
    <row r="141" spans="3:36" ht="20.25">
      <c r="D141" s="12"/>
      <c r="E141" s="13" t="s">
        <v>255</v>
      </c>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5"/>
    </row>
    <row r="142" spans="3:36">
      <c r="D142" s="12"/>
      <c r="Z142" s="13"/>
      <c r="AA142" s="13"/>
      <c r="AB142" s="13"/>
      <c r="AC142" s="13"/>
      <c r="AD142" s="13"/>
      <c r="AE142" s="13"/>
      <c r="AF142" s="13"/>
      <c r="AG142" s="13"/>
      <c r="AH142" s="13"/>
      <c r="AI142" s="13"/>
      <c r="AJ142" s="15"/>
    </row>
    <row r="143" spans="3:36">
      <c r="D143" s="12"/>
      <c r="E143" s="13"/>
      <c r="F143" s="13" t="s">
        <v>69</v>
      </c>
      <c r="G143" s="448">
        <f>Z28</f>
        <v>2.4829277099632048</v>
      </c>
      <c r="H143" s="448"/>
      <c r="I143" s="448"/>
      <c r="J143" s="13" t="s">
        <v>68</v>
      </c>
      <c r="K143" s="448">
        <f>Z27</f>
        <v>4</v>
      </c>
      <c r="L143" s="448"/>
      <c r="M143" s="448"/>
      <c r="N143" s="13" t="s">
        <v>83</v>
      </c>
      <c r="O143" s="13" t="s">
        <v>27</v>
      </c>
      <c r="P143" s="360" t="s">
        <v>258</v>
      </c>
      <c r="Q143" s="360"/>
      <c r="R143" s="13" t="s">
        <v>2</v>
      </c>
      <c r="S143" s="448">
        <f>M139</f>
        <v>605.43889918959212</v>
      </c>
      <c r="T143" s="448"/>
      <c r="U143" s="448"/>
      <c r="V143" s="448"/>
      <c r="AA143" s="13"/>
      <c r="AB143" s="13"/>
      <c r="AC143" s="13"/>
      <c r="AD143" s="13"/>
      <c r="AE143" s="13"/>
      <c r="AF143" s="13"/>
      <c r="AG143" s="13"/>
      <c r="AH143" s="13"/>
      <c r="AI143" s="13"/>
      <c r="AJ143" s="15"/>
    </row>
    <row r="144" spans="3:36">
      <c r="D144" s="12"/>
      <c r="E144" s="13"/>
      <c r="F144" s="13"/>
      <c r="G144" s="24"/>
      <c r="H144" s="24"/>
      <c r="I144" s="24"/>
      <c r="J144" s="13"/>
      <c r="K144" s="24"/>
      <c r="L144" s="24"/>
      <c r="M144" s="24"/>
      <c r="N144" s="13"/>
      <c r="O144" s="24"/>
      <c r="P144" s="24"/>
      <c r="Q144" s="24"/>
      <c r="R144" s="13"/>
      <c r="S144" s="13"/>
      <c r="T144" s="35"/>
      <c r="U144" s="35"/>
      <c r="V144" s="13"/>
      <c r="W144" s="14"/>
      <c r="X144" s="14"/>
      <c r="Y144" s="14"/>
      <c r="Z144" s="14"/>
      <c r="AA144" s="13"/>
      <c r="AB144" s="13"/>
      <c r="AC144" s="13"/>
      <c r="AD144" s="13"/>
      <c r="AE144" s="13"/>
      <c r="AF144" s="13"/>
      <c r="AG144" s="13"/>
      <c r="AH144" s="13"/>
      <c r="AI144" s="13"/>
      <c r="AJ144" s="15"/>
    </row>
    <row r="145" spans="4:36">
      <c r="D145" s="12"/>
      <c r="E145" s="13" t="s">
        <v>67</v>
      </c>
      <c r="F145" s="13"/>
      <c r="G145" s="13"/>
      <c r="H145" s="13"/>
      <c r="P145" s="13"/>
      <c r="Q145" s="13"/>
      <c r="R145" s="13"/>
      <c r="S145" s="13"/>
      <c r="T145" s="13"/>
      <c r="U145" s="13"/>
      <c r="V145" s="13"/>
      <c r="W145" s="13"/>
      <c r="X145" s="13"/>
      <c r="Y145" s="13"/>
      <c r="Z145" s="13"/>
      <c r="AA145" s="13"/>
      <c r="AB145" s="13"/>
      <c r="AC145" s="13"/>
      <c r="AD145" s="13"/>
      <c r="AE145" s="13"/>
      <c r="AF145" s="13"/>
      <c r="AG145" s="13"/>
      <c r="AH145" s="13"/>
      <c r="AI145" s="13"/>
      <c r="AJ145" s="15"/>
    </row>
    <row r="146" spans="4:36" ht="20.25">
      <c r="D146" s="12"/>
      <c r="E146" s="13"/>
      <c r="F146" s="13"/>
      <c r="G146" s="13"/>
      <c r="H146" s="13"/>
      <c r="I146" s="360" t="s">
        <v>256</v>
      </c>
      <c r="J146" s="360"/>
      <c r="K146" s="13" t="s">
        <v>2</v>
      </c>
      <c r="L146" s="776">
        <f>S143/(G143+K143)</f>
        <v>93.389734742704448</v>
      </c>
      <c r="M146" s="776"/>
      <c r="N146" s="776"/>
      <c r="O146" s="13" t="s">
        <v>257</v>
      </c>
      <c r="P146" s="13"/>
      <c r="Q146" s="13"/>
      <c r="R146" s="13"/>
      <c r="S146" s="13"/>
      <c r="T146" s="13"/>
      <c r="U146" s="13"/>
      <c r="V146" s="13"/>
      <c r="W146" s="13"/>
      <c r="X146" s="13"/>
      <c r="Y146" s="13"/>
      <c r="Z146" s="13"/>
      <c r="AA146" s="13"/>
      <c r="AB146" s="13"/>
      <c r="AC146" s="13"/>
      <c r="AD146" s="13"/>
      <c r="AE146" s="13"/>
      <c r="AF146" s="13"/>
      <c r="AG146" s="13"/>
      <c r="AH146" s="13"/>
      <c r="AI146" s="13"/>
      <c r="AJ146" s="15"/>
    </row>
    <row r="147" spans="4:36">
      <c r="D147" s="12"/>
      <c r="E147" s="13"/>
      <c r="F147" s="13"/>
      <c r="G147" s="13"/>
      <c r="H147" s="13"/>
      <c r="I147" s="35"/>
      <c r="J147" s="35"/>
      <c r="K147" s="13"/>
      <c r="L147" s="14"/>
      <c r="M147" s="14"/>
      <c r="N147" s="14"/>
      <c r="O147" s="13"/>
      <c r="P147" s="13"/>
      <c r="Q147" s="13"/>
      <c r="R147" s="13"/>
      <c r="S147" s="13"/>
      <c r="T147" s="13"/>
      <c r="U147" s="13"/>
      <c r="V147" s="13"/>
      <c r="W147" s="13"/>
      <c r="X147" s="13"/>
      <c r="Y147" s="13"/>
      <c r="Z147" s="13"/>
      <c r="AA147" s="13"/>
      <c r="AB147" s="13"/>
      <c r="AC147" s="13"/>
      <c r="AD147" s="13"/>
      <c r="AE147" s="13"/>
      <c r="AF147" s="13"/>
      <c r="AG147" s="13"/>
      <c r="AH147" s="13"/>
      <c r="AI147" s="13"/>
      <c r="AJ147" s="15"/>
    </row>
    <row r="148" spans="4:36">
      <c r="D148" s="12" t="s">
        <v>398</v>
      </c>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5"/>
    </row>
    <row r="149" spans="4:36" ht="18.75" customHeight="1">
      <c r="D149" s="12"/>
      <c r="E149" s="777" t="s">
        <v>829</v>
      </c>
      <c r="F149" s="777"/>
      <c r="G149" s="777"/>
      <c r="H149" s="777"/>
      <c r="I149" s="777"/>
      <c r="J149" s="777"/>
      <c r="K149" s="777"/>
      <c r="L149" s="777"/>
      <c r="M149" s="777"/>
      <c r="N149" s="777"/>
      <c r="O149" s="777"/>
      <c r="P149" s="777"/>
      <c r="Q149" s="777"/>
      <c r="R149" s="777"/>
      <c r="S149" s="777"/>
      <c r="T149" s="777"/>
      <c r="U149" s="777"/>
      <c r="V149" s="255"/>
      <c r="W149" s="255"/>
      <c r="X149" s="255"/>
      <c r="Y149" s="255"/>
      <c r="Z149" s="255"/>
      <c r="AA149" s="255"/>
      <c r="AB149" s="255"/>
      <c r="AC149" s="255"/>
      <c r="AD149" s="255"/>
      <c r="AE149" s="255"/>
      <c r="AF149" s="255"/>
      <c r="AG149" s="255"/>
      <c r="AH149" s="255"/>
      <c r="AI149" s="255"/>
      <c r="AJ149" s="256"/>
    </row>
    <row r="150" spans="4:36">
      <c r="D150" s="12"/>
      <c r="E150" s="777"/>
      <c r="F150" s="777"/>
      <c r="G150" s="777"/>
      <c r="H150" s="777"/>
      <c r="I150" s="777"/>
      <c r="J150" s="777"/>
      <c r="K150" s="777"/>
      <c r="L150" s="777"/>
      <c r="M150" s="777"/>
      <c r="N150" s="777"/>
      <c r="O150" s="777"/>
      <c r="P150" s="777"/>
      <c r="Q150" s="777"/>
      <c r="R150" s="777"/>
      <c r="S150" s="777"/>
      <c r="T150" s="777"/>
      <c r="U150" s="777"/>
      <c r="V150" s="255"/>
      <c r="W150" s="255"/>
      <c r="X150" s="255"/>
      <c r="Y150" s="255"/>
      <c r="Z150" s="255"/>
      <c r="AA150" s="255"/>
      <c r="AB150" s="255"/>
      <c r="AC150" s="255"/>
      <c r="AD150" s="255"/>
      <c r="AE150" s="255"/>
      <c r="AF150" s="255"/>
      <c r="AG150" s="255"/>
      <c r="AH150" s="255"/>
      <c r="AI150" s="255"/>
      <c r="AJ150" s="256"/>
    </row>
    <row r="151" spans="4:36">
      <c r="D151" s="12"/>
      <c r="E151" s="777"/>
      <c r="F151" s="777"/>
      <c r="G151" s="777"/>
      <c r="H151" s="777"/>
      <c r="I151" s="777"/>
      <c r="J151" s="777"/>
      <c r="K151" s="777"/>
      <c r="L151" s="777"/>
      <c r="M151" s="777"/>
      <c r="N151" s="777"/>
      <c r="O151" s="777"/>
      <c r="P151" s="777"/>
      <c r="Q151" s="777"/>
      <c r="R151" s="777"/>
      <c r="S151" s="777"/>
      <c r="T151" s="777"/>
      <c r="U151" s="777"/>
      <c r="V151" s="135"/>
      <c r="W151" s="135"/>
      <c r="X151" s="135"/>
      <c r="Y151" s="135"/>
      <c r="Z151" s="135"/>
      <c r="AA151" s="135"/>
      <c r="AB151" s="135"/>
      <c r="AC151" s="135"/>
      <c r="AD151" s="135"/>
      <c r="AE151" s="135"/>
      <c r="AF151" s="135"/>
      <c r="AG151" s="135"/>
      <c r="AH151" s="135"/>
      <c r="AI151" s="135"/>
      <c r="AJ151" s="136"/>
    </row>
    <row r="152" spans="4:36">
      <c r="D152" s="12"/>
      <c r="E152" s="13"/>
      <c r="F152" s="13"/>
      <c r="G152" s="13"/>
      <c r="H152"/>
      <c r="I152" s="410" t="s">
        <v>23</v>
      </c>
      <c r="J152" s="411"/>
      <c r="K152" s="410" t="s">
        <v>242</v>
      </c>
      <c r="L152" s="412"/>
      <c r="M152" s="412"/>
      <c r="N152" s="412"/>
      <c r="O152" s="412"/>
      <c r="P152" s="412"/>
      <c r="Q152" s="412"/>
      <c r="R152" s="412"/>
      <c r="S152" s="412"/>
      <c r="T152" s="411"/>
      <c r="U152" s="135"/>
      <c r="V152" s="135"/>
      <c r="W152" s="135"/>
      <c r="X152" s="135"/>
      <c r="Y152" s="135"/>
      <c r="Z152" s="135"/>
      <c r="AA152" s="135"/>
      <c r="AB152" s="135"/>
      <c r="AC152" s="135"/>
      <c r="AD152" s="135"/>
      <c r="AE152" s="135"/>
      <c r="AF152" s="135"/>
      <c r="AG152" s="135"/>
      <c r="AH152" s="135"/>
      <c r="AI152" s="135"/>
      <c r="AJ152" s="136"/>
    </row>
    <row r="153" spans="4:36">
      <c r="D153" s="12"/>
      <c r="E153" s="13"/>
      <c r="F153" s="13"/>
      <c r="G153" s="13"/>
      <c r="H153"/>
      <c r="I153" s="421" t="s">
        <v>15</v>
      </c>
      <c r="J153" s="422"/>
      <c r="K153" s="421" t="s">
        <v>249</v>
      </c>
      <c r="L153" s="360"/>
      <c r="M153" s="360"/>
      <c r="N153" s="360"/>
      <c r="O153" s="360"/>
      <c r="P153" s="360"/>
      <c r="Q153" s="360"/>
      <c r="R153" s="360"/>
      <c r="S153" s="360"/>
      <c r="T153" s="422"/>
      <c r="U153" s="135"/>
      <c r="V153" s="135"/>
      <c r="W153" s="135"/>
      <c r="X153" s="135"/>
      <c r="Y153" s="135"/>
      <c r="Z153" s="135"/>
      <c r="AA153" s="135"/>
      <c r="AB153" s="135"/>
      <c r="AC153" s="135"/>
      <c r="AD153" s="135"/>
      <c r="AE153" s="135"/>
      <c r="AF153" s="135"/>
      <c r="AG153" s="135"/>
      <c r="AH153" s="135"/>
      <c r="AI153" s="135"/>
      <c r="AJ153" s="136"/>
    </row>
    <row r="154" spans="4:36" ht="20.25">
      <c r="D154" s="12"/>
      <c r="E154" s="32"/>
      <c r="F154" s="32"/>
      <c r="G154" s="32"/>
      <c r="H154" s="32"/>
      <c r="I154" s="498" t="s">
        <v>20</v>
      </c>
      <c r="J154" s="499"/>
      <c r="K154" s="498" t="s">
        <v>36</v>
      </c>
      <c r="L154" s="500"/>
      <c r="M154" s="500"/>
      <c r="N154" s="500"/>
      <c r="O154" s="500"/>
      <c r="P154" s="500"/>
      <c r="Q154" s="500"/>
      <c r="R154" s="500"/>
      <c r="S154" s="500"/>
      <c r="T154" s="499"/>
      <c r="U154" s="135"/>
      <c r="V154" s="135"/>
      <c r="W154" s="135"/>
      <c r="X154" s="135"/>
      <c r="Y154" s="135"/>
      <c r="Z154" s="135"/>
      <c r="AA154" s="135"/>
      <c r="AB154" s="135"/>
      <c r="AC154" s="135"/>
      <c r="AD154" s="135"/>
      <c r="AE154" s="135"/>
      <c r="AF154" s="135"/>
      <c r="AG154" s="135"/>
      <c r="AH154" s="135"/>
      <c r="AI154" s="135"/>
      <c r="AJ154" s="136"/>
    </row>
    <row r="155" spans="4:36">
      <c r="D155" s="12"/>
      <c r="E155" s="554" t="s">
        <v>22</v>
      </c>
      <c r="F155" s="555"/>
      <c r="G155" s="413" t="s">
        <v>240</v>
      </c>
      <c r="H155" s="415"/>
      <c r="I155" s="690">
        <f>I110</f>
        <v>1.5</v>
      </c>
      <c r="J155" s="691"/>
      <c r="K155" s="502" t="s">
        <v>244</v>
      </c>
      <c r="L155" s="503"/>
      <c r="M155" s="503"/>
      <c r="N155" s="504">
        <f>AG83</f>
        <v>24.01368899235581</v>
      </c>
      <c r="O155" s="504"/>
      <c r="P155" s="504"/>
      <c r="Q155" s="260"/>
      <c r="R155" s="260"/>
      <c r="S155" s="260"/>
      <c r="T155" s="261"/>
      <c r="U155" s="135"/>
      <c r="V155" s="135"/>
      <c r="W155" s="135"/>
      <c r="X155" s="135"/>
      <c r="Y155" s="135"/>
      <c r="Z155" s="135"/>
      <c r="AA155" s="135"/>
      <c r="AB155" s="135"/>
      <c r="AC155" s="135"/>
      <c r="AD155" s="135"/>
      <c r="AE155" s="135"/>
      <c r="AF155" s="135"/>
      <c r="AG155" s="135"/>
      <c r="AH155" s="135"/>
      <c r="AI155" s="135"/>
      <c r="AJ155" s="136"/>
    </row>
    <row r="156" spans="4:36">
      <c r="D156" s="12"/>
      <c r="E156" s="556"/>
      <c r="F156" s="557"/>
      <c r="G156" s="418" t="s">
        <v>131</v>
      </c>
      <c r="H156" s="420"/>
      <c r="I156" s="692"/>
      <c r="J156" s="693"/>
      <c r="K156" s="513" t="s">
        <v>245</v>
      </c>
      <c r="L156" s="514"/>
      <c r="M156" s="514"/>
      <c r="N156" s="512">
        <f>AG84</f>
        <v>24.01368899235581</v>
      </c>
      <c r="O156" s="512"/>
      <c r="P156" s="512"/>
      <c r="Q156" s="262"/>
      <c r="R156" s="266"/>
      <c r="S156" s="266"/>
      <c r="T156" s="267"/>
      <c r="U156" s="135"/>
      <c r="V156" s="135"/>
      <c r="W156" s="135"/>
      <c r="X156" s="135"/>
      <c r="Y156" s="135"/>
      <c r="Z156" s="135"/>
      <c r="AA156" s="135"/>
      <c r="AB156" s="135"/>
      <c r="AC156" s="135"/>
      <c r="AD156" s="135"/>
      <c r="AE156" s="135"/>
      <c r="AF156" s="135"/>
      <c r="AG156" s="135"/>
      <c r="AH156" s="135"/>
      <c r="AI156" s="135"/>
      <c r="AJ156" s="136"/>
    </row>
    <row r="157" spans="4:36">
      <c r="D157" s="12"/>
      <c r="E157" s="554" t="s">
        <v>444</v>
      </c>
      <c r="F157" s="555"/>
      <c r="G157" s="413" t="s">
        <v>629</v>
      </c>
      <c r="H157" s="415"/>
      <c r="I157" s="698">
        <f>I112</f>
        <v>2.5</v>
      </c>
      <c r="J157" s="699"/>
      <c r="K157" s="502" t="s">
        <v>619</v>
      </c>
      <c r="L157" s="503"/>
      <c r="M157" s="503"/>
      <c r="N157" s="504">
        <f>AG85</f>
        <v>24.01368899235581</v>
      </c>
      <c r="O157" s="504"/>
      <c r="P157" s="504"/>
      <c r="Q157" s="260"/>
      <c r="R157" s="260"/>
      <c r="S157" s="260"/>
      <c r="T157" s="261"/>
      <c r="U157" s="135"/>
      <c r="V157" s="135"/>
      <c r="W157" s="135"/>
      <c r="X157" s="135"/>
      <c r="Y157" s="135"/>
      <c r="Z157" s="135"/>
      <c r="AA157" s="135"/>
      <c r="AB157" s="135"/>
      <c r="AC157" s="135"/>
      <c r="AD157" s="135"/>
      <c r="AE157" s="135"/>
      <c r="AF157" s="135"/>
      <c r="AG157" s="135"/>
      <c r="AH157" s="135"/>
      <c r="AI157" s="135"/>
      <c r="AJ157" s="136"/>
    </row>
    <row r="158" spans="4:36">
      <c r="D158" s="12"/>
      <c r="E158" s="651"/>
      <c r="F158" s="652"/>
      <c r="G158" s="704" t="s">
        <v>259</v>
      </c>
      <c r="H158" s="705"/>
      <c r="I158" s="700"/>
      <c r="J158" s="701"/>
      <c r="K158" s="513" t="s">
        <v>630</v>
      </c>
      <c r="L158" s="514"/>
      <c r="M158" s="514"/>
      <c r="N158" s="706">
        <f>H166</f>
        <v>10</v>
      </c>
      <c r="O158" s="706"/>
      <c r="P158" s="258" t="s">
        <v>259</v>
      </c>
      <c r="Q158" s="262" t="s">
        <v>68</v>
      </c>
      <c r="R158" s="707">
        <f>N166</f>
        <v>24.01368899235581</v>
      </c>
      <c r="S158" s="707"/>
      <c r="T158" s="708"/>
      <c r="U158" s="135"/>
      <c r="V158" s="135"/>
      <c r="W158" s="135"/>
      <c r="X158" s="135"/>
      <c r="Y158" s="135"/>
      <c r="Z158" s="135"/>
      <c r="AA158" s="135"/>
      <c r="AB158" s="135"/>
      <c r="AC158" s="135"/>
      <c r="AD158" s="135"/>
      <c r="AE158" s="135"/>
      <c r="AF158" s="135"/>
      <c r="AG158" s="135"/>
      <c r="AH158" s="135"/>
      <c r="AI158" s="135"/>
      <c r="AJ158" s="136"/>
    </row>
    <row r="159" spans="4:36">
      <c r="D159" s="12"/>
      <c r="E159" s="651"/>
      <c r="F159" s="652"/>
      <c r="G159" s="709" t="s">
        <v>259</v>
      </c>
      <c r="H159" s="710"/>
      <c r="I159" s="700"/>
      <c r="J159" s="701"/>
      <c r="K159" s="502" t="s">
        <v>630</v>
      </c>
      <c r="L159" s="503"/>
      <c r="M159" s="503"/>
      <c r="N159" s="711">
        <f>N158</f>
        <v>10</v>
      </c>
      <c r="O159" s="711"/>
      <c r="P159" s="259" t="s">
        <v>259</v>
      </c>
      <c r="Q159" s="260" t="s">
        <v>68</v>
      </c>
      <c r="R159" s="712">
        <f>R158</f>
        <v>24.01368899235581</v>
      </c>
      <c r="S159" s="712"/>
      <c r="T159" s="713"/>
      <c r="U159" s="135"/>
      <c r="V159" s="135"/>
      <c r="W159" s="135"/>
      <c r="X159" s="135"/>
      <c r="Y159" s="135"/>
      <c r="Z159" s="135"/>
      <c r="AA159" s="135"/>
      <c r="AB159" s="135"/>
      <c r="AC159" s="135"/>
      <c r="AD159" s="135"/>
      <c r="AE159" s="135"/>
      <c r="AF159" s="135"/>
      <c r="AG159" s="135"/>
      <c r="AH159" s="135"/>
      <c r="AI159" s="135"/>
      <c r="AJ159" s="136"/>
    </row>
    <row r="160" spans="4:36">
      <c r="D160" s="12"/>
      <c r="E160" s="556"/>
      <c r="F160" s="557"/>
      <c r="G160" s="418" t="s">
        <v>131</v>
      </c>
      <c r="H160" s="420"/>
      <c r="I160" s="702"/>
      <c r="J160" s="703"/>
      <c r="K160" s="513" t="s">
        <v>620</v>
      </c>
      <c r="L160" s="514"/>
      <c r="M160" s="514"/>
      <c r="N160" s="515">
        <f>AG86</f>
        <v>49.01368899235581</v>
      </c>
      <c r="O160" s="515"/>
      <c r="P160" s="515"/>
      <c r="Q160" s="262"/>
      <c r="R160" s="262"/>
      <c r="S160" s="262"/>
      <c r="T160" s="263"/>
      <c r="U160" s="135"/>
      <c r="V160" s="135"/>
      <c r="W160" s="135"/>
      <c r="X160" s="135"/>
      <c r="Y160" s="135"/>
      <c r="Z160" s="135"/>
      <c r="AA160" s="135"/>
      <c r="AB160" s="135"/>
      <c r="AC160" s="135"/>
      <c r="AD160" s="135"/>
      <c r="AE160" s="135"/>
      <c r="AF160" s="135"/>
      <c r="AG160" s="135"/>
      <c r="AH160" s="135"/>
      <c r="AI160" s="135"/>
      <c r="AJ160" s="136"/>
    </row>
    <row r="161" spans="4:37">
      <c r="D161" s="12"/>
      <c r="S161" s="257"/>
      <c r="T161" s="135"/>
      <c r="U161" s="135"/>
      <c r="V161" s="135"/>
      <c r="W161" s="135"/>
      <c r="X161" s="135"/>
      <c r="Y161" s="135"/>
      <c r="Z161" s="135"/>
      <c r="AA161" s="135"/>
      <c r="AB161" s="135"/>
      <c r="AC161" s="135"/>
      <c r="AD161" s="135"/>
      <c r="AE161" s="135"/>
      <c r="AF161" s="135"/>
      <c r="AG161" s="135"/>
      <c r="AH161" s="135"/>
      <c r="AI161" s="135"/>
      <c r="AJ161" s="136"/>
    </row>
    <row r="162" spans="4:37">
      <c r="D162" s="12"/>
      <c r="E162" s="13" t="s">
        <v>260</v>
      </c>
      <c r="S162" s="257"/>
      <c r="T162" s="135"/>
      <c r="U162" s="135"/>
      <c r="V162" s="135"/>
      <c r="W162" s="135"/>
      <c r="X162" s="135"/>
      <c r="Y162" s="135"/>
      <c r="Z162" s="135"/>
      <c r="AA162" s="135"/>
      <c r="AB162" s="135"/>
      <c r="AC162" s="135"/>
      <c r="AD162" s="135"/>
      <c r="AE162" s="135"/>
      <c r="AF162" s="135"/>
      <c r="AG162" s="135"/>
      <c r="AH162" s="135"/>
      <c r="AI162" s="135"/>
      <c r="AJ162" s="136"/>
    </row>
    <row r="163" spans="4:37">
      <c r="D163" s="12"/>
      <c r="E163" s="694" t="s">
        <v>830</v>
      </c>
      <c r="F163" s="694"/>
      <c r="G163" s="695" t="s">
        <v>2</v>
      </c>
      <c r="H163" s="17" t="s">
        <v>69</v>
      </c>
      <c r="I163" s="696">
        <f>N160</f>
        <v>49.01368899235581</v>
      </c>
      <c r="J163" s="696"/>
      <c r="K163" s="17" t="s">
        <v>236</v>
      </c>
      <c r="L163" s="696">
        <f>N157</f>
        <v>24.01368899235581</v>
      </c>
      <c r="M163" s="697"/>
      <c r="N163" s="17" t="s">
        <v>83</v>
      </c>
      <c r="O163" s="694" t="s">
        <v>259</v>
      </c>
      <c r="P163" s="449" t="s">
        <v>68</v>
      </c>
      <c r="Q163" s="778">
        <f>N157</f>
        <v>24.01368899235581</v>
      </c>
      <c r="R163" s="778"/>
      <c r="S163" s="243"/>
      <c r="AJ163" s="136"/>
    </row>
    <row r="164" spans="4:37">
      <c r="D164" s="12"/>
      <c r="E164" s="694"/>
      <c r="F164" s="694"/>
      <c r="G164" s="695"/>
      <c r="J164" s="661">
        <f>I157</f>
        <v>2.5</v>
      </c>
      <c r="K164" s="567"/>
      <c r="L164" s="567"/>
      <c r="O164" s="694"/>
      <c r="P164" s="449"/>
      <c r="Q164" s="778"/>
      <c r="R164" s="778"/>
      <c r="S164" s="243"/>
      <c r="AJ164" s="136"/>
    </row>
    <row r="165" spans="4:37">
      <c r="D165" s="12"/>
      <c r="E165" s="135"/>
      <c r="H165" s="242"/>
      <c r="I165" s="242"/>
      <c r="J165" s="242"/>
      <c r="K165" s="240"/>
      <c r="L165" s="241"/>
      <c r="M165" s="241"/>
      <c r="N165" s="243"/>
      <c r="O165" s="135"/>
      <c r="P165" s="28"/>
      <c r="Q165" s="244"/>
      <c r="R165" s="244"/>
      <c r="S165" s="243"/>
      <c r="AJ165" s="136"/>
    </row>
    <row r="166" spans="4:37">
      <c r="D166" s="12"/>
      <c r="G166" s="1" t="s">
        <v>2</v>
      </c>
      <c r="H166" s="779">
        <f>(I163-L163)/J164</f>
        <v>10</v>
      </c>
      <c r="I166" s="779"/>
      <c r="J166" s="779"/>
      <c r="K166" s="730" t="s">
        <v>259</v>
      </c>
      <c r="L166" s="730"/>
      <c r="M166" s="241" t="s">
        <v>68</v>
      </c>
      <c r="N166" s="780">
        <f>Q163</f>
        <v>24.01368899235581</v>
      </c>
      <c r="O166" s="779"/>
      <c r="P166" s="779"/>
      <c r="AJ166" s="15"/>
    </row>
    <row r="167" spans="4:37">
      <c r="D167" s="12"/>
      <c r="AJ167" s="15"/>
    </row>
    <row r="168" spans="4:37">
      <c r="D168" s="12"/>
      <c r="R168" s="135"/>
      <c r="S168" s="135"/>
      <c r="T168" s="135"/>
      <c r="U168" s="135"/>
      <c r="V168" s="135"/>
      <c r="W168" s="135"/>
      <c r="X168" s="135"/>
      <c r="Y168" s="135"/>
      <c r="Z168" s="135"/>
      <c r="AA168" s="135"/>
      <c r="AB168" s="135"/>
      <c r="AC168" s="135"/>
      <c r="AD168" s="135"/>
      <c r="AE168" s="135"/>
      <c r="AF168" s="135"/>
      <c r="AG168" s="135"/>
      <c r="AH168" s="135"/>
      <c r="AI168" s="135"/>
      <c r="AJ168" s="136"/>
    </row>
    <row r="169" spans="4:37">
      <c r="D169" s="12"/>
      <c r="E169" s="97"/>
      <c r="F169" s="96"/>
      <c r="G169" s="96"/>
      <c r="H169" s="96"/>
      <c r="I169" s="410" t="s">
        <v>413</v>
      </c>
      <c r="J169" s="412"/>
      <c r="K169" s="412"/>
      <c r="L169" s="412"/>
      <c r="M169" s="412"/>
      <c r="N169" s="412"/>
      <c r="O169" s="412"/>
      <c r="P169" s="412"/>
      <c r="Q169" s="412"/>
      <c r="R169" s="412"/>
      <c r="S169" s="412"/>
      <c r="T169" s="412"/>
      <c r="U169" s="412"/>
      <c r="V169" s="412"/>
      <c r="W169" s="411"/>
      <c r="X169" s="410" t="s">
        <v>248</v>
      </c>
      <c r="Y169" s="412"/>
      <c r="Z169" s="412"/>
      <c r="AA169" s="412"/>
      <c r="AB169" s="412"/>
      <c r="AC169" s="412"/>
      <c r="AD169" s="412"/>
      <c r="AE169" s="412"/>
      <c r="AF169" s="412"/>
      <c r="AG169" s="412"/>
      <c r="AH169" s="412"/>
      <c r="AI169" s="411"/>
      <c r="AJ169" s="136"/>
      <c r="AK169" s="122"/>
    </row>
    <row r="170" spans="4:37">
      <c r="D170" s="12"/>
      <c r="E170" s="13"/>
      <c r="F170" s="96"/>
      <c r="G170" s="96"/>
      <c r="H170" s="96"/>
      <c r="I170" s="423"/>
      <c r="J170" s="425"/>
      <c r="K170" s="425"/>
      <c r="L170" s="425"/>
      <c r="M170" s="425"/>
      <c r="N170" s="425"/>
      <c r="O170" s="425"/>
      <c r="P170" s="425"/>
      <c r="Q170" s="425"/>
      <c r="R170" s="425"/>
      <c r="S170" s="425"/>
      <c r="T170" s="425"/>
      <c r="U170" s="425"/>
      <c r="V170" s="425"/>
      <c r="W170" s="424"/>
      <c r="X170" s="508" t="s">
        <v>33</v>
      </c>
      <c r="Y170" s="509"/>
      <c r="Z170" s="509"/>
      <c r="AA170" s="509"/>
      <c r="AB170" s="509"/>
      <c r="AC170" s="509"/>
      <c r="AD170" s="509"/>
      <c r="AE170" s="509"/>
      <c r="AF170" s="509"/>
      <c r="AG170" s="509"/>
      <c r="AH170" s="509"/>
      <c r="AI170" s="510"/>
      <c r="AJ170" s="121"/>
      <c r="AK170" s="96"/>
    </row>
    <row r="171" spans="4:37">
      <c r="D171" s="12"/>
      <c r="E171" s="97"/>
      <c r="F171" s="96"/>
      <c r="G171" s="96"/>
      <c r="H171" s="96"/>
      <c r="I171" s="498"/>
      <c r="J171" s="500"/>
      <c r="K171" s="500"/>
      <c r="L171" s="500"/>
      <c r="M171" s="500"/>
      <c r="N171" s="500"/>
      <c r="O171" s="500"/>
      <c r="P171" s="500"/>
      <c r="Q171" s="500"/>
      <c r="R171" s="500"/>
      <c r="S171" s="500"/>
      <c r="T171" s="500"/>
      <c r="U171" s="500"/>
      <c r="V171" s="500"/>
      <c r="W171" s="499"/>
      <c r="X171" s="498" t="s">
        <v>34</v>
      </c>
      <c r="Y171" s="500"/>
      <c r="Z171" s="500"/>
      <c r="AA171" s="500"/>
      <c r="AB171" s="500"/>
      <c r="AC171" s="500"/>
      <c r="AD171" s="500"/>
      <c r="AE171" s="500"/>
      <c r="AF171" s="500"/>
      <c r="AG171" s="500"/>
      <c r="AH171" s="500"/>
      <c r="AI171" s="499"/>
      <c r="AJ171" s="121"/>
      <c r="AK171" s="96"/>
    </row>
    <row r="172" spans="4:37">
      <c r="D172" s="12"/>
      <c r="E172" s="462" t="s">
        <v>22</v>
      </c>
      <c r="F172" s="464"/>
      <c r="G172" s="544" t="s">
        <v>151</v>
      </c>
      <c r="H172" s="689"/>
      <c r="I172" s="506">
        <f>N155</f>
        <v>24.01368899235581</v>
      </c>
      <c r="J172" s="507"/>
      <c r="K172" s="30" t="s">
        <v>27</v>
      </c>
      <c r="L172" s="475">
        <f>I155</f>
        <v>1.5</v>
      </c>
      <c r="M172" s="475"/>
      <c r="W172" s="80" t="s">
        <v>2</v>
      </c>
      <c r="X172" s="139"/>
      <c r="Y172" s="30"/>
      <c r="Z172" s="30"/>
      <c r="AA172" s="30"/>
      <c r="AB172" s="30"/>
      <c r="AC172" s="30"/>
      <c r="AD172" s="30"/>
      <c r="AE172" s="30"/>
      <c r="AF172" s="30"/>
      <c r="AG172" s="438">
        <f>I172*L172</f>
        <v>36.020533488533715</v>
      </c>
      <c r="AH172" s="438"/>
      <c r="AI172" s="439"/>
      <c r="AJ172" s="121"/>
    </row>
    <row r="173" spans="4:37">
      <c r="D173" s="12"/>
      <c r="E173" s="554" t="s">
        <v>94</v>
      </c>
      <c r="F173" s="555"/>
      <c r="G173" s="561" t="s">
        <v>152</v>
      </c>
      <c r="H173" s="623"/>
      <c r="I173" s="506">
        <f>N157</f>
        <v>24.01368899235581</v>
      </c>
      <c r="J173" s="507"/>
      <c r="K173" s="30" t="s">
        <v>27</v>
      </c>
      <c r="L173" s="124" t="s">
        <v>259</v>
      </c>
      <c r="M173" s="30"/>
      <c r="N173" s="64"/>
      <c r="O173" s="30"/>
      <c r="P173" s="30"/>
      <c r="Q173" s="30"/>
      <c r="R173" s="30"/>
      <c r="S173" s="30"/>
      <c r="T173" s="30"/>
      <c r="U173" s="30"/>
      <c r="V173" s="30"/>
      <c r="W173" s="80" t="s">
        <v>2</v>
      </c>
      <c r="Z173" s="13"/>
      <c r="AA173" s="13"/>
      <c r="AB173" s="448">
        <f>I173</f>
        <v>24.01368899235581</v>
      </c>
      <c r="AC173" s="448"/>
      <c r="AD173" s="448"/>
      <c r="AE173" s="34" t="s">
        <v>259</v>
      </c>
      <c r="AF173" s="13"/>
      <c r="AG173" s="84"/>
      <c r="AH173" s="84"/>
      <c r="AI173" s="103"/>
      <c r="AJ173" s="15"/>
    </row>
    <row r="174" spans="4:37">
      <c r="D174" s="12"/>
      <c r="E174" s="556"/>
      <c r="F174" s="557"/>
      <c r="G174" s="561" t="s">
        <v>153</v>
      </c>
      <c r="H174" s="623"/>
      <c r="I174" s="471">
        <f>N158</f>
        <v>10</v>
      </c>
      <c r="J174" s="472"/>
      <c r="K174" s="30" t="s">
        <v>27</v>
      </c>
      <c r="L174" s="230" t="s">
        <v>582</v>
      </c>
      <c r="M174" s="230"/>
      <c r="N174" s="30" t="s">
        <v>70</v>
      </c>
      <c r="O174" s="64">
        <v>2</v>
      </c>
      <c r="P174" s="254"/>
      <c r="Q174" s="64"/>
      <c r="R174" s="30"/>
      <c r="S174" s="124"/>
      <c r="T174" s="30"/>
      <c r="U174" s="30"/>
      <c r="V174" s="30"/>
      <c r="W174" s="80" t="s">
        <v>2</v>
      </c>
      <c r="X174" s="437">
        <f>I174/O174</f>
        <v>5</v>
      </c>
      <c r="Y174" s="438"/>
      <c r="Z174" s="230" t="s">
        <v>582</v>
      </c>
      <c r="AA174" s="30"/>
      <c r="AB174" s="254"/>
      <c r="AC174" s="254"/>
      <c r="AD174" s="254"/>
      <c r="AE174" s="230"/>
      <c r="AF174" s="30"/>
      <c r="AG174" s="30"/>
      <c r="AH174" s="30"/>
      <c r="AI174" s="80"/>
      <c r="AJ174" s="15"/>
    </row>
    <row r="175" spans="4:37">
      <c r="D175" s="12"/>
      <c r="AJ175" s="15"/>
    </row>
    <row r="176" spans="4:37">
      <c r="D176" s="12"/>
      <c r="E176" s="13"/>
      <c r="F176" s="13"/>
      <c r="G176" s="13"/>
      <c r="H176" s="13"/>
      <c r="I176" s="13"/>
      <c r="J176" s="13"/>
      <c r="K176" s="13"/>
      <c r="L176" s="13"/>
      <c r="M176" s="13"/>
      <c r="N176" s="13"/>
      <c r="O176" s="13"/>
      <c r="P176" s="13"/>
      <c r="Q176" s="13"/>
      <c r="R176" s="13"/>
      <c r="U176" s="13"/>
      <c r="V176" s="13"/>
      <c r="W176" s="13"/>
      <c r="X176" s="13"/>
      <c r="Y176" s="13"/>
      <c r="Z176" s="13"/>
      <c r="AA176" s="13"/>
      <c r="AB176" s="13"/>
      <c r="AC176" s="13"/>
      <c r="AD176" s="13"/>
      <c r="AE176" s="13"/>
      <c r="AF176" s="13"/>
      <c r="AG176" s="13"/>
      <c r="AH176" s="13"/>
      <c r="AI176" s="13"/>
      <c r="AJ176" s="15"/>
    </row>
    <row r="177" spans="4:45">
      <c r="D177" s="12"/>
      <c r="E177" s="97"/>
      <c r="F177" s="96"/>
      <c r="G177" s="96"/>
      <c r="H177" s="96"/>
      <c r="I177" s="410" t="s">
        <v>413</v>
      </c>
      <c r="J177" s="412"/>
      <c r="K177" s="412"/>
      <c r="L177" s="412"/>
      <c r="M177" s="412"/>
      <c r="N177" s="412"/>
      <c r="O177" s="412"/>
      <c r="P177" s="412"/>
      <c r="Q177" s="412"/>
      <c r="R177" s="412"/>
      <c r="S177" s="410" t="s">
        <v>32</v>
      </c>
      <c r="T177" s="412"/>
      <c r="U177" s="412"/>
      <c r="V177" s="412"/>
      <c r="W177" s="412"/>
      <c r="X177" s="412"/>
      <c r="Y177" s="412"/>
      <c r="Z177" s="412"/>
      <c r="AA177" s="412"/>
      <c r="AB177" s="412"/>
      <c r="AC177" s="412"/>
      <c r="AD177" s="411"/>
      <c r="AE177" s="135"/>
      <c r="AF177" s="135"/>
      <c r="AG177" s="135"/>
      <c r="AH177" s="135"/>
      <c r="AI177" s="135"/>
      <c r="AJ177" s="136"/>
    </row>
    <row r="178" spans="4:45">
      <c r="D178" s="12"/>
      <c r="E178" s="13"/>
      <c r="F178" s="96"/>
      <c r="G178" s="96"/>
      <c r="H178" s="96"/>
      <c r="I178" s="423" t="s">
        <v>631</v>
      </c>
      <c r="J178" s="425"/>
      <c r="K178" s="425"/>
      <c r="L178" s="425"/>
      <c r="M178" s="425"/>
      <c r="N178" s="425"/>
      <c r="O178" s="425"/>
      <c r="P178" s="425"/>
      <c r="Q178" s="425"/>
      <c r="R178" s="425"/>
      <c r="S178" s="508" t="s">
        <v>150</v>
      </c>
      <c r="T178" s="509"/>
      <c r="U178" s="509"/>
      <c r="V178" s="509"/>
      <c r="W178" s="509"/>
      <c r="X178" s="509"/>
      <c r="Y178" s="509"/>
      <c r="Z178" s="509"/>
      <c r="AA178" s="509"/>
      <c r="AB178" s="509"/>
      <c r="AC178" s="509"/>
      <c r="AD178" s="510"/>
      <c r="AE178" s="96"/>
      <c r="AF178" s="13"/>
      <c r="AG178" s="134"/>
      <c r="AH178" s="134"/>
      <c r="AI178" s="134"/>
      <c r="AJ178" s="121"/>
    </row>
    <row r="179" spans="4:45">
      <c r="D179" s="12"/>
      <c r="E179" s="97"/>
      <c r="F179" s="96"/>
      <c r="G179" s="96"/>
      <c r="H179" s="96"/>
      <c r="I179" s="189"/>
      <c r="J179" s="25"/>
      <c r="K179" s="25"/>
      <c r="L179" s="25"/>
      <c r="M179" s="25"/>
      <c r="N179" s="25"/>
      <c r="O179" s="25"/>
      <c r="P179" s="25"/>
      <c r="Q179" s="25"/>
      <c r="R179" s="25"/>
      <c r="S179" s="498" t="s">
        <v>20</v>
      </c>
      <c r="T179" s="500"/>
      <c r="U179" s="500"/>
      <c r="V179" s="500"/>
      <c r="W179" s="500"/>
      <c r="X179" s="500"/>
      <c r="Y179" s="500"/>
      <c r="Z179" s="500"/>
      <c r="AA179" s="500"/>
      <c r="AB179" s="500"/>
      <c r="AC179" s="500"/>
      <c r="AD179" s="499"/>
      <c r="AE179" s="96"/>
      <c r="AF179" s="13"/>
      <c r="AG179" s="134"/>
      <c r="AH179" s="134"/>
      <c r="AI179" s="134"/>
      <c r="AJ179" s="121"/>
    </row>
    <row r="180" spans="4:45">
      <c r="D180" s="12"/>
      <c r="E180" s="462" t="s">
        <v>22</v>
      </c>
      <c r="F180" s="464"/>
      <c r="G180" s="544" t="s">
        <v>151</v>
      </c>
      <c r="H180" s="689"/>
      <c r="I180" s="687" t="s">
        <v>259</v>
      </c>
      <c r="J180" s="688"/>
      <c r="K180" s="1" t="s">
        <v>464</v>
      </c>
      <c r="L180" s="625">
        <f>I155</f>
        <v>1.5</v>
      </c>
      <c r="M180" s="625"/>
      <c r="N180" s="30" t="s">
        <v>70</v>
      </c>
      <c r="O180" s="46">
        <v>2</v>
      </c>
      <c r="R180" s="80" t="s">
        <v>2</v>
      </c>
      <c r="S180" s="139"/>
      <c r="T180" s="30"/>
      <c r="U180" s="30"/>
      <c r="V180" s="30"/>
      <c r="W180" s="30"/>
      <c r="X180" s="30"/>
      <c r="Y180" s="30"/>
      <c r="Z180" s="230" t="s">
        <v>259</v>
      </c>
      <c r="AA180" s="30" t="s">
        <v>464</v>
      </c>
      <c r="AB180" s="438">
        <f>L180/O180</f>
        <v>0.75</v>
      </c>
      <c r="AC180" s="438"/>
      <c r="AD180" s="439"/>
      <c r="AE180" s="96"/>
      <c r="AF180" s="13"/>
      <c r="AG180" s="134"/>
      <c r="AH180" s="134"/>
      <c r="AI180" s="134"/>
      <c r="AJ180" s="121"/>
    </row>
    <row r="181" spans="4:45">
      <c r="D181" s="12"/>
      <c r="E181" s="554" t="s">
        <v>94</v>
      </c>
      <c r="F181" s="555"/>
      <c r="G181" s="561" t="s">
        <v>152</v>
      </c>
      <c r="H181" s="623"/>
      <c r="I181" s="687" t="s">
        <v>259</v>
      </c>
      <c r="J181" s="688"/>
      <c r="K181" s="30"/>
      <c r="L181" s="625"/>
      <c r="M181" s="625"/>
      <c r="N181" s="30" t="s">
        <v>70</v>
      </c>
      <c r="O181" s="46">
        <v>2</v>
      </c>
      <c r="P181" s="30"/>
      <c r="Q181" s="46"/>
      <c r="R181" s="80" t="s">
        <v>2</v>
      </c>
      <c r="U181" s="13"/>
      <c r="V181" s="13"/>
      <c r="W181" s="448">
        <f>1/O181</f>
        <v>0.5</v>
      </c>
      <c r="X181" s="448"/>
      <c r="Y181" s="448"/>
      <c r="Z181" s="34" t="s">
        <v>259</v>
      </c>
      <c r="AA181" s="13"/>
      <c r="AB181" s="448"/>
      <c r="AC181" s="448"/>
      <c r="AD181" s="594"/>
      <c r="AE181" s="96"/>
      <c r="AF181" s="13"/>
      <c r="AG181" s="134"/>
      <c r="AH181" s="134"/>
      <c r="AI181" s="134"/>
      <c r="AJ181" s="121"/>
    </row>
    <row r="182" spans="4:45">
      <c r="D182" s="12"/>
      <c r="E182" s="556"/>
      <c r="F182" s="557"/>
      <c r="G182" s="561" t="s">
        <v>153</v>
      </c>
      <c r="H182" s="623"/>
      <c r="I182" s="687" t="s">
        <v>259</v>
      </c>
      <c r="J182" s="688"/>
      <c r="K182" s="30"/>
      <c r="L182" s="507"/>
      <c r="M182" s="507"/>
      <c r="N182" s="30" t="s">
        <v>70</v>
      </c>
      <c r="O182" s="64">
        <v>3</v>
      </c>
      <c r="P182" s="30" t="s">
        <v>27</v>
      </c>
      <c r="Q182" s="46">
        <v>1</v>
      </c>
      <c r="R182" s="80" t="s">
        <v>2</v>
      </c>
      <c r="S182" s="139"/>
      <c r="T182" s="30"/>
      <c r="U182" s="30"/>
      <c r="V182" s="30"/>
      <c r="W182" s="438">
        <f>Q182/O182</f>
        <v>0.33333333333333331</v>
      </c>
      <c r="X182" s="438"/>
      <c r="Y182" s="438"/>
      <c r="Z182" s="230" t="s">
        <v>259</v>
      </c>
      <c r="AA182" s="30"/>
      <c r="AB182" s="30"/>
      <c r="AC182" s="30"/>
      <c r="AD182" s="80"/>
      <c r="AE182" s="96"/>
      <c r="AF182" s="13"/>
      <c r="AG182" s="134"/>
      <c r="AH182" s="134"/>
      <c r="AI182" s="134"/>
      <c r="AJ182" s="121"/>
    </row>
    <row r="183" spans="4:45">
      <c r="D183" s="12"/>
      <c r="E183" s="28"/>
      <c r="F183" s="28"/>
      <c r="G183" s="213"/>
      <c r="H183" s="213"/>
      <c r="I183" s="233"/>
      <c r="J183" s="233"/>
      <c r="K183" s="13"/>
      <c r="L183" s="192"/>
      <c r="M183" s="192"/>
      <c r="N183" s="13"/>
      <c r="O183" s="104"/>
      <c r="P183" s="13"/>
      <c r="Q183" s="31"/>
      <c r="R183" s="13"/>
      <c r="S183" s="13"/>
      <c r="T183" s="13"/>
      <c r="U183" s="13"/>
      <c r="V183" s="13"/>
      <c r="W183" s="24"/>
      <c r="X183" s="24"/>
      <c r="Y183" s="24"/>
      <c r="Z183" s="34"/>
      <c r="AA183" s="13"/>
      <c r="AB183" s="13"/>
      <c r="AC183" s="13"/>
      <c r="AD183" s="13"/>
      <c r="AE183" s="96"/>
      <c r="AF183" s="13"/>
      <c r="AG183" s="134"/>
      <c r="AH183" s="134"/>
      <c r="AI183" s="134"/>
      <c r="AJ183" s="121"/>
    </row>
    <row r="184" spans="4:45">
      <c r="D184" s="12"/>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5"/>
    </row>
    <row r="185" spans="4:45">
      <c r="D185" s="12"/>
      <c r="E185" s="97"/>
      <c r="F185" s="96"/>
      <c r="G185" s="96"/>
      <c r="H185" s="96"/>
      <c r="I185" s="410" t="s">
        <v>251</v>
      </c>
      <c r="J185" s="412"/>
      <c r="K185" s="412"/>
      <c r="L185" s="412"/>
      <c r="M185" s="412"/>
      <c r="N185" s="412"/>
      <c r="O185" s="412"/>
      <c r="P185" s="412"/>
      <c r="Q185" s="412"/>
      <c r="R185" s="412"/>
      <c r="S185" s="412"/>
      <c r="T185" s="412"/>
      <c r="U185" s="412"/>
      <c r="V185" s="412"/>
      <c r="W185" s="412"/>
      <c r="X185" s="412"/>
      <c r="Y185" s="412"/>
      <c r="Z185" s="412"/>
      <c r="AA185" s="412"/>
      <c r="AB185" s="412"/>
      <c r="AC185" s="411"/>
      <c r="AD185" s="135"/>
      <c r="AE185" s="135"/>
      <c r="AF185" s="135"/>
      <c r="AG185" s="135"/>
      <c r="AH185" s="135"/>
      <c r="AI185" s="135"/>
      <c r="AJ185" s="136"/>
      <c r="AK185" s="122"/>
      <c r="AL185" s="122"/>
      <c r="AM185" s="122"/>
      <c r="AN185" s="122"/>
      <c r="AO185" s="122"/>
      <c r="AP185" s="122"/>
      <c r="AQ185" s="122"/>
      <c r="AR185" s="122"/>
      <c r="AS185" s="122"/>
    </row>
    <row r="186" spans="4:45">
      <c r="D186" s="12"/>
      <c r="E186" s="13"/>
      <c r="F186" s="96"/>
      <c r="G186" s="96"/>
      <c r="H186" s="96"/>
      <c r="I186" s="508" t="s">
        <v>261</v>
      </c>
      <c r="J186" s="509"/>
      <c r="K186" s="509"/>
      <c r="L186" s="509"/>
      <c r="M186" s="509"/>
      <c r="N186" s="509"/>
      <c r="O186" s="509"/>
      <c r="P186" s="509"/>
      <c r="Q186" s="509"/>
      <c r="R186" s="509"/>
      <c r="S186" s="509"/>
      <c r="T186" s="509"/>
      <c r="U186" s="509"/>
      <c r="V186" s="509"/>
      <c r="W186" s="509"/>
      <c r="X186" s="509"/>
      <c r="Y186" s="509"/>
      <c r="Z186" s="509"/>
      <c r="AA186" s="509"/>
      <c r="AB186" s="509"/>
      <c r="AC186" s="510"/>
      <c r="AD186" s="96"/>
      <c r="AE186" s="96"/>
      <c r="AF186" s="13"/>
      <c r="AG186" s="134"/>
      <c r="AH186" s="134"/>
      <c r="AI186" s="134"/>
      <c r="AJ186" s="121"/>
      <c r="AK186" s="96"/>
      <c r="AL186" s="96"/>
      <c r="AN186" s="13"/>
      <c r="AO186" s="13"/>
      <c r="AP186" s="13"/>
      <c r="AQ186" s="13"/>
      <c r="AR186" s="13"/>
      <c r="AS186" s="13"/>
    </row>
    <row r="187" spans="4:45">
      <c r="D187" s="12"/>
      <c r="E187" s="97"/>
      <c r="F187" s="96"/>
      <c r="G187" s="96"/>
      <c r="H187" s="96"/>
      <c r="I187" s="498" t="s">
        <v>35</v>
      </c>
      <c r="J187" s="500"/>
      <c r="K187" s="500"/>
      <c r="L187" s="500"/>
      <c r="M187" s="500"/>
      <c r="N187" s="500"/>
      <c r="O187" s="500"/>
      <c r="P187" s="500"/>
      <c r="Q187" s="500"/>
      <c r="R187" s="500"/>
      <c r="S187" s="500"/>
      <c r="T187" s="500"/>
      <c r="U187" s="500"/>
      <c r="V187" s="500"/>
      <c r="W187" s="500"/>
      <c r="X187" s="500"/>
      <c r="Y187" s="500"/>
      <c r="Z187" s="500"/>
      <c r="AA187" s="500"/>
      <c r="AB187" s="500"/>
      <c r="AC187" s="499"/>
      <c r="AD187" s="96"/>
      <c r="AE187" s="96"/>
      <c r="AF187" s="13"/>
      <c r="AG187" s="134"/>
      <c r="AH187" s="134"/>
      <c r="AI187" s="134"/>
      <c r="AJ187" s="121"/>
      <c r="AK187" s="96"/>
      <c r="AL187" s="96"/>
      <c r="AN187" s="13"/>
      <c r="AO187" s="13"/>
      <c r="AP187" s="13"/>
      <c r="AQ187" s="13"/>
      <c r="AR187" s="13"/>
      <c r="AS187" s="13"/>
    </row>
    <row r="188" spans="4:45">
      <c r="D188" s="12"/>
      <c r="E188" s="462" t="s">
        <v>22</v>
      </c>
      <c r="F188" s="464"/>
      <c r="G188" s="544" t="s">
        <v>151</v>
      </c>
      <c r="H188" s="619"/>
      <c r="I188" s="16"/>
      <c r="J188" s="17"/>
      <c r="K188" s="17"/>
      <c r="L188" s="30"/>
      <c r="M188" s="30"/>
      <c r="N188" s="30"/>
      <c r="O188" s="30"/>
      <c r="P188" s="30"/>
      <c r="Q188" s="30"/>
      <c r="R188" s="30"/>
      <c r="S188" s="17"/>
      <c r="T188" s="17"/>
      <c r="U188" s="682">
        <f>AG172</f>
        <v>36.020533488533715</v>
      </c>
      <c r="V188" s="682"/>
      <c r="W188" s="682"/>
      <c r="X188" s="126" t="s">
        <v>259</v>
      </c>
      <c r="Y188" s="17"/>
      <c r="Z188" s="129" t="s">
        <v>68</v>
      </c>
      <c r="AA188" s="682">
        <f>AG172*AB180</f>
        <v>27.015400116400286</v>
      </c>
      <c r="AB188" s="682"/>
      <c r="AC188" s="683"/>
      <c r="AD188" s="96"/>
      <c r="AE188" s="96"/>
      <c r="AF188" s="13"/>
      <c r="AG188" s="134"/>
      <c r="AH188" s="134"/>
      <c r="AI188" s="134"/>
      <c r="AJ188" s="121"/>
      <c r="AK188" s="96"/>
      <c r="AL188" s="96"/>
      <c r="AN188" s="13"/>
      <c r="AO188" s="13"/>
      <c r="AP188" s="13"/>
      <c r="AQ188" s="13"/>
      <c r="AR188" s="13"/>
      <c r="AS188" s="13"/>
    </row>
    <row r="189" spans="4:45" ht="20.25">
      <c r="D189" s="12"/>
      <c r="E189" s="554" t="s">
        <v>94</v>
      </c>
      <c r="F189" s="555"/>
      <c r="G189" s="561" t="s">
        <v>152</v>
      </c>
      <c r="H189" s="623"/>
      <c r="I189" s="682"/>
      <c r="J189" s="682"/>
      <c r="K189" s="682"/>
      <c r="L189" s="126"/>
      <c r="M189" s="126"/>
      <c r="N189" s="231"/>
      <c r="O189" s="681">
        <f>AB173*W181</f>
        <v>12.006844496177905</v>
      </c>
      <c r="P189" s="681"/>
      <c r="Q189" s="681"/>
      <c r="R189" s="126" t="s">
        <v>262</v>
      </c>
      <c r="S189" s="124"/>
      <c r="T189" s="129"/>
      <c r="U189" s="682"/>
      <c r="V189" s="682"/>
      <c r="W189" s="682"/>
      <c r="X189" s="124"/>
      <c r="Y189" s="124"/>
      <c r="Z189" s="126"/>
      <c r="AA189" s="124"/>
      <c r="AB189" s="124"/>
      <c r="AC189" s="128"/>
      <c r="AD189" s="96"/>
      <c r="AE189" s="96"/>
      <c r="AF189" s="13"/>
      <c r="AG189" s="134"/>
      <c r="AH189" s="134"/>
      <c r="AI189" s="134"/>
      <c r="AJ189" s="121"/>
      <c r="AK189" s="96"/>
      <c r="AL189" s="96"/>
      <c r="AN189" s="13"/>
      <c r="AO189" s="13"/>
      <c r="AP189" s="13"/>
      <c r="AQ189" s="13"/>
      <c r="AR189" s="13"/>
      <c r="AS189" s="13"/>
    </row>
    <row r="190" spans="4:45" ht="21" thickBot="1">
      <c r="D190" s="12"/>
      <c r="E190" s="629"/>
      <c r="F190" s="630"/>
      <c r="G190" s="549" t="s">
        <v>153</v>
      </c>
      <c r="H190" s="550"/>
      <c r="I190" s="686">
        <f>X174*W182</f>
        <v>1.6666666666666665</v>
      </c>
      <c r="J190" s="686"/>
      <c r="K190" s="686"/>
      <c r="L190" s="130" t="s">
        <v>583</v>
      </c>
      <c r="M190" s="130"/>
      <c r="N190" s="131"/>
      <c r="O190" s="686"/>
      <c r="P190" s="686"/>
      <c r="Q190" s="686"/>
      <c r="R190" s="130"/>
      <c r="S190" s="130"/>
      <c r="T190" s="131"/>
      <c r="U190" s="686"/>
      <c r="V190" s="686"/>
      <c r="W190" s="686"/>
      <c r="X190" s="130"/>
      <c r="Y190" s="130"/>
      <c r="Z190" s="130"/>
      <c r="AA190" s="130"/>
      <c r="AB190" s="130"/>
      <c r="AC190" s="132"/>
      <c r="AD190" s="135"/>
      <c r="AE190" s="135"/>
      <c r="AF190" s="135"/>
      <c r="AG190" s="135"/>
      <c r="AH190" s="135"/>
      <c r="AI190" s="135"/>
      <c r="AJ190" s="136"/>
    </row>
    <row r="191" spans="4:45" ht="21" thickTop="1">
      <c r="D191" s="12"/>
      <c r="E191" s="418" t="s">
        <v>252</v>
      </c>
      <c r="F191" s="419"/>
      <c r="G191" s="419"/>
      <c r="H191" s="420"/>
      <c r="I191" s="681">
        <f>SUM(I188:K190)</f>
        <v>1.6666666666666665</v>
      </c>
      <c r="J191" s="681"/>
      <c r="K191" s="681"/>
      <c r="L191" s="126" t="s">
        <v>583</v>
      </c>
      <c r="M191" s="126"/>
      <c r="N191" s="231" t="s">
        <v>68</v>
      </c>
      <c r="O191" s="681">
        <f>SUM(O188:Q190)</f>
        <v>12.006844496177905</v>
      </c>
      <c r="P191" s="681"/>
      <c r="Q191" s="681"/>
      <c r="R191" s="126" t="s">
        <v>262</v>
      </c>
      <c r="S191" s="126"/>
      <c r="T191" s="129" t="s">
        <v>68</v>
      </c>
      <c r="U191" s="681">
        <f>SUM(U188:W190)</f>
        <v>36.020533488533715</v>
      </c>
      <c r="V191" s="681"/>
      <c r="W191" s="681"/>
      <c r="X191" s="126" t="s">
        <v>259</v>
      </c>
      <c r="Y191" s="126"/>
      <c r="Z191" s="129" t="s">
        <v>68</v>
      </c>
      <c r="AA191" s="684">
        <f>SUM(AA188:AC190)</f>
        <v>27.015400116400286</v>
      </c>
      <c r="AB191" s="684"/>
      <c r="AC191" s="685"/>
      <c r="AD191" s="13"/>
      <c r="AE191" s="13"/>
      <c r="AF191" s="13"/>
      <c r="AG191" s="13"/>
      <c r="AH191" s="13"/>
      <c r="AI191" s="13"/>
      <c r="AJ191" s="15"/>
    </row>
    <row r="192" spans="4:45">
      <c r="D192" s="12"/>
      <c r="AJ192" s="15"/>
    </row>
    <row r="193" spans="3:36">
      <c r="D193" s="12" t="s">
        <v>396</v>
      </c>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5"/>
    </row>
    <row r="194" spans="3:36">
      <c r="D194" s="12"/>
      <c r="E194" s="13" t="s">
        <v>397</v>
      </c>
      <c r="F194" s="13"/>
      <c r="G194" s="13"/>
      <c r="H194" s="13"/>
      <c r="I194" s="13"/>
      <c r="J194" s="13"/>
      <c r="K194" s="13"/>
      <c r="L194" s="13"/>
      <c r="M194" s="13"/>
      <c r="N194" s="13"/>
      <c r="O194" s="13"/>
      <c r="P194" s="13"/>
      <c r="Q194" s="13"/>
      <c r="R194" s="13"/>
      <c r="S194" s="13"/>
      <c r="T194" s="13"/>
      <c r="U194" s="13"/>
      <c r="V194" s="13"/>
      <c r="W194" s="13"/>
      <c r="AC194" s="13"/>
      <c r="AD194" s="13"/>
      <c r="AE194" s="13"/>
      <c r="AF194" s="13"/>
      <c r="AG194" s="13"/>
      <c r="AH194" s="13"/>
      <c r="AI194" s="13"/>
      <c r="AJ194" s="15"/>
    </row>
    <row r="195" spans="3:36" ht="21">
      <c r="D195" s="12"/>
      <c r="E195" s="13"/>
      <c r="F195" s="34" t="s">
        <v>266</v>
      </c>
      <c r="G195" s="13"/>
      <c r="H195" s="13" t="s">
        <v>2</v>
      </c>
      <c r="I195" s="360" t="s">
        <v>256</v>
      </c>
      <c r="J195" s="360"/>
      <c r="K195" s="13" t="s">
        <v>636</v>
      </c>
      <c r="L195" s="34" t="s">
        <v>259</v>
      </c>
      <c r="M195" s="13" t="s">
        <v>68</v>
      </c>
      <c r="N195" s="448">
        <f>I155</f>
        <v>1.5</v>
      </c>
      <c r="O195" s="448"/>
      <c r="P195" s="13" t="s">
        <v>635</v>
      </c>
      <c r="Q195" s="13" t="s">
        <v>264</v>
      </c>
      <c r="R195" s="675">
        <f>I191</f>
        <v>1.6666666666666665</v>
      </c>
      <c r="S195" s="675"/>
      <c r="T195" s="125" t="s">
        <v>583</v>
      </c>
      <c r="U195" s="133" t="s">
        <v>68</v>
      </c>
      <c r="V195" s="675">
        <f>O191</f>
        <v>12.006844496177905</v>
      </c>
      <c r="W195" s="675"/>
      <c r="X195" s="675"/>
      <c r="Y195" s="125" t="s">
        <v>262</v>
      </c>
      <c r="Z195" s="133" t="s">
        <v>68</v>
      </c>
      <c r="AA195" s="448">
        <f>U191</f>
        <v>36.020533488533715</v>
      </c>
      <c r="AB195" s="448"/>
      <c r="AC195" s="448"/>
      <c r="AD195" s="34" t="s">
        <v>259</v>
      </c>
      <c r="AE195" s="133" t="s">
        <v>68</v>
      </c>
      <c r="AF195" s="618">
        <f>AA191</f>
        <v>27.015400116400286</v>
      </c>
      <c r="AG195" s="618"/>
      <c r="AH195" s="618"/>
      <c r="AI195" s="13" t="s">
        <v>265</v>
      </c>
      <c r="AJ195" s="15"/>
    </row>
    <row r="196" spans="3:36" ht="20.25">
      <c r="D196" s="12"/>
      <c r="E196" s="13"/>
      <c r="F196" s="13"/>
      <c r="G196" s="13"/>
      <c r="H196" s="13" t="s">
        <v>2</v>
      </c>
      <c r="I196" s="675">
        <f>L146</f>
        <v>93.389734742704448</v>
      </c>
      <c r="J196" s="675"/>
      <c r="K196" s="13" t="s">
        <v>636</v>
      </c>
      <c r="L196" s="34" t="s">
        <v>259</v>
      </c>
      <c r="M196" s="13" t="s">
        <v>68</v>
      </c>
      <c r="N196" s="448">
        <f>I155</f>
        <v>1.5</v>
      </c>
      <c r="O196" s="448"/>
      <c r="P196" s="13" t="s">
        <v>635</v>
      </c>
      <c r="Q196" s="13" t="s">
        <v>264</v>
      </c>
      <c r="R196" s="675">
        <f>I191</f>
        <v>1.6666666666666665</v>
      </c>
      <c r="S196" s="675"/>
      <c r="T196" s="125" t="s">
        <v>583</v>
      </c>
      <c r="U196" s="133" t="s">
        <v>68</v>
      </c>
      <c r="V196" s="675">
        <f>O191</f>
        <v>12.006844496177905</v>
      </c>
      <c r="W196" s="675"/>
      <c r="X196" s="675"/>
      <c r="Y196" s="125" t="s">
        <v>262</v>
      </c>
      <c r="Z196" s="133" t="s">
        <v>68</v>
      </c>
      <c r="AA196" s="448">
        <f>U191</f>
        <v>36.020533488533715</v>
      </c>
      <c r="AB196" s="448"/>
      <c r="AC196" s="448"/>
      <c r="AD196" s="34" t="s">
        <v>259</v>
      </c>
      <c r="AE196" s="133" t="s">
        <v>68</v>
      </c>
      <c r="AF196" s="618">
        <f>AA191</f>
        <v>27.015400116400286</v>
      </c>
      <c r="AG196" s="618"/>
      <c r="AH196" s="618"/>
      <c r="AI196" s="13" t="s">
        <v>265</v>
      </c>
      <c r="AJ196" s="15"/>
    </row>
    <row r="197" spans="3:36" ht="20.25">
      <c r="D197" s="12"/>
      <c r="E197" s="13"/>
      <c r="F197" s="13"/>
      <c r="G197" s="13"/>
      <c r="H197" s="13" t="s">
        <v>2</v>
      </c>
      <c r="I197" s="679">
        <f>-R196</f>
        <v>-1.6666666666666665</v>
      </c>
      <c r="J197" s="679"/>
      <c r="K197" s="679"/>
      <c r="L197" s="125" t="s">
        <v>583</v>
      </c>
      <c r="M197" s="125"/>
      <c r="N197" s="13" t="s">
        <v>68</v>
      </c>
      <c r="O197" s="679">
        <f>-V196</f>
        <v>-12.006844496177905</v>
      </c>
      <c r="P197" s="679"/>
      <c r="Q197" s="679"/>
      <c r="R197" s="125" t="s">
        <v>262</v>
      </c>
      <c r="S197" s="125"/>
      <c r="T197" s="133" t="s">
        <v>68</v>
      </c>
      <c r="U197" s="675">
        <f>I196-AA196</f>
        <v>57.369201254170733</v>
      </c>
      <c r="V197" s="675"/>
      <c r="W197" s="675"/>
      <c r="X197" s="34" t="s">
        <v>259</v>
      </c>
      <c r="Y197" s="133" t="s">
        <v>68</v>
      </c>
      <c r="Z197" s="679">
        <f>I196*N196-AF196</f>
        <v>113.06920199765639</v>
      </c>
      <c r="AA197" s="679"/>
      <c r="AB197" s="679"/>
      <c r="AC197" s="13"/>
      <c r="AD197" s="13"/>
      <c r="AE197" s="13"/>
      <c r="AF197" s="13"/>
      <c r="AG197" s="13"/>
      <c r="AH197" s="13"/>
      <c r="AI197" s="13"/>
      <c r="AJ197" s="15"/>
    </row>
    <row r="198" spans="3:36">
      <c r="D198" s="12"/>
      <c r="E198" s="13" t="s">
        <v>268</v>
      </c>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5"/>
    </row>
    <row r="199" spans="3:36" ht="20.25">
      <c r="D199" s="12"/>
      <c r="E199" s="13"/>
      <c r="F199" s="34" t="s">
        <v>266</v>
      </c>
      <c r="G199" s="137" t="s">
        <v>267</v>
      </c>
      <c r="H199" s="13" t="s">
        <v>2</v>
      </c>
      <c r="I199" s="679">
        <f>I197*3</f>
        <v>-5</v>
      </c>
      <c r="J199" s="679"/>
      <c r="K199" s="679"/>
      <c r="L199" s="125" t="s">
        <v>262</v>
      </c>
      <c r="M199" s="125"/>
      <c r="N199" s="13" t="s">
        <v>68</v>
      </c>
      <c r="O199" s="679">
        <f>O197*2</f>
        <v>-24.01368899235581</v>
      </c>
      <c r="P199" s="679"/>
      <c r="Q199" s="679"/>
      <c r="R199" s="34" t="s">
        <v>259</v>
      </c>
      <c r="S199" s="13"/>
      <c r="T199" s="133" t="s">
        <v>68</v>
      </c>
      <c r="U199" s="675">
        <f>U197</f>
        <v>57.369201254170733</v>
      </c>
      <c r="V199" s="675"/>
      <c r="W199" s="675"/>
      <c r="X199" s="13"/>
      <c r="Y199" s="13"/>
      <c r="Z199" s="13"/>
      <c r="AA199" s="13"/>
      <c r="AB199" s="13"/>
      <c r="AC199" s="13"/>
      <c r="AD199" s="13"/>
      <c r="AE199" s="13"/>
      <c r="AF199" s="13"/>
      <c r="AG199" s="13"/>
      <c r="AH199" s="13"/>
      <c r="AI199" s="13"/>
      <c r="AJ199" s="15"/>
    </row>
    <row r="200" spans="3:36">
      <c r="D200" s="12"/>
      <c r="E200" s="13" t="s">
        <v>395</v>
      </c>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5"/>
    </row>
    <row r="201" spans="3:36">
      <c r="D201" s="12"/>
      <c r="E201" s="13"/>
      <c r="F201" s="465" t="s">
        <v>259</v>
      </c>
      <c r="G201" s="137"/>
      <c r="H201" s="449" t="s">
        <v>2</v>
      </c>
      <c r="I201" s="681">
        <f>-O199</f>
        <v>24.01368899235581</v>
      </c>
      <c r="J201" s="681"/>
      <c r="K201" s="681"/>
      <c r="L201" s="232" t="s">
        <v>122</v>
      </c>
      <c r="M201" s="232" t="s">
        <v>584</v>
      </c>
      <c r="N201" s="681">
        <f>-O199</f>
        <v>24.01368899235581</v>
      </c>
      <c r="O201" s="681"/>
      <c r="P201" s="681"/>
      <c r="Q201" s="17" t="s">
        <v>585</v>
      </c>
      <c r="R201" s="17" t="s">
        <v>263</v>
      </c>
      <c r="S201" s="29">
        <v>4</v>
      </c>
      <c r="T201" s="17" t="s">
        <v>27</v>
      </c>
      <c r="U201" s="781">
        <f>I199</f>
        <v>-5</v>
      </c>
      <c r="V201" s="781"/>
      <c r="W201" s="781"/>
      <c r="X201" s="17" t="s">
        <v>27</v>
      </c>
      <c r="Y201" s="452">
        <f>U199</f>
        <v>57.369201254170733</v>
      </c>
      <c r="Z201" s="452"/>
      <c r="AA201" s="452"/>
      <c r="AB201" s="17" t="s">
        <v>83</v>
      </c>
      <c r="AC201" s="13"/>
      <c r="AD201" s="449" t="s">
        <v>2</v>
      </c>
      <c r="AE201" s="690">
        <f>(I201-SQRT(N201^2-S201*U201*Y201))/(P202*R202)</f>
        <v>1.7507887135062632</v>
      </c>
      <c r="AF201" s="774"/>
      <c r="AG201" s="691"/>
      <c r="AH201" s="449" t="s">
        <v>3</v>
      </c>
      <c r="AI201" s="13"/>
      <c r="AJ201" s="15"/>
    </row>
    <row r="202" spans="3:36">
      <c r="D202" s="12"/>
      <c r="E202" s="13"/>
      <c r="F202" s="465"/>
      <c r="G202" s="13"/>
      <c r="H202" s="449"/>
      <c r="M202" s="13"/>
      <c r="N202" s="13"/>
      <c r="O202" s="13"/>
      <c r="P202" s="31">
        <v>2</v>
      </c>
      <c r="Q202" s="13" t="s">
        <v>27</v>
      </c>
      <c r="R202" s="679">
        <f>I199</f>
        <v>-5</v>
      </c>
      <c r="S202" s="679"/>
      <c r="T202" s="679"/>
      <c r="U202" s="13"/>
      <c r="V202" s="13"/>
      <c r="W202" s="13"/>
      <c r="X202" s="13"/>
      <c r="Y202" s="13"/>
      <c r="Z202" s="13"/>
      <c r="AA202" s="13"/>
      <c r="AB202" s="13"/>
      <c r="AC202" s="13"/>
      <c r="AD202" s="449"/>
      <c r="AE202" s="692"/>
      <c r="AF202" s="775"/>
      <c r="AG202" s="693"/>
      <c r="AH202" s="449"/>
      <c r="AI202" s="13"/>
      <c r="AJ202" s="15"/>
    </row>
    <row r="203" spans="3:36">
      <c r="D203" s="12"/>
      <c r="E203" s="13" t="s">
        <v>394</v>
      </c>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5"/>
    </row>
    <row r="204" spans="3:36" ht="20.25">
      <c r="D204" s="12"/>
      <c r="E204" s="13"/>
      <c r="F204" s="34" t="s">
        <v>269</v>
      </c>
      <c r="G204" s="13"/>
      <c r="H204" s="13" t="s">
        <v>2</v>
      </c>
      <c r="I204" s="679">
        <f>I197</f>
        <v>-1.6666666666666665</v>
      </c>
      <c r="J204" s="679"/>
      <c r="K204" s="679"/>
      <c r="L204" s="13" t="s">
        <v>27</v>
      </c>
      <c r="M204" s="680">
        <f>AE201</f>
        <v>1.7507887135062632</v>
      </c>
      <c r="N204" s="680"/>
      <c r="O204" s="138">
        <v>3</v>
      </c>
      <c r="P204" s="13"/>
      <c r="Q204" s="13" t="s">
        <v>68</v>
      </c>
      <c r="R204" s="679">
        <f>O197</f>
        <v>-12.006844496177905</v>
      </c>
      <c r="S204" s="679"/>
      <c r="T204" s="679"/>
      <c r="U204" s="13" t="s">
        <v>27</v>
      </c>
      <c r="V204" s="448">
        <f>AE201</f>
        <v>1.7507887135062632</v>
      </c>
      <c r="W204" s="448"/>
      <c r="X204" s="13" t="s">
        <v>585</v>
      </c>
      <c r="Y204" s="13" t="s">
        <v>68</v>
      </c>
      <c r="Z204" s="448">
        <f>U197</f>
        <v>57.369201254170733</v>
      </c>
      <c r="AA204" s="448"/>
      <c r="AB204" s="448"/>
      <c r="AC204" s="13" t="s">
        <v>27</v>
      </c>
      <c r="AD204" s="448">
        <f>AE201</f>
        <v>1.7507887135062632</v>
      </c>
      <c r="AE204" s="448"/>
      <c r="AF204" s="13" t="s">
        <v>68</v>
      </c>
      <c r="AG204" s="679">
        <f>Z197</f>
        <v>113.06920199765639</v>
      </c>
      <c r="AH204" s="679"/>
      <c r="AI204" s="679"/>
      <c r="AJ204" s="15"/>
    </row>
    <row r="205" spans="3:36">
      <c r="D205" s="12"/>
      <c r="E205" s="13"/>
      <c r="F205" s="13"/>
      <c r="G205" s="13"/>
      <c r="H205" s="13" t="s">
        <v>2</v>
      </c>
      <c r="I205" s="367">
        <f>I204*M204^3+R204*V204^2+Z204*AD204+AG204</f>
        <v>167.76206417006853</v>
      </c>
      <c r="J205" s="368"/>
      <c r="K205" s="369"/>
      <c r="L205" s="13" t="s">
        <v>270</v>
      </c>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5"/>
    </row>
    <row r="206" spans="3:36">
      <c r="D206" s="16"/>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9"/>
    </row>
    <row r="208" spans="3:36">
      <c r="C208" s="1" t="s">
        <v>632</v>
      </c>
      <c r="X208" t="s">
        <v>56</v>
      </c>
    </row>
    <row r="209" spans="4:36">
      <c r="D209" s="9" t="s">
        <v>634</v>
      </c>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1"/>
    </row>
    <row r="210" spans="4:36">
      <c r="D210" s="12" t="s">
        <v>125</v>
      </c>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5"/>
    </row>
    <row r="211" spans="4:36">
      <c r="D211" s="676" t="s">
        <v>124</v>
      </c>
      <c r="E211" s="465"/>
      <c r="F211" s="449" t="s">
        <v>2</v>
      </c>
      <c r="G211" s="466" t="s">
        <v>123</v>
      </c>
      <c r="H211" s="466"/>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5"/>
    </row>
    <row r="212" spans="4:36">
      <c r="D212" s="676"/>
      <c r="E212" s="465"/>
      <c r="F212" s="449"/>
      <c r="G212" s="34" t="s">
        <v>80</v>
      </c>
      <c r="H212" s="34"/>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5"/>
    </row>
    <row r="213" spans="4:36">
      <c r="D213" s="12"/>
      <c r="E213" s="36"/>
      <c r="F213" s="33" t="s">
        <v>42</v>
      </c>
      <c r="G213" s="34"/>
      <c r="H213" s="34"/>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5"/>
    </row>
    <row r="214" spans="4:36" ht="20.25">
      <c r="D214" s="12"/>
      <c r="E214" s="36"/>
      <c r="F214" s="33"/>
      <c r="G214" s="34" t="s">
        <v>127</v>
      </c>
      <c r="H214" s="34"/>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5"/>
    </row>
    <row r="215" spans="4:36" ht="20.25">
      <c r="D215" s="12"/>
      <c r="E215" s="13"/>
      <c r="F215" s="36"/>
      <c r="G215" s="38" t="s">
        <v>126</v>
      </c>
      <c r="H215" s="13"/>
      <c r="I215" s="13"/>
      <c r="J215" s="13"/>
      <c r="K215" s="13"/>
      <c r="L215" s="13"/>
      <c r="M215" s="13"/>
      <c r="N215" s="13"/>
      <c r="O215" s="13"/>
      <c r="P215" s="13"/>
      <c r="Q215" s="13"/>
      <c r="R215" s="13"/>
      <c r="S215" s="13"/>
      <c r="T215" s="36" t="s">
        <v>59</v>
      </c>
      <c r="U215" s="34" t="s">
        <v>2</v>
      </c>
      <c r="V215" s="380">
        <f>'1.設計条件'!T39</f>
        <v>1340</v>
      </c>
      <c r="W215" s="380"/>
      <c r="X215" s="380"/>
      <c r="Y215" s="13" t="s">
        <v>52</v>
      </c>
      <c r="Z215" s="13"/>
      <c r="AA215" s="13"/>
      <c r="AB215" s="34" t="s">
        <v>2</v>
      </c>
      <c r="AC215" s="782">
        <f>V215/1000000</f>
        <v>1.34E-3</v>
      </c>
      <c r="AD215" s="783"/>
      <c r="AE215" s="783"/>
      <c r="AF215" s="783"/>
      <c r="AG215" s="784"/>
      <c r="AH215" s="13" t="s">
        <v>81</v>
      </c>
      <c r="AI215" s="13"/>
      <c r="AJ215" s="15"/>
    </row>
    <row r="216" spans="4:36">
      <c r="D216" s="12"/>
      <c r="E216" s="13"/>
      <c r="F216" s="36"/>
      <c r="G216" s="38" t="s">
        <v>91</v>
      </c>
      <c r="H216" s="13"/>
      <c r="I216" s="13"/>
      <c r="J216" s="13"/>
      <c r="K216" s="13"/>
      <c r="L216" s="13"/>
      <c r="M216" s="13"/>
      <c r="N216" s="13"/>
      <c r="O216" s="13"/>
      <c r="P216" s="13"/>
      <c r="Q216" s="13"/>
      <c r="R216" s="13"/>
      <c r="S216" s="13"/>
      <c r="T216" s="36" t="s">
        <v>82</v>
      </c>
      <c r="U216" s="13" t="s">
        <v>2</v>
      </c>
      <c r="V216" s="785">
        <f>'1.設計条件'!T44</f>
        <v>0.6</v>
      </c>
      <c r="W216" s="786"/>
      <c r="X216" s="787"/>
      <c r="Y216" s="13"/>
      <c r="Z216" s="13"/>
      <c r="AA216" s="13"/>
      <c r="AB216" s="13"/>
      <c r="AC216" s="13"/>
      <c r="AD216" s="13"/>
      <c r="AE216" s="13"/>
      <c r="AF216" s="13"/>
      <c r="AG216" s="13"/>
      <c r="AH216" s="13"/>
      <c r="AI216" s="13"/>
      <c r="AJ216" s="15"/>
    </row>
    <row r="217" spans="4:36">
      <c r="D217" s="12"/>
      <c r="E217" s="36"/>
      <c r="F217" s="13"/>
      <c r="G217" s="13"/>
      <c r="H217" s="13"/>
      <c r="I217" s="13"/>
      <c r="J217" s="13"/>
      <c r="K217" s="13"/>
      <c r="L217" s="13"/>
      <c r="M217" s="13"/>
      <c r="N217" s="13"/>
      <c r="O217" s="13"/>
      <c r="P217" s="13"/>
      <c r="Q217" s="13"/>
      <c r="R217" s="13"/>
      <c r="S217" s="13"/>
      <c r="T217" s="13"/>
      <c r="U217" s="14"/>
      <c r="V217" s="14"/>
      <c r="W217" s="14"/>
      <c r="X217" s="13"/>
      <c r="Y217" s="13"/>
      <c r="Z217" s="13"/>
      <c r="AA217" s="13"/>
      <c r="AB217" s="13"/>
      <c r="AC217" s="13"/>
      <c r="AD217" s="13"/>
      <c r="AE217" s="13"/>
      <c r="AF217" s="13"/>
      <c r="AG217" s="13"/>
      <c r="AH217" s="13"/>
      <c r="AI217" s="13"/>
      <c r="AJ217" s="15"/>
    </row>
    <row r="218" spans="4:36">
      <c r="D218" s="12"/>
      <c r="E218" s="13" t="s">
        <v>67</v>
      </c>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5"/>
    </row>
    <row r="219" spans="4:36">
      <c r="D219" s="676" t="s">
        <v>124</v>
      </c>
      <c r="E219" s="465"/>
      <c r="F219" s="449" t="s">
        <v>2</v>
      </c>
      <c r="G219" s="677">
        <f>I205</f>
        <v>167.76206417006853</v>
      </c>
      <c r="H219" s="677"/>
      <c r="I219" s="677"/>
      <c r="J219" s="677"/>
      <c r="K219" s="677"/>
      <c r="L219" s="677"/>
      <c r="M219" s="677"/>
      <c r="N219" s="17"/>
      <c r="O219" s="17"/>
      <c r="P219" s="13"/>
      <c r="Q219" s="13"/>
      <c r="R219" s="13"/>
      <c r="S219" s="13"/>
      <c r="T219" s="13"/>
      <c r="U219" s="13"/>
      <c r="V219" s="13"/>
      <c r="W219" s="13"/>
      <c r="X219" s="13"/>
      <c r="Y219" s="13"/>
      <c r="Z219" s="13"/>
      <c r="AA219" s="13"/>
      <c r="AB219" s="13"/>
      <c r="AC219" s="13"/>
      <c r="AD219" s="13"/>
      <c r="AE219" s="13"/>
      <c r="AF219" s="13"/>
      <c r="AG219" s="13"/>
      <c r="AH219" s="13"/>
      <c r="AI219" s="13"/>
      <c r="AJ219" s="15"/>
    </row>
    <row r="220" spans="4:36">
      <c r="D220" s="676"/>
      <c r="E220" s="465"/>
      <c r="F220" s="449"/>
      <c r="G220" s="678">
        <f>AC215</f>
        <v>1.34E-3</v>
      </c>
      <c r="H220" s="678"/>
      <c r="I220" s="678"/>
      <c r="J220" s="678"/>
      <c r="K220" s="678"/>
      <c r="L220" s="39" t="s">
        <v>66</v>
      </c>
      <c r="M220" s="13"/>
      <c r="N220" s="436">
        <f>V216</f>
        <v>0.6</v>
      </c>
      <c r="O220" s="436"/>
      <c r="P220" s="13"/>
      <c r="Q220" s="13"/>
      <c r="V220" s="13"/>
      <c r="W220" s="13"/>
      <c r="X220" s="13"/>
      <c r="Y220" s="13"/>
      <c r="Z220" s="13"/>
      <c r="AA220" s="13"/>
      <c r="AB220" s="13"/>
      <c r="AC220" s="13"/>
      <c r="AD220" s="13"/>
      <c r="AE220" s="13"/>
      <c r="AF220" s="13"/>
      <c r="AG220" s="13"/>
      <c r="AH220" s="13"/>
      <c r="AI220" s="13"/>
      <c r="AJ220" s="15"/>
    </row>
    <row r="221" spans="4:36">
      <c r="D221" s="12"/>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5"/>
    </row>
    <row r="222" spans="4:36" ht="20.25">
      <c r="D222" s="12"/>
      <c r="E222" s="13"/>
      <c r="F222" s="14" t="s">
        <v>2</v>
      </c>
      <c r="G222" s="458">
        <f>G219/G220/N220</f>
        <v>208659.28379361756</v>
      </c>
      <c r="H222" s="458"/>
      <c r="I222" s="458"/>
      <c r="J222" s="13" t="s">
        <v>41</v>
      </c>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5"/>
    </row>
    <row r="223" spans="4:36">
      <c r="D223" s="12"/>
      <c r="E223" s="13"/>
      <c r="F223" s="14"/>
      <c r="G223" s="14"/>
      <c r="H223" s="14"/>
      <c r="I223" s="14"/>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5"/>
    </row>
    <row r="224" spans="4:36" ht="21">
      <c r="D224" s="12"/>
      <c r="E224" s="13"/>
      <c r="F224" s="14" t="s">
        <v>2</v>
      </c>
      <c r="G224" s="462">
        <f>G222/1000</f>
        <v>208.65928379361756</v>
      </c>
      <c r="H224" s="463"/>
      <c r="I224" s="464"/>
      <c r="J224" s="13" t="s">
        <v>48</v>
      </c>
      <c r="K224" s="13"/>
      <c r="L224" s="13"/>
      <c r="M224" s="13"/>
      <c r="N224" s="13" t="str">
        <f>IF(G224&lt;=R224, "≦","&gt;")</f>
        <v>≦</v>
      </c>
      <c r="O224" s="360" t="s">
        <v>84</v>
      </c>
      <c r="P224" s="360"/>
      <c r="Q224" s="13" t="s">
        <v>2</v>
      </c>
      <c r="R224" s="436">
        <f>'1.設計条件'!T40</f>
        <v>270</v>
      </c>
      <c r="S224" s="436"/>
      <c r="T224" s="436"/>
      <c r="U224" s="13" t="s">
        <v>48</v>
      </c>
      <c r="V224" s="13"/>
      <c r="W224" s="13"/>
      <c r="X224" s="13"/>
      <c r="Y224" s="462" t="str">
        <f>IF(N224="≦","OK","NG")</f>
        <v>OK</v>
      </c>
      <c r="Z224" s="463"/>
      <c r="AA224" s="464"/>
      <c r="AB224" s="13"/>
      <c r="AC224" s="13"/>
      <c r="AD224" s="13"/>
      <c r="AE224" s="13"/>
      <c r="AF224" s="13"/>
      <c r="AG224" s="13"/>
      <c r="AH224" s="13"/>
      <c r="AI224" s="13"/>
      <c r="AJ224" s="15"/>
    </row>
    <row r="225" spans="4:36">
      <c r="D225" s="16"/>
      <c r="E225" s="17"/>
      <c r="F225" s="17"/>
      <c r="G225" s="17"/>
      <c r="H225" s="17"/>
      <c r="I225" s="17"/>
      <c r="J225" s="17"/>
      <c r="K225" s="17"/>
      <c r="L225" s="17"/>
      <c r="M225" s="17"/>
      <c r="N225" s="17"/>
      <c r="O225" s="17"/>
      <c r="P225" s="17"/>
      <c r="Q225" s="17"/>
      <c r="R225" s="17"/>
      <c r="S225" s="17"/>
      <c r="T225" s="17"/>
      <c r="U225" s="17"/>
      <c r="V225" s="17"/>
      <c r="W225" s="17"/>
      <c r="X225" s="17"/>
      <c r="Y225" s="17"/>
      <c r="Z225" s="17"/>
      <c r="AA225" s="17"/>
      <c r="AB225" s="17"/>
      <c r="AC225" s="17"/>
      <c r="AD225" s="17"/>
      <c r="AE225" s="17"/>
      <c r="AF225" s="17"/>
      <c r="AG225" s="17"/>
      <c r="AH225" s="17"/>
      <c r="AI225" s="17"/>
      <c r="AJ225" s="19"/>
    </row>
  </sheetData>
  <sheetProtection sheet="1" objects="1" scenarios="1"/>
  <mergeCells count="450">
    <mergeCell ref="Z204:AB204"/>
    <mergeCell ref="I201:K201"/>
    <mergeCell ref="N201:P201"/>
    <mergeCell ref="U201:W201"/>
    <mergeCell ref="Y201:AA201"/>
    <mergeCell ref="AC215:AG215"/>
    <mergeCell ref="V216:X216"/>
    <mergeCell ref="I205:K205"/>
    <mergeCell ref="AA195:AC195"/>
    <mergeCell ref="AF195:AH195"/>
    <mergeCell ref="AA196:AC196"/>
    <mergeCell ref="AF196:AH196"/>
    <mergeCell ref="Z197:AB197"/>
    <mergeCell ref="AD204:AE204"/>
    <mergeCell ref="AG204:AI204"/>
    <mergeCell ref="I199:K199"/>
    <mergeCell ref="O199:Q199"/>
    <mergeCell ref="U199:W199"/>
    <mergeCell ref="I195:J195"/>
    <mergeCell ref="V195:X195"/>
    <mergeCell ref="I196:J196"/>
    <mergeCell ref="V196:X196"/>
    <mergeCell ref="I197:K197"/>
    <mergeCell ref="O197:Q197"/>
    <mergeCell ref="U197:W197"/>
    <mergeCell ref="AD201:AD202"/>
    <mergeCell ref="AE201:AG202"/>
    <mergeCell ref="AH201:AH202"/>
    <mergeCell ref="R202:T202"/>
    <mergeCell ref="O123:P123"/>
    <mergeCell ref="G119:V119"/>
    <mergeCell ref="G120:V120"/>
    <mergeCell ref="G121:V121"/>
    <mergeCell ref="G143:I143"/>
    <mergeCell ref="K143:M143"/>
    <mergeCell ref="P143:Q143"/>
    <mergeCell ref="S143:V143"/>
    <mergeCell ref="I146:J146"/>
    <mergeCell ref="L146:N146"/>
    <mergeCell ref="E149:U151"/>
    <mergeCell ref="I152:J152"/>
    <mergeCell ref="K152:T152"/>
    <mergeCell ref="Q163:R164"/>
    <mergeCell ref="J164:L164"/>
    <mergeCell ref="H166:J166"/>
    <mergeCell ref="K166:L166"/>
    <mergeCell ref="N166:P166"/>
    <mergeCell ref="I153:J153"/>
    <mergeCell ref="E124:F124"/>
    <mergeCell ref="G124:H124"/>
    <mergeCell ref="J124:K124"/>
    <mergeCell ref="T124:V124"/>
    <mergeCell ref="E122:F122"/>
    <mergeCell ref="G122:H122"/>
    <mergeCell ref="K122:L122"/>
    <mergeCell ref="E123:F123"/>
    <mergeCell ref="H123:I123"/>
    <mergeCell ref="K123:L123"/>
    <mergeCell ref="N122:O122"/>
    <mergeCell ref="T122:V122"/>
    <mergeCell ref="T123:V123"/>
    <mergeCell ref="E114:F115"/>
    <mergeCell ref="G114:H114"/>
    <mergeCell ref="I114:J115"/>
    <mergeCell ref="K114:M114"/>
    <mergeCell ref="N114:P114"/>
    <mergeCell ref="G115:H115"/>
    <mergeCell ref="K115:M115"/>
    <mergeCell ref="N115:P115"/>
    <mergeCell ref="I107:J107"/>
    <mergeCell ref="K107:P107"/>
    <mergeCell ref="I108:J108"/>
    <mergeCell ref="K108:P108"/>
    <mergeCell ref="I109:J109"/>
    <mergeCell ref="K109:P109"/>
    <mergeCell ref="E112:F113"/>
    <mergeCell ref="G112:H112"/>
    <mergeCell ref="I112:J113"/>
    <mergeCell ref="K112:M112"/>
    <mergeCell ref="N112:P112"/>
    <mergeCell ref="G113:H113"/>
    <mergeCell ref="K113:M113"/>
    <mergeCell ref="N113:P113"/>
    <mergeCell ref="E110:F111"/>
    <mergeCell ref="G110:H110"/>
    <mergeCell ref="I110:J111"/>
    <mergeCell ref="K110:M110"/>
    <mergeCell ref="N110:P110"/>
    <mergeCell ref="G111:H111"/>
    <mergeCell ref="K111:M111"/>
    <mergeCell ref="N111:P111"/>
    <mergeCell ref="J18:L18"/>
    <mergeCell ref="E20:F21"/>
    <mergeCell ref="K64:L64"/>
    <mergeCell ref="N64:P64"/>
    <mergeCell ref="K65:M65"/>
    <mergeCell ref="I78:J78"/>
    <mergeCell ref="K78:P78"/>
    <mergeCell ref="E81:F82"/>
    <mergeCell ref="G81:H81"/>
    <mergeCell ref="I81:J82"/>
    <mergeCell ref="K81:M81"/>
    <mergeCell ref="N81:P81"/>
    <mergeCell ref="E79:F80"/>
    <mergeCell ref="E85:F86"/>
    <mergeCell ref="G85:H85"/>
    <mergeCell ref="I85:J86"/>
    <mergeCell ref="K85:M85"/>
    <mergeCell ref="N85:P85"/>
    <mergeCell ref="C3:AI6"/>
    <mergeCell ref="G16:H16"/>
    <mergeCell ref="J16:L16"/>
    <mergeCell ref="P16:R16"/>
    <mergeCell ref="G17:H17"/>
    <mergeCell ref="J17:L17"/>
    <mergeCell ref="G22:G23"/>
    <mergeCell ref="H22:J22"/>
    <mergeCell ref="H23:J23"/>
    <mergeCell ref="J21:L21"/>
    <mergeCell ref="G20:G21"/>
    <mergeCell ref="H20:I20"/>
    <mergeCell ref="R27:T27"/>
    <mergeCell ref="V27:X27"/>
    <mergeCell ref="Z27:AB27"/>
    <mergeCell ref="D9:AJ10"/>
    <mergeCell ref="E13:F14"/>
    <mergeCell ref="G13:G14"/>
    <mergeCell ref="H13:I13"/>
    <mergeCell ref="H14:I14"/>
    <mergeCell ref="Y16:Z17"/>
    <mergeCell ref="X21:Y21"/>
    <mergeCell ref="K20:L20"/>
    <mergeCell ref="O20:P20"/>
    <mergeCell ref="R20:S20"/>
    <mergeCell ref="N21:O21"/>
    <mergeCell ref="H25:J25"/>
    <mergeCell ref="F27:Q27"/>
    <mergeCell ref="AG39:AI39"/>
    <mergeCell ref="G53:H53"/>
    <mergeCell ref="K46:L46"/>
    <mergeCell ref="AA40:AB40"/>
    <mergeCell ref="AC40:AF40"/>
    <mergeCell ref="AG40:AI40"/>
    <mergeCell ref="I48:J48"/>
    <mergeCell ref="Y42:Z42"/>
    <mergeCell ref="AA42:AB42"/>
    <mergeCell ref="AG41:AI41"/>
    <mergeCell ref="AG46:AI46"/>
    <mergeCell ref="AG42:AI42"/>
    <mergeCell ref="AG43:AI43"/>
    <mergeCell ref="AG44:AI44"/>
    <mergeCell ref="AG45:AI45"/>
    <mergeCell ref="G48:H48"/>
    <mergeCell ref="J51:K51"/>
    <mergeCell ref="Y45:Z45"/>
    <mergeCell ref="AA45:AB45"/>
    <mergeCell ref="AC45:AF45"/>
    <mergeCell ref="Y46:Z46"/>
    <mergeCell ref="AA46:AB46"/>
    <mergeCell ref="AC46:AF46"/>
    <mergeCell ref="AA41:AB41"/>
    <mergeCell ref="AC41:AF41"/>
    <mergeCell ref="AC42:AF42"/>
    <mergeCell ref="Y43:Z43"/>
    <mergeCell ref="AA43:AB43"/>
    <mergeCell ref="AC43:AF43"/>
    <mergeCell ref="Y44:Z44"/>
    <mergeCell ref="AA44:AB44"/>
    <mergeCell ref="AC44:AF44"/>
    <mergeCell ref="AA39:AB39"/>
    <mergeCell ref="AC39:AF39"/>
    <mergeCell ref="Z28:AB28"/>
    <mergeCell ref="H42:J42"/>
    <mergeCell ref="M58:O58"/>
    <mergeCell ref="I59:K59"/>
    <mergeCell ref="I53:J53"/>
    <mergeCell ref="F39:F40"/>
    <mergeCell ref="G39:G40"/>
    <mergeCell ref="H39:J39"/>
    <mergeCell ref="L39:L40"/>
    <mergeCell ref="H40:J40"/>
    <mergeCell ref="M40:O40"/>
    <mergeCell ref="M39:O39"/>
    <mergeCell ref="F28:Q28"/>
    <mergeCell ref="R28:T28"/>
    <mergeCell ref="V28:X28"/>
    <mergeCell ref="W78:AB78"/>
    <mergeCell ref="AD78:AI78"/>
    <mergeCell ref="Q76:V76"/>
    <mergeCell ref="W76:AB76"/>
    <mergeCell ref="AD76:AI76"/>
    <mergeCell ref="I77:J77"/>
    <mergeCell ref="K77:P77"/>
    <mergeCell ref="Q77:V77"/>
    <mergeCell ref="W77:AB77"/>
    <mergeCell ref="AD77:AI77"/>
    <mergeCell ref="I76:J76"/>
    <mergeCell ref="K76:P76"/>
    <mergeCell ref="Q78:V78"/>
    <mergeCell ref="AD79:AF79"/>
    <mergeCell ref="AG79:AI79"/>
    <mergeCell ref="G80:H80"/>
    <mergeCell ref="K80:M80"/>
    <mergeCell ref="N80:P80"/>
    <mergeCell ref="Q80:S80"/>
    <mergeCell ref="T80:V80"/>
    <mergeCell ref="AD80:AF80"/>
    <mergeCell ref="AG80:AI80"/>
    <mergeCell ref="G79:H79"/>
    <mergeCell ref="I79:J80"/>
    <mergeCell ref="K79:M79"/>
    <mergeCell ref="N79:P79"/>
    <mergeCell ref="Q79:S79"/>
    <mergeCell ref="T79:V79"/>
    <mergeCell ref="AG83:AI83"/>
    <mergeCell ref="G84:H84"/>
    <mergeCell ref="K84:M84"/>
    <mergeCell ref="N84:P84"/>
    <mergeCell ref="Q84:S84"/>
    <mergeCell ref="T84:V84"/>
    <mergeCell ref="AD84:AF84"/>
    <mergeCell ref="AG84:AI84"/>
    <mergeCell ref="T81:V81"/>
    <mergeCell ref="AD81:AF81"/>
    <mergeCell ref="AG81:AI81"/>
    <mergeCell ref="G82:H82"/>
    <mergeCell ref="K82:M82"/>
    <mergeCell ref="N82:P82"/>
    <mergeCell ref="Q82:S82"/>
    <mergeCell ref="T82:V82"/>
    <mergeCell ref="AD82:AF82"/>
    <mergeCell ref="AG82:AI82"/>
    <mergeCell ref="Q81:S81"/>
    <mergeCell ref="E83:F84"/>
    <mergeCell ref="G83:H83"/>
    <mergeCell ref="I83:J84"/>
    <mergeCell ref="K83:M83"/>
    <mergeCell ref="N83:P83"/>
    <mergeCell ref="N87:P87"/>
    <mergeCell ref="Q85:S85"/>
    <mergeCell ref="T85:V85"/>
    <mergeCell ref="AD85:AF85"/>
    <mergeCell ref="T87:V87"/>
    <mergeCell ref="W87:Y87"/>
    <mergeCell ref="Z87:AB87"/>
    <mergeCell ref="AD87:AF87"/>
    <mergeCell ref="E87:F88"/>
    <mergeCell ref="G87:H87"/>
    <mergeCell ref="I87:J88"/>
    <mergeCell ref="K87:M87"/>
    <mergeCell ref="Q83:S83"/>
    <mergeCell ref="T83:V83"/>
    <mergeCell ref="AD83:AF83"/>
    <mergeCell ref="AG85:AI85"/>
    <mergeCell ref="G86:H86"/>
    <mergeCell ref="K86:M86"/>
    <mergeCell ref="N86:P86"/>
    <mergeCell ref="Q86:S86"/>
    <mergeCell ref="T86:V86"/>
    <mergeCell ref="AD86:AF86"/>
    <mergeCell ref="AG86:AI86"/>
    <mergeCell ref="F93:H93"/>
    <mergeCell ref="I93:I94"/>
    <mergeCell ref="L93:N93"/>
    <mergeCell ref="F94:H94"/>
    <mergeCell ref="J94:L94"/>
    <mergeCell ref="AG87:AI87"/>
    <mergeCell ref="G88:H88"/>
    <mergeCell ref="K88:M88"/>
    <mergeCell ref="N88:P88"/>
    <mergeCell ref="Q88:S88"/>
    <mergeCell ref="T88:V88"/>
    <mergeCell ref="W88:Y88"/>
    <mergeCell ref="Z88:AB88"/>
    <mergeCell ref="AD88:AF88"/>
    <mergeCell ref="AG88:AI88"/>
    <mergeCell ref="Q87:S87"/>
    <mergeCell ref="F102:H102"/>
    <mergeCell ref="J102:L102"/>
    <mergeCell ref="N94:P94"/>
    <mergeCell ref="L96:N96"/>
    <mergeCell ref="N97:P97"/>
    <mergeCell ref="J99:K99"/>
    <mergeCell ref="F99:H100"/>
    <mergeCell ref="I99:I100"/>
    <mergeCell ref="M99:O99"/>
    <mergeCell ref="J100:L100"/>
    <mergeCell ref="N100:P100"/>
    <mergeCell ref="F96:H96"/>
    <mergeCell ref="I96:I97"/>
    <mergeCell ref="F97:H97"/>
    <mergeCell ref="J97:L97"/>
    <mergeCell ref="E131:F131"/>
    <mergeCell ref="H131:I131"/>
    <mergeCell ref="K131:L131"/>
    <mergeCell ref="O131:P131"/>
    <mergeCell ref="V131:X131"/>
    <mergeCell ref="G133:I133"/>
    <mergeCell ref="J133:L133"/>
    <mergeCell ref="M133:P133"/>
    <mergeCell ref="E129:F129"/>
    <mergeCell ref="G129:H129"/>
    <mergeCell ref="J129:K129"/>
    <mergeCell ref="R129:S129"/>
    <mergeCell ref="V129:X129"/>
    <mergeCell ref="E130:F130"/>
    <mergeCell ref="G130:H130"/>
    <mergeCell ref="J130:K130"/>
    <mergeCell ref="R130:S130"/>
    <mergeCell ref="V130:X130"/>
    <mergeCell ref="E138:F138"/>
    <mergeCell ref="G138:I138"/>
    <mergeCell ref="J138:L138"/>
    <mergeCell ref="M138:P138"/>
    <mergeCell ref="E139:F139"/>
    <mergeCell ref="G139:I139"/>
    <mergeCell ref="M139:P139"/>
    <mergeCell ref="G126:X126"/>
    <mergeCell ref="G127:X127"/>
    <mergeCell ref="G128:X128"/>
    <mergeCell ref="G134:I134"/>
    <mergeCell ref="J134:L134"/>
    <mergeCell ref="M134:P134"/>
    <mergeCell ref="G135:I135"/>
    <mergeCell ref="J135:L135"/>
    <mergeCell ref="M135:P135"/>
    <mergeCell ref="E136:F136"/>
    <mergeCell ref="G136:I136"/>
    <mergeCell ref="J136:L136"/>
    <mergeCell ref="M136:P136"/>
    <mergeCell ref="E137:F137"/>
    <mergeCell ref="G137:I137"/>
    <mergeCell ref="J137:L137"/>
    <mergeCell ref="M137:P137"/>
    <mergeCell ref="K153:T153"/>
    <mergeCell ref="I154:J154"/>
    <mergeCell ref="K154:T154"/>
    <mergeCell ref="G157:H157"/>
    <mergeCell ref="I157:J160"/>
    <mergeCell ref="K157:M157"/>
    <mergeCell ref="N157:P157"/>
    <mergeCell ref="G158:H158"/>
    <mergeCell ref="K158:M158"/>
    <mergeCell ref="N158:O158"/>
    <mergeCell ref="R158:T158"/>
    <mergeCell ref="G159:H159"/>
    <mergeCell ref="K159:M159"/>
    <mergeCell ref="N159:O159"/>
    <mergeCell ref="R159:T159"/>
    <mergeCell ref="G160:H160"/>
    <mergeCell ref="K160:M160"/>
    <mergeCell ref="N160:P160"/>
    <mergeCell ref="E155:F156"/>
    <mergeCell ref="G155:H155"/>
    <mergeCell ref="G156:H156"/>
    <mergeCell ref="I155:J156"/>
    <mergeCell ref="N156:P156"/>
    <mergeCell ref="E163:F164"/>
    <mergeCell ref="G163:G164"/>
    <mergeCell ref="I163:J163"/>
    <mergeCell ref="L163:M163"/>
    <mergeCell ref="O163:O164"/>
    <mergeCell ref="P163:P164"/>
    <mergeCell ref="E157:F160"/>
    <mergeCell ref="K155:M155"/>
    <mergeCell ref="N155:P155"/>
    <mergeCell ref="K156:M156"/>
    <mergeCell ref="I169:W169"/>
    <mergeCell ref="X169:AI169"/>
    <mergeCell ref="I170:W170"/>
    <mergeCell ref="X170:AI170"/>
    <mergeCell ref="I171:W171"/>
    <mergeCell ref="X171:AI171"/>
    <mergeCell ref="E173:F174"/>
    <mergeCell ref="G173:H173"/>
    <mergeCell ref="I173:J173"/>
    <mergeCell ref="AB173:AD173"/>
    <mergeCell ref="G174:H174"/>
    <mergeCell ref="X174:Y174"/>
    <mergeCell ref="E172:F172"/>
    <mergeCell ref="G172:H172"/>
    <mergeCell ref="I172:J172"/>
    <mergeCell ref="L172:M172"/>
    <mergeCell ref="AG172:AI172"/>
    <mergeCell ref="I174:J174"/>
    <mergeCell ref="I185:AC185"/>
    <mergeCell ref="I186:AC186"/>
    <mergeCell ref="I187:AC187"/>
    <mergeCell ref="I177:R177"/>
    <mergeCell ref="S177:AD177"/>
    <mergeCell ref="I178:R178"/>
    <mergeCell ref="S178:AD178"/>
    <mergeCell ref="S179:AD179"/>
    <mergeCell ref="E181:F182"/>
    <mergeCell ref="G181:H181"/>
    <mergeCell ref="I181:J181"/>
    <mergeCell ref="L181:M181"/>
    <mergeCell ref="W181:Y181"/>
    <mergeCell ref="AB181:AD181"/>
    <mergeCell ref="G182:H182"/>
    <mergeCell ref="I182:J182"/>
    <mergeCell ref="L182:M182"/>
    <mergeCell ref="W182:Y182"/>
    <mergeCell ref="E180:F180"/>
    <mergeCell ref="G180:H180"/>
    <mergeCell ref="I180:J180"/>
    <mergeCell ref="L180:M180"/>
    <mergeCell ref="AB180:AD180"/>
    <mergeCell ref="E191:H191"/>
    <mergeCell ref="I191:K191"/>
    <mergeCell ref="O191:Q191"/>
    <mergeCell ref="U191:W191"/>
    <mergeCell ref="G189:H189"/>
    <mergeCell ref="U188:W188"/>
    <mergeCell ref="AA188:AC188"/>
    <mergeCell ref="E188:F188"/>
    <mergeCell ref="AA191:AC191"/>
    <mergeCell ref="E189:F190"/>
    <mergeCell ref="G188:H188"/>
    <mergeCell ref="I189:K189"/>
    <mergeCell ref="O189:Q189"/>
    <mergeCell ref="U189:W189"/>
    <mergeCell ref="G190:H190"/>
    <mergeCell ref="I190:K190"/>
    <mergeCell ref="O190:Q190"/>
    <mergeCell ref="U190:W190"/>
    <mergeCell ref="Y224:AA224"/>
    <mergeCell ref="R195:S195"/>
    <mergeCell ref="R196:S196"/>
    <mergeCell ref="N195:O195"/>
    <mergeCell ref="N196:O196"/>
    <mergeCell ref="D219:E220"/>
    <mergeCell ref="F219:F220"/>
    <mergeCell ref="G219:M219"/>
    <mergeCell ref="G220:K220"/>
    <mergeCell ref="N220:O220"/>
    <mergeCell ref="G222:I222"/>
    <mergeCell ref="G224:I224"/>
    <mergeCell ref="O224:P224"/>
    <mergeCell ref="R224:T224"/>
    <mergeCell ref="D211:E212"/>
    <mergeCell ref="F211:F212"/>
    <mergeCell ref="G211:H211"/>
    <mergeCell ref="F201:F202"/>
    <mergeCell ref="H201:H202"/>
    <mergeCell ref="V215:X215"/>
    <mergeCell ref="I204:K204"/>
    <mergeCell ref="M204:N204"/>
    <mergeCell ref="R204:T204"/>
    <mergeCell ref="V204:W204"/>
  </mergeCells>
  <phoneticPr fontId="3"/>
  <conditionalFormatting sqref="M133:M138">
    <cfRule type="cellIs" dxfId="11" priority="6" operator="greaterThan">
      <formula>#REF!</formula>
    </cfRule>
  </conditionalFormatting>
  <conditionalFormatting sqref="T122:T124">
    <cfRule type="cellIs" dxfId="10" priority="8" operator="greaterThan">
      <formula>#REF!</formula>
    </cfRule>
  </conditionalFormatting>
  <conditionalFormatting sqref="W181:X183">
    <cfRule type="cellIs" dxfId="9" priority="1" operator="greaterThan">
      <formula>#REF!</formula>
    </cfRule>
  </conditionalFormatting>
  <conditionalFormatting sqref="AB173:AC174">
    <cfRule type="cellIs" dxfId="8" priority="5" operator="greaterThan">
      <formula>#REF!</formula>
    </cfRule>
  </conditionalFormatting>
  <conditionalFormatting sqref="AB180:AC181">
    <cfRule type="cellIs" dxfId="7" priority="2" operator="greaterThan">
      <formula>#REF!</formula>
    </cfRule>
  </conditionalFormatting>
  <conditionalFormatting sqref="AG172:AH173">
    <cfRule type="cellIs" dxfId="6" priority="4" operator="greaterThan">
      <formula>#REF!</formula>
    </cfRule>
  </conditionalFormatting>
  <pageMargins left="0.70866141732283472" right="0.70866141732283472" top="0.74803149606299213" bottom="0.74803149606299213" header="0.31496062992125984" footer="0.31496062992125984"/>
  <pageSetup paperSize="9" scale="7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23C35-4BBE-42E8-8963-7001995B2757}">
  <dimension ref="B1:AS228"/>
  <sheetViews>
    <sheetView showOutlineSymbols="0" zoomScaleNormal="100" workbookViewId="0"/>
  </sheetViews>
  <sheetFormatPr defaultRowHeight="18.75"/>
  <cols>
    <col min="1" max="35" width="3" style="1" customWidth="1"/>
    <col min="36" max="36" width="1.625" style="1" customWidth="1"/>
    <col min="37" max="16384" width="9" style="1"/>
  </cols>
  <sheetData>
    <row r="1" spans="2:36">
      <c r="B1" s="13"/>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row>
    <row r="2" spans="2:36">
      <c r="B2" s="13" t="s">
        <v>556</v>
      </c>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row>
    <row r="3" spans="2:36">
      <c r="C3" s="1" t="s">
        <v>580</v>
      </c>
      <c r="D3" s="116"/>
      <c r="E3" s="116"/>
      <c r="F3" s="116"/>
      <c r="G3" s="116"/>
      <c r="H3" s="116"/>
      <c r="I3" s="116"/>
      <c r="J3" s="116"/>
      <c r="K3" s="116"/>
      <c r="L3" s="116"/>
      <c r="M3" s="116"/>
      <c r="N3" s="116"/>
      <c r="O3" s="116"/>
      <c r="P3" s="116"/>
      <c r="Q3" s="116"/>
      <c r="R3" s="116"/>
      <c r="S3" s="116"/>
      <c r="T3" s="116"/>
      <c r="U3" s="116"/>
      <c r="V3" s="116"/>
      <c r="W3" s="116"/>
      <c r="X3" t="s">
        <v>216</v>
      </c>
      <c r="Y3" s="116"/>
      <c r="Z3" s="116"/>
      <c r="AA3" s="116"/>
      <c r="AB3" s="116"/>
      <c r="AC3" s="116"/>
      <c r="AD3" s="116"/>
      <c r="AE3" s="116"/>
      <c r="AF3" s="116"/>
      <c r="AG3" s="116"/>
      <c r="AH3" s="116"/>
      <c r="AI3" s="116"/>
      <c r="AJ3" s="116"/>
    </row>
    <row r="4" spans="2:36" ht="18.75" customHeight="1">
      <c r="C4" s="13"/>
      <c r="D4" s="760" t="s">
        <v>217</v>
      </c>
      <c r="E4" s="761"/>
      <c r="F4" s="761"/>
      <c r="G4" s="761"/>
      <c r="H4" s="761"/>
      <c r="I4" s="761"/>
      <c r="J4" s="761"/>
      <c r="K4" s="761"/>
      <c r="L4" s="761"/>
      <c r="M4" s="761"/>
      <c r="N4" s="761"/>
      <c r="O4" s="761"/>
      <c r="P4" s="761"/>
      <c r="Q4" s="761"/>
      <c r="R4" s="761"/>
      <c r="S4" s="761"/>
      <c r="T4" s="761"/>
      <c r="U4" s="761"/>
      <c r="V4" s="761"/>
      <c r="W4" s="761"/>
      <c r="X4" s="761"/>
      <c r="Y4" s="761"/>
      <c r="Z4" s="761"/>
      <c r="AA4" s="761"/>
      <c r="AB4" s="761"/>
      <c r="AC4" s="761"/>
      <c r="AD4" s="761"/>
      <c r="AE4" s="761"/>
      <c r="AF4" s="761"/>
      <c r="AG4" s="761"/>
      <c r="AH4" s="761"/>
      <c r="AI4" s="761"/>
      <c r="AJ4" s="762"/>
    </row>
    <row r="5" spans="2:36">
      <c r="C5" s="13"/>
      <c r="D5" s="763"/>
      <c r="E5" s="764"/>
      <c r="F5" s="764"/>
      <c r="G5" s="764"/>
      <c r="H5" s="764"/>
      <c r="I5" s="764"/>
      <c r="J5" s="764"/>
      <c r="K5" s="764"/>
      <c r="L5" s="764"/>
      <c r="M5" s="764"/>
      <c r="N5" s="764"/>
      <c r="O5" s="764"/>
      <c r="P5" s="764"/>
      <c r="Q5" s="764"/>
      <c r="R5" s="764"/>
      <c r="S5" s="764"/>
      <c r="T5" s="764"/>
      <c r="U5" s="764"/>
      <c r="V5" s="764"/>
      <c r="W5" s="764"/>
      <c r="X5" s="764"/>
      <c r="Y5" s="764"/>
      <c r="Z5" s="764"/>
      <c r="AA5" s="764"/>
      <c r="AB5" s="764"/>
      <c r="AC5" s="764"/>
      <c r="AD5" s="764"/>
      <c r="AE5" s="764"/>
      <c r="AF5" s="764"/>
      <c r="AG5" s="764"/>
      <c r="AH5" s="764"/>
      <c r="AI5" s="764"/>
      <c r="AJ5" s="765"/>
    </row>
    <row r="6" spans="2:36">
      <c r="D6" s="12" t="s">
        <v>221</v>
      </c>
      <c r="AJ6" s="15"/>
    </row>
    <row r="7" spans="2:36">
      <c r="D7" s="12"/>
      <c r="E7" s="465" t="s">
        <v>218</v>
      </c>
      <c r="F7" s="465"/>
      <c r="G7" s="449" t="s">
        <v>2</v>
      </c>
      <c r="H7" s="766" t="s">
        <v>219</v>
      </c>
      <c r="I7" s="466"/>
      <c r="AJ7" s="15"/>
    </row>
    <row r="8" spans="2:36">
      <c r="C8" s="116"/>
      <c r="D8" s="12"/>
      <c r="E8" s="465"/>
      <c r="F8" s="465"/>
      <c r="G8" s="449"/>
      <c r="H8" s="359" t="s">
        <v>220</v>
      </c>
      <c r="I8" s="360"/>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5"/>
    </row>
    <row r="9" spans="2:36" ht="18.75" customHeight="1">
      <c r="B9" s="13"/>
      <c r="C9" s="116"/>
      <c r="D9" s="12"/>
      <c r="F9" s="13" t="s">
        <v>42</v>
      </c>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5"/>
    </row>
    <row r="10" spans="2:36" ht="21">
      <c r="B10" s="13"/>
      <c r="C10" s="116"/>
      <c r="D10" s="12"/>
      <c r="G10" s="359" t="s">
        <v>219</v>
      </c>
      <c r="H10" s="360"/>
      <c r="I10" s="13" t="s">
        <v>2</v>
      </c>
      <c r="J10" s="448">
        <f>'2.根入れ長'!I274</f>
        <v>11.07</v>
      </c>
      <c r="K10" s="448"/>
      <c r="L10" s="425" t="s">
        <v>557</v>
      </c>
      <c r="M10" s="425"/>
      <c r="N10" s="628">
        <f>'2.根入れ長'!O274</f>
        <v>149.44499999999996</v>
      </c>
      <c r="O10" s="628"/>
      <c r="P10" s="628"/>
      <c r="Q10" s="425" t="s">
        <v>558</v>
      </c>
      <c r="R10" s="425"/>
      <c r="S10" s="618">
        <f>'2.根入れ長'!U274</f>
        <v>597.78</v>
      </c>
      <c r="T10" s="618"/>
      <c r="U10" s="618"/>
      <c r="V10" s="425" t="s">
        <v>226</v>
      </c>
      <c r="W10" s="425"/>
      <c r="X10" s="448">
        <f>'2.根入れ長'!Z274</f>
        <v>607.5</v>
      </c>
      <c r="Y10" s="448"/>
      <c r="Z10" s="448"/>
      <c r="AA10" s="116"/>
      <c r="AB10" s="116"/>
      <c r="AC10" s="116"/>
      <c r="AD10" s="116"/>
      <c r="AE10" s="116"/>
      <c r="AF10" s="116"/>
      <c r="AG10" s="116"/>
      <c r="AH10" s="116"/>
      <c r="AI10" s="116"/>
      <c r="AJ10" s="15"/>
    </row>
    <row r="11" spans="2:36" ht="21">
      <c r="C11" s="13"/>
      <c r="D11" s="12"/>
      <c r="G11" s="359" t="s">
        <v>220</v>
      </c>
      <c r="H11" s="360"/>
      <c r="I11" s="13" t="s">
        <v>2</v>
      </c>
      <c r="J11" s="448">
        <f>'2.根入れ長'!V229</f>
        <v>16.605</v>
      </c>
      <c r="K11" s="448"/>
      <c r="L11" s="425" t="s">
        <v>558</v>
      </c>
      <c r="M11" s="425"/>
      <c r="N11" s="448">
        <f>'2.根入れ長'!AB229</f>
        <v>99.63</v>
      </c>
      <c r="O11" s="448"/>
      <c r="P11" s="448"/>
      <c r="Q11" s="425" t="s">
        <v>226</v>
      </c>
      <c r="R11" s="425"/>
      <c r="S11" s="797">
        <f>'2.根入れ長'!AG229</f>
        <v>121.5</v>
      </c>
      <c r="T11" s="797"/>
      <c r="U11" s="797"/>
      <c r="V11" s="110"/>
      <c r="W11" s="110"/>
      <c r="X11" s="110"/>
      <c r="Y11" s="110"/>
      <c r="Z11" s="110"/>
      <c r="AA11" s="110"/>
      <c r="AB11" s="110"/>
      <c r="AC11" s="110"/>
      <c r="AD11" s="110"/>
      <c r="AE11" s="110"/>
      <c r="AF11" s="110"/>
      <c r="AG11" s="110"/>
      <c r="AH11" s="110"/>
      <c r="AI11" s="110"/>
      <c r="AJ11" s="111"/>
    </row>
    <row r="12" spans="2:36" ht="20.25">
      <c r="C12" s="13"/>
      <c r="D12" s="12"/>
      <c r="G12" s="82" t="s">
        <v>230</v>
      </c>
      <c r="H12" s="13"/>
      <c r="I12" s="13" t="s">
        <v>2</v>
      </c>
      <c r="J12" s="448">
        <f>'2.根入れ長'!K308</f>
        <v>1.0569819327927044</v>
      </c>
      <c r="K12" s="448"/>
      <c r="L12" s="448"/>
      <c r="M12" s="81"/>
      <c r="N12" s="24"/>
      <c r="O12" s="24"/>
      <c r="P12" s="24"/>
      <c r="Q12" s="98"/>
      <c r="R12" s="110"/>
      <c r="S12" s="110"/>
      <c r="T12" s="110"/>
      <c r="U12" s="110"/>
      <c r="V12" s="110"/>
      <c r="W12" s="110"/>
      <c r="X12" s="110"/>
      <c r="Y12" s="110"/>
      <c r="Z12" s="110"/>
      <c r="AA12" s="110"/>
      <c r="AB12" s="110"/>
      <c r="AC12" s="110"/>
      <c r="AD12" s="110"/>
      <c r="AE12" s="110"/>
      <c r="AF12" s="110"/>
      <c r="AG12" s="110"/>
      <c r="AH12" s="110"/>
      <c r="AI12" s="110"/>
      <c r="AJ12" s="111"/>
    </row>
    <row r="13" spans="2:36">
      <c r="C13" s="13"/>
      <c r="D13" s="12"/>
      <c r="F13" s="13" t="s">
        <v>231</v>
      </c>
      <c r="G13" s="217"/>
      <c r="H13" s="35"/>
      <c r="I13" s="13"/>
      <c r="J13" s="24"/>
      <c r="K13" s="24"/>
      <c r="L13" s="81"/>
      <c r="M13" s="81"/>
      <c r="N13" s="24"/>
      <c r="O13" s="24"/>
      <c r="P13" s="24"/>
      <c r="Q13" s="98"/>
      <c r="R13" s="110"/>
      <c r="S13" s="110"/>
      <c r="T13" s="110"/>
      <c r="U13" s="110"/>
      <c r="V13" s="110"/>
      <c r="W13" s="110"/>
      <c r="X13" s="110"/>
      <c r="Y13" s="110"/>
      <c r="Z13" s="110"/>
      <c r="AA13" s="110"/>
      <c r="AB13" s="110"/>
      <c r="AC13" s="110"/>
      <c r="AD13" s="110"/>
      <c r="AE13" s="110"/>
      <c r="AF13" s="110"/>
      <c r="AG13" s="110"/>
      <c r="AH13" s="110"/>
      <c r="AI13" s="110"/>
      <c r="AJ13" s="111"/>
    </row>
    <row r="14" spans="2:36">
      <c r="C14" s="13"/>
      <c r="D14" s="12"/>
      <c r="AE14" s="110"/>
      <c r="AF14" s="110"/>
      <c r="AG14" s="110"/>
      <c r="AH14" s="110"/>
      <c r="AI14" s="110"/>
      <c r="AJ14" s="111"/>
    </row>
    <row r="15" spans="2:36">
      <c r="C15" s="13"/>
      <c r="D15" s="12"/>
      <c r="E15" s="465" t="s">
        <v>218</v>
      </c>
      <c r="F15" s="465"/>
      <c r="G15" s="449" t="s">
        <v>2</v>
      </c>
      <c r="H15" s="569">
        <f>J10</f>
        <v>11.07</v>
      </c>
      <c r="I15" s="569"/>
      <c r="J15" s="26" t="s">
        <v>27</v>
      </c>
      <c r="K15" s="569">
        <f>J12</f>
        <v>1.0569819327927044</v>
      </c>
      <c r="L15" s="569"/>
      <c r="M15" s="17" t="s">
        <v>232</v>
      </c>
      <c r="N15" s="26" t="s">
        <v>68</v>
      </c>
      <c r="O15" s="569">
        <f>N10</f>
        <v>149.44499999999996</v>
      </c>
      <c r="P15" s="569"/>
      <c r="Q15" s="569"/>
      <c r="R15" s="26" t="s">
        <v>27</v>
      </c>
      <c r="S15" s="569">
        <f>J12</f>
        <v>1.0569819327927044</v>
      </c>
      <c r="T15" s="569"/>
      <c r="U15" s="17" t="s">
        <v>233</v>
      </c>
      <c r="V15" s="26" t="s">
        <v>68</v>
      </c>
      <c r="W15" s="569">
        <f>S10</f>
        <v>597.78</v>
      </c>
      <c r="X15" s="569"/>
      <c r="Y15" s="569"/>
      <c r="Z15" s="26" t="s">
        <v>27</v>
      </c>
      <c r="AA15" s="569">
        <f>J12</f>
        <v>1.0569819327927044</v>
      </c>
      <c r="AB15" s="569"/>
      <c r="AC15" s="225" t="s">
        <v>68</v>
      </c>
      <c r="AD15" s="788">
        <f>X10</f>
        <v>607.5</v>
      </c>
      <c r="AE15" s="788"/>
      <c r="AF15" s="788"/>
      <c r="AG15" s="110"/>
      <c r="AH15" s="110"/>
      <c r="AI15" s="110"/>
      <c r="AJ15" s="111"/>
    </row>
    <row r="16" spans="2:36">
      <c r="C16" s="13"/>
      <c r="D16" s="12"/>
      <c r="E16" s="465"/>
      <c r="F16" s="465"/>
      <c r="G16" s="449"/>
      <c r="H16" s="13"/>
      <c r="I16" s="13"/>
      <c r="J16" s="628">
        <f>J11</f>
        <v>16.605</v>
      </c>
      <c r="K16" s="628"/>
      <c r="L16" s="628"/>
      <c r="M16" s="13" t="s">
        <v>27</v>
      </c>
      <c r="N16" s="628">
        <f>J12</f>
        <v>1.0569819327927044</v>
      </c>
      <c r="O16" s="628"/>
      <c r="P16" s="13" t="s">
        <v>233</v>
      </c>
      <c r="Q16" s="13" t="s">
        <v>68</v>
      </c>
      <c r="R16" s="475">
        <f>N11</f>
        <v>99.63</v>
      </c>
      <c r="S16" s="475"/>
      <c r="T16" s="475"/>
      <c r="U16" s="13" t="s">
        <v>27</v>
      </c>
      <c r="V16" s="628">
        <f>J12</f>
        <v>1.0569819327927044</v>
      </c>
      <c r="W16" s="628"/>
      <c r="X16" s="110" t="s">
        <v>68</v>
      </c>
      <c r="Y16" s="798">
        <f>S11</f>
        <v>121.5</v>
      </c>
      <c r="Z16" s="798"/>
      <c r="AA16" s="798"/>
      <c r="AB16" s="110"/>
      <c r="AC16" s="110"/>
      <c r="AD16" s="110"/>
      <c r="AE16" s="110"/>
      <c r="AF16" s="110"/>
      <c r="AG16" s="110"/>
      <c r="AH16" s="110"/>
      <c r="AI16" s="110"/>
      <c r="AJ16" s="111"/>
    </row>
    <row r="17" spans="3:36">
      <c r="C17" s="13"/>
      <c r="D17" s="12"/>
      <c r="U17" s="110"/>
      <c r="V17" s="110"/>
      <c r="W17" s="110"/>
      <c r="X17" s="110"/>
      <c r="Y17" s="110"/>
      <c r="Z17" s="110"/>
      <c r="AA17" s="110"/>
      <c r="AB17" s="110"/>
      <c r="AC17" s="110"/>
      <c r="AD17" s="110"/>
      <c r="AE17" s="110"/>
      <c r="AF17" s="110"/>
      <c r="AG17" s="110"/>
      <c r="AH17" s="110"/>
      <c r="AI17" s="110"/>
      <c r="AJ17" s="111"/>
    </row>
    <row r="18" spans="3:36">
      <c r="C18" s="13"/>
      <c r="D18" s="12"/>
      <c r="G18" s="449" t="s">
        <v>2</v>
      </c>
      <c r="H18" s="451">
        <f>H15*K15^3+O15*S15^2+W15*AA15+AD15</f>
        <v>1419.3764777500965</v>
      </c>
      <c r="I18" s="451"/>
      <c r="J18" s="451"/>
      <c r="Y18" s="110"/>
      <c r="Z18" s="110"/>
      <c r="AA18" s="110"/>
      <c r="AB18" s="110"/>
      <c r="AC18" s="110"/>
      <c r="AD18" s="110"/>
      <c r="AE18" s="110"/>
      <c r="AF18" s="110"/>
      <c r="AG18" s="110"/>
      <c r="AH18" s="110"/>
      <c r="AI18" s="110"/>
      <c r="AJ18" s="111"/>
    </row>
    <row r="19" spans="3:36">
      <c r="C19" s="13"/>
      <c r="D19" s="12"/>
      <c r="G19" s="449"/>
      <c r="H19" s="453">
        <f>J16*N16^2+R16*V16+Y16</f>
        <v>245.35839540192171</v>
      </c>
      <c r="I19" s="453"/>
      <c r="J19" s="453"/>
      <c r="K19" s="110"/>
      <c r="L19" s="110"/>
      <c r="M19" s="110"/>
      <c r="N19" s="110"/>
      <c r="O19" s="110"/>
      <c r="P19" s="110"/>
      <c r="Q19" s="110"/>
      <c r="R19" s="110"/>
      <c r="S19" s="110"/>
      <c r="T19" s="110"/>
      <c r="U19" s="13"/>
      <c r="V19" s="13"/>
      <c r="W19" s="13"/>
      <c r="X19" s="13"/>
      <c r="Y19" s="13"/>
      <c r="Z19" s="110"/>
      <c r="AA19" s="110"/>
      <c r="AB19" s="110"/>
      <c r="AC19" s="110"/>
      <c r="AD19" s="110"/>
      <c r="AE19" s="110"/>
      <c r="AF19" s="110"/>
      <c r="AG19" s="110"/>
      <c r="AH19" s="110"/>
      <c r="AI19" s="110"/>
      <c r="AJ19" s="111"/>
    </row>
    <row r="20" spans="3:36">
      <c r="C20" s="13"/>
      <c r="D20" s="12"/>
      <c r="U20" s="13"/>
      <c r="V20" s="13"/>
      <c r="W20" s="13"/>
      <c r="X20" s="13"/>
      <c r="Y20" s="13"/>
      <c r="Z20" s="110"/>
      <c r="AA20" s="110"/>
      <c r="AB20" s="110"/>
      <c r="AC20" s="110"/>
      <c r="AD20" s="110"/>
      <c r="AE20" s="110"/>
      <c r="AF20" s="110"/>
      <c r="AG20" s="110"/>
      <c r="AH20" s="110"/>
      <c r="AI20" s="110"/>
      <c r="AJ20" s="111"/>
    </row>
    <row r="21" spans="3:36">
      <c r="C21" s="13"/>
      <c r="D21" s="12"/>
      <c r="G21" s="28" t="s">
        <v>2</v>
      </c>
      <c r="H21" s="771">
        <f>H18/H19</f>
        <v>5.7849109887803722</v>
      </c>
      <c r="I21" s="772"/>
      <c r="J21" s="773"/>
      <c r="K21" s="24" t="s">
        <v>3</v>
      </c>
      <c r="U21" s="110"/>
      <c r="V21" s="110"/>
      <c r="W21" s="110"/>
      <c r="X21" s="110"/>
      <c r="Y21" s="110"/>
      <c r="Z21" s="110"/>
      <c r="AA21" s="110"/>
      <c r="AB21" s="110"/>
      <c r="AC21" s="110"/>
      <c r="AD21" s="110"/>
      <c r="AE21" s="110"/>
      <c r="AF21" s="110"/>
      <c r="AG21" s="110"/>
      <c r="AH21" s="110"/>
      <c r="AI21" s="110"/>
      <c r="AJ21" s="111"/>
    </row>
    <row r="22" spans="3:36">
      <c r="C22" s="13"/>
      <c r="D22" s="12"/>
      <c r="E22" s="13"/>
      <c r="X22" s="13"/>
      <c r="Y22" s="13"/>
      <c r="Z22" s="13"/>
      <c r="AA22" s="13"/>
      <c r="AB22" s="13"/>
      <c r="AC22" s="13"/>
      <c r="AD22" s="13"/>
      <c r="AE22" s="13"/>
      <c r="AF22" s="13"/>
      <c r="AG22" s="13"/>
      <c r="AH22" s="13"/>
      <c r="AI22" s="13"/>
      <c r="AJ22" s="15"/>
    </row>
    <row r="23" spans="3:36">
      <c r="C23" s="13"/>
      <c r="D23" s="12"/>
      <c r="E23" s="13"/>
      <c r="F23" s="13"/>
      <c r="O23" s="13"/>
      <c r="P23" s="13"/>
      <c r="Q23" s="13"/>
      <c r="R23" s="13"/>
      <c r="S23" s="13"/>
      <c r="T23" s="13"/>
      <c r="U23" s="13"/>
      <c r="V23" s="13"/>
      <c r="Y23" s="13"/>
      <c r="Z23" s="13"/>
      <c r="AA23" s="13"/>
      <c r="AB23" s="13"/>
      <c r="AC23" s="13"/>
      <c r="AD23" s="13"/>
      <c r="AE23" s="13"/>
      <c r="AF23" s="13"/>
      <c r="AG23" s="13"/>
      <c r="AH23" s="13"/>
      <c r="AI23" s="13"/>
      <c r="AJ23" s="15"/>
    </row>
    <row r="24" spans="3:36">
      <c r="C24" s="13"/>
      <c r="D24" s="12"/>
      <c r="E24" s="13"/>
      <c r="F24" s="596" t="s">
        <v>234</v>
      </c>
      <c r="G24" s="596"/>
      <c r="H24" s="596"/>
      <c r="I24" s="596"/>
      <c r="J24" s="596"/>
      <c r="K24" s="596"/>
      <c r="L24" s="596"/>
      <c r="M24" s="596"/>
      <c r="N24" s="596"/>
      <c r="O24" s="596"/>
      <c r="P24" s="596"/>
      <c r="Q24" s="596"/>
      <c r="R24" s="13"/>
      <c r="S24" s="13"/>
      <c r="T24" s="13"/>
      <c r="U24" s="13"/>
      <c r="V24" s="13"/>
      <c r="Y24" s="13"/>
      <c r="Z24" s="13"/>
      <c r="AA24" s="13"/>
      <c r="AB24" s="13"/>
      <c r="AC24" s="13"/>
      <c r="AD24" s="13"/>
      <c r="AE24" s="13"/>
      <c r="AF24" s="13"/>
      <c r="AG24" s="13"/>
      <c r="AH24" s="13"/>
      <c r="AI24" s="13"/>
      <c r="AJ24" s="15"/>
    </row>
    <row r="25" spans="3:36">
      <c r="C25" s="13"/>
      <c r="D25" s="12"/>
      <c r="E25" s="13"/>
      <c r="G25" s="448">
        <f>'1.設計条件'!R10</f>
        <v>7</v>
      </c>
      <c r="H25" s="448"/>
      <c r="I25" s="448"/>
      <c r="J25" s="13" t="s">
        <v>236</v>
      </c>
      <c r="K25" s="448">
        <f>-'1.設計条件'!T50</f>
        <v>4</v>
      </c>
      <c r="L25" s="448"/>
      <c r="M25" s="448"/>
      <c r="U25" s="465" t="s">
        <v>604</v>
      </c>
      <c r="V25" s="465"/>
      <c r="Y25" s="13"/>
      <c r="Z25" s="13"/>
      <c r="AA25" s="13"/>
      <c r="AB25" s="13"/>
      <c r="AC25" s="13"/>
      <c r="AD25" s="13"/>
      <c r="AE25" s="13"/>
      <c r="AF25" s="13"/>
      <c r="AG25" s="13"/>
      <c r="AH25" s="13"/>
      <c r="AI25" s="13"/>
      <c r="AJ25" s="15"/>
    </row>
    <row r="26" spans="3:36">
      <c r="C26" s="13"/>
      <c r="D26" s="12"/>
      <c r="G26" s="13" t="s">
        <v>2</v>
      </c>
      <c r="H26" s="448">
        <f>G25-K25</f>
        <v>3</v>
      </c>
      <c r="I26" s="448"/>
      <c r="J26" s="448"/>
      <c r="K26" s="13" t="s">
        <v>3</v>
      </c>
      <c r="U26" s="465"/>
      <c r="V26" s="465"/>
      <c r="Y26" s="13"/>
      <c r="Z26" s="13"/>
      <c r="AA26" s="13"/>
      <c r="AB26" s="13"/>
      <c r="AC26" s="13"/>
      <c r="AD26" s="13"/>
      <c r="AE26" s="32"/>
      <c r="AF26" s="13"/>
      <c r="AG26" s="13"/>
      <c r="AH26" s="13"/>
      <c r="AI26" s="13"/>
      <c r="AJ26" s="15"/>
    </row>
    <row r="27" spans="3:36">
      <c r="C27" s="13"/>
      <c r="D27" s="12"/>
      <c r="F27" s="13" t="s">
        <v>231</v>
      </c>
      <c r="U27" s="13"/>
      <c r="V27" s="13"/>
      <c r="W27" s="13"/>
      <c r="X27" s="13"/>
      <c r="Y27" s="13"/>
      <c r="Z27" s="13"/>
      <c r="AA27" s="13"/>
      <c r="AB27" s="13"/>
      <c r="AC27" s="13"/>
      <c r="AD27" s="13"/>
      <c r="AE27" s="13"/>
      <c r="AF27" s="13"/>
      <c r="AG27" s="13"/>
      <c r="AH27" s="13"/>
      <c r="AI27" s="13"/>
      <c r="AJ27" s="113"/>
    </row>
    <row r="28" spans="3:36">
      <c r="C28" s="13"/>
      <c r="D28" s="12"/>
      <c r="E28" s="13"/>
      <c r="F28" s="596" t="s">
        <v>235</v>
      </c>
      <c r="G28" s="596"/>
      <c r="H28" s="596"/>
      <c r="I28" s="596"/>
      <c r="J28" s="596"/>
      <c r="K28" s="596"/>
      <c r="L28" s="596"/>
      <c r="M28" s="596"/>
      <c r="N28" s="596"/>
      <c r="O28" s="596"/>
      <c r="P28" s="596"/>
      <c r="Q28" s="596"/>
      <c r="R28" s="13"/>
      <c r="S28" s="13"/>
      <c r="T28" s="13"/>
      <c r="U28" s="13"/>
      <c r="V28" s="13"/>
      <c r="W28" s="13"/>
      <c r="X28" s="13"/>
      <c r="Y28" s="13"/>
      <c r="Z28" s="13"/>
      <c r="AA28" s="13"/>
      <c r="AB28" s="13"/>
      <c r="AC28" s="13"/>
      <c r="AD28" s="13"/>
      <c r="AE28" s="13"/>
      <c r="AF28" s="13"/>
      <c r="AG28" s="13"/>
      <c r="AH28" s="13"/>
      <c r="AI28" s="13"/>
      <c r="AJ28" s="15"/>
    </row>
    <row r="29" spans="3:36">
      <c r="C29" s="13"/>
      <c r="D29" s="12"/>
      <c r="E29" s="13"/>
      <c r="F29" s="13"/>
      <c r="G29" s="448">
        <f>H21</f>
        <v>5.7849109887803722</v>
      </c>
      <c r="H29" s="448"/>
      <c r="I29" s="448"/>
      <c r="J29" s="13" t="s">
        <v>236</v>
      </c>
      <c r="K29" s="448">
        <f>H26</f>
        <v>3</v>
      </c>
      <c r="L29" s="448"/>
      <c r="M29" s="448"/>
      <c r="T29" s="13"/>
      <c r="V29" s="789" t="s">
        <v>239</v>
      </c>
      <c r="W29" s="790"/>
      <c r="Z29" s="13"/>
      <c r="AA29" s="13"/>
      <c r="AB29" s="13"/>
      <c r="AC29" s="13"/>
      <c r="AD29" s="13"/>
      <c r="AE29" s="13"/>
      <c r="AF29" s="13"/>
      <c r="AG29" s="13"/>
      <c r="AH29" s="13"/>
      <c r="AI29" s="13"/>
      <c r="AJ29" s="15"/>
    </row>
    <row r="30" spans="3:36">
      <c r="C30" s="13"/>
      <c r="D30" s="12"/>
      <c r="E30" s="13"/>
      <c r="G30" s="13" t="s">
        <v>2</v>
      </c>
      <c r="H30" s="448">
        <f>G29-K29</f>
        <v>2.7849109887803722</v>
      </c>
      <c r="I30" s="448"/>
      <c r="J30" s="448"/>
      <c r="K30" s="13" t="s">
        <v>3</v>
      </c>
      <c r="S30" s="13"/>
      <c r="T30" s="13"/>
      <c r="W30" s="13"/>
      <c r="X30" s="13"/>
      <c r="Y30" s="13"/>
      <c r="Z30" s="13"/>
      <c r="AA30" s="13"/>
      <c r="AB30" s="13"/>
      <c r="AC30" s="13"/>
      <c r="AD30" s="13"/>
      <c r="AE30" s="13"/>
      <c r="AF30" s="13"/>
      <c r="AG30" s="13"/>
      <c r="AH30" s="13"/>
      <c r="AI30" s="13"/>
      <c r="AJ30" s="15"/>
    </row>
    <row r="31" spans="3:36">
      <c r="C31" s="13"/>
      <c r="D31" s="12"/>
      <c r="E31" s="13"/>
      <c r="F31" s="13" t="s">
        <v>237</v>
      </c>
      <c r="L31" s="24"/>
      <c r="M31" s="13"/>
      <c r="N31" s="13"/>
      <c r="O31" s="13"/>
      <c r="P31" s="13"/>
      <c r="Q31" s="13"/>
      <c r="R31" s="13"/>
      <c r="S31" s="13"/>
      <c r="T31" s="13"/>
      <c r="U31" s="13"/>
      <c r="V31" s="13"/>
      <c r="W31" s="13"/>
      <c r="X31" s="13"/>
      <c r="Y31" s="13"/>
      <c r="Z31" s="13"/>
      <c r="AA31" s="13"/>
      <c r="AB31" s="13"/>
      <c r="AC31" s="13"/>
      <c r="AD31" s="13"/>
      <c r="AE31" s="13"/>
      <c r="AF31" s="13"/>
      <c r="AG31" s="13"/>
      <c r="AH31" s="13"/>
      <c r="AI31" s="13"/>
      <c r="AJ31" s="15"/>
    </row>
    <row r="32" spans="3:36">
      <c r="C32" s="13"/>
      <c r="D32" s="12"/>
      <c r="E32" s="13"/>
      <c r="F32" s="13"/>
      <c r="G32" s="32"/>
      <c r="H32" s="114"/>
      <c r="I32" s="114"/>
      <c r="J32" s="114"/>
      <c r="K32" s="24"/>
      <c r="L32" s="24"/>
      <c r="M32" s="13"/>
      <c r="N32" s="13"/>
      <c r="O32" s="13"/>
      <c r="P32" s="13"/>
      <c r="Q32" s="13"/>
      <c r="R32" s="13"/>
      <c r="S32" s="13"/>
      <c r="T32" s="13"/>
      <c r="U32" s="13"/>
      <c r="V32" s="13"/>
      <c r="W32" s="13"/>
      <c r="X32" s="13"/>
      <c r="Y32" s="13"/>
      <c r="Z32" s="13"/>
      <c r="AA32" s="13"/>
      <c r="AB32" s="13"/>
      <c r="AC32" s="13"/>
      <c r="AD32" s="13"/>
      <c r="AE32" s="13"/>
      <c r="AF32" s="13"/>
      <c r="AG32" s="13"/>
      <c r="AH32" s="13"/>
      <c r="AI32" s="13"/>
      <c r="AJ32" s="15"/>
    </row>
    <row r="33" spans="3:37">
      <c r="C33" s="13"/>
      <c r="D33" s="12"/>
      <c r="E33" s="13"/>
      <c r="G33" s="28"/>
      <c r="H33" s="14"/>
      <c r="I33" s="14"/>
      <c r="J33" s="14"/>
      <c r="K33" s="24"/>
      <c r="L33" s="24"/>
      <c r="M33" s="13"/>
      <c r="N33" s="13"/>
      <c r="O33" s="13"/>
      <c r="P33" s="13"/>
      <c r="Q33" s="13"/>
      <c r="R33" s="13"/>
      <c r="S33" s="13"/>
      <c r="T33" s="13"/>
      <c r="U33" s="13"/>
      <c r="V33" s="13"/>
      <c r="W33" s="13"/>
      <c r="X33" s="13"/>
      <c r="Y33" s="13"/>
      <c r="Z33" s="13"/>
      <c r="AA33" s="448"/>
      <c r="AB33" s="448"/>
      <c r="AC33" s="448"/>
      <c r="AD33" s="13"/>
      <c r="AE33" s="13"/>
      <c r="AF33" s="448"/>
      <c r="AG33" s="448"/>
      <c r="AH33" s="448"/>
      <c r="AI33" s="13"/>
      <c r="AJ33" s="15"/>
    </row>
    <row r="34" spans="3:37">
      <c r="C34" s="13"/>
      <c r="D34" s="12"/>
      <c r="E34" s="13"/>
      <c r="F34" s="13" t="s">
        <v>607</v>
      </c>
      <c r="G34" s="28"/>
      <c r="H34" s="14"/>
      <c r="I34" s="14"/>
      <c r="J34" s="14"/>
      <c r="K34" s="24"/>
      <c r="L34" s="24"/>
      <c r="M34" s="13"/>
      <c r="N34" s="13"/>
      <c r="O34" s="13"/>
      <c r="P34" s="13"/>
      <c r="Q34" s="13"/>
      <c r="R34" s="13"/>
      <c r="S34" s="13"/>
      <c r="T34" s="13"/>
      <c r="U34" s="13"/>
      <c r="V34" s="13"/>
      <c r="W34" s="13"/>
      <c r="X34" s="13"/>
      <c r="Y34" s="13"/>
      <c r="Z34" s="13"/>
      <c r="AA34" s="24"/>
      <c r="AB34" s="24"/>
      <c r="AC34" s="24"/>
      <c r="AD34" s="13"/>
      <c r="AE34" s="13"/>
      <c r="AF34" s="24"/>
      <c r="AG34" s="24"/>
      <c r="AH34" s="24"/>
      <c r="AI34" s="13"/>
      <c r="AJ34" s="15"/>
    </row>
    <row r="35" spans="3:37">
      <c r="C35" s="13"/>
      <c r="D35" s="12"/>
      <c r="E35" s="13"/>
      <c r="F35" s="454"/>
      <c r="G35" s="454"/>
      <c r="H35" s="454"/>
      <c r="I35" s="448">
        <f>H30</f>
        <v>2.7849109887803722</v>
      </c>
      <c r="J35" s="448"/>
      <c r="K35" s="448"/>
      <c r="L35" s="24" t="str">
        <f>IF(I35&gt;=M35,"≧", "&lt;")</f>
        <v>≧</v>
      </c>
      <c r="M35" s="448">
        <v>0.75</v>
      </c>
      <c r="N35" s="448"/>
      <c r="O35" s="448"/>
      <c r="P35" s="13" t="s">
        <v>238</v>
      </c>
      <c r="Q35" s="13"/>
      <c r="R35" s="13"/>
      <c r="S35" s="13"/>
      <c r="T35" s="13"/>
      <c r="U35" s="13"/>
      <c r="V35" s="13"/>
      <c r="W35" s="13"/>
      <c r="X35" s="13"/>
      <c r="Y35" s="13"/>
      <c r="Z35" s="13"/>
      <c r="AA35" s="24"/>
      <c r="AB35" s="24"/>
      <c r="AC35" s="24"/>
      <c r="AD35" s="13"/>
      <c r="AE35" s="13"/>
      <c r="AF35" s="24"/>
      <c r="AG35" s="24"/>
      <c r="AH35" s="24"/>
      <c r="AI35" s="13"/>
      <c r="AJ35" s="15"/>
    </row>
    <row r="36" spans="3:37">
      <c r="C36" s="13"/>
      <c r="D36" s="12"/>
      <c r="E36" s="13"/>
      <c r="F36" s="596" t="s">
        <v>235</v>
      </c>
      <c r="G36" s="596"/>
      <c r="H36" s="596"/>
      <c r="I36" s="596"/>
      <c r="J36" s="596"/>
      <c r="K36" s="596"/>
      <c r="L36" s="596"/>
      <c r="M36" s="596"/>
      <c r="N36" s="596"/>
      <c r="O36" s="596"/>
      <c r="P36" s="596"/>
      <c r="Q36" s="596"/>
      <c r="R36" s="437">
        <f>IF(I35&gt;=M35,I35, M35)</f>
        <v>2.7849109887803722</v>
      </c>
      <c r="S36" s="438"/>
      <c r="T36" s="439"/>
      <c r="U36" s="13" t="s">
        <v>3</v>
      </c>
      <c r="V36" s="13"/>
      <c r="W36" s="13"/>
      <c r="X36" s="13"/>
      <c r="Y36" s="13"/>
      <c r="Z36" s="13"/>
      <c r="AA36" s="13"/>
      <c r="AB36" s="13"/>
      <c r="AC36" s="13"/>
      <c r="AD36" s="13"/>
      <c r="AE36" s="13"/>
      <c r="AF36" s="13"/>
      <c r="AG36" s="13"/>
      <c r="AH36" s="13"/>
      <c r="AI36" s="13"/>
      <c r="AJ36" s="15"/>
    </row>
    <row r="37" spans="3:37">
      <c r="D37" s="16"/>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9"/>
      <c r="AK37" s="13"/>
    </row>
    <row r="38" spans="3:37">
      <c r="C38" s="13"/>
      <c r="D38" s="117"/>
      <c r="E38" s="117"/>
      <c r="F38" s="117"/>
      <c r="G38" s="117"/>
      <c r="H38" s="117"/>
      <c r="I38" s="117"/>
      <c r="J38" s="117"/>
      <c r="K38" s="117"/>
      <c r="L38" s="117"/>
      <c r="M38" s="117"/>
      <c r="N38" s="117"/>
      <c r="O38" s="117"/>
      <c r="P38" s="117"/>
      <c r="Q38" s="117"/>
      <c r="R38" s="13"/>
      <c r="S38" s="13"/>
      <c r="T38" s="13"/>
      <c r="U38" s="13"/>
      <c r="V38" s="13"/>
      <c r="W38" s="13"/>
      <c r="X38" s="13"/>
      <c r="Y38" s="13"/>
      <c r="Z38" s="13"/>
      <c r="AA38" s="13"/>
      <c r="AB38" s="13"/>
      <c r="AC38" s="13"/>
      <c r="AD38" s="13"/>
      <c r="AE38" s="13"/>
      <c r="AF38" s="13"/>
      <c r="AG38" s="13"/>
      <c r="AH38" s="13"/>
      <c r="AI38" s="13"/>
      <c r="AJ38" s="13"/>
    </row>
    <row r="39" spans="3:37">
      <c r="C39" s="1" t="s">
        <v>581</v>
      </c>
      <c r="X39" t="s">
        <v>560</v>
      </c>
    </row>
    <row r="40" spans="3:37">
      <c r="D40" s="9" t="s">
        <v>393</v>
      </c>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1"/>
    </row>
    <row r="41" spans="3:37">
      <c r="D41" s="12"/>
      <c r="E41" s="13" t="s">
        <v>411</v>
      </c>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5"/>
    </row>
    <row r="42" spans="3:37">
      <c r="D42" s="12"/>
      <c r="E42" s="13" t="s">
        <v>590</v>
      </c>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5"/>
    </row>
    <row r="43" spans="3:37">
      <c r="D43" s="12"/>
      <c r="F43" s="117" t="s">
        <v>561</v>
      </c>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3"/>
      <c r="AE43" s="13"/>
      <c r="AF43" s="13"/>
      <c r="AG43" s="13"/>
      <c r="AH43" s="13"/>
      <c r="AI43" s="13"/>
      <c r="AJ43" s="15"/>
    </row>
    <row r="44" spans="3:37">
      <c r="D44" s="12"/>
      <c r="E44" s="117"/>
      <c r="N44" s="117"/>
      <c r="O44" s="117"/>
      <c r="P44" s="117"/>
      <c r="Q44" s="117"/>
      <c r="R44" s="117"/>
      <c r="S44" s="117"/>
      <c r="T44" s="117"/>
      <c r="U44" s="117"/>
      <c r="V44" s="117"/>
      <c r="W44" s="117"/>
      <c r="X44" s="117"/>
      <c r="Y44"/>
      <c r="Z44"/>
      <c r="AA44" s="410" t="s">
        <v>8</v>
      </c>
      <c r="AB44" s="411"/>
      <c r="AC44" s="413" t="s">
        <v>12</v>
      </c>
      <c r="AD44" s="414"/>
      <c r="AE44" s="414"/>
      <c r="AF44" s="415"/>
      <c r="AG44" s="540"/>
      <c r="AH44" s="453"/>
      <c r="AI44" s="541"/>
      <c r="AJ44" s="15"/>
    </row>
    <row r="45" spans="3:37">
      <c r="D45" s="12"/>
      <c r="E45" s="117"/>
      <c r="F45" s="98" t="s">
        <v>568</v>
      </c>
      <c r="G45" s="81"/>
      <c r="H45" s="226"/>
      <c r="I45" s="226"/>
      <c r="J45" s="226"/>
      <c r="K45" s="226"/>
      <c r="L45" s="226"/>
      <c r="M45" s="226"/>
      <c r="N45" s="226"/>
      <c r="O45" s="226"/>
      <c r="P45" s="227"/>
      <c r="T45" s="117"/>
      <c r="U45" s="117"/>
      <c r="V45" s="117"/>
      <c r="W45" s="117"/>
      <c r="X45" s="117"/>
      <c r="Y45"/>
      <c r="Z45"/>
      <c r="AA45" s="421" t="s">
        <v>15</v>
      </c>
      <c r="AB45" s="422"/>
      <c r="AC45" s="416" t="s">
        <v>16</v>
      </c>
      <c r="AD45" s="380"/>
      <c r="AE45" s="380"/>
      <c r="AF45" s="417"/>
      <c r="AG45" s="421" t="s">
        <v>569</v>
      </c>
      <c r="AH45" s="360"/>
      <c r="AI45" s="422"/>
      <c r="AJ45" s="15"/>
    </row>
    <row r="46" spans="3:37" ht="20.25">
      <c r="D46" s="12"/>
      <c r="E46" s="117"/>
      <c r="F46" s="81"/>
      <c r="G46" s="525" t="s">
        <v>16</v>
      </c>
      <c r="H46" s="743" t="s">
        <v>2</v>
      </c>
      <c r="I46" s="744" t="s">
        <v>571</v>
      </c>
      <c r="J46" s="744"/>
      <c r="K46" s="744"/>
      <c r="L46" s="229"/>
      <c r="M46" s="743" t="s">
        <v>2</v>
      </c>
      <c r="N46" s="744">
        <f>AG51</f>
        <v>110.56419889902335</v>
      </c>
      <c r="O46" s="744"/>
      <c r="P46" s="744"/>
      <c r="Q46" s="117"/>
      <c r="R46" s="117"/>
      <c r="S46" s="117"/>
      <c r="T46" s="117"/>
      <c r="U46" s="117"/>
      <c r="V46" s="117"/>
      <c r="W46" s="117"/>
      <c r="X46" s="117"/>
      <c r="Y46"/>
      <c r="Z46"/>
      <c r="AA46" s="418" t="s">
        <v>20</v>
      </c>
      <c r="AB46" s="419"/>
      <c r="AC46" s="418" t="s">
        <v>40</v>
      </c>
      <c r="AD46" s="419"/>
      <c r="AE46" s="419"/>
      <c r="AF46" s="420"/>
      <c r="AG46" s="748" t="s">
        <v>570</v>
      </c>
      <c r="AH46" s="451"/>
      <c r="AI46" s="749"/>
      <c r="AJ46" s="15"/>
    </row>
    <row r="47" spans="3:37">
      <c r="D47" s="12"/>
      <c r="E47" s="117"/>
      <c r="F47" s="81"/>
      <c r="G47" s="525"/>
      <c r="H47" s="743"/>
      <c r="I47" s="745" t="s">
        <v>572</v>
      </c>
      <c r="J47" s="745"/>
      <c r="K47" s="745"/>
      <c r="L47" s="226"/>
      <c r="M47" s="743"/>
      <c r="N47" s="745">
        <f>AA51</f>
        <v>9.7849109887803714</v>
      </c>
      <c r="O47" s="745"/>
      <c r="P47" s="745"/>
      <c r="Q47" s="117"/>
      <c r="R47" s="117"/>
      <c r="S47" s="117"/>
      <c r="T47" s="117"/>
      <c r="U47" s="117"/>
      <c r="V47" s="117"/>
      <c r="W47" s="117"/>
      <c r="X47" s="117"/>
      <c r="Y47" s="398" t="s">
        <v>21</v>
      </c>
      <c r="Z47" s="398"/>
      <c r="AA47" s="747">
        <f>'1.設計条件'!F22</f>
        <v>1</v>
      </c>
      <c r="AB47" s="747"/>
      <c r="AC47" s="746">
        <f>'1.設計条件'!P22</f>
        <v>18</v>
      </c>
      <c r="AD47" s="746"/>
      <c r="AE47" s="746"/>
      <c r="AF47" s="746"/>
      <c r="AG47" s="373">
        <f>AA47*AC47</f>
        <v>18</v>
      </c>
      <c r="AH47" s="373"/>
      <c r="AI47" s="373"/>
      <c r="AJ47" s="15"/>
    </row>
    <row r="48" spans="3:37">
      <c r="D48" s="12"/>
      <c r="E48" s="117"/>
      <c r="Q48" s="117"/>
      <c r="R48" s="117"/>
      <c r="S48" s="117"/>
      <c r="T48" s="117"/>
      <c r="U48" s="117"/>
      <c r="V48" s="117"/>
      <c r="W48" s="117"/>
      <c r="X48" s="117"/>
      <c r="Y48" s="398" t="s">
        <v>22</v>
      </c>
      <c r="Z48" s="398"/>
      <c r="AA48" s="747">
        <f>'1.設計条件'!F23</f>
        <v>1.5</v>
      </c>
      <c r="AB48" s="747"/>
      <c r="AC48" s="746">
        <f>'1.設計条件'!P23</f>
        <v>18</v>
      </c>
      <c r="AD48" s="746"/>
      <c r="AE48" s="746"/>
      <c r="AF48" s="746"/>
      <c r="AG48" s="373">
        <f t="shared" ref="AG48:AG50" si="0">AA48*AC48</f>
        <v>27</v>
      </c>
      <c r="AH48" s="373"/>
      <c r="AI48" s="373"/>
      <c r="AJ48" s="15"/>
    </row>
    <row r="49" spans="4:36">
      <c r="D49" s="12"/>
      <c r="E49" s="117"/>
      <c r="H49" s="1" t="s">
        <v>2</v>
      </c>
      <c r="I49" s="437">
        <f>N46/N47</f>
        <v>11.299458832665835</v>
      </c>
      <c r="J49" s="438"/>
      <c r="K49" s="439"/>
      <c r="L49" s="1" t="s">
        <v>573</v>
      </c>
      <c r="U49" s="117"/>
      <c r="V49" s="117"/>
      <c r="W49" s="117"/>
      <c r="X49" s="117"/>
      <c r="Y49" s="398" t="s">
        <v>94</v>
      </c>
      <c r="Z49" s="398"/>
      <c r="AA49" s="747">
        <f>'1.設計条件'!F24</f>
        <v>4.5</v>
      </c>
      <c r="AB49" s="747"/>
      <c r="AC49" s="746">
        <f>'1.設計条件'!X24</f>
        <v>9</v>
      </c>
      <c r="AD49" s="746"/>
      <c r="AE49" s="746"/>
      <c r="AF49" s="746"/>
      <c r="AG49" s="373">
        <f t="shared" si="0"/>
        <v>40.5</v>
      </c>
      <c r="AH49" s="373"/>
      <c r="AI49" s="373"/>
      <c r="AJ49" s="15"/>
    </row>
    <row r="50" spans="4:36" ht="19.5" thickBot="1">
      <c r="D50" s="12"/>
      <c r="E50" s="117"/>
      <c r="U50" s="117"/>
      <c r="V50" s="117"/>
      <c r="W50" s="117"/>
      <c r="X50" s="117"/>
      <c r="Y50" s="754" t="s">
        <v>114</v>
      </c>
      <c r="Z50" s="754"/>
      <c r="AA50" s="755">
        <f>R36</f>
        <v>2.7849109887803722</v>
      </c>
      <c r="AB50" s="755"/>
      <c r="AC50" s="756">
        <f>'1.設計条件'!X26</f>
        <v>9</v>
      </c>
      <c r="AD50" s="756"/>
      <c r="AE50" s="756"/>
      <c r="AF50" s="756"/>
      <c r="AG50" s="753">
        <f t="shared" si="0"/>
        <v>25.064198899023349</v>
      </c>
      <c r="AH50" s="753"/>
      <c r="AI50" s="753"/>
      <c r="AJ50" s="15"/>
    </row>
    <row r="51" spans="4:36" ht="19.5" thickTop="1">
      <c r="D51" s="12"/>
      <c r="E51" s="117"/>
      <c r="U51" s="117"/>
      <c r="V51" s="117"/>
      <c r="W51" s="117"/>
      <c r="X51" s="117"/>
      <c r="Y51" s="757" t="s">
        <v>252</v>
      </c>
      <c r="Z51" s="758"/>
      <c r="AA51" s="750">
        <f>SUM(AA47:AB50)</f>
        <v>9.7849109887803714</v>
      </c>
      <c r="AB51" s="752"/>
      <c r="AC51" s="759"/>
      <c r="AD51" s="759"/>
      <c r="AE51" s="759"/>
      <c r="AF51" s="759"/>
      <c r="AG51" s="750">
        <f>SUM(AG47:AI50)</f>
        <v>110.56419889902335</v>
      </c>
      <c r="AH51" s="751"/>
      <c r="AI51" s="752"/>
      <c r="AJ51" s="15"/>
    </row>
    <row r="52" spans="4:36">
      <c r="D52" s="12"/>
      <c r="E52" s="117"/>
      <c r="U52" s="117"/>
      <c r="V52" s="117"/>
      <c r="W52" s="117"/>
      <c r="X52" s="117"/>
      <c r="Y52" s="117"/>
      <c r="Z52" s="117"/>
      <c r="AA52" s="117"/>
      <c r="AB52" s="117"/>
      <c r="AC52" s="117"/>
      <c r="AD52" s="13"/>
      <c r="AE52" s="13"/>
      <c r="AF52" s="13"/>
      <c r="AG52" s="13"/>
      <c r="AH52" s="13"/>
      <c r="AI52" s="13"/>
      <c r="AJ52" s="15"/>
    </row>
    <row r="53" spans="4:36">
      <c r="D53" s="12"/>
      <c r="E53" s="117"/>
      <c r="F53" s="117" t="s">
        <v>564</v>
      </c>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3"/>
      <c r="AE53" s="13"/>
      <c r="AF53" s="13"/>
      <c r="AG53" s="13"/>
      <c r="AH53" s="13"/>
      <c r="AI53" s="13"/>
      <c r="AJ53" s="15"/>
    </row>
    <row r="54" spans="4:36">
      <c r="D54" s="12"/>
      <c r="E54" s="117"/>
      <c r="G54" s="117" t="s">
        <v>563</v>
      </c>
      <c r="H54" s="117"/>
      <c r="I54" s="117"/>
      <c r="J54" s="117"/>
      <c r="K54" s="477">
        <f>'1.設計条件'!R10</f>
        <v>7</v>
      </c>
      <c r="L54" s="477"/>
      <c r="M54" s="117" t="s">
        <v>3</v>
      </c>
      <c r="N54" s="117"/>
      <c r="O54" s="117"/>
      <c r="P54" s="117"/>
      <c r="Q54" s="117"/>
      <c r="R54" s="117"/>
      <c r="S54" s="117"/>
      <c r="T54" s="117"/>
      <c r="U54" s="117"/>
      <c r="V54" s="117"/>
      <c r="W54" s="117"/>
      <c r="X54" s="117"/>
      <c r="Y54" s="117"/>
      <c r="Z54" s="117"/>
      <c r="AA54" s="117"/>
      <c r="AB54" s="117"/>
      <c r="AC54" s="117"/>
      <c r="AD54" s="13"/>
      <c r="AE54" s="13"/>
      <c r="AF54" s="13"/>
      <c r="AG54" s="13"/>
      <c r="AH54" s="13"/>
      <c r="AI54" s="13"/>
      <c r="AJ54" s="15"/>
    </row>
    <row r="55" spans="4:36">
      <c r="D55" s="12"/>
      <c r="E55" s="117"/>
      <c r="F55" s="1" t="s">
        <v>231</v>
      </c>
      <c r="L55" s="117"/>
      <c r="X55" s="117"/>
      <c r="Y55" s="117"/>
      <c r="Z55" s="117"/>
      <c r="AA55" s="117"/>
      <c r="AB55" s="117"/>
      <c r="AC55" s="117"/>
      <c r="AD55" s="13"/>
      <c r="AE55" s="13"/>
      <c r="AF55" s="13"/>
      <c r="AG55" s="13"/>
      <c r="AH55" s="13"/>
      <c r="AI55" s="13"/>
      <c r="AJ55" s="15"/>
    </row>
    <row r="56" spans="4:36">
      <c r="D56" s="12"/>
      <c r="E56" s="117"/>
      <c r="F56" s="117"/>
      <c r="G56" s="477" t="s">
        <v>565</v>
      </c>
      <c r="H56" s="477"/>
      <c r="I56" s="407">
        <v>1</v>
      </c>
      <c r="J56" s="409"/>
      <c r="K56" s="117"/>
      <c r="L56" s="117"/>
      <c r="M56" s="117"/>
      <c r="X56" s="117"/>
      <c r="Y56" s="117"/>
      <c r="Z56" s="117"/>
      <c r="AA56" s="117"/>
      <c r="AB56" s="117"/>
      <c r="AC56" s="117"/>
      <c r="AD56" s="13"/>
      <c r="AE56" s="13"/>
      <c r="AF56" s="13"/>
      <c r="AG56" s="13"/>
      <c r="AH56" s="13"/>
      <c r="AI56" s="13"/>
      <c r="AJ56" s="15"/>
    </row>
    <row r="57" spans="4:36">
      <c r="D57" s="12"/>
      <c r="E57" s="117"/>
      <c r="G57" s="117"/>
      <c r="H57" s="117"/>
      <c r="I57" s="117"/>
      <c r="J57" s="117"/>
      <c r="K57" s="117"/>
      <c r="L57" s="117"/>
      <c r="M57" s="117"/>
      <c r="X57" s="117"/>
      <c r="Y57" s="117"/>
      <c r="Z57" s="117"/>
      <c r="AA57" s="117"/>
      <c r="AB57" s="117"/>
      <c r="AC57" s="117"/>
      <c r="AD57" s="13"/>
      <c r="AE57" s="13"/>
      <c r="AF57" s="13"/>
      <c r="AG57" s="13"/>
      <c r="AH57" s="13"/>
      <c r="AI57" s="13"/>
      <c r="AJ57" s="15"/>
    </row>
    <row r="58" spans="4:36">
      <c r="D58" s="12"/>
      <c r="E58" s="117"/>
      <c r="F58" s="117" t="s">
        <v>566</v>
      </c>
      <c r="Q58" s="227"/>
      <c r="R58" s="13"/>
      <c r="S58" s="13"/>
      <c r="T58" s="13"/>
      <c r="AI58" s="13"/>
      <c r="AJ58" s="15"/>
    </row>
    <row r="59" spans="4:36">
      <c r="D59" s="12"/>
      <c r="E59" s="117"/>
      <c r="G59" s="117" t="s">
        <v>562</v>
      </c>
      <c r="H59" s="117"/>
      <c r="I59" s="117"/>
      <c r="J59" s="477" t="str">
        <f>'1.設計条件'!H22</f>
        <v>砂質</v>
      </c>
      <c r="K59" s="477"/>
      <c r="Q59" s="227"/>
      <c r="R59" s="13"/>
      <c r="S59" s="13"/>
      <c r="T59" s="13"/>
      <c r="AI59" s="13"/>
      <c r="AJ59" s="15"/>
    </row>
    <row r="60" spans="4:36">
      <c r="D60" s="12"/>
      <c r="E60" s="117"/>
      <c r="F60" s="117" t="s">
        <v>231</v>
      </c>
      <c r="G60" s="117"/>
      <c r="H60" s="117"/>
      <c r="I60" s="117"/>
      <c r="J60" s="117"/>
      <c r="K60" s="117"/>
      <c r="Q60" s="227"/>
      <c r="R60" s="13"/>
      <c r="S60" s="13"/>
      <c r="T60" s="13"/>
      <c r="AI60" s="13"/>
      <c r="AJ60" s="15"/>
    </row>
    <row r="61" spans="4:36">
      <c r="D61" s="12"/>
      <c r="E61" s="117"/>
      <c r="F61" s="117"/>
      <c r="G61" s="477" t="s">
        <v>567</v>
      </c>
      <c r="H61" s="477"/>
      <c r="I61" s="407">
        <v>2</v>
      </c>
      <c r="J61" s="409"/>
      <c r="K61" s="117"/>
      <c r="Q61" s="13"/>
      <c r="R61" s="13"/>
      <c r="S61" s="13"/>
      <c r="T61" s="13"/>
      <c r="AI61" s="13"/>
      <c r="AJ61" s="15"/>
    </row>
    <row r="62" spans="4:36">
      <c r="D62" s="12"/>
      <c r="E62" s="117"/>
      <c r="Q62" s="13"/>
      <c r="R62" s="13"/>
      <c r="S62" s="13"/>
      <c r="T62" s="13"/>
      <c r="AI62" s="13"/>
      <c r="AJ62" s="15"/>
    </row>
    <row r="63" spans="4:36">
      <c r="D63" s="12"/>
      <c r="E63" s="117"/>
      <c r="Q63" s="13"/>
      <c r="R63" s="13"/>
      <c r="S63" s="13"/>
      <c r="T63" s="13"/>
      <c r="AI63" s="13"/>
      <c r="AJ63" s="15"/>
    </row>
    <row r="64" spans="4:36">
      <c r="D64" s="12"/>
      <c r="E64" s="117"/>
      <c r="Q64" s="13"/>
      <c r="R64" s="13"/>
      <c r="S64" s="13"/>
      <c r="T64" s="13"/>
      <c r="AI64" s="13"/>
      <c r="AJ64" s="15"/>
    </row>
    <row r="65" spans="4:36">
      <c r="D65" s="12"/>
      <c r="E65" s="117"/>
      <c r="F65" s="1" t="s">
        <v>574</v>
      </c>
      <c r="Q65" s="227"/>
      <c r="R65" s="228"/>
      <c r="S65" s="228"/>
      <c r="T65" s="228"/>
      <c r="U65" s="228"/>
      <c r="AG65" s="13"/>
      <c r="AH65" s="13"/>
      <c r="AI65" s="13"/>
      <c r="AJ65" s="15"/>
    </row>
    <row r="66" spans="4:36">
      <c r="D66" s="12"/>
      <c r="E66" s="117"/>
      <c r="F66" s="81"/>
      <c r="G66" s="81"/>
      <c r="H66" s="226"/>
      <c r="I66" s="226"/>
      <c r="J66" s="226"/>
      <c r="K66" s="226"/>
      <c r="L66" s="226"/>
      <c r="M66" s="226"/>
      <c r="N66" s="226"/>
      <c r="O66" s="226"/>
      <c r="P66" s="227"/>
      <c r="Q66" s="227"/>
      <c r="R66" s="228"/>
      <c r="S66" s="228"/>
      <c r="T66" s="228"/>
      <c r="U66" s="228"/>
      <c r="V66" s="228"/>
      <c r="W66" s="228"/>
      <c r="X66" s="228"/>
      <c r="Y66" s="228"/>
      <c r="Z66" s="228"/>
      <c r="AA66" s="228"/>
      <c r="AB66" s="228"/>
      <c r="AC66" s="228"/>
      <c r="AD66" s="13"/>
      <c r="AE66" s="13"/>
      <c r="AF66" s="13"/>
      <c r="AG66" s="13"/>
      <c r="AH66" s="13"/>
      <c r="AI66" s="13"/>
      <c r="AJ66" s="15"/>
    </row>
    <row r="67" spans="4:36">
      <c r="D67" s="12"/>
      <c r="E67" s="117"/>
      <c r="F67" s="81"/>
      <c r="G67" s="81" t="s">
        <v>149</v>
      </c>
      <c r="H67" s="226" t="s">
        <v>2</v>
      </c>
      <c r="I67" s="226" t="s">
        <v>193</v>
      </c>
      <c r="J67" s="226" t="s">
        <v>66</v>
      </c>
      <c r="K67" s="226" t="s">
        <v>195</v>
      </c>
      <c r="L67" s="226" t="s">
        <v>66</v>
      </c>
      <c r="M67" s="226" t="s">
        <v>16</v>
      </c>
      <c r="N67" s="226"/>
      <c r="O67" s="226"/>
      <c r="P67" s="227"/>
      <c r="Q67" s="227"/>
      <c r="R67" s="228"/>
      <c r="S67" s="228"/>
      <c r="T67" s="228"/>
      <c r="U67" s="228"/>
      <c r="V67" s="228"/>
      <c r="W67" s="228"/>
      <c r="X67" s="228"/>
      <c r="Y67" s="228"/>
      <c r="Z67" s="228"/>
      <c r="AA67" s="228"/>
      <c r="AB67" s="228"/>
      <c r="AC67" s="228"/>
      <c r="AD67" s="13"/>
      <c r="AE67" s="13"/>
      <c r="AF67" s="13"/>
      <c r="AG67" s="13"/>
      <c r="AH67" s="13"/>
      <c r="AI67" s="13"/>
      <c r="AJ67" s="15"/>
    </row>
    <row r="68" spans="4:36">
      <c r="D68" s="12"/>
      <c r="E68" s="117"/>
      <c r="F68" s="81"/>
      <c r="G68" s="81"/>
      <c r="H68" s="226" t="s">
        <v>2</v>
      </c>
      <c r="I68" s="227">
        <f>I56</f>
        <v>1</v>
      </c>
      <c r="J68" s="226" t="s">
        <v>66</v>
      </c>
      <c r="K68" s="227">
        <f>I61</f>
        <v>2</v>
      </c>
      <c r="L68" s="226" t="s">
        <v>66</v>
      </c>
      <c r="M68" s="739">
        <f>I49</f>
        <v>11.299458832665835</v>
      </c>
      <c r="N68" s="739"/>
      <c r="O68" s="739"/>
      <c r="P68" s="227"/>
      <c r="Q68" s="227"/>
      <c r="R68" s="228"/>
      <c r="S68" s="228"/>
      <c r="T68" s="228"/>
      <c r="U68" s="228"/>
      <c r="V68" s="228"/>
      <c r="W68" s="228"/>
      <c r="X68" s="228"/>
      <c r="Y68" s="228"/>
      <c r="Z68" s="228"/>
      <c r="AA68" s="228"/>
      <c r="AB68" s="228"/>
      <c r="AC68" s="228"/>
      <c r="AD68" s="13"/>
      <c r="AE68" s="13"/>
      <c r="AF68" s="13"/>
      <c r="AG68" s="13"/>
      <c r="AH68" s="13"/>
      <c r="AI68" s="13"/>
      <c r="AJ68" s="15"/>
    </row>
    <row r="69" spans="4:36">
      <c r="D69" s="12"/>
      <c r="E69" s="117"/>
      <c r="F69" s="81"/>
      <c r="G69" s="81"/>
      <c r="H69" s="226" t="s">
        <v>2</v>
      </c>
      <c r="I69" s="740">
        <f>I68*K68*M68</f>
        <v>22.598917665331669</v>
      </c>
      <c r="J69" s="741"/>
      <c r="K69" s="742"/>
      <c r="L69" s="1" t="s">
        <v>575</v>
      </c>
      <c r="M69" s="226"/>
      <c r="N69" s="226"/>
      <c r="O69" s="226"/>
      <c r="P69" s="227"/>
      <c r="Q69" s="227"/>
      <c r="R69" s="228"/>
      <c r="S69" s="228"/>
      <c r="T69" s="228"/>
      <c r="U69" s="228"/>
      <c r="V69" s="228"/>
      <c r="W69" s="228"/>
      <c r="X69" s="228"/>
      <c r="Y69" s="228"/>
      <c r="Z69" s="228"/>
      <c r="AA69" s="228"/>
      <c r="AB69" s="228"/>
      <c r="AC69" s="228"/>
      <c r="AD69" s="13"/>
      <c r="AE69" s="13"/>
      <c r="AF69" s="13"/>
      <c r="AG69" s="13"/>
      <c r="AH69" s="13"/>
      <c r="AI69" s="13"/>
      <c r="AJ69" s="15"/>
    </row>
    <row r="70" spans="4:36">
      <c r="D70" s="12"/>
      <c r="E70" s="117"/>
      <c r="F70" s="81"/>
      <c r="G70" s="81"/>
      <c r="H70" s="226"/>
      <c r="I70" s="226"/>
      <c r="J70" s="226"/>
      <c r="K70" s="226"/>
      <c r="M70" s="226"/>
      <c r="N70" s="226"/>
      <c r="O70" s="226"/>
      <c r="P70" s="227"/>
      <c r="Q70" s="227"/>
      <c r="R70" s="228"/>
      <c r="S70" s="228"/>
      <c r="T70" s="228"/>
      <c r="U70" s="228"/>
      <c r="V70" s="228"/>
      <c r="W70" s="228"/>
      <c r="X70" s="228"/>
      <c r="Y70" s="228"/>
      <c r="Z70" s="228"/>
      <c r="AA70" s="228"/>
      <c r="AB70" s="228"/>
      <c r="AC70" s="228"/>
      <c r="AD70" s="13"/>
      <c r="AE70" s="13"/>
      <c r="AF70" s="13"/>
      <c r="AG70" s="13"/>
      <c r="AH70" s="13"/>
      <c r="AI70" s="13"/>
      <c r="AJ70" s="15"/>
    </row>
    <row r="71" spans="4:36">
      <c r="D71" s="12"/>
      <c r="E71" s="13"/>
      <c r="F71" s="13" t="s">
        <v>588</v>
      </c>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5"/>
    </row>
    <row r="72" spans="4:36">
      <c r="D72" s="12"/>
      <c r="E72" s="13"/>
      <c r="F72" s="13"/>
      <c r="G72" s="13" t="s">
        <v>589</v>
      </c>
      <c r="H72" s="13"/>
      <c r="I72" s="13"/>
      <c r="J72" s="13" t="s">
        <v>2</v>
      </c>
      <c r="K72" s="13" t="s">
        <v>6</v>
      </c>
      <c r="L72" s="13" t="s">
        <v>70</v>
      </c>
      <c r="M72" s="13" t="s">
        <v>16</v>
      </c>
      <c r="N72" s="13"/>
      <c r="O72" s="13"/>
      <c r="P72" s="13"/>
      <c r="Q72" s="13"/>
      <c r="R72" s="13"/>
      <c r="S72" s="13"/>
      <c r="T72" s="13"/>
      <c r="U72" s="13"/>
      <c r="V72" s="13"/>
      <c r="W72" s="13"/>
      <c r="X72" s="13"/>
      <c r="Y72" s="13"/>
      <c r="Z72" s="13"/>
      <c r="AA72" s="13"/>
      <c r="AB72" s="13"/>
      <c r="AC72" s="13"/>
      <c r="AD72" s="13"/>
      <c r="AE72" s="13"/>
      <c r="AF72" s="13"/>
      <c r="AG72" s="13"/>
      <c r="AH72" s="13"/>
      <c r="AI72" s="13"/>
      <c r="AJ72" s="15"/>
    </row>
    <row r="73" spans="4:36">
      <c r="D73" s="12"/>
      <c r="E73" s="13"/>
      <c r="F73" s="13"/>
      <c r="G73" s="13"/>
      <c r="H73" s="13"/>
      <c r="I73" s="13"/>
      <c r="J73" s="13" t="s">
        <v>2</v>
      </c>
      <c r="K73" s="477">
        <f>'1.設計条件'!R13</f>
        <v>10</v>
      </c>
      <c r="L73" s="477"/>
      <c r="M73" s="13" t="s">
        <v>70</v>
      </c>
      <c r="N73" s="448">
        <f>I49</f>
        <v>11.299458832665835</v>
      </c>
      <c r="O73" s="448"/>
      <c r="P73" s="448"/>
      <c r="Q73" s="13"/>
      <c r="R73" s="13"/>
      <c r="S73" s="13"/>
      <c r="T73" s="13"/>
      <c r="U73" s="13"/>
      <c r="V73" s="13"/>
      <c r="W73" s="13"/>
      <c r="X73" s="13"/>
      <c r="Y73" s="13"/>
      <c r="Z73" s="13"/>
      <c r="AA73" s="13"/>
      <c r="AB73" s="13"/>
      <c r="AC73" s="13"/>
      <c r="AD73" s="13"/>
      <c r="AE73" s="13"/>
      <c r="AF73" s="13"/>
      <c r="AG73" s="13"/>
      <c r="AH73" s="13"/>
      <c r="AI73" s="13"/>
      <c r="AJ73" s="15"/>
    </row>
    <row r="74" spans="4:36">
      <c r="D74" s="12"/>
      <c r="E74" s="13"/>
      <c r="F74" s="13"/>
      <c r="G74" s="13"/>
      <c r="H74" s="13"/>
      <c r="I74" s="13"/>
      <c r="J74" s="13" t="s">
        <v>2</v>
      </c>
      <c r="K74" s="448">
        <f>K73/N73</f>
        <v>0.88499813558245788</v>
      </c>
      <c r="L74" s="448"/>
      <c r="M74" s="448"/>
      <c r="N74" s="13" t="s">
        <v>20</v>
      </c>
      <c r="O74" s="13"/>
      <c r="P74" s="13"/>
      <c r="Q74" s="13"/>
      <c r="R74" s="13"/>
      <c r="S74" s="13"/>
      <c r="T74" s="13"/>
      <c r="U74" s="13"/>
      <c r="V74" s="13"/>
      <c r="W74" s="13"/>
      <c r="X74" s="13"/>
      <c r="Y74" s="13"/>
      <c r="Z74" s="13"/>
      <c r="AA74" s="13"/>
      <c r="AB74" s="13"/>
      <c r="AC74" s="13"/>
      <c r="AD74" s="13"/>
      <c r="AE74" s="13"/>
      <c r="AF74" s="13"/>
      <c r="AG74" s="13"/>
      <c r="AH74" s="13"/>
      <c r="AI74" s="13"/>
      <c r="AJ74" s="15"/>
    </row>
    <row r="75" spans="4:36">
      <c r="D75" s="12"/>
      <c r="E75" s="117"/>
      <c r="F75" s="81"/>
      <c r="G75" s="81"/>
      <c r="H75" s="226"/>
      <c r="I75" s="226"/>
      <c r="J75" s="226"/>
      <c r="K75" s="226"/>
      <c r="L75" s="226"/>
      <c r="M75" s="226"/>
      <c r="N75" s="226"/>
      <c r="O75" s="226"/>
      <c r="P75" s="227"/>
      <c r="Q75" s="227"/>
      <c r="R75" s="228"/>
      <c r="S75" s="228"/>
      <c r="T75" s="228"/>
      <c r="U75" s="228"/>
      <c r="V75" s="228"/>
      <c r="W75" s="228"/>
      <c r="X75" s="228"/>
      <c r="Y75" s="228"/>
      <c r="Z75" s="228"/>
      <c r="AA75" s="228"/>
      <c r="AB75" s="228"/>
      <c r="AC75" s="228"/>
      <c r="AD75" s="13"/>
      <c r="AE75" s="13"/>
      <c r="AF75" s="13"/>
      <c r="AG75" s="13"/>
      <c r="AH75" s="13"/>
      <c r="AI75" s="13"/>
      <c r="AJ75" s="15"/>
    </row>
    <row r="76" spans="4:36">
      <c r="D76" s="12"/>
      <c r="E76" s="13" t="s">
        <v>591</v>
      </c>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5"/>
    </row>
    <row r="77" spans="4:36">
      <c r="D77" s="12"/>
      <c r="E77" s="13"/>
      <c r="F77" s="13" t="s">
        <v>592</v>
      </c>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5"/>
    </row>
    <row r="78" spans="4:36">
      <c r="D78" s="12"/>
      <c r="E78" s="13"/>
      <c r="F78" s="13" t="s">
        <v>593</v>
      </c>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5"/>
    </row>
    <row r="79" spans="4:36">
      <c r="D79" s="12"/>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5"/>
    </row>
    <row r="80" spans="4:36">
      <c r="D80" s="12"/>
      <c r="E80" s="13" t="s">
        <v>602</v>
      </c>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5"/>
    </row>
    <row r="81" spans="3:36">
      <c r="D81" s="12"/>
      <c r="E81" s="13"/>
      <c r="F81" s="13" t="s">
        <v>603</v>
      </c>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5"/>
    </row>
    <row r="82" spans="3:36">
      <c r="D82" s="12"/>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5"/>
    </row>
    <row r="83" spans="3:36">
      <c r="D83" s="12"/>
      <c r="E83" s="13" t="s">
        <v>608</v>
      </c>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5"/>
    </row>
    <row r="84" spans="3:36">
      <c r="C84" s="13"/>
      <c r="D84" s="12"/>
      <c r="E84" s="13"/>
      <c r="F84" s="13"/>
      <c r="G84" s="13"/>
      <c r="H84"/>
      <c r="I84" s="410" t="s">
        <v>23</v>
      </c>
      <c r="J84" s="411"/>
      <c r="K84" s="410" t="s">
        <v>25</v>
      </c>
      <c r="L84" s="412"/>
      <c r="M84" s="412"/>
      <c r="N84" s="412"/>
      <c r="O84" s="412"/>
      <c r="P84" s="411"/>
      <c r="Q84" s="410" t="s">
        <v>31</v>
      </c>
      <c r="R84" s="412"/>
      <c r="S84" s="412"/>
      <c r="T84" s="412"/>
      <c r="U84" s="412"/>
      <c r="V84" s="411"/>
      <c r="W84" s="410" t="s">
        <v>167</v>
      </c>
      <c r="X84" s="412"/>
      <c r="Y84" s="412"/>
      <c r="Z84" s="412"/>
      <c r="AA84" s="412"/>
      <c r="AB84" s="411"/>
      <c r="AC84" s="13"/>
      <c r="AD84" s="410" t="s">
        <v>242</v>
      </c>
      <c r="AE84" s="412"/>
      <c r="AF84" s="412"/>
      <c r="AG84" s="412"/>
      <c r="AH84" s="412"/>
      <c r="AI84" s="411"/>
      <c r="AJ84" s="15"/>
    </row>
    <row r="85" spans="3:36">
      <c r="C85" s="13"/>
      <c r="D85" s="12"/>
      <c r="E85" s="13"/>
      <c r="F85" s="13"/>
      <c r="G85" s="13"/>
      <c r="H85"/>
      <c r="I85" s="421" t="s">
        <v>15</v>
      </c>
      <c r="J85" s="422"/>
      <c r="K85" s="421" t="s">
        <v>116</v>
      </c>
      <c r="L85" s="360"/>
      <c r="M85" s="360"/>
      <c r="N85" s="360"/>
      <c r="O85" s="360"/>
      <c r="P85" s="422"/>
      <c r="Q85" s="421" t="s">
        <v>148</v>
      </c>
      <c r="R85" s="360"/>
      <c r="S85" s="360"/>
      <c r="T85" s="360"/>
      <c r="U85" s="360"/>
      <c r="V85" s="422"/>
      <c r="W85" s="421" t="s">
        <v>172</v>
      </c>
      <c r="X85" s="360"/>
      <c r="Y85" s="360"/>
      <c r="Z85" s="360"/>
      <c r="AA85" s="360"/>
      <c r="AB85" s="422"/>
      <c r="AC85" s="13"/>
      <c r="AD85" s="421" t="s">
        <v>243</v>
      </c>
      <c r="AE85" s="360"/>
      <c r="AF85" s="360"/>
      <c r="AG85" s="360"/>
      <c r="AH85" s="360"/>
      <c r="AI85" s="422"/>
      <c r="AJ85" s="15"/>
    </row>
    <row r="86" spans="3:36" ht="20.25">
      <c r="C86" s="13"/>
      <c r="D86" s="12"/>
      <c r="E86" s="13"/>
      <c r="F86" s="13"/>
      <c r="G86" s="13"/>
      <c r="H86"/>
      <c r="I86" s="498" t="s">
        <v>20</v>
      </c>
      <c r="J86" s="499"/>
      <c r="K86" s="498" t="s">
        <v>36</v>
      </c>
      <c r="L86" s="500"/>
      <c r="M86" s="500"/>
      <c r="N86" s="500"/>
      <c r="O86" s="500"/>
      <c r="P86" s="499"/>
      <c r="Q86" s="498" t="s">
        <v>36</v>
      </c>
      <c r="R86" s="500"/>
      <c r="S86" s="500"/>
      <c r="T86" s="500"/>
      <c r="U86" s="500"/>
      <c r="V86" s="499"/>
      <c r="W86" s="498" t="s">
        <v>36</v>
      </c>
      <c r="X86" s="500"/>
      <c r="Y86" s="500"/>
      <c r="Z86" s="500"/>
      <c r="AA86" s="500"/>
      <c r="AB86" s="499"/>
      <c r="AC86" s="13"/>
      <c r="AD86" s="498" t="s">
        <v>36</v>
      </c>
      <c r="AE86" s="500"/>
      <c r="AF86" s="500"/>
      <c r="AG86" s="500"/>
      <c r="AH86" s="500"/>
      <c r="AI86" s="499"/>
      <c r="AJ86" s="15"/>
    </row>
    <row r="87" spans="3:36">
      <c r="C87" s="13"/>
      <c r="D87" s="12"/>
      <c r="E87" s="497" t="s">
        <v>597</v>
      </c>
      <c r="F87" s="497"/>
      <c r="G87" s="413" t="s">
        <v>130</v>
      </c>
      <c r="H87" s="415"/>
      <c r="I87" s="487">
        <f>K74</f>
        <v>0.88499813558245788</v>
      </c>
      <c r="J87" s="489"/>
      <c r="K87" s="502" t="s">
        <v>598</v>
      </c>
      <c r="L87" s="503"/>
      <c r="M87" s="503"/>
      <c r="N87" s="504">
        <f t="shared" ref="N87:N98" si="1">I$69</f>
        <v>22.598917665331669</v>
      </c>
      <c r="O87" s="504"/>
      <c r="P87" s="505"/>
      <c r="Q87" s="502" t="s">
        <v>600</v>
      </c>
      <c r="R87" s="503"/>
      <c r="S87" s="503"/>
      <c r="T87" s="504">
        <f>'2.根入れ長'!P45</f>
        <v>0</v>
      </c>
      <c r="U87" s="504"/>
      <c r="V87" s="505"/>
      <c r="W87" s="9"/>
      <c r="X87" s="10"/>
      <c r="Y87" s="10"/>
      <c r="Z87" s="10"/>
      <c r="AA87" s="10"/>
      <c r="AB87" s="11"/>
      <c r="AC87" s="13"/>
      <c r="AD87" s="502" t="s">
        <v>627</v>
      </c>
      <c r="AE87" s="503"/>
      <c r="AF87" s="503"/>
      <c r="AG87" s="504">
        <f t="shared" ref="AG87:AG94" si="2">N87+T87-Z87</f>
        <v>22.598917665331669</v>
      </c>
      <c r="AH87" s="504"/>
      <c r="AI87" s="505"/>
      <c r="AJ87" s="15"/>
    </row>
    <row r="88" spans="3:36">
      <c r="C88" s="13"/>
      <c r="D88" s="12"/>
      <c r="E88" s="497"/>
      <c r="F88" s="497"/>
      <c r="G88" s="418" t="s">
        <v>131</v>
      </c>
      <c r="H88" s="420"/>
      <c r="I88" s="490"/>
      <c r="J88" s="492"/>
      <c r="K88" s="513" t="s">
        <v>599</v>
      </c>
      <c r="L88" s="514"/>
      <c r="M88" s="514"/>
      <c r="N88" s="515">
        <f t="shared" si="1"/>
        <v>22.598917665331669</v>
      </c>
      <c r="O88" s="515"/>
      <c r="P88" s="516"/>
      <c r="Q88" s="513" t="s">
        <v>601</v>
      </c>
      <c r="R88" s="514"/>
      <c r="S88" s="514"/>
      <c r="T88" s="591">
        <f>'2.根入れ長'!P46</f>
        <v>0</v>
      </c>
      <c r="U88" s="591"/>
      <c r="V88" s="578"/>
      <c r="W88" s="12"/>
      <c r="X88" s="13"/>
      <c r="Y88" s="13"/>
      <c r="Z88" s="13"/>
      <c r="AA88" s="13"/>
      <c r="AB88" s="15"/>
      <c r="AC88" s="13"/>
      <c r="AD88" s="513" t="s">
        <v>628</v>
      </c>
      <c r="AE88" s="514"/>
      <c r="AF88" s="514"/>
      <c r="AG88" s="515">
        <f t="shared" si="2"/>
        <v>22.598917665331669</v>
      </c>
      <c r="AH88" s="515"/>
      <c r="AI88" s="516"/>
      <c r="AJ88" s="15"/>
    </row>
    <row r="89" spans="3:36">
      <c r="C89" s="13"/>
      <c r="D89" s="12"/>
      <c r="E89" s="497" t="s">
        <v>21</v>
      </c>
      <c r="F89" s="497"/>
      <c r="G89" s="413" t="s">
        <v>130</v>
      </c>
      <c r="H89" s="415"/>
      <c r="I89" s="487">
        <f>'1.設計条件'!F22</f>
        <v>1</v>
      </c>
      <c r="J89" s="489"/>
      <c r="K89" s="502" t="s">
        <v>132</v>
      </c>
      <c r="L89" s="503"/>
      <c r="M89" s="503"/>
      <c r="N89" s="504">
        <f t="shared" ref="N89:N90" si="3">I$69</f>
        <v>22.598917665331669</v>
      </c>
      <c r="O89" s="504"/>
      <c r="P89" s="505"/>
      <c r="Q89" s="502" t="s">
        <v>146</v>
      </c>
      <c r="R89" s="503"/>
      <c r="S89" s="503"/>
      <c r="T89" s="504">
        <f>'2.根入れ長'!P47</f>
        <v>0</v>
      </c>
      <c r="U89" s="504"/>
      <c r="V89" s="505"/>
      <c r="W89" s="9"/>
      <c r="X89" s="10"/>
      <c r="Y89" s="10"/>
      <c r="Z89" s="10"/>
      <c r="AA89" s="10"/>
      <c r="AB89" s="11"/>
      <c r="AC89" s="13"/>
      <c r="AD89" s="502" t="s">
        <v>273</v>
      </c>
      <c r="AE89" s="503"/>
      <c r="AF89" s="503"/>
      <c r="AG89" s="504">
        <f t="shared" si="2"/>
        <v>22.598917665331669</v>
      </c>
      <c r="AH89" s="504"/>
      <c r="AI89" s="505"/>
      <c r="AJ89" s="15"/>
    </row>
    <row r="90" spans="3:36">
      <c r="C90" s="13"/>
      <c r="D90" s="12"/>
      <c r="E90" s="497"/>
      <c r="F90" s="497"/>
      <c r="G90" s="418" t="s">
        <v>131</v>
      </c>
      <c r="H90" s="420"/>
      <c r="I90" s="490"/>
      <c r="J90" s="492"/>
      <c r="K90" s="513" t="s">
        <v>141</v>
      </c>
      <c r="L90" s="514"/>
      <c r="M90" s="514"/>
      <c r="N90" s="515">
        <f t="shared" si="3"/>
        <v>22.598917665331669</v>
      </c>
      <c r="O90" s="515"/>
      <c r="P90" s="516"/>
      <c r="Q90" s="513" t="s">
        <v>139</v>
      </c>
      <c r="R90" s="514"/>
      <c r="S90" s="514"/>
      <c r="T90" s="591">
        <f>'2.根入れ長'!P48</f>
        <v>0</v>
      </c>
      <c r="U90" s="591"/>
      <c r="V90" s="578"/>
      <c r="W90" s="12"/>
      <c r="X90" s="13"/>
      <c r="Y90" s="13"/>
      <c r="Z90" s="13"/>
      <c r="AA90" s="13"/>
      <c r="AB90" s="15"/>
      <c r="AC90" s="13"/>
      <c r="AD90" s="513" t="s">
        <v>274</v>
      </c>
      <c r="AE90" s="514"/>
      <c r="AF90" s="514"/>
      <c r="AG90" s="515">
        <f t="shared" si="2"/>
        <v>22.598917665331669</v>
      </c>
      <c r="AH90" s="515"/>
      <c r="AI90" s="516"/>
      <c r="AJ90" s="15"/>
    </row>
    <row r="91" spans="3:36">
      <c r="C91" s="13"/>
      <c r="D91" s="12"/>
      <c r="E91" s="497" t="s">
        <v>22</v>
      </c>
      <c r="F91" s="497"/>
      <c r="G91" s="413" t="s">
        <v>130</v>
      </c>
      <c r="H91" s="415"/>
      <c r="I91" s="487">
        <f>'1.設計条件'!F23</f>
        <v>1.5</v>
      </c>
      <c r="J91" s="489"/>
      <c r="K91" s="502" t="s">
        <v>133</v>
      </c>
      <c r="L91" s="503"/>
      <c r="M91" s="503"/>
      <c r="N91" s="504">
        <f t="shared" si="1"/>
        <v>22.598917665331669</v>
      </c>
      <c r="O91" s="504"/>
      <c r="P91" s="505"/>
      <c r="Q91" s="502" t="s">
        <v>140</v>
      </c>
      <c r="R91" s="503"/>
      <c r="S91" s="503"/>
      <c r="T91" s="504">
        <f>'2.根入れ長'!P47</f>
        <v>0</v>
      </c>
      <c r="U91" s="504"/>
      <c r="V91" s="505"/>
      <c r="W91" s="9"/>
      <c r="X91" s="10"/>
      <c r="Y91" s="10"/>
      <c r="Z91" s="10"/>
      <c r="AA91" s="10"/>
      <c r="AB91" s="11"/>
      <c r="AC91" s="13"/>
      <c r="AD91" s="502" t="s">
        <v>244</v>
      </c>
      <c r="AE91" s="503"/>
      <c r="AF91" s="503"/>
      <c r="AG91" s="504">
        <f t="shared" si="2"/>
        <v>22.598917665331669</v>
      </c>
      <c r="AH91" s="504"/>
      <c r="AI91" s="505"/>
      <c r="AJ91" s="15"/>
    </row>
    <row r="92" spans="3:36">
      <c r="C92" s="13"/>
      <c r="D92" s="12"/>
      <c r="E92" s="497"/>
      <c r="F92" s="497"/>
      <c r="G92" s="418" t="s">
        <v>131</v>
      </c>
      <c r="H92" s="420"/>
      <c r="I92" s="490"/>
      <c r="J92" s="492"/>
      <c r="K92" s="513" t="s">
        <v>134</v>
      </c>
      <c r="L92" s="514"/>
      <c r="M92" s="514"/>
      <c r="N92" s="515">
        <f t="shared" si="1"/>
        <v>22.598917665331669</v>
      </c>
      <c r="O92" s="515"/>
      <c r="P92" s="516"/>
      <c r="Q92" s="513" t="s">
        <v>147</v>
      </c>
      <c r="R92" s="514"/>
      <c r="S92" s="514"/>
      <c r="T92" s="591">
        <f>'2.根入れ長'!P48</f>
        <v>0</v>
      </c>
      <c r="U92" s="591"/>
      <c r="V92" s="578"/>
      <c r="W92" s="16"/>
      <c r="X92" s="17"/>
      <c r="Y92" s="17"/>
      <c r="Z92" s="17"/>
      <c r="AA92" s="17"/>
      <c r="AB92" s="19"/>
      <c r="AC92" s="13"/>
      <c r="AD92" s="513" t="s">
        <v>245</v>
      </c>
      <c r="AE92" s="514"/>
      <c r="AF92" s="514"/>
      <c r="AG92" s="515">
        <f t="shared" si="2"/>
        <v>22.598917665331669</v>
      </c>
      <c r="AH92" s="515"/>
      <c r="AI92" s="516"/>
      <c r="AJ92" s="15"/>
    </row>
    <row r="93" spans="3:36">
      <c r="C93" s="13"/>
      <c r="D93" s="12"/>
      <c r="E93" s="554" t="s">
        <v>94</v>
      </c>
      <c r="F93" s="555"/>
      <c r="G93" s="413" t="s">
        <v>130</v>
      </c>
      <c r="H93" s="415"/>
      <c r="I93" s="487">
        <f>'1.設計条件'!F24</f>
        <v>4.5</v>
      </c>
      <c r="J93" s="489"/>
      <c r="K93" s="502" t="s">
        <v>135</v>
      </c>
      <c r="L93" s="503"/>
      <c r="M93" s="503"/>
      <c r="N93" s="504">
        <f t="shared" si="1"/>
        <v>22.598917665331669</v>
      </c>
      <c r="O93" s="504"/>
      <c r="P93" s="505"/>
      <c r="Q93" s="502" t="s">
        <v>142</v>
      </c>
      <c r="R93" s="503"/>
      <c r="S93" s="503"/>
      <c r="T93" s="504">
        <f>'2.根入れ長'!P49</f>
        <v>0</v>
      </c>
      <c r="U93" s="504"/>
      <c r="V93" s="505"/>
      <c r="W93" s="12"/>
      <c r="X93" s="13"/>
      <c r="Y93" s="13"/>
      <c r="Z93" s="13"/>
      <c r="AA93" s="13"/>
      <c r="AB93" s="15"/>
      <c r="AC93" s="13"/>
      <c r="AD93" s="502" t="s">
        <v>246</v>
      </c>
      <c r="AE93" s="503"/>
      <c r="AF93" s="503"/>
      <c r="AG93" s="504">
        <f t="shared" si="2"/>
        <v>22.598917665331669</v>
      </c>
      <c r="AH93" s="504"/>
      <c r="AI93" s="505"/>
      <c r="AJ93" s="15"/>
    </row>
    <row r="94" spans="3:36">
      <c r="D94" s="12"/>
      <c r="E94" s="556"/>
      <c r="F94" s="557"/>
      <c r="G94" s="418" t="s">
        <v>131</v>
      </c>
      <c r="H94" s="420"/>
      <c r="I94" s="490"/>
      <c r="J94" s="492"/>
      <c r="K94" s="513" t="s">
        <v>136</v>
      </c>
      <c r="L94" s="514"/>
      <c r="M94" s="514"/>
      <c r="N94" s="515">
        <f t="shared" si="1"/>
        <v>22.598917665331669</v>
      </c>
      <c r="O94" s="515"/>
      <c r="P94" s="516"/>
      <c r="Q94" s="513" t="s">
        <v>143</v>
      </c>
      <c r="R94" s="514"/>
      <c r="S94" s="514"/>
      <c r="T94" s="515">
        <f>I93*10</f>
        <v>45</v>
      </c>
      <c r="U94" s="515"/>
      <c r="V94" s="516"/>
      <c r="W94" s="235"/>
      <c r="X94" s="236"/>
      <c r="Y94" s="236"/>
      <c r="Z94" s="237"/>
      <c r="AA94" s="237"/>
      <c r="AB94" s="238"/>
      <c r="AC94" s="13"/>
      <c r="AD94" s="513" t="s">
        <v>247</v>
      </c>
      <c r="AE94" s="514"/>
      <c r="AF94" s="514"/>
      <c r="AG94" s="515">
        <f t="shared" si="2"/>
        <v>67.598917665331669</v>
      </c>
      <c r="AH94" s="515"/>
      <c r="AI94" s="516"/>
      <c r="AJ94" s="15"/>
    </row>
    <row r="95" spans="3:36">
      <c r="D95" s="12"/>
      <c r="E95" s="554" t="s">
        <v>114</v>
      </c>
      <c r="F95" s="555"/>
      <c r="G95" s="413" t="s">
        <v>130</v>
      </c>
      <c r="H95" s="415"/>
      <c r="I95" s="735">
        <f>'1.設計条件'!F26</f>
        <v>3</v>
      </c>
      <c r="J95" s="736"/>
      <c r="K95" s="502" t="s">
        <v>137</v>
      </c>
      <c r="L95" s="503"/>
      <c r="M95" s="503"/>
      <c r="N95" s="504">
        <f t="shared" si="1"/>
        <v>22.598917665331669</v>
      </c>
      <c r="O95" s="504"/>
      <c r="P95" s="505"/>
      <c r="Q95" s="659" t="s">
        <v>144</v>
      </c>
      <c r="R95" s="660"/>
      <c r="S95" s="660"/>
      <c r="T95" s="591">
        <f>'2.根入れ長'!P203</f>
        <v>45</v>
      </c>
      <c r="U95" s="591"/>
      <c r="V95" s="578"/>
      <c r="W95" s="502" t="s">
        <v>174</v>
      </c>
      <c r="X95" s="503"/>
      <c r="Y95" s="503"/>
      <c r="Z95" s="504">
        <f>Z94</f>
        <v>0</v>
      </c>
      <c r="AA95" s="504"/>
      <c r="AB95" s="505"/>
      <c r="AC95" s="13"/>
      <c r="AD95" s="502" t="s">
        <v>605</v>
      </c>
      <c r="AE95" s="503"/>
      <c r="AF95" s="503"/>
      <c r="AG95" s="504">
        <f t="shared" ref="AG95:AG98" si="4">N95+T95-Z95</f>
        <v>67.598917665331669</v>
      </c>
      <c r="AH95" s="504"/>
      <c r="AI95" s="505"/>
      <c r="AJ95" s="15"/>
    </row>
    <row r="96" spans="3:36">
      <c r="D96" s="12"/>
      <c r="E96" s="556"/>
      <c r="F96" s="557"/>
      <c r="G96" s="418" t="s">
        <v>131</v>
      </c>
      <c r="H96" s="420"/>
      <c r="I96" s="737"/>
      <c r="J96" s="738"/>
      <c r="K96" s="513" t="s">
        <v>138</v>
      </c>
      <c r="L96" s="514"/>
      <c r="M96" s="514"/>
      <c r="N96" s="515">
        <f t="shared" si="1"/>
        <v>22.598917665331669</v>
      </c>
      <c r="O96" s="515"/>
      <c r="P96" s="516"/>
      <c r="Q96" s="513" t="s">
        <v>145</v>
      </c>
      <c r="R96" s="514"/>
      <c r="S96" s="514"/>
      <c r="T96" s="731">
        <f>T95*(I97)/(I95+I97)</f>
        <v>11.724032239633354</v>
      </c>
      <c r="U96" s="731"/>
      <c r="V96" s="732"/>
      <c r="W96" s="513" t="s">
        <v>175</v>
      </c>
      <c r="X96" s="514"/>
      <c r="Y96" s="514"/>
      <c r="Z96" s="515">
        <f>'2.根入れ長'!AG183</f>
        <v>81</v>
      </c>
      <c r="AA96" s="515"/>
      <c r="AB96" s="516"/>
      <c r="AC96" s="13"/>
      <c r="AD96" s="513" t="s">
        <v>606</v>
      </c>
      <c r="AE96" s="514"/>
      <c r="AF96" s="514"/>
      <c r="AG96" s="515">
        <f t="shared" si="4"/>
        <v>-46.677050095034978</v>
      </c>
      <c r="AH96" s="515"/>
      <c r="AI96" s="516"/>
      <c r="AJ96" s="15"/>
    </row>
    <row r="97" spans="4:36">
      <c r="D97" s="12"/>
      <c r="E97" s="497" t="s">
        <v>418</v>
      </c>
      <c r="F97" s="497"/>
      <c r="G97" s="413" t="s">
        <v>130</v>
      </c>
      <c r="H97" s="415"/>
      <c r="I97" s="799">
        <f>'2.根入れ長'!K308</f>
        <v>1.0569819327927044</v>
      </c>
      <c r="J97" s="800"/>
      <c r="K97" s="502" t="s">
        <v>426</v>
      </c>
      <c r="L97" s="503"/>
      <c r="M97" s="503"/>
      <c r="N97" s="504">
        <f t="shared" si="1"/>
        <v>22.598917665331669</v>
      </c>
      <c r="O97" s="504"/>
      <c r="P97" s="505"/>
      <c r="Q97" s="659" t="s">
        <v>460</v>
      </c>
      <c r="R97" s="660"/>
      <c r="S97" s="660"/>
      <c r="T97" s="521">
        <f>T96</f>
        <v>11.724032239633354</v>
      </c>
      <c r="U97" s="521"/>
      <c r="V97" s="803"/>
      <c r="W97" s="502" t="s">
        <v>431</v>
      </c>
      <c r="X97" s="503"/>
      <c r="Y97" s="503"/>
      <c r="Z97" s="504">
        <f>'2.根入れ長'!AG184</f>
        <v>99.63</v>
      </c>
      <c r="AA97" s="504"/>
      <c r="AB97" s="505"/>
      <c r="AC97" s="13"/>
      <c r="AD97" s="502" t="s">
        <v>577</v>
      </c>
      <c r="AE97" s="503"/>
      <c r="AF97" s="503"/>
      <c r="AG97" s="504">
        <f t="shared" si="4"/>
        <v>-65.307050095034981</v>
      </c>
      <c r="AH97" s="504"/>
      <c r="AI97" s="505"/>
      <c r="AJ97" s="15"/>
    </row>
    <row r="98" spans="4:36">
      <c r="D98" s="12"/>
      <c r="E98" s="497"/>
      <c r="F98" s="497"/>
      <c r="G98" s="418" t="s">
        <v>131</v>
      </c>
      <c r="H98" s="420"/>
      <c r="I98" s="801"/>
      <c r="J98" s="802"/>
      <c r="K98" s="513" t="s">
        <v>427</v>
      </c>
      <c r="L98" s="514"/>
      <c r="M98" s="514"/>
      <c r="N98" s="515">
        <f t="shared" si="1"/>
        <v>22.598917665331669</v>
      </c>
      <c r="O98" s="515"/>
      <c r="P98" s="516"/>
      <c r="Q98" s="513" t="s">
        <v>461</v>
      </c>
      <c r="R98" s="514"/>
      <c r="S98" s="514"/>
      <c r="T98" s="515">
        <f>'2.根入れ長'!P56</f>
        <v>0</v>
      </c>
      <c r="U98" s="515"/>
      <c r="V98" s="516"/>
      <c r="W98" s="513" t="s">
        <v>432</v>
      </c>
      <c r="X98" s="514"/>
      <c r="Y98" s="514"/>
      <c r="Z98" s="733">
        <f>'2.根入れ長'!H189*I97+'2.根入れ長'!M189</f>
        <v>134.73236998804572</v>
      </c>
      <c r="AA98" s="733"/>
      <c r="AB98" s="734"/>
      <c r="AC98" s="13"/>
      <c r="AD98" s="513" t="s">
        <v>578</v>
      </c>
      <c r="AE98" s="514"/>
      <c r="AF98" s="514"/>
      <c r="AG98" s="515">
        <f t="shared" si="4"/>
        <v>-112.13345232271405</v>
      </c>
      <c r="AH98" s="515"/>
      <c r="AI98" s="516"/>
      <c r="AJ98" s="15"/>
    </row>
    <row r="99" spans="4:36">
      <c r="D99" s="12"/>
      <c r="E99" s="28"/>
      <c r="F99" s="28"/>
      <c r="G99" s="166"/>
      <c r="H99" s="166"/>
      <c r="I99" s="239"/>
      <c r="J99" s="239"/>
      <c r="K99" s="134"/>
      <c r="L99" s="134"/>
      <c r="M99" s="134"/>
      <c r="N99" s="96"/>
      <c r="O99" s="96"/>
      <c r="P99" s="96"/>
      <c r="Q99" s="134"/>
      <c r="R99" s="134"/>
      <c r="S99" s="134"/>
      <c r="T99" s="96"/>
      <c r="U99" s="96"/>
      <c r="V99" s="96"/>
      <c r="W99" s="134"/>
      <c r="X99" s="134"/>
      <c r="Y99" s="134"/>
      <c r="Z99" s="96"/>
      <c r="AA99" s="96"/>
      <c r="AB99" s="96"/>
      <c r="AC99" s="13"/>
      <c r="AD99" s="134"/>
      <c r="AE99" s="134"/>
      <c r="AF99" s="134"/>
      <c r="AG99" s="96"/>
      <c r="AH99" s="96"/>
      <c r="AI99" s="96"/>
      <c r="AJ99" s="15"/>
    </row>
    <row r="100" spans="4:36">
      <c r="D100" s="12"/>
      <c r="E100" s="28"/>
      <c r="F100" s="28"/>
      <c r="G100" s="166"/>
      <c r="H100" s="166"/>
      <c r="I100" s="239"/>
      <c r="J100" s="239"/>
      <c r="K100" s="134"/>
      <c r="L100" s="134"/>
      <c r="M100" s="134"/>
      <c r="N100" s="96"/>
      <c r="O100" s="96"/>
      <c r="P100" s="96"/>
      <c r="Q100" s="134"/>
      <c r="R100" s="134"/>
      <c r="S100" s="134"/>
      <c r="T100" s="96"/>
      <c r="U100" s="96"/>
      <c r="V100" s="96"/>
      <c r="W100" s="134"/>
      <c r="X100" s="134"/>
      <c r="Y100" s="134"/>
      <c r="Z100" s="96"/>
      <c r="AA100" s="96"/>
      <c r="AB100" s="96"/>
      <c r="AC100" s="13"/>
      <c r="AD100" s="134"/>
      <c r="AE100" s="134"/>
      <c r="AF100" s="134"/>
      <c r="AG100" s="96"/>
      <c r="AH100" s="96"/>
      <c r="AI100" s="96"/>
      <c r="AJ100" s="15"/>
    </row>
    <row r="101" spans="4:36" ht="20.25">
      <c r="D101" s="12"/>
      <c r="E101" s="32" t="s">
        <v>609</v>
      </c>
      <c r="F101" s="28"/>
      <c r="G101" s="166"/>
      <c r="H101" s="166"/>
      <c r="I101" s="239"/>
      <c r="J101" s="239"/>
      <c r="K101" s="134"/>
      <c r="L101" s="134"/>
      <c r="M101" s="134"/>
      <c r="N101" s="96"/>
      <c r="O101" s="96"/>
      <c r="P101" s="96"/>
      <c r="Q101" s="134"/>
      <c r="R101" s="134"/>
      <c r="S101" s="134"/>
      <c r="T101" s="96"/>
      <c r="U101" s="96"/>
      <c r="V101" s="96"/>
      <c r="W101" s="134"/>
      <c r="X101" s="134"/>
      <c r="Y101" s="134"/>
      <c r="Z101" s="96"/>
      <c r="AA101" s="96"/>
      <c r="AB101" s="96"/>
      <c r="AC101" s="13"/>
      <c r="AD101" s="134"/>
      <c r="AE101" s="134"/>
      <c r="AF101" s="134"/>
      <c r="AG101" s="96"/>
      <c r="AH101" s="96"/>
      <c r="AI101" s="96"/>
      <c r="AJ101" s="15"/>
    </row>
    <row r="102" spans="4:36">
      <c r="D102" s="12"/>
      <c r="E102" s="28"/>
      <c r="F102" s="28"/>
      <c r="G102" s="166"/>
      <c r="H102" s="166"/>
      <c r="I102" s="239"/>
      <c r="J102" s="239"/>
      <c r="K102" s="134"/>
      <c r="L102" s="134"/>
      <c r="M102" s="134"/>
      <c r="N102" s="96"/>
      <c r="O102" s="96"/>
      <c r="P102" s="96"/>
      <c r="Q102" s="134"/>
      <c r="R102" s="134"/>
      <c r="S102" s="134"/>
      <c r="T102" s="96"/>
      <c r="U102" s="96"/>
      <c r="V102" s="96"/>
      <c r="W102" s="134"/>
      <c r="X102" s="134"/>
      <c r="Y102" s="134"/>
      <c r="Z102" s="96"/>
      <c r="AA102" s="96"/>
      <c r="AB102" s="96"/>
      <c r="AC102" s="13"/>
      <c r="AD102" s="134"/>
      <c r="AE102" s="134"/>
      <c r="AF102" s="134"/>
      <c r="AG102" s="96"/>
      <c r="AH102" s="96"/>
      <c r="AI102" s="96"/>
      <c r="AJ102" s="15"/>
    </row>
    <row r="103" spans="4:36" ht="20.25">
      <c r="D103" s="12"/>
      <c r="E103" s="28"/>
      <c r="F103" s="729" t="s">
        <v>611</v>
      </c>
      <c r="G103" s="514"/>
      <c r="H103" s="514"/>
      <c r="I103" s="724" t="s">
        <v>2</v>
      </c>
      <c r="J103" s="515" t="s">
        <v>610</v>
      </c>
      <c r="K103" s="515"/>
      <c r="L103" s="515"/>
      <c r="M103" s="134"/>
      <c r="N103" s="96"/>
      <c r="O103" s="96"/>
      <c r="P103" s="96"/>
      <c r="Q103" s="134"/>
      <c r="R103" s="134"/>
      <c r="S103" s="134"/>
      <c r="T103" s="96"/>
      <c r="U103" s="96"/>
      <c r="V103" s="96"/>
      <c r="W103" s="134"/>
      <c r="X103" s="134"/>
      <c r="Y103" s="134"/>
      <c r="Z103" s="96"/>
      <c r="AA103" s="96"/>
      <c r="AB103" s="96"/>
      <c r="AC103" s="13"/>
      <c r="AD103" s="134"/>
      <c r="AE103" s="134"/>
      <c r="AF103" s="134"/>
      <c r="AG103" s="96"/>
      <c r="AH103" s="96"/>
      <c r="AI103" s="96"/>
      <c r="AJ103" s="15"/>
    </row>
    <row r="104" spans="4:36" ht="20.25">
      <c r="D104" s="12"/>
      <c r="E104" s="28"/>
      <c r="F104" s="730" t="s">
        <v>612</v>
      </c>
      <c r="G104" s="660"/>
      <c r="H104" s="660"/>
      <c r="I104" s="724"/>
      <c r="J104" s="724" t="s">
        <v>613</v>
      </c>
      <c r="K104" s="724"/>
      <c r="L104" s="724"/>
      <c r="M104" s="134"/>
      <c r="N104" s="96"/>
      <c r="O104" s="96"/>
      <c r="P104" s="96"/>
      <c r="Q104" s="134"/>
      <c r="R104" s="134"/>
      <c r="S104" s="134"/>
      <c r="T104" s="96"/>
      <c r="U104" s="96"/>
      <c r="V104" s="96"/>
      <c r="W104" s="134"/>
      <c r="X104" s="134"/>
      <c r="Y104" s="134"/>
      <c r="Z104" s="96"/>
      <c r="AA104" s="96"/>
      <c r="AB104" s="96"/>
      <c r="AC104" s="13"/>
      <c r="AD104" s="134"/>
      <c r="AE104" s="134"/>
      <c r="AF104" s="134"/>
      <c r="AG104" s="96"/>
      <c r="AH104" s="96"/>
      <c r="AI104" s="96"/>
      <c r="AJ104" s="15"/>
    </row>
    <row r="105" spans="4:36">
      <c r="D105" s="12"/>
      <c r="E105" s="28"/>
      <c r="F105" s="28"/>
      <c r="G105" s="166"/>
      <c r="H105" s="166"/>
      <c r="I105" s="239"/>
      <c r="J105" s="239"/>
      <c r="K105" s="134"/>
      <c r="L105" s="134"/>
      <c r="M105" s="134"/>
      <c r="N105" s="96"/>
      <c r="O105" s="96"/>
      <c r="P105" s="96"/>
      <c r="Q105" s="134"/>
      <c r="R105" s="134"/>
      <c r="S105" s="134"/>
      <c r="T105" s="96"/>
      <c r="U105" s="96"/>
      <c r="V105" s="96"/>
      <c r="W105" s="134"/>
      <c r="X105" s="134"/>
      <c r="Y105" s="134"/>
      <c r="Z105" s="96"/>
      <c r="AA105" s="96"/>
      <c r="AB105" s="96"/>
      <c r="AC105" s="13"/>
      <c r="AD105" s="134"/>
      <c r="AE105" s="134"/>
      <c r="AF105" s="134"/>
      <c r="AG105" s="96"/>
      <c r="AH105" s="96"/>
      <c r="AI105" s="96"/>
      <c r="AJ105" s="15"/>
    </row>
    <row r="106" spans="4:36" ht="20.25">
      <c r="D106" s="12"/>
      <c r="E106" s="28"/>
      <c r="F106" s="725">
        <f>AG95</f>
        <v>67.598917665331669</v>
      </c>
      <c r="G106" s="726"/>
      <c r="H106" s="726"/>
      <c r="I106" s="724" t="s">
        <v>2</v>
      </c>
      <c r="J106" s="515" t="s">
        <v>610</v>
      </c>
      <c r="K106" s="515"/>
      <c r="L106" s="515"/>
      <c r="M106" s="134"/>
      <c r="N106" s="96"/>
      <c r="O106" s="96"/>
      <c r="P106" s="96"/>
      <c r="Q106" s="134"/>
      <c r="R106" s="134"/>
      <c r="S106" s="134"/>
      <c r="T106" s="96"/>
      <c r="U106" s="96"/>
      <c r="V106" s="96"/>
      <c r="W106" s="134"/>
      <c r="X106" s="134"/>
      <c r="Y106" s="134"/>
      <c r="Z106" s="96"/>
      <c r="AA106" s="96"/>
      <c r="AB106" s="96"/>
      <c r="AC106" s="13"/>
      <c r="AD106" s="134"/>
      <c r="AE106" s="134"/>
      <c r="AF106" s="134"/>
      <c r="AG106" s="96"/>
      <c r="AH106" s="96"/>
      <c r="AI106" s="96"/>
      <c r="AJ106" s="15"/>
    </row>
    <row r="107" spans="4:36" ht="20.25">
      <c r="D107" s="12"/>
      <c r="E107" s="28"/>
      <c r="F107" s="727">
        <f>-AG96</f>
        <v>46.677050095034978</v>
      </c>
      <c r="G107" s="728"/>
      <c r="H107" s="728"/>
      <c r="I107" s="724"/>
      <c r="J107" s="724" t="s">
        <v>613</v>
      </c>
      <c r="K107" s="724"/>
      <c r="L107" s="724"/>
      <c r="M107" s="134"/>
      <c r="N107" s="96"/>
      <c r="O107" s="96"/>
      <c r="P107" s="96"/>
      <c r="Q107" s="134"/>
      <c r="R107" s="134"/>
      <c r="S107" s="134"/>
      <c r="T107" s="96"/>
      <c r="U107" s="96"/>
      <c r="V107" s="96"/>
      <c r="W107" s="134"/>
      <c r="X107" s="134"/>
      <c r="Y107" s="134"/>
      <c r="Z107" s="96"/>
      <c r="AA107" s="96"/>
      <c r="AB107" s="96"/>
      <c r="AC107" s="13"/>
      <c r="AD107" s="134"/>
      <c r="AE107" s="134"/>
      <c r="AF107" s="134"/>
      <c r="AG107" s="96"/>
      <c r="AH107" s="96"/>
      <c r="AI107" s="96"/>
      <c r="AJ107" s="15"/>
    </row>
    <row r="108" spans="4:36">
      <c r="D108" s="12"/>
      <c r="E108" s="28"/>
      <c r="F108" s="28"/>
      <c r="G108" s="166"/>
      <c r="H108" s="166"/>
      <c r="I108" s="239"/>
      <c r="J108" s="239"/>
      <c r="K108" s="134"/>
      <c r="L108" s="134"/>
      <c r="M108" s="134"/>
      <c r="N108" s="96"/>
      <c r="O108" s="96"/>
      <c r="P108" s="96"/>
      <c r="Q108" s="134"/>
      <c r="R108" s="134"/>
      <c r="S108" s="134"/>
      <c r="T108" s="96"/>
      <c r="U108" s="96"/>
      <c r="V108" s="96"/>
      <c r="W108" s="134"/>
      <c r="X108" s="134"/>
      <c r="Y108" s="134"/>
      <c r="Z108" s="96"/>
      <c r="AA108" s="96"/>
      <c r="AB108" s="96"/>
      <c r="AC108" s="13"/>
      <c r="AD108" s="134"/>
      <c r="AE108" s="134"/>
      <c r="AF108" s="134"/>
      <c r="AG108" s="96"/>
      <c r="AH108" s="96"/>
      <c r="AI108" s="96"/>
      <c r="AJ108" s="15"/>
    </row>
    <row r="109" spans="4:36" ht="20.25" customHeight="1">
      <c r="D109" s="12"/>
      <c r="E109" s="28"/>
      <c r="F109" s="658" t="s">
        <v>610</v>
      </c>
      <c r="G109" s="658"/>
      <c r="H109" s="658"/>
      <c r="I109" s="724" t="s">
        <v>2</v>
      </c>
      <c r="J109" s="247"/>
      <c r="K109" s="245">
        <v>3</v>
      </c>
      <c r="L109" s="245" t="s">
        <v>27</v>
      </c>
      <c r="M109" s="725">
        <f>F106</f>
        <v>67.598917665331669</v>
      </c>
      <c r="N109" s="726"/>
      <c r="O109" s="726"/>
      <c r="P109" s="22"/>
      <c r="Q109" s="134"/>
      <c r="R109" s="134"/>
      <c r="S109" s="134"/>
      <c r="T109" s="96"/>
      <c r="U109" s="96"/>
      <c r="V109" s="96"/>
      <c r="W109" s="134"/>
      <c r="X109" s="134"/>
      <c r="Y109" s="134"/>
      <c r="Z109" s="96"/>
      <c r="AA109" s="96"/>
      <c r="AB109" s="96"/>
      <c r="AC109" s="13"/>
      <c r="AD109" s="134"/>
      <c r="AE109" s="134"/>
      <c r="AF109" s="134"/>
      <c r="AG109" s="96"/>
      <c r="AH109" s="96"/>
      <c r="AI109" s="96"/>
      <c r="AJ109" s="15"/>
    </row>
    <row r="110" spans="4:36" ht="20.25">
      <c r="D110" s="12"/>
      <c r="E110" s="28"/>
      <c r="F110" s="658"/>
      <c r="G110" s="658"/>
      <c r="H110" s="658"/>
      <c r="I110" s="724"/>
      <c r="J110" s="724">
        <f>F107</f>
        <v>46.677050095034978</v>
      </c>
      <c r="K110" s="724"/>
      <c r="L110" s="724"/>
      <c r="M110" s="134" t="s">
        <v>68</v>
      </c>
      <c r="N110" s="591">
        <f>F106</f>
        <v>67.598917665331669</v>
      </c>
      <c r="O110" s="591"/>
      <c r="P110" s="591"/>
      <c r="Q110" s="134"/>
      <c r="R110" s="134"/>
      <c r="S110" s="134"/>
      <c r="T110" s="96"/>
      <c r="U110" s="96"/>
      <c r="V110" s="96"/>
      <c r="W110" s="134"/>
      <c r="X110" s="134"/>
      <c r="Y110" s="134"/>
      <c r="Z110" s="96"/>
      <c r="AA110" s="248" t="s">
        <v>610</v>
      </c>
      <c r="AB110" s="96"/>
      <c r="AC110" s="13"/>
      <c r="AD110" s="134"/>
      <c r="AE110" s="134"/>
      <c r="AF110" s="134"/>
      <c r="AG110" s="96"/>
      <c r="AH110" s="96"/>
      <c r="AI110" s="96"/>
      <c r="AJ110" s="15"/>
    </row>
    <row r="111" spans="4:36">
      <c r="D111" s="12"/>
      <c r="E111" s="28"/>
      <c r="F111" s="28"/>
      <c r="G111" s="166"/>
      <c r="H111" s="166"/>
      <c r="I111" s="239"/>
      <c r="J111" s="239"/>
      <c r="K111" s="134"/>
      <c r="L111" s="134"/>
      <c r="M111" s="134"/>
      <c r="N111" s="96"/>
      <c r="O111" s="96"/>
      <c r="P111" s="96"/>
      <c r="Q111" s="134"/>
      <c r="R111" s="134"/>
      <c r="S111" s="134"/>
      <c r="T111" s="96"/>
      <c r="U111" s="96"/>
      <c r="V111" s="96"/>
      <c r="W111" s="134"/>
      <c r="X111" s="134"/>
      <c r="Y111" s="134"/>
      <c r="Z111" s="96"/>
      <c r="AA111" s="96"/>
      <c r="AB111" s="96"/>
      <c r="AC111" s="13"/>
      <c r="AD111" s="134"/>
      <c r="AE111" s="134"/>
      <c r="AF111" s="134"/>
      <c r="AG111" s="96"/>
      <c r="AH111" s="96"/>
      <c r="AI111" s="96"/>
      <c r="AJ111" s="15"/>
    </row>
    <row r="112" spans="4:36" ht="20.25">
      <c r="D112" s="12"/>
      <c r="E112" s="28"/>
      <c r="F112" s="591" t="s">
        <v>610</v>
      </c>
      <c r="G112" s="591"/>
      <c r="H112" s="591"/>
      <c r="I112" s="239" t="s">
        <v>2</v>
      </c>
      <c r="J112" s="721">
        <f>K109*M109/(J110+N110)</f>
        <v>1.7746229322796359</v>
      </c>
      <c r="K112" s="722"/>
      <c r="L112" s="723"/>
      <c r="M112" s="246" t="s">
        <v>3</v>
      </c>
      <c r="N112" s="96"/>
      <c r="O112" s="96"/>
      <c r="P112" s="96"/>
      <c r="Q112" s="134"/>
      <c r="R112" s="134"/>
      <c r="S112" s="134"/>
      <c r="T112" s="96"/>
      <c r="U112" s="96"/>
      <c r="V112" s="96"/>
      <c r="W112" s="134"/>
      <c r="X112" s="134"/>
      <c r="Y112" s="134"/>
      <c r="Z112" s="96"/>
      <c r="AA112" s="96"/>
      <c r="AB112" s="96"/>
      <c r="AC112" s="13"/>
      <c r="AD112" s="134"/>
      <c r="AE112" s="134"/>
      <c r="AF112" s="134"/>
      <c r="AG112" s="96"/>
      <c r="AH112" s="96"/>
      <c r="AI112" s="96"/>
      <c r="AJ112" s="15"/>
    </row>
    <row r="113" spans="3:36">
      <c r="D113" s="12"/>
      <c r="E113" s="28"/>
      <c r="F113" s="28"/>
      <c r="G113" s="166"/>
      <c r="H113" s="166"/>
      <c r="I113" s="239"/>
      <c r="J113" s="239"/>
      <c r="K113" s="134"/>
      <c r="L113" s="134"/>
      <c r="M113" s="134"/>
      <c r="N113" s="96"/>
      <c r="O113" s="96"/>
      <c r="P113" s="96"/>
      <c r="Q113" s="134"/>
      <c r="R113" s="134"/>
      <c r="S113" s="134"/>
      <c r="T113" s="96"/>
      <c r="U113" s="96"/>
      <c r="V113" s="96"/>
      <c r="W113" s="134"/>
      <c r="X113" s="134"/>
      <c r="Y113" s="134"/>
      <c r="Z113" s="96"/>
      <c r="AA113" s="96"/>
      <c r="AB113" s="96"/>
      <c r="AC113" s="13"/>
      <c r="AD113" s="134"/>
      <c r="AE113" s="134"/>
      <c r="AF113" s="134"/>
      <c r="AG113" s="96"/>
      <c r="AH113" s="96"/>
      <c r="AI113" s="96"/>
      <c r="AJ113" s="15"/>
    </row>
    <row r="114" spans="3:36">
      <c r="D114" s="12"/>
      <c r="E114" s="28"/>
      <c r="F114" s="28"/>
      <c r="G114" s="166"/>
      <c r="H114" s="166"/>
      <c r="I114" s="239"/>
      <c r="J114" s="239"/>
      <c r="K114" s="134"/>
      <c r="L114" s="134"/>
      <c r="M114" s="134"/>
      <c r="N114" s="96"/>
      <c r="O114" s="96"/>
      <c r="P114" s="96"/>
      <c r="Q114" s="134"/>
      <c r="R114" s="134"/>
      <c r="S114" s="134"/>
      <c r="T114" s="96"/>
      <c r="U114" s="96"/>
      <c r="V114" s="96"/>
      <c r="W114" s="134"/>
      <c r="X114" s="134"/>
      <c r="Y114" s="134"/>
      <c r="Z114" s="96"/>
      <c r="AA114" s="96"/>
      <c r="AB114" s="96"/>
      <c r="AC114" s="13"/>
      <c r="AD114" s="134"/>
      <c r="AE114" s="134"/>
      <c r="AF114" s="134"/>
      <c r="AG114" s="96"/>
      <c r="AH114" s="96"/>
      <c r="AI114" s="96"/>
      <c r="AJ114" s="15"/>
    </row>
    <row r="115" spans="3:36">
      <c r="D115" s="12"/>
      <c r="E115" s="28"/>
      <c r="F115" s="28"/>
      <c r="G115" s="166"/>
      <c r="H115" s="166"/>
      <c r="I115" s="239"/>
      <c r="J115" s="239"/>
      <c r="K115" s="134"/>
      <c r="L115" s="134"/>
      <c r="M115" s="134"/>
      <c r="N115" s="96"/>
      <c r="O115" s="96"/>
      <c r="P115" s="96"/>
      <c r="Q115" s="134"/>
      <c r="R115" s="134"/>
      <c r="S115" s="134"/>
      <c r="T115" s="96"/>
      <c r="U115" s="96"/>
      <c r="V115" s="96"/>
      <c r="W115" s="134"/>
      <c r="X115" s="134"/>
      <c r="Y115" s="134"/>
      <c r="Z115" s="96"/>
      <c r="AA115" s="96"/>
      <c r="AB115" s="96"/>
      <c r="AC115" s="13"/>
      <c r="AD115" s="134"/>
      <c r="AE115" s="134"/>
      <c r="AF115" s="134"/>
      <c r="AG115" s="96"/>
      <c r="AH115" s="96"/>
      <c r="AI115" s="96"/>
      <c r="AJ115" s="15"/>
    </row>
    <row r="116" spans="3:36">
      <c r="D116" s="12"/>
      <c r="E116" s="32" t="s">
        <v>614</v>
      </c>
      <c r="F116" s="28"/>
      <c r="G116" s="166"/>
      <c r="H116" s="166"/>
      <c r="I116" s="239"/>
      <c r="J116" s="239"/>
      <c r="K116" s="134"/>
      <c r="L116" s="134"/>
      <c r="M116" s="134"/>
      <c r="N116" s="96"/>
      <c r="O116" s="96"/>
      <c r="P116" s="96"/>
      <c r="Q116" s="134"/>
      <c r="R116" s="134"/>
      <c r="S116" s="134"/>
      <c r="T116" s="96"/>
      <c r="U116" s="96"/>
      <c r="V116" s="96"/>
      <c r="W116" s="134"/>
      <c r="X116" s="134"/>
      <c r="Y116" s="134"/>
      <c r="Z116" s="96"/>
      <c r="AA116" s="96"/>
      <c r="AB116" s="96"/>
      <c r="AC116" s="13"/>
      <c r="AD116" s="134"/>
      <c r="AE116" s="134"/>
      <c r="AF116" s="134"/>
      <c r="AG116" s="96"/>
      <c r="AH116" s="96"/>
      <c r="AI116" s="96"/>
      <c r="AJ116" s="15"/>
    </row>
    <row r="117" spans="3:36">
      <c r="D117" s="12"/>
      <c r="E117" s="32" t="s">
        <v>615</v>
      </c>
      <c r="F117" s="28"/>
      <c r="G117" s="166"/>
      <c r="H117" s="166"/>
      <c r="I117" s="239"/>
      <c r="J117" s="239"/>
      <c r="K117" s="134"/>
      <c r="L117" s="134"/>
      <c r="M117" s="134"/>
      <c r="N117" s="96"/>
      <c r="O117" s="96"/>
      <c r="P117" s="96"/>
      <c r="Q117" s="134"/>
      <c r="R117" s="134"/>
      <c r="S117" s="134"/>
      <c r="T117" s="96"/>
      <c r="U117" s="96"/>
      <c r="V117" s="96"/>
      <c r="W117" s="134"/>
      <c r="X117" s="134"/>
      <c r="Y117" s="134"/>
      <c r="Z117" s="96"/>
      <c r="AA117" s="96"/>
      <c r="AB117" s="96"/>
      <c r="AC117" s="13"/>
      <c r="AD117" s="134"/>
      <c r="AE117" s="134"/>
      <c r="AF117" s="134"/>
      <c r="AG117" s="96"/>
      <c r="AH117" s="96"/>
      <c r="AI117" s="96"/>
      <c r="AJ117" s="15"/>
    </row>
    <row r="118" spans="3:36">
      <c r="C118" s="13"/>
      <c r="D118" s="12"/>
      <c r="E118" s="13"/>
      <c r="F118" s="13"/>
      <c r="G118" s="13"/>
      <c r="H118"/>
      <c r="I118" s="410" t="s">
        <v>23</v>
      </c>
      <c r="J118" s="411"/>
      <c r="K118" s="410"/>
      <c r="L118" s="412"/>
      <c r="M118" s="412"/>
      <c r="N118" s="412"/>
      <c r="O118" s="412"/>
      <c r="P118" s="411"/>
      <c r="Q118" s="13"/>
      <c r="R118" s="13"/>
      <c r="AJ118" s="15"/>
    </row>
    <row r="119" spans="3:36">
      <c r="C119" s="13"/>
      <c r="D119" s="12"/>
      <c r="E119" s="13"/>
      <c r="F119" s="13"/>
      <c r="G119" s="13"/>
      <c r="H119"/>
      <c r="I119" s="421" t="s">
        <v>15</v>
      </c>
      <c r="J119" s="422"/>
      <c r="K119" s="421" t="s">
        <v>249</v>
      </c>
      <c r="L119" s="360"/>
      <c r="M119" s="360"/>
      <c r="N119" s="360"/>
      <c r="O119" s="360"/>
      <c r="P119" s="422"/>
      <c r="Q119" s="13"/>
      <c r="R119" s="13"/>
      <c r="AJ119" s="15"/>
    </row>
    <row r="120" spans="3:36" ht="20.25">
      <c r="C120" s="13"/>
      <c r="D120" s="12"/>
      <c r="E120" s="13"/>
      <c r="F120" s="13"/>
      <c r="G120" s="13"/>
      <c r="H120"/>
      <c r="I120" s="498" t="s">
        <v>20</v>
      </c>
      <c r="J120" s="499"/>
      <c r="K120" s="498" t="s">
        <v>36</v>
      </c>
      <c r="L120" s="500"/>
      <c r="M120" s="500"/>
      <c r="N120" s="500"/>
      <c r="O120" s="500"/>
      <c r="P120" s="499"/>
      <c r="Q120" s="13"/>
      <c r="R120" s="13"/>
      <c r="AJ120" s="15"/>
    </row>
    <row r="121" spans="3:36">
      <c r="C121" s="13"/>
      <c r="D121" s="12"/>
      <c r="E121" s="554" t="s">
        <v>94</v>
      </c>
      <c r="F121" s="555"/>
      <c r="G121" s="413" t="s">
        <v>240</v>
      </c>
      <c r="H121" s="415"/>
      <c r="I121" s="487">
        <v>3</v>
      </c>
      <c r="J121" s="489"/>
      <c r="K121" s="502" t="s">
        <v>576</v>
      </c>
      <c r="L121" s="503"/>
      <c r="M121" s="503"/>
      <c r="N121" s="804">
        <f>AG93+(I93-I121)*10</f>
        <v>37.598917665331669</v>
      </c>
      <c r="O121" s="804"/>
      <c r="P121" s="805"/>
      <c r="Q121" s="13"/>
      <c r="R121" s="13"/>
      <c r="AJ121" s="15"/>
    </row>
    <row r="122" spans="3:36">
      <c r="D122" s="12"/>
      <c r="E122" s="556"/>
      <c r="F122" s="557"/>
      <c r="G122" s="418" t="s">
        <v>131</v>
      </c>
      <c r="H122" s="420"/>
      <c r="I122" s="490"/>
      <c r="J122" s="492"/>
      <c r="K122" s="513" t="s">
        <v>247</v>
      </c>
      <c r="L122" s="514"/>
      <c r="M122" s="514"/>
      <c r="N122" s="515">
        <f>AG94</f>
        <v>67.598917665331669</v>
      </c>
      <c r="O122" s="515"/>
      <c r="P122" s="516"/>
      <c r="Q122" s="13"/>
      <c r="R122" s="13"/>
      <c r="AJ122" s="15"/>
    </row>
    <row r="123" spans="3:36">
      <c r="D123" s="12"/>
      <c r="E123" s="554" t="s">
        <v>114</v>
      </c>
      <c r="F123" s="555"/>
      <c r="G123" s="413" t="s">
        <v>130</v>
      </c>
      <c r="H123" s="415"/>
      <c r="I123" s="735">
        <f>J112</f>
        <v>1.7746229322796359</v>
      </c>
      <c r="J123" s="736"/>
      <c r="K123" s="502" t="s">
        <v>605</v>
      </c>
      <c r="L123" s="503"/>
      <c r="M123" s="503"/>
      <c r="N123" s="504">
        <f>AG95</f>
        <v>67.598917665331669</v>
      </c>
      <c r="O123" s="504"/>
      <c r="P123" s="505"/>
      <c r="Q123" s="13"/>
      <c r="R123" s="13"/>
      <c r="AJ123" s="15"/>
    </row>
    <row r="124" spans="3:36">
      <c r="D124" s="12"/>
      <c r="E124" s="556"/>
      <c r="F124" s="557"/>
      <c r="G124" s="418" t="s">
        <v>616</v>
      </c>
      <c r="H124" s="420"/>
      <c r="I124" s="737"/>
      <c r="J124" s="738"/>
      <c r="K124" s="513" t="s">
        <v>617</v>
      </c>
      <c r="L124" s="514"/>
      <c r="M124" s="514"/>
      <c r="N124" s="515">
        <v>0</v>
      </c>
      <c r="O124" s="515"/>
      <c r="P124" s="516"/>
      <c r="Q124" s="13"/>
      <c r="R124" s="13"/>
      <c r="AJ124" s="15"/>
    </row>
    <row r="125" spans="3:36">
      <c r="D125" s="12"/>
      <c r="E125" s="249"/>
      <c r="F125" s="249"/>
      <c r="G125" s="250"/>
      <c r="H125" s="250"/>
      <c r="I125" s="251"/>
      <c r="J125" s="251"/>
      <c r="K125" s="252"/>
      <c r="L125" s="252"/>
      <c r="M125" s="252"/>
      <c r="N125" s="211"/>
      <c r="O125" s="211"/>
      <c r="P125" s="211"/>
      <c r="Q125" s="13"/>
      <c r="R125" s="13"/>
      <c r="AJ125" s="15"/>
    </row>
    <row r="126" spans="3:36">
      <c r="D126" s="12"/>
      <c r="E126" s="97"/>
      <c r="F126" s="96"/>
      <c r="G126" s="96"/>
      <c r="H126" s="96"/>
      <c r="I126" s="410" t="s">
        <v>248</v>
      </c>
      <c r="J126" s="412"/>
      <c r="K126" s="412"/>
      <c r="L126" s="412"/>
      <c r="M126" s="412"/>
      <c r="N126" s="412"/>
      <c r="O126" s="412"/>
      <c r="P126" s="412"/>
      <c r="Q126" s="412"/>
      <c r="R126" s="412"/>
      <c r="S126" s="411"/>
      <c r="AJ126" s="15"/>
    </row>
    <row r="127" spans="3:36">
      <c r="D127" s="12"/>
      <c r="E127" s="13"/>
      <c r="F127" s="96"/>
      <c r="G127" s="96"/>
      <c r="H127" s="96"/>
      <c r="I127" s="508" t="s">
        <v>33</v>
      </c>
      <c r="J127" s="509"/>
      <c r="K127" s="509"/>
      <c r="L127" s="509"/>
      <c r="M127" s="509"/>
      <c r="N127" s="509"/>
      <c r="O127" s="509"/>
      <c r="P127" s="509"/>
      <c r="Q127" s="509"/>
      <c r="R127" s="509"/>
      <c r="S127" s="510"/>
      <c r="T127" s="96"/>
      <c r="U127" s="96"/>
      <c r="V127" s="96"/>
      <c r="W127" s="134"/>
      <c r="X127" s="134"/>
      <c r="Y127" s="134"/>
      <c r="Z127" s="96"/>
      <c r="AA127" s="96"/>
      <c r="AB127" s="96"/>
      <c r="AC127" s="13"/>
      <c r="AD127" s="134"/>
      <c r="AE127" s="134"/>
      <c r="AF127" s="134"/>
      <c r="AG127" s="96"/>
      <c r="AH127" s="96"/>
      <c r="AI127" s="96"/>
      <c r="AJ127" s="15"/>
    </row>
    <row r="128" spans="3:36">
      <c r="D128" s="12"/>
      <c r="E128" s="97"/>
      <c r="F128" s="96"/>
      <c r="G128" s="96"/>
      <c r="H128" s="96"/>
      <c r="I128" s="498" t="s">
        <v>34</v>
      </c>
      <c r="J128" s="500"/>
      <c r="K128" s="500"/>
      <c r="L128" s="500"/>
      <c r="M128" s="500"/>
      <c r="N128" s="500"/>
      <c r="O128" s="500"/>
      <c r="P128" s="500"/>
      <c r="Q128" s="500"/>
      <c r="R128" s="500"/>
      <c r="S128" s="499"/>
      <c r="T128" s="96"/>
      <c r="U128" s="96"/>
      <c r="V128" s="96"/>
      <c r="W128" s="134"/>
      <c r="X128" s="134"/>
      <c r="Y128" s="134"/>
      <c r="Z128" s="96"/>
      <c r="AA128" s="96"/>
      <c r="AB128" s="96"/>
      <c r="AC128" s="13"/>
      <c r="AD128" s="134"/>
      <c r="AE128" s="134"/>
      <c r="AF128" s="134"/>
      <c r="AG128" s="96"/>
      <c r="AH128" s="96"/>
      <c r="AI128" s="96"/>
      <c r="AJ128" s="15"/>
    </row>
    <row r="129" spans="3:36">
      <c r="D129" s="12"/>
      <c r="E129" s="554" t="s">
        <v>94</v>
      </c>
      <c r="F129" s="555"/>
      <c r="G129" s="544" t="s">
        <v>151</v>
      </c>
      <c r="H129" s="545"/>
      <c r="I129" s="506">
        <f>N121</f>
        <v>37.598917665331669</v>
      </c>
      <c r="J129" s="507"/>
      <c r="K129" s="30" t="s">
        <v>27</v>
      </c>
      <c r="L129" s="507">
        <f>I121</f>
        <v>3</v>
      </c>
      <c r="M129" s="507"/>
      <c r="N129" s="30" t="s">
        <v>70</v>
      </c>
      <c r="O129" s="64">
        <v>2</v>
      </c>
      <c r="P129" s="30" t="s">
        <v>2</v>
      </c>
      <c r="Q129" s="437">
        <f>I129*L129/O129</f>
        <v>56.398376497997504</v>
      </c>
      <c r="R129" s="438"/>
      <c r="S129" s="439"/>
      <c r="T129" s="96"/>
      <c r="U129" s="96"/>
      <c r="V129" s="96"/>
      <c r="W129" s="134"/>
      <c r="X129" s="134"/>
      <c r="Y129" s="134"/>
      <c r="Z129" s="96"/>
      <c r="AA129" s="96"/>
      <c r="AB129" s="96"/>
      <c r="AC129" s="13"/>
      <c r="AD129" s="134"/>
      <c r="AE129" s="134"/>
      <c r="AF129" s="134"/>
      <c r="AG129" s="96"/>
      <c r="AH129" s="96"/>
      <c r="AI129" s="96"/>
      <c r="AJ129" s="15"/>
    </row>
    <row r="130" spans="3:36">
      <c r="D130" s="12"/>
      <c r="E130" s="556"/>
      <c r="F130" s="557"/>
      <c r="G130" s="558" t="s">
        <v>152</v>
      </c>
      <c r="H130" s="558"/>
      <c r="I130" s="570">
        <f>N122</f>
        <v>67.598917665331669</v>
      </c>
      <c r="J130" s="569"/>
      <c r="K130" s="17" t="s">
        <v>27</v>
      </c>
      <c r="L130" s="569">
        <f>I121</f>
        <v>3</v>
      </c>
      <c r="M130" s="569"/>
      <c r="N130" s="17" t="s">
        <v>70</v>
      </c>
      <c r="O130" s="49">
        <v>2</v>
      </c>
      <c r="P130" s="17" t="s">
        <v>2</v>
      </c>
      <c r="Q130" s="595">
        <f>I130*L130/O130</f>
        <v>101.3983764979975</v>
      </c>
      <c r="R130" s="448"/>
      <c r="S130" s="594"/>
      <c r="T130" s="96"/>
      <c r="U130" s="96"/>
      <c r="V130" s="96"/>
      <c r="W130" s="134"/>
      <c r="X130" s="134"/>
      <c r="Y130" s="134"/>
      <c r="Z130" s="96"/>
      <c r="AA130" s="96"/>
      <c r="AB130" s="96"/>
      <c r="AC130" s="13"/>
      <c r="AD130" s="134"/>
      <c r="AE130" s="134"/>
      <c r="AF130" s="134"/>
      <c r="AG130" s="96"/>
      <c r="AH130" s="96"/>
      <c r="AI130" s="96"/>
      <c r="AJ130" s="15"/>
    </row>
    <row r="131" spans="3:36">
      <c r="D131" s="12"/>
      <c r="E131" s="542" t="s">
        <v>114</v>
      </c>
      <c r="F131" s="543"/>
      <c r="G131" s="624" t="s">
        <v>153</v>
      </c>
      <c r="H131" s="545"/>
      <c r="I131" s="506">
        <f>N123</f>
        <v>67.598917665331669</v>
      </c>
      <c r="J131" s="507"/>
      <c r="K131" s="30" t="s">
        <v>27</v>
      </c>
      <c r="L131" s="507">
        <f>I123</f>
        <v>1.7746229322796359</v>
      </c>
      <c r="M131" s="507"/>
      <c r="N131" s="30" t="s">
        <v>70</v>
      </c>
      <c r="O131" s="64">
        <v>2</v>
      </c>
      <c r="P131" s="30" t="s">
        <v>2</v>
      </c>
      <c r="Q131" s="437">
        <f>I131*L131/O131</f>
        <v>59.981294743090281</v>
      </c>
      <c r="R131" s="438"/>
      <c r="S131" s="439"/>
      <c r="T131" s="96"/>
      <c r="U131" s="96"/>
      <c r="V131" s="96"/>
      <c r="W131" s="134"/>
      <c r="X131" s="134"/>
      <c r="Y131" s="134"/>
      <c r="Z131" s="96"/>
      <c r="AA131" s="96"/>
      <c r="AB131" s="96"/>
      <c r="AC131" s="13"/>
      <c r="AD131" s="134"/>
      <c r="AE131" s="134"/>
      <c r="AF131" s="134"/>
      <c r="AG131" s="96"/>
      <c r="AH131" s="96"/>
      <c r="AI131" s="96"/>
      <c r="AJ131" s="15"/>
    </row>
    <row r="132" spans="3:36">
      <c r="D132" s="12"/>
      <c r="E132" s="449"/>
      <c r="F132" s="449"/>
      <c r="G132" s="806"/>
      <c r="H132" s="806"/>
      <c r="I132" s="628"/>
      <c r="J132" s="628"/>
      <c r="K132" s="13"/>
      <c r="L132" s="628"/>
      <c r="M132" s="628"/>
      <c r="N132" s="13"/>
      <c r="O132" s="104"/>
      <c r="P132" s="13"/>
      <c r="Q132" s="448"/>
      <c r="R132" s="448"/>
      <c r="S132" s="448"/>
      <c r="T132" s="96"/>
      <c r="U132" s="96"/>
      <c r="V132" s="96"/>
      <c r="W132" s="134"/>
      <c r="X132" s="134"/>
      <c r="Y132" s="134"/>
      <c r="Z132" s="96"/>
      <c r="AA132" s="96"/>
      <c r="AB132" s="96"/>
      <c r="AC132" s="13"/>
      <c r="AD132" s="134"/>
      <c r="AE132" s="134"/>
      <c r="AF132" s="134"/>
      <c r="AG132" s="96"/>
      <c r="AH132" s="96"/>
      <c r="AI132" s="96"/>
      <c r="AJ132" s="15"/>
    </row>
    <row r="133" spans="3:36">
      <c r="D133" s="12"/>
      <c r="T133" s="96"/>
      <c r="U133" s="96"/>
      <c r="V133" s="96"/>
      <c r="W133" s="13"/>
      <c r="X133" s="134"/>
      <c r="Y133" s="134"/>
      <c r="Z133" s="134"/>
      <c r="AA133" s="96"/>
      <c r="AB133" s="96"/>
      <c r="AC133" s="96"/>
      <c r="AD133" s="13"/>
      <c r="AE133" s="13"/>
      <c r="AF133" s="13"/>
      <c r="AG133" s="13"/>
      <c r="AH133" s="13"/>
      <c r="AI133" s="13"/>
      <c r="AJ133" s="15"/>
    </row>
    <row r="134" spans="3:36">
      <c r="C134" s="13"/>
      <c r="D134" s="12"/>
      <c r="E134" s="97"/>
      <c r="F134" s="96"/>
      <c r="G134" s="96"/>
      <c r="H134"/>
      <c r="I134" s="410" t="s">
        <v>250</v>
      </c>
      <c r="J134" s="412"/>
      <c r="K134" s="412"/>
      <c r="L134" s="412"/>
      <c r="M134" s="412"/>
      <c r="N134" s="412"/>
      <c r="O134" s="412"/>
      <c r="P134" s="412"/>
      <c r="Q134" s="412"/>
      <c r="R134" s="412"/>
      <c r="S134" s="412"/>
      <c r="T134" s="412"/>
      <c r="U134" s="412"/>
      <c r="V134" s="412"/>
      <c r="W134" s="412"/>
      <c r="X134" s="412"/>
      <c r="Y134" s="412"/>
      <c r="Z134" s="412"/>
      <c r="AA134" s="411"/>
      <c r="AB134" s="13"/>
      <c r="AC134" s="13"/>
      <c r="AD134" s="13"/>
      <c r="AE134" s="13"/>
      <c r="AF134" s="13"/>
      <c r="AG134" s="13"/>
      <c r="AH134" s="13"/>
      <c r="AI134" s="13"/>
      <c r="AJ134" s="15"/>
    </row>
    <row r="135" spans="3:36">
      <c r="C135" s="13"/>
      <c r="D135" s="12"/>
      <c r="E135" s="97"/>
      <c r="F135" s="96"/>
      <c r="G135" s="96"/>
      <c r="H135"/>
      <c r="I135" s="508" t="s">
        <v>254</v>
      </c>
      <c r="J135" s="509"/>
      <c r="K135" s="509"/>
      <c r="L135" s="509"/>
      <c r="M135" s="509"/>
      <c r="N135" s="509"/>
      <c r="O135" s="509"/>
      <c r="P135" s="509"/>
      <c r="Q135" s="509"/>
      <c r="R135" s="509"/>
      <c r="S135" s="509"/>
      <c r="T135" s="509"/>
      <c r="U135" s="509"/>
      <c r="V135" s="509"/>
      <c r="W135" s="509"/>
      <c r="X135" s="509"/>
      <c r="Y135" s="509"/>
      <c r="Z135" s="509"/>
      <c r="AA135" s="510"/>
      <c r="AB135" s="13"/>
      <c r="AC135" s="13"/>
      <c r="AD135" s="13"/>
      <c r="AE135" s="13"/>
      <c r="AF135" s="13"/>
      <c r="AG135" s="13"/>
      <c r="AH135" s="13"/>
      <c r="AI135" s="13"/>
      <c r="AJ135" s="15"/>
    </row>
    <row r="136" spans="3:36">
      <c r="C136" s="13"/>
      <c r="D136" s="12"/>
      <c r="E136" s="97"/>
      <c r="F136" s="96"/>
      <c r="G136" s="96"/>
      <c r="H136"/>
      <c r="I136" s="498" t="s">
        <v>20</v>
      </c>
      <c r="J136" s="500"/>
      <c r="K136" s="500"/>
      <c r="L136" s="500"/>
      <c r="M136" s="500"/>
      <c r="N136" s="500"/>
      <c r="O136" s="500"/>
      <c r="P136" s="500"/>
      <c r="Q136" s="500"/>
      <c r="R136" s="500"/>
      <c r="S136" s="500"/>
      <c r="T136" s="500"/>
      <c r="U136" s="500"/>
      <c r="V136" s="500"/>
      <c r="W136" s="500"/>
      <c r="X136" s="500"/>
      <c r="Y136" s="500"/>
      <c r="Z136" s="500"/>
      <c r="AA136" s="499"/>
      <c r="AB136" s="13"/>
      <c r="AC136" s="13"/>
      <c r="AD136" s="13"/>
      <c r="AE136" s="13"/>
      <c r="AF136" s="13"/>
      <c r="AG136" s="13"/>
      <c r="AH136" s="13"/>
      <c r="AI136" s="13"/>
      <c r="AJ136" s="15"/>
    </row>
    <row r="137" spans="3:36">
      <c r="C137" s="13"/>
      <c r="D137" s="12"/>
      <c r="E137" s="554" t="s">
        <v>94</v>
      </c>
      <c r="F137" s="555"/>
      <c r="G137" s="544" t="s">
        <v>151</v>
      </c>
      <c r="H137" s="545"/>
      <c r="I137" s="437">
        <f>R36</f>
        <v>2.7849109887803722</v>
      </c>
      <c r="J137" s="438"/>
      <c r="K137" s="30" t="s">
        <v>68</v>
      </c>
      <c r="L137" s="438">
        <f>I121</f>
        <v>3</v>
      </c>
      <c r="M137" s="438"/>
      <c r="N137" s="30"/>
      <c r="O137" s="30"/>
      <c r="P137" s="30"/>
      <c r="Q137" s="30"/>
      <c r="R137" s="438"/>
      <c r="S137" s="438"/>
      <c r="T137" s="30" t="s">
        <v>70</v>
      </c>
      <c r="U137" s="46">
        <v>3</v>
      </c>
      <c r="V137" s="30" t="s">
        <v>27</v>
      </c>
      <c r="W137" s="46">
        <v>2</v>
      </c>
      <c r="X137" s="80" t="s">
        <v>2</v>
      </c>
      <c r="Y137" s="437">
        <f>I137+L137/U137*W137</f>
        <v>4.7849109887803722</v>
      </c>
      <c r="Z137" s="438"/>
      <c r="AA137" s="439"/>
      <c r="AB137" s="13"/>
      <c r="AC137" s="13"/>
      <c r="AD137" s="13"/>
      <c r="AE137" s="13"/>
      <c r="AF137" s="13"/>
      <c r="AG137" s="13"/>
      <c r="AH137" s="13"/>
      <c r="AI137" s="13"/>
      <c r="AJ137" s="15"/>
    </row>
    <row r="138" spans="3:36">
      <c r="C138" s="13"/>
      <c r="D138" s="12"/>
      <c r="E138" s="556"/>
      <c r="F138" s="557"/>
      <c r="G138" s="558" t="s">
        <v>152</v>
      </c>
      <c r="H138" s="558"/>
      <c r="I138" s="437">
        <f>R36</f>
        <v>2.7849109887803722</v>
      </c>
      <c r="J138" s="438"/>
      <c r="K138" s="30" t="s">
        <v>68</v>
      </c>
      <c r="L138" s="438">
        <f>I121</f>
        <v>3</v>
      </c>
      <c r="M138" s="438"/>
      <c r="N138" s="10"/>
      <c r="O138" s="10"/>
      <c r="P138" s="10"/>
      <c r="Q138" s="30"/>
      <c r="R138" s="438"/>
      <c r="S138" s="438"/>
      <c r="T138" s="30" t="s">
        <v>70</v>
      </c>
      <c r="U138" s="46">
        <v>3</v>
      </c>
      <c r="V138" s="30" t="s">
        <v>27</v>
      </c>
      <c r="W138" s="46">
        <v>1</v>
      </c>
      <c r="X138" s="80" t="s">
        <v>2</v>
      </c>
      <c r="Y138" s="437">
        <f>I138+L138/U138*W138</f>
        <v>3.7849109887803722</v>
      </c>
      <c r="Z138" s="438"/>
      <c r="AA138" s="439"/>
      <c r="AB138" s="13"/>
      <c r="AC138" s="13"/>
      <c r="AD138" s="13"/>
      <c r="AE138" s="13"/>
      <c r="AF138" s="13"/>
      <c r="AG138" s="13"/>
      <c r="AH138" s="13"/>
      <c r="AI138" s="13"/>
      <c r="AJ138" s="15"/>
    </row>
    <row r="139" spans="3:36">
      <c r="C139" s="13"/>
      <c r="D139" s="12"/>
      <c r="E139" s="542" t="s">
        <v>114</v>
      </c>
      <c r="F139" s="543"/>
      <c r="G139" s="511" t="s">
        <v>153</v>
      </c>
      <c r="H139" s="419"/>
      <c r="I139" s="253" t="s">
        <v>69</v>
      </c>
      <c r="J139" s="438">
        <f>R36</f>
        <v>2.7849109887803722</v>
      </c>
      <c r="K139" s="438"/>
      <c r="L139" s="17" t="s">
        <v>236</v>
      </c>
      <c r="M139" s="438">
        <f>I123</f>
        <v>1.7746229322796359</v>
      </c>
      <c r="N139" s="438"/>
      <c r="O139" s="254" t="s">
        <v>83</v>
      </c>
      <c r="P139" s="254" t="s">
        <v>68</v>
      </c>
      <c r="Q139" s="438">
        <f>I123</f>
        <v>1.7746229322796359</v>
      </c>
      <c r="R139" s="438"/>
      <c r="S139" s="30"/>
      <c r="T139" s="30" t="s">
        <v>70</v>
      </c>
      <c r="U139" s="46">
        <v>3</v>
      </c>
      <c r="V139" s="30" t="s">
        <v>27</v>
      </c>
      <c r="W139" s="46">
        <v>2</v>
      </c>
      <c r="X139" s="80" t="s">
        <v>2</v>
      </c>
      <c r="Y139" s="437">
        <f>(J139-M139)+Q139/U139*W139</f>
        <v>2.193370011353827</v>
      </c>
      <c r="Z139" s="438"/>
      <c r="AA139" s="439"/>
      <c r="AB139" s="13"/>
      <c r="AC139" s="13"/>
      <c r="AD139" s="13"/>
      <c r="AE139" s="13"/>
      <c r="AF139" s="13"/>
      <c r="AG139" s="13"/>
      <c r="AH139" s="13"/>
      <c r="AI139" s="13"/>
      <c r="AJ139" s="15"/>
    </row>
    <row r="140" spans="3:36">
      <c r="D140" s="12"/>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5"/>
    </row>
    <row r="141" spans="3:36">
      <c r="C141" s="13"/>
      <c r="D141" s="12"/>
      <c r="E141" s="97"/>
      <c r="F141" s="96"/>
      <c r="G141" s="96"/>
      <c r="H141" s="96"/>
      <c r="I141" s="410" t="s">
        <v>248</v>
      </c>
      <c r="J141" s="412"/>
      <c r="K141" s="411"/>
      <c r="L141" s="410" t="s">
        <v>32</v>
      </c>
      <c r="M141" s="412"/>
      <c r="N141" s="411"/>
      <c r="O141" s="410" t="s">
        <v>251</v>
      </c>
      <c r="P141" s="412"/>
      <c r="Q141" s="412"/>
      <c r="R141" s="411"/>
      <c r="S141" s="13"/>
      <c r="T141" s="13"/>
      <c r="U141" s="13"/>
      <c r="V141" s="13"/>
      <c r="W141" s="13"/>
      <c r="X141" s="13"/>
      <c r="Y141" s="13"/>
      <c r="Z141" s="13"/>
      <c r="AA141" s="13"/>
      <c r="AB141" s="13"/>
      <c r="AC141" s="13"/>
      <c r="AD141" s="13"/>
      <c r="AE141" s="13"/>
      <c r="AF141" s="13"/>
      <c r="AG141" s="13"/>
      <c r="AH141" s="13"/>
      <c r="AI141" s="13"/>
      <c r="AJ141" s="15"/>
    </row>
    <row r="142" spans="3:36">
      <c r="C142" s="13"/>
      <c r="D142" s="12"/>
      <c r="E142" s="13"/>
      <c r="F142" s="96"/>
      <c r="G142" s="96"/>
      <c r="H142" s="96"/>
      <c r="I142" s="508" t="s">
        <v>33</v>
      </c>
      <c r="J142" s="509"/>
      <c r="K142" s="510"/>
      <c r="L142" s="508" t="s">
        <v>254</v>
      </c>
      <c r="M142" s="509"/>
      <c r="N142" s="510"/>
      <c r="O142" s="508" t="s">
        <v>253</v>
      </c>
      <c r="P142" s="509"/>
      <c r="Q142" s="509"/>
      <c r="R142" s="510"/>
      <c r="S142" s="13"/>
      <c r="T142" s="13"/>
      <c r="U142" s="13"/>
      <c r="V142" s="13"/>
      <c r="W142" s="13"/>
      <c r="X142" s="13"/>
      <c r="Y142" s="13"/>
      <c r="Z142" s="13"/>
      <c r="AA142" s="13"/>
      <c r="AB142" s="13"/>
      <c r="AC142" s="13"/>
      <c r="AD142" s="13"/>
      <c r="AE142" s="13"/>
      <c r="AF142" s="13"/>
      <c r="AG142" s="13"/>
      <c r="AH142" s="13"/>
      <c r="AI142" s="13"/>
      <c r="AJ142" s="15"/>
    </row>
    <row r="143" spans="3:36">
      <c r="C143" s="13"/>
      <c r="D143" s="12"/>
      <c r="E143" s="97"/>
      <c r="F143" s="96"/>
      <c r="G143" s="96"/>
      <c r="H143" s="96"/>
      <c r="I143" s="498" t="s">
        <v>34</v>
      </c>
      <c r="J143" s="500"/>
      <c r="K143" s="499"/>
      <c r="L143" s="498" t="s">
        <v>20</v>
      </c>
      <c r="M143" s="500"/>
      <c r="N143" s="499"/>
      <c r="O143" s="498" t="s">
        <v>35</v>
      </c>
      <c r="P143" s="500"/>
      <c r="Q143" s="500"/>
      <c r="R143" s="499"/>
      <c r="S143" s="13"/>
      <c r="T143" s="13"/>
      <c r="U143" s="13"/>
      <c r="V143" s="13"/>
      <c r="W143" s="13"/>
      <c r="X143" s="13"/>
      <c r="Y143" s="13"/>
      <c r="Z143" s="13"/>
      <c r="AA143" s="13"/>
      <c r="AB143" s="13"/>
      <c r="AC143" s="13"/>
      <c r="AD143" s="13"/>
      <c r="AE143" s="13"/>
      <c r="AF143" s="13"/>
      <c r="AG143" s="13"/>
      <c r="AH143" s="13"/>
      <c r="AI143" s="13"/>
      <c r="AJ143" s="15"/>
    </row>
    <row r="144" spans="3:36">
      <c r="C144" s="13"/>
      <c r="D144" s="12"/>
      <c r="E144" s="554" t="s">
        <v>94</v>
      </c>
      <c r="F144" s="555"/>
      <c r="G144" s="544" t="s">
        <v>151</v>
      </c>
      <c r="H144" s="545"/>
      <c r="I144" s="506">
        <f>Q129</f>
        <v>56.398376497997504</v>
      </c>
      <c r="J144" s="507"/>
      <c r="K144" s="715"/>
      <c r="L144" s="506">
        <f>Y137</f>
        <v>4.7849109887803722</v>
      </c>
      <c r="M144" s="507"/>
      <c r="N144" s="507"/>
      <c r="O144" s="437">
        <f>I144*L144</f>
        <v>269.86121145464097</v>
      </c>
      <c r="P144" s="438"/>
      <c r="Q144" s="438"/>
      <c r="R144" s="439"/>
      <c r="S144" s="13"/>
      <c r="T144" s="13"/>
      <c r="U144" s="13"/>
      <c r="V144" s="13"/>
      <c r="W144" s="13"/>
      <c r="X144" s="13"/>
      <c r="Y144" s="13"/>
      <c r="Z144" s="13"/>
      <c r="AA144" s="13"/>
      <c r="AB144" s="13"/>
      <c r="AC144" s="13"/>
      <c r="AD144" s="13"/>
      <c r="AE144" s="13"/>
      <c r="AF144" s="13"/>
      <c r="AG144" s="13"/>
      <c r="AH144" s="13"/>
      <c r="AI144" s="13"/>
      <c r="AJ144" s="15"/>
    </row>
    <row r="145" spans="3:36">
      <c r="C145" s="13"/>
      <c r="D145" s="12"/>
      <c r="E145" s="556"/>
      <c r="F145" s="557"/>
      <c r="G145" s="558" t="s">
        <v>152</v>
      </c>
      <c r="H145" s="558"/>
      <c r="I145" s="506">
        <f>Q130</f>
        <v>101.3983764979975</v>
      </c>
      <c r="J145" s="507"/>
      <c r="K145" s="715"/>
      <c r="L145" s="506">
        <f>Y138</f>
        <v>3.7849109887803722</v>
      </c>
      <c r="M145" s="507"/>
      <c r="N145" s="507"/>
      <c r="O145" s="437">
        <f t="shared" ref="O145:O146" si="5">I145*L145</f>
        <v>383.7838294517602</v>
      </c>
      <c r="P145" s="438"/>
      <c r="Q145" s="438"/>
      <c r="R145" s="439"/>
      <c r="S145" s="13"/>
      <c r="T145" s="13"/>
      <c r="U145" s="13"/>
      <c r="V145" s="13"/>
      <c r="W145" s="13"/>
      <c r="X145" s="13"/>
      <c r="Y145" s="13"/>
      <c r="Z145" s="13"/>
      <c r="AA145" s="13"/>
      <c r="AB145" s="13"/>
      <c r="AC145" s="13"/>
      <c r="AD145" s="13"/>
      <c r="AE145" s="13"/>
      <c r="AF145" s="13"/>
      <c r="AG145" s="13"/>
      <c r="AH145" s="13"/>
      <c r="AI145" s="13"/>
      <c r="AJ145" s="15"/>
    </row>
    <row r="146" spans="3:36" ht="19.5" thickBot="1">
      <c r="C146" s="13"/>
      <c r="D146" s="12"/>
      <c r="E146" s="791" t="s">
        <v>114</v>
      </c>
      <c r="F146" s="792"/>
      <c r="G146" s="793" t="s">
        <v>153</v>
      </c>
      <c r="H146" s="644"/>
      <c r="I146" s="552">
        <f>Q131</f>
        <v>59.981294743090281</v>
      </c>
      <c r="J146" s="553"/>
      <c r="K146" s="794"/>
      <c r="L146" s="552">
        <f>Y139</f>
        <v>2.193370011353827</v>
      </c>
      <c r="M146" s="553"/>
      <c r="N146" s="553"/>
      <c r="O146" s="673">
        <f t="shared" si="5"/>
        <v>131.56117313166916</v>
      </c>
      <c r="P146" s="670"/>
      <c r="Q146" s="670"/>
      <c r="R146" s="671"/>
      <c r="S146" s="13"/>
      <c r="T146" s="13"/>
      <c r="U146" s="13"/>
      <c r="V146" s="13"/>
      <c r="W146" s="13"/>
      <c r="X146" s="13"/>
      <c r="Y146" s="13"/>
      <c r="Z146" s="13"/>
      <c r="AA146" s="13"/>
      <c r="AB146" s="13"/>
      <c r="AC146" s="13"/>
      <c r="AD146" s="13"/>
      <c r="AE146" s="13"/>
      <c r="AF146" s="13"/>
      <c r="AG146" s="13"/>
      <c r="AH146" s="13"/>
      <c r="AI146" s="13"/>
      <c r="AJ146" s="15"/>
    </row>
    <row r="147" spans="3:36" ht="19.5" thickTop="1">
      <c r="D147" s="12"/>
      <c r="E147" s="716" t="s">
        <v>252</v>
      </c>
      <c r="F147" s="717"/>
      <c r="G147" s="77"/>
      <c r="H147" s="77"/>
      <c r="I147" s="716">
        <f>SUM(I144:K146)</f>
        <v>217.77804773908528</v>
      </c>
      <c r="J147" s="718"/>
      <c r="K147" s="717"/>
      <c r="L147" s="77"/>
      <c r="M147" s="77"/>
      <c r="N147" s="120"/>
      <c r="O147" s="522">
        <f>SUM(O144:R146)</f>
        <v>785.20621403807036</v>
      </c>
      <c r="P147" s="452"/>
      <c r="Q147" s="452"/>
      <c r="R147" s="523"/>
      <c r="S147" s="13"/>
      <c r="T147" s="13"/>
      <c r="U147" s="13"/>
      <c r="V147" s="13"/>
      <c r="W147" s="13"/>
      <c r="X147" s="13"/>
      <c r="Y147" s="13"/>
      <c r="Z147" s="13"/>
      <c r="AA147" s="13"/>
      <c r="AB147" s="13"/>
      <c r="AC147" s="13"/>
      <c r="AD147" s="13"/>
      <c r="AE147" s="13"/>
      <c r="AF147" s="13"/>
      <c r="AG147" s="13"/>
      <c r="AH147" s="13"/>
      <c r="AI147" s="13"/>
      <c r="AJ147" s="15"/>
    </row>
    <row r="148" spans="3:36">
      <c r="D148" s="12"/>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5"/>
    </row>
    <row r="149" spans="3:36" ht="20.25">
      <c r="D149" s="12"/>
      <c r="E149" s="13" t="s">
        <v>255</v>
      </c>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5"/>
    </row>
    <row r="150" spans="3:36">
      <c r="D150" s="12"/>
      <c r="Z150" s="13"/>
      <c r="AA150" s="13"/>
      <c r="AB150" s="13"/>
      <c r="AC150" s="13"/>
      <c r="AD150" s="13"/>
      <c r="AE150" s="13"/>
      <c r="AF150" s="13"/>
      <c r="AG150" s="13"/>
      <c r="AH150" s="13"/>
      <c r="AI150" s="13"/>
      <c r="AJ150" s="15"/>
    </row>
    <row r="151" spans="3:36">
      <c r="D151" s="12"/>
      <c r="E151" s="13"/>
      <c r="F151" s="13" t="s">
        <v>69</v>
      </c>
      <c r="G151" s="448">
        <f>R36</f>
        <v>2.7849109887803722</v>
      </c>
      <c r="H151" s="448"/>
      <c r="I151" s="448"/>
      <c r="J151" s="13" t="s">
        <v>68</v>
      </c>
      <c r="K151" s="448">
        <f>I95</f>
        <v>3</v>
      </c>
      <c r="L151" s="448"/>
      <c r="M151" s="448"/>
      <c r="N151" s="13" t="s">
        <v>83</v>
      </c>
      <c r="O151" s="13" t="s">
        <v>27</v>
      </c>
      <c r="P151" s="360" t="s">
        <v>258</v>
      </c>
      <c r="Q151" s="360"/>
      <c r="R151" s="13" t="s">
        <v>2</v>
      </c>
      <c r="S151" s="448">
        <f>O147</f>
        <v>785.20621403807036</v>
      </c>
      <c r="T151" s="448"/>
      <c r="U151" s="448"/>
      <c r="V151" s="448"/>
      <c r="AA151" s="13"/>
      <c r="AB151" s="13"/>
      <c r="AC151" s="13"/>
      <c r="AD151" s="13"/>
      <c r="AE151" s="13"/>
      <c r="AF151" s="13"/>
      <c r="AG151" s="13"/>
      <c r="AH151" s="13"/>
      <c r="AI151" s="13"/>
      <c r="AJ151" s="15"/>
    </row>
    <row r="152" spans="3:36">
      <c r="D152" s="12"/>
      <c r="E152" s="13"/>
      <c r="F152" s="13"/>
      <c r="G152" s="24"/>
      <c r="H152" s="24"/>
      <c r="I152" s="24"/>
      <c r="J152" s="13"/>
      <c r="K152" s="24"/>
      <c r="L152" s="24"/>
      <c r="M152" s="24"/>
      <c r="N152" s="13"/>
      <c r="O152" s="24"/>
      <c r="P152" s="24"/>
      <c r="Q152" s="24"/>
      <c r="R152" s="13"/>
      <c r="S152" s="13"/>
      <c r="T152" s="35"/>
      <c r="U152" s="35"/>
      <c r="V152" s="13"/>
      <c r="W152" s="14"/>
      <c r="X152" s="14"/>
      <c r="Y152" s="14"/>
      <c r="Z152" s="14"/>
      <c r="AA152" s="13"/>
      <c r="AB152" s="13"/>
      <c r="AC152" s="13"/>
      <c r="AD152" s="13"/>
      <c r="AE152" s="13"/>
      <c r="AF152" s="13"/>
      <c r="AG152" s="13"/>
      <c r="AH152" s="13"/>
      <c r="AI152" s="13"/>
      <c r="AJ152" s="15"/>
    </row>
    <row r="153" spans="3:36">
      <c r="D153" s="12"/>
      <c r="E153" s="13" t="s">
        <v>67</v>
      </c>
      <c r="F153" s="13"/>
      <c r="G153" s="13"/>
      <c r="H153" s="13"/>
      <c r="P153" s="13"/>
      <c r="Q153" s="13"/>
      <c r="R153" s="13"/>
      <c r="S153" s="13"/>
      <c r="T153" s="13"/>
      <c r="U153" s="13"/>
      <c r="V153" s="13"/>
      <c r="W153" s="13"/>
      <c r="X153" s="13"/>
      <c r="Y153" s="13"/>
      <c r="Z153" s="13"/>
      <c r="AA153" s="13"/>
      <c r="AB153" s="13"/>
      <c r="AC153" s="13"/>
      <c r="AD153" s="13"/>
      <c r="AE153" s="13"/>
      <c r="AF153" s="13"/>
      <c r="AG153" s="13"/>
      <c r="AH153" s="13"/>
      <c r="AI153" s="13"/>
      <c r="AJ153" s="15"/>
    </row>
    <row r="154" spans="3:36" ht="20.25">
      <c r="D154" s="12"/>
      <c r="E154" s="13"/>
      <c r="F154" s="13"/>
      <c r="G154" s="13"/>
      <c r="H154" s="13"/>
      <c r="I154" s="360" t="s">
        <v>256</v>
      </c>
      <c r="J154" s="360"/>
      <c r="K154" s="13" t="s">
        <v>2</v>
      </c>
      <c r="L154" s="477">
        <f>S151/(G151+K151)</f>
        <v>135.73349971347005</v>
      </c>
      <c r="M154" s="477"/>
      <c r="N154" s="477"/>
      <c r="O154" s="13" t="s">
        <v>257</v>
      </c>
      <c r="P154" s="13"/>
      <c r="Q154" s="13"/>
      <c r="R154" s="13"/>
      <c r="S154" s="13"/>
      <c r="T154" s="13"/>
      <c r="U154" s="13"/>
      <c r="V154" s="13"/>
      <c r="W154" s="13"/>
      <c r="X154" s="13"/>
      <c r="Y154" s="13"/>
      <c r="Z154" s="13"/>
      <c r="AA154" s="13"/>
      <c r="AB154" s="13"/>
      <c r="AC154" s="13"/>
      <c r="AD154" s="13"/>
      <c r="AE154" s="13"/>
      <c r="AF154" s="13"/>
      <c r="AG154" s="13"/>
      <c r="AH154" s="13"/>
      <c r="AI154" s="13"/>
      <c r="AJ154" s="15"/>
    </row>
    <row r="155" spans="3:36">
      <c r="D155" s="12"/>
      <c r="E155" s="13"/>
      <c r="F155" s="13"/>
      <c r="G155" s="13"/>
      <c r="H155" s="13"/>
      <c r="I155" s="35"/>
      <c r="J155" s="35"/>
      <c r="K155" s="13"/>
      <c r="L155" s="14"/>
      <c r="M155" s="14"/>
      <c r="N155" s="14"/>
      <c r="O155" s="13"/>
      <c r="P155" s="13"/>
      <c r="Q155" s="13"/>
      <c r="R155" s="13"/>
      <c r="S155" s="13"/>
      <c r="T155" s="13"/>
      <c r="U155" s="13"/>
      <c r="V155" s="13"/>
      <c r="W155" s="13"/>
      <c r="X155" s="13"/>
      <c r="Y155" s="13"/>
      <c r="Z155" s="13"/>
      <c r="AA155" s="13"/>
      <c r="AB155" s="13"/>
      <c r="AC155" s="13"/>
      <c r="AD155" s="13"/>
      <c r="AE155" s="13"/>
      <c r="AF155" s="13"/>
      <c r="AG155" s="13"/>
      <c r="AH155" s="13"/>
      <c r="AI155" s="13"/>
      <c r="AJ155" s="15"/>
    </row>
    <row r="156" spans="3:36">
      <c r="D156" s="12" t="s">
        <v>398</v>
      </c>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5"/>
    </row>
    <row r="157" spans="3:36" ht="18.75" customHeight="1">
      <c r="D157" s="12"/>
      <c r="E157" s="777" t="s">
        <v>618</v>
      </c>
      <c r="F157" s="777"/>
      <c r="G157" s="777"/>
      <c r="H157" s="777"/>
      <c r="I157" s="777"/>
      <c r="J157" s="777"/>
      <c r="K157" s="777"/>
      <c r="L157" s="777"/>
      <c r="M157" s="777"/>
      <c r="N157" s="777"/>
      <c r="O157" s="777"/>
      <c r="P157" s="777"/>
      <c r="Q157" s="777"/>
      <c r="R157" s="777"/>
      <c r="S157" s="777"/>
      <c r="T157" s="777"/>
      <c r="U157" s="777"/>
      <c r="V157" s="255"/>
      <c r="W157" s="255"/>
      <c r="X157" s="255"/>
      <c r="Y157" s="255"/>
      <c r="Z157" s="255"/>
      <c r="AA157" s="255"/>
      <c r="AB157" s="255"/>
      <c r="AC157" s="255"/>
      <c r="AD157" s="255"/>
      <c r="AE157" s="255"/>
      <c r="AF157" s="255"/>
      <c r="AG157" s="255"/>
      <c r="AH157" s="255"/>
      <c r="AI157" s="255"/>
      <c r="AJ157" s="256"/>
    </row>
    <row r="158" spans="3:36">
      <c r="D158" s="12"/>
      <c r="E158" s="777"/>
      <c r="F158" s="777"/>
      <c r="G158" s="777"/>
      <c r="H158" s="777"/>
      <c r="I158" s="777"/>
      <c r="J158" s="777"/>
      <c r="K158" s="777"/>
      <c r="L158" s="777"/>
      <c r="M158" s="777"/>
      <c r="N158" s="777"/>
      <c r="O158" s="777"/>
      <c r="P158" s="777"/>
      <c r="Q158" s="777"/>
      <c r="R158" s="777"/>
      <c r="S158" s="777"/>
      <c r="T158" s="777"/>
      <c r="U158" s="777"/>
      <c r="V158" s="255"/>
      <c r="W158" s="255"/>
      <c r="X158" s="255"/>
      <c r="Y158" s="255"/>
      <c r="Z158" s="255"/>
      <c r="AA158" s="255"/>
      <c r="AB158" s="255"/>
      <c r="AC158" s="255"/>
      <c r="AD158" s="255"/>
      <c r="AE158" s="255"/>
      <c r="AF158" s="255"/>
      <c r="AG158" s="255"/>
      <c r="AH158" s="255"/>
      <c r="AI158" s="255"/>
      <c r="AJ158" s="256"/>
    </row>
    <row r="159" spans="3:36">
      <c r="D159" s="12"/>
      <c r="E159" s="777"/>
      <c r="F159" s="777"/>
      <c r="G159" s="777"/>
      <c r="H159" s="777"/>
      <c r="I159" s="777"/>
      <c r="J159" s="777"/>
      <c r="K159" s="777"/>
      <c r="L159" s="777"/>
      <c r="M159" s="777"/>
      <c r="N159" s="777"/>
      <c r="O159" s="777"/>
      <c r="P159" s="777"/>
      <c r="Q159" s="777"/>
      <c r="R159" s="777"/>
      <c r="S159" s="777"/>
      <c r="T159" s="777"/>
      <c r="U159" s="777"/>
      <c r="V159" s="135"/>
      <c r="W159" s="135"/>
      <c r="X159" s="135"/>
      <c r="Y159" s="135"/>
      <c r="Z159" s="135"/>
      <c r="AA159" s="135"/>
      <c r="AB159" s="135"/>
      <c r="AC159" s="135"/>
      <c r="AD159" s="135"/>
      <c r="AE159" s="135"/>
      <c r="AF159" s="135"/>
      <c r="AG159" s="135"/>
      <c r="AH159" s="135"/>
      <c r="AI159" s="135"/>
      <c r="AJ159" s="136"/>
    </row>
    <row r="160" spans="3:36">
      <c r="D160" s="12"/>
      <c r="E160" s="13"/>
      <c r="F160" s="13"/>
      <c r="G160" s="13"/>
      <c r="H160"/>
      <c r="I160" s="410" t="s">
        <v>23</v>
      </c>
      <c r="J160" s="411"/>
      <c r="K160" s="410" t="s">
        <v>242</v>
      </c>
      <c r="L160" s="412"/>
      <c r="M160" s="412"/>
      <c r="N160" s="412"/>
      <c r="O160" s="412"/>
      <c r="P160" s="412"/>
      <c r="Q160" s="412"/>
      <c r="R160" s="412"/>
      <c r="S160" s="412"/>
      <c r="T160" s="411"/>
      <c r="U160" s="135"/>
      <c r="V160" s="135"/>
      <c r="W160" s="135"/>
      <c r="X160" s="135"/>
      <c r="Y160" s="135"/>
      <c r="Z160" s="135"/>
      <c r="AA160" s="135"/>
      <c r="AB160" s="135"/>
      <c r="AC160" s="135"/>
      <c r="AD160" s="135"/>
      <c r="AE160" s="135"/>
      <c r="AF160" s="135"/>
      <c r="AG160" s="135"/>
      <c r="AH160" s="135"/>
      <c r="AI160" s="135"/>
      <c r="AJ160" s="136"/>
    </row>
    <row r="161" spans="4:37">
      <c r="D161" s="12"/>
      <c r="E161" s="13"/>
      <c r="F161" s="13"/>
      <c r="G161" s="13"/>
      <c r="H161"/>
      <c r="I161" s="421" t="s">
        <v>15</v>
      </c>
      <c r="J161" s="422"/>
      <c r="K161" s="421" t="s">
        <v>249</v>
      </c>
      <c r="L161" s="360"/>
      <c r="M161" s="360"/>
      <c r="N161" s="360"/>
      <c r="O161" s="360"/>
      <c r="P161" s="360"/>
      <c r="Q161" s="360"/>
      <c r="R161" s="360"/>
      <c r="S161" s="360"/>
      <c r="T161" s="422"/>
      <c r="U161" s="135"/>
      <c r="V161" s="135"/>
      <c r="W161" s="135"/>
      <c r="X161" s="135"/>
      <c r="Y161" s="135"/>
      <c r="Z161" s="135"/>
      <c r="AA161" s="135"/>
      <c r="AB161" s="135"/>
      <c r="AC161" s="135"/>
      <c r="AD161" s="135"/>
      <c r="AE161" s="135"/>
      <c r="AF161" s="135"/>
      <c r="AG161" s="135"/>
      <c r="AH161" s="135"/>
      <c r="AI161" s="135"/>
      <c r="AJ161" s="136"/>
    </row>
    <row r="162" spans="4:37" ht="20.25">
      <c r="D162" s="12"/>
      <c r="E162" s="32"/>
      <c r="F162" s="32"/>
      <c r="G162" s="32"/>
      <c r="H162" s="32"/>
      <c r="I162" s="498" t="s">
        <v>20</v>
      </c>
      <c r="J162" s="499"/>
      <c r="K162" s="498" t="s">
        <v>36</v>
      </c>
      <c r="L162" s="500"/>
      <c r="M162" s="500"/>
      <c r="N162" s="500"/>
      <c r="O162" s="500"/>
      <c r="P162" s="500"/>
      <c r="Q162" s="500"/>
      <c r="R162" s="500"/>
      <c r="S162" s="500"/>
      <c r="T162" s="499"/>
      <c r="U162" s="135"/>
      <c r="V162" s="135"/>
      <c r="W162" s="135"/>
      <c r="X162" s="135"/>
      <c r="Y162" s="135"/>
      <c r="Z162" s="135"/>
      <c r="AA162" s="135"/>
      <c r="AB162" s="135"/>
      <c r="AC162" s="135"/>
      <c r="AD162" s="135"/>
      <c r="AE162" s="135"/>
      <c r="AF162" s="135"/>
      <c r="AG162" s="135"/>
      <c r="AH162" s="135"/>
      <c r="AI162" s="135"/>
      <c r="AJ162" s="136"/>
    </row>
    <row r="163" spans="4:37">
      <c r="D163" s="12"/>
      <c r="E163" s="554" t="s">
        <v>94</v>
      </c>
      <c r="F163" s="555"/>
      <c r="G163" s="413" t="s">
        <v>240</v>
      </c>
      <c r="H163" s="415"/>
      <c r="I163" s="479">
        <f>I121</f>
        <v>3</v>
      </c>
      <c r="J163" s="480"/>
      <c r="K163" s="502" t="s">
        <v>576</v>
      </c>
      <c r="L163" s="503"/>
      <c r="M163" s="503"/>
      <c r="N163" s="504">
        <f>N121</f>
        <v>37.598917665331669</v>
      </c>
      <c r="O163" s="504"/>
      <c r="P163" s="504"/>
      <c r="Q163" s="260"/>
      <c r="R163" s="260"/>
      <c r="S163" s="260"/>
      <c r="T163" s="261"/>
      <c r="U163" s="135"/>
      <c r="V163" s="135"/>
      <c r="W163" s="135"/>
      <c r="X163" s="135"/>
      <c r="Y163" s="135"/>
      <c r="Z163" s="135"/>
      <c r="AA163" s="135"/>
      <c r="AB163" s="135"/>
      <c r="AC163" s="135"/>
      <c r="AD163" s="135"/>
      <c r="AE163" s="135"/>
      <c r="AF163" s="135"/>
      <c r="AG163" s="135"/>
      <c r="AH163" s="135"/>
      <c r="AI163" s="135"/>
      <c r="AJ163" s="136"/>
    </row>
    <row r="164" spans="4:37">
      <c r="D164" s="12"/>
      <c r="E164" s="651"/>
      <c r="F164" s="652"/>
      <c r="G164" s="704" t="s">
        <v>259</v>
      </c>
      <c r="H164" s="705"/>
      <c r="I164" s="795"/>
      <c r="J164" s="796"/>
      <c r="K164" s="513" t="s">
        <v>630</v>
      </c>
      <c r="L164" s="514"/>
      <c r="M164" s="514"/>
      <c r="N164" s="706">
        <f>H172</f>
        <v>10</v>
      </c>
      <c r="O164" s="706"/>
      <c r="P164" s="258" t="s">
        <v>259</v>
      </c>
      <c r="Q164" s="262" t="s">
        <v>68</v>
      </c>
      <c r="R164" s="707">
        <f>N172</f>
        <v>37.598917665331669</v>
      </c>
      <c r="S164" s="707"/>
      <c r="T164" s="708"/>
      <c r="U164" s="135"/>
      <c r="V164" s="135"/>
      <c r="W164" s="135"/>
      <c r="X164" s="135"/>
      <c r="Y164" s="135"/>
      <c r="Z164" s="135"/>
      <c r="AA164" s="135"/>
      <c r="AB164" s="135"/>
      <c r="AC164" s="135"/>
      <c r="AD164" s="135"/>
      <c r="AE164" s="135"/>
      <c r="AF164" s="135"/>
      <c r="AG164" s="135"/>
      <c r="AH164" s="135"/>
      <c r="AI164" s="135"/>
      <c r="AJ164" s="136"/>
    </row>
    <row r="165" spans="4:37">
      <c r="D165" s="12"/>
      <c r="E165" s="651"/>
      <c r="F165" s="652"/>
      <c r="G165" s="709" t="s">
        <v>259</v>
      </c>
      <c r="H165" s="710"/>
      <c r="I165" s="795"/>
      <c r="J165" s="796"/>
      <c r="K165" s="502" t="s">
        <v>630</v>
      </c>
      <c r="L165" s="503"/>
      <c r="M165" s="503"/>
      <c r="N165" s="711">
        <f>N164</f>
        <v>10</v>
      </c>
      <c r="O165" s="711"/>
      <c r="P165" s="259" t="s">
        <v>259</v>
      </c>
      <c r="Q165" s="260" t="s">
        <v>68</v>
      </c>
      <c r="R165" s="712">
        <f>R164</f>
        <v>37.598917665331669</v>
      </c>
      <c r="S165" s="712"/>
      <c r="T165" s="713"/>
      <c r="U165" s="135"/>
      <c r="V165" s="135"/>
      <c r="W165" s="135"/>
      <c r="X165" s="135"/>
      <c r="Y165" s="135"/>
      <c r="Z165" s="135"/>
      <c r="AA165" s="135"/>
      <c r="AB165" s="135"/>
      <c r="AC165" s="135"/>
      <c r="AD165" s="135"/>
      <c r="AE165" s="135"/>
      <c r="AF165" s="135"/>
      <c r="AG165" s="135"/>
      <c r="AH165" s="135"/>
      <c r="AI165" s="135"/>
      <c r="AJ165" s="136"/>
    </row>
    <row r="166" spans="4:37">
      <c r="D166" s="12"/>
      <c r="E166" s="556"/>
      <c r="F166" s="557"/>
      <c r="G166" s="418" t="s">
        <v>131</v>
      </c>
      <c r="H166" s="420"/>
      <c r="I166" s="481"/>
      <c r="J166" s="482"/>
      <c r="K166" s="513" t="s">
        <v>247</v>
      </c>
      <c r="L166" s="514"/>
      <c r="M166" s="514"/>
      <c r="N166" s="515">
        <f>N122</f>
        <v>67.598917665331669</v>
      </c>
      <c r="O166" s="515"/>
      <c r="P166" s="515"/>
      <c r="Q166" s="262"/>
      <c r="R166" s="262"/>
      <c r="S166" s="262"/>
      <c r="T166" s="263"/>
      <c r="U166" s="135"/>
      <c r="V166" s="135"/>
      <c r="W166" s="135"/>
      <c r="X166" s="135"/>
      <c r="Y166" s="135"/>
      <c r="Z166" s="135"/>
      <c r="AA166" s="135"/>
      <c r="AB166" s="135"/>
      <c r="AC166" s="135"/>
      <c r="AD166" s="135"/>
      <c r="AE166" s="135"/>
      <c r="AF166" s="135"/>
      <c r="AG166" s="135"/>
      <c r="AH166" s="135"/>
      <c r="AI166" s="135"/>
      <c r="AJ166" s="136"/>
    </row>
    <row r="167" spans="4:37">
      <c r="D167" s="12"/>
      <c r="Q167" s="135"/>
      <c r="R167" s="135"/>
      <c r="S167" s="135"/>
      <c r="T167" s="135"/>
      <c r="U167" s="135"/>
      <c r="V167" s="135"/>
      <c r="W167" s="135"/>
      <c r="X167" s="135"/>
      <c r="Y167" s="135"/>
      <c r="Z167" s="135"/>
      <c r="AA167" s="135"/>
      <c r="AB167" s="135"/>
      <c r="AC167" s="135"/>
      <c r="AD167" s="135"/>
      <c r="AE167" s="135"/>
      <c r="AF167" s="135"/>
      <c r="AG167" s="135"/>
      <c r="AH167" s="135"/>
      <c r="AI167" s="135"/>
      <c r="AJ167" s="136"/>
    </row>
    <row r="168" spans="4:37">
      <c r="D168" s="12"/>
      <c r="E168" s="13" t="s">
        <v>260</v>
      </c>
      <c r="Q168" s="135"/>
      <c r="R168" s="135"/>
      <c r="S168" s="135"/>
      <c r="T168" s="135"/>
      <c r="U168" s="135"/>
      <c r="V168" s="135"/>
      <c r="W168" s="135"/>
      <c r="X168" s="135"/>
      <c r="Y168" s="135"/>
      <c r="Z168" s="135"/>
      <c r="AA168" s="135"/>
      <c r="AB168" s="135"/>
      <c r="AC168" s="135"/>
      <c r="AD168" s="135"/>
      <c r="AE168" s="135"/>
      <c r="AF168" s="135"/>
      <c r="AG168" s="135"/>
      <c r="AH168" s="135"/>
      <c r="AI168" s="135"/>
      <c r="AJ168" s="136"/>
    </row>
    <row r="169" spans="4:37">
      <c r="D169" s="12"/>
      <c r="E169" s="694" t="s">
        <v>830</v>
      </c>
      <c r="F169" s="694"/>
      <c r="G169" s="695" t="s">
        <v>2</v>
      </c>
      <c r="H169" s="17" t="s">
        <v>69</v>
      </c>
      <c r="I169" s="696">
        <f>N166</f>
        <v>67.598917665331669</v>
      </c>
      <c r="J169" s="696"/>
      <c r="K169" s="17" t="s">
        <v>236</v>
      </c>
      <c r="L169" s="696">
        <f>N163</f>
        <v>37.598917665331669</v>
      </c>
      <c r="M169" s="697"/>
      <c r="N169" s="17" t="s">
        <v>83</v>
      </c>
      <c r="O169" s="694" t="s">
        <v>259</v>
      </c>
      <c r="P169" s="449" t="s">
        <v>68</v>
      </c>
      <c r="Q169" s="778">
        <f>N163</f>
        <v>37.598917665331669</v>
      </c>
      <c r="R169" s="778"/>
      <c r="S169" s="257"/>
      <c r="T169" s="135"/>
      <c r="U169" s="135"/>
      <c r="V169" s="135"/>
      <c r="W169" s="135"/>
      <c r="X169" s="135"/>
      <c r="Y169" s="135"/>
      <c r="Z169" s="135"/>
      <c r="AA169" s="135"/>
      <c r="AB169" s="135"/>
      <c r="AC169" s="135"/>
      <c r="AD169" s="135"/>
      <c r="AE169" s="135"/>
      <c r="AF169" s="135"/>
      <c r="AG169" s="135"/>
      <c r="AH169" s="135"/>
      <c r="AI169" s="135"/>
      <c r="AJ169" s="136"/>
    </row>
    <row r="170" spans="4:37">
      <c r="D170" s="12"/>
      <c r="E170" s="694"/>
      <c r="F170" s="694"/>
      <c r="G170" s="695"/>
      <c r="J170" s="661">
        <f>I163</f>
        <v>3</v>
      </c>
      <c r="K170" s="567"/>
      <c r="L170" s="567"/>
      <c r="O170" s="694"/>
      <c r="P170" s="449"/>
      <c r="Q170" s="778"/>
      <c r="R170" s="778"/>
      <c r="S170" s="257"/>
      <c r="T170" s="135"/>
      <c r="U170" s="135"/>
      <c r="V170" s="135"/>
      <c r="W170" s="135"/>
      <c r="X170" s="135"/>
      <c r="Y170" s="135"/>
      <c r="Z170" s="135"/>
      <c r="AA170" s="135"/>
      <c r="AB170" s="135"/>
      <c r="AC170" s="135"/>
      <c r="AD170" s="135"/>
      <c r="AE170" s="135"/>
      <c r="AF170" s="135"/>
      <c r="AG170" s="135"/>
      <c r="AH170" s="135"/>
      <c r="AI170" s="135"/>
      <c r="AJ170" s="136"/>
    </row>
    <row r="171" spans="4:37">
      <c r="D171" s="12"/>
      <c r="H171" s="242"/>
      <c r="I171" s="242"/>
      <c r="M171" s="241"/>
      <c r="N171" s="243"/>
      <c r="O171" s="135"/>
      <c r="P171" s="28"/>
      <c r="S171" s="243"/>
      <c r="T171" s="135"/>
      <c r="U171" s="135"/>
      <c r="V171" s="135"/>
      <c r="W171" s="135"/>
      <c r="X171" s="135"/>
      <c r="Y171" s="135"/>
      <c r="Z171" s="135"/>
      <c r="AA171" s="135"/>
      <c r="AB171" s="135"/>
      <c r="AC171" s="135"/>
      <c r="AD171" s="135"/>
      <c r="AE171" s="135"/>
      <c r="AF171" s="135"/>
      <c r="AG171" s="135"/>
      <c r="AH171" s="135"/>
      <c r="AI171" s="135"/>
      <c r="AJ171" s="136"/>
    </row>
    <row r="172" spans="4:37">
      <c r="D172" s="12"/>
      <c r="G172" s="1" t="s">
        <v>2</v>
      </c>
      <c r="H172" s="779">
        <f>(I169-L169)/J170</f>
        <v>10</v>
      </c>
      <c r="I172" s="779"/>
      <c r="J172" s="779"/>
      <c r="K172" s="730" t="s">
        <v>259</v>
      </c>
      <c r="L172" s="730"/>
      <c r="M172" s="241" t="s">
        <v>68</v>
      </c>
      <c r="N172" s="780">
        <f>Q169</f>
        <v>37.598917665331669</v>
      </c>
      <c r="O172" s="779"/>
      <c r="P172" s="779"/>
      <c r="S172" s="243"/>
      <c r="T172" s="135"/>
      <c r="U172" s="135"/>
      <c r="V172" s="135"/>
      <c r="W172" s="135"/>
      <c r="X172" s="135"/>
      <c r="Y172" s="135"/>
      <c r="Z172" s="135"/>
      <c r="AA172" s="135"/>
      <c r="AB172" s="135"/>
      <c r="AC172" s="135"/>
      <c r="AD172" s="135"/>
      <c r="AE172" s="135"/>
      <c r="AF172" s="135"/>
      <c r="AG172" s="135"/>
      <c r="AH172" s="135"/>
      <c r="AI172" s="135"/>
      <c r="AJ172" s="136"/>
    </row>
    <row r="173" spans="4:37">
      <c r="D173" s="12"/>
      <c r="E173" s="135"/>
      <c r="H173" s="242"/>
      <c r="I173" s="242"/>
      <c r="J173" s="242"/>
      <c r="K173" s="240"/>
      <c r="L173" s="241"/>
      <c r="M173" s="241"/>
      <c r="N173" s="243"/>
      <c r="O173" s="135"/>
      <c r="P173" s="28"/>
      <c r="Q173" s="244"/>
      <c r="R173" s="244"/>
      <c r="S173" s="243"/>
      <c r="T173" s="135"/>
      <c r="U173" s="135"/>
      <c r="V173" s="135"/>
      <c r="W173" s="135"/>
      <c r="X173" s="135"/>
      <c r="Y173" s="135"/>
      <c r="Z173" s="135"/>
      <c r="AA173" s="135"/>
      <c r="AB173" s="135"/>
      <c r="AC173" s="135"/>
      <c r="AD173" s="135"/>
      <c r="AE173" s="135"/>
      <c r="AF173" s="135"/>
      <c r="AG173" s="135"/>
      <c r="AH173" s="135"/>
      <c r="AI173" s="135"/>
      <c r="AJ173" s="136"/>
    </row>
    <row r="174" spans="4:37">
      <c r="D174" s="12"/>
      <c r="R174" s="135"/>
      <c r="S174" s="135"/>
      <c r="T174" s="135"/>
      <c r="U174" s="135"/>
      <c r="V174" s="135"/>
      <c r="W174" s="135"/>
      <c r="X174" s="135"/>
      <c r="Y174" s="135"/>
      <c r="Z174" s="135"/>
      <c r="AA174" s="135"/>
      <c r="AB174" s="135"/>
      <c r="AC174" s="135"/>
      <c r="AD174" s="135"/>
      <c r="AE174" s="135"/>
      <c r="AF174" s="135"/>
      <c r="AG174" s="135"/>
      <c r="AH174" s="135"/>
      <c r="AI174" s="135"/>
      <c r="AJ174" s="136"/>
    </row>
    <row r="175" spans="4:37">
      <c r="D175" s="12"/>
      <c r="E175" s="97"/>
      <c r="F175" s="96"/>
      <c r="G175" s="96"/>
      <c r="H175" s="96"/>
      <c r="I175" s="410" t="s">
        <v>413</v>
      </c>
      <c r="J175" s="412"/>
      <c r="K175" s="412"/>
      <c r="L175" s="412"/>
      <c r="M175" s="412"/>
      <c r="N175" s="412"/>
      <c r="O175" s="412"/>
      <c r="P175" s="412"/>
      <c r="Q175" s="412"/>
      <c r="R175" s="412"/>
      <c r="S175" s="412"/>
      <c r="T175" s="412"/>
      <c r="U175" s="412"/>
      <c r="V175" s="412"/>
      <c r="W175" s="411"/>
      <c r="X175" s="410" t="s">
        <v>248</v>
      </c>
      <c r="Y175" s="412"/>
      <c r="Z175" s="412"/>
      <c r="AA175" s="412"/>
      <c r="AB175" s="412"/>
      <c r="AC175" s="412"/>
      <c r="AD175" s="412"/>
      <c r="AE175" s="412"/>
      <c r="AF175" s="412"/>
      <c r="AG175" s="412"/>
      <c r="AH175" s="412"/>
      <c r="AI175" s="411"/>
      <c r="AJ175" s="136"/>
      <c r="AK175" s="122"/>
    </row>
    <row r="176" spans="4:37">
      <c r="D176" s="12"/>
      <c r="E176" s="13"/>
      <c r="F176" s="96"/>
      <c r="G176" s="96"/>
      <c r="H176" s="96"/>
      <c r="I176" s="423" t="s">
        <v>404</v>
      </c>
      <c r="J176" s="425"/>
      <c r="K176" s="425"/>
      <c r="L176" s="425"/>
      <c r="M176" s="425"/>
      <c r="N176" s="425"/>
      <c r="O176" s="425"/>
      <c r="P176" s="425"/>
      <c r="Q176" s="425"/>
      <c r="R176" s="425"/>
      <c r="S176" s="425"/>
      <c r="T176" s="425"/>
      <c r="U176" s="425"/>
      <c r="V176" s="425"/>
      <c r="W176" s="424"/>
      <c r="X176" s="508" t="s">
        <v>33</v>
      </c>
      <c r="Y176" s="509"/>
      <c r="Z176" s="509"/>
      <c r="AA176" s="509"/>
      <c r="AB176" s="509"/>
      <c r="AC176" s="509"/>
      <c r="AD176" s="509"/>
      <c r="AE176" s="509"/>
      <c r="AF176" s="509"/>
      <c r="AG176" s="509"/>
      <c r="AH176" s="509"/>
      <c r="AI176" s="510"/>
      <c r="AJ176" s="121"/>
      <c r="AK176" s="96"/>
    </row>
    <row r="177" spans="4:45">
      <c r="D177" s="12"/>
      <c r="E177" s="97"/>
      <c r="F177" s="96"/>
      <c r="G177" s="96"/>
      <c r="H177" s="96"/>
      <c r="I177" s="498"/>
      <c r="J177" s="500"/>
      <c r="K177" s="500"/>
      <c r="L177" s="500"/>
      <c r="M177" s="500"/>
      <c r="N177" s="500"/>
      <c r="O177" s="500"/>
      <c r="P177" s="500"/>
      <c r="Q177" s="500"/>
      <c r="R177" s="500"/>
      <c r="S177" s="500"/>
      <c r="T177" s="500"/>
      <c r="U177" s="500"/>
      <c r="V177" s="500"/>
      <c r="W177" s="499"/>
      <c r="X177" s="498" t="s">
        <v>34</v>
      </c>
      <c r="Y177" s="500"/>
      <c r="Z177" s="500"/>
      <c r="AA177" s="500"/>
      <c r="AB177" s="500"/>
      <c r="AC177" s="500"/>
      <c r="AD177" s="500"/>
      <c r="AE177" s="500"/>
      <c r="AF177" s="500"/>
      <c r="AG177" s="500"/>
      <c r="AH177" s="500"/>
      <c r="AI177" s="499"/>
      <c r="AJ177" s="121"/>
      <c r="AK177" s="96"/>
    </row>
    <row r="178" spans="4:45">
      <c r="D178" s="12"/>
      <c r="E178" s="554" t="s">
        <v>94</v>
      </c>
      <c r="F178" s="555"/>
      <c r="G178" s="544" t="s">
        <v>151</v>
      </c>
      <c r="H178" s="689"/>
      <c r="I178" s="506">
        <f>N163</f>
        <v>37.598917665331669</v>
      </c>
      <c r="J178" s="507"/>
      <c r="K178" s="30" t="s">
        <v>27</v>
      </c>
      <c r="L178" s="124" t="s">
        <v>259</v>
      </c>
      <c r="M178" s="30" t="s">
        <v>70</v>
      </c>
      <c r="N178" s="64">
        <v>2</v>
      </c>
      <c r="O178" s="30"/>
      <c r="P178" s="30"/>
      <c r="Q178" s="30"/>
      <c r="R178" s="30"/>
      <c r="S178" s="30"/>
      <c r="T178" s="30"/>
      <c r="U178" s="30"/>
      <c r="V178" s="30"/>
      <c r="W178" s="80" t="s">
        <v>2</v>
      </c>
      <c r="Z178" s="10"/>
      <c r="AA178" s="10"/>
      <c r="AB178" s="475">
        <f>I178/N178</f>
        <v>18.799458832665835</v>
      </c>
      <c r="AC178" s="475"/>
      <c r="AD178" s="475"/>
      <c r="AE178" s="34" t="s">
        <v>259</v>
      </c>
      <c r="AF178" s="10"/>
      <c r="AG178" s="475"/>
      <c r="AH178" s="475"/>
      <c r="AI178" s="674"/>
      <c r="AJ178" s="121"/>
    </row>
    <row r="179" spans="4:45">
      <c r="D179" s="12"/>
      <c r="E179" s="556"/>
      <c r="F179" s="557"/>
      <c r="G179" s="561" t="s">
        <v>152</v>
      </c>
      <c r="H179" s="623"/>
      <c r="I179" s="139" t="s">
        <v>69</v>
      </c>
      <c r="J179" s="472">
        <f>N164</f>
        <v>10</v>
      </c>
      <c r="K179" s="472"/>
      <c r="L179" s="124" t="s">
        <v>259</v>
      </c>
      <c r="M179" s="230" t="s">
        <v>68</v>
      </c>
      <c r="N179" s="438">
        <f>R164</f>
        <v>37.598917665331669</v>
      </c>
      <c r="O179" s="438"/>
      <c r="P179" s="438"/>
      <c r="Q179" s="64" t="s">
        <v>83</v>
      </c>
      <c r="R179" s="30" t="s">
        <v>27</v>
      </c>
      <c r="S179" s="124" t="s">
        <v>259</v>
      </c>
      <c r="T179" s="30" t="s">
        <v>70</v>
      </c>
      <c r="U179" s="64">
        <v>2</v>
      </c>
      <c r="V179" s="30"/>
      <c r="W179" s="80" t="s">
        <v>2</v>
      </c>
      <c r="X179" s="437">
        <f>J179/U179</f>
        <v>5</v>
      </c>
      <c r="Y179" s="438"/>
      <c r="Z179" s="230" t="s">
        <v>582</v>
      </c>
      <c r="AA179" s="30" t="s">
        <v>68</v>
      </c>
      <c r="AB179" s="438">
        <f>N179/U179</f>
        <v>18.799458832665835</v>
      </c>
      <c r="AC179" s="438"/>
      <c r="AD179" s="438"/>
      <c r="AE179" s="230" t="s">
        <v>259</v>
      </c>
      <c r="AF179" s="30"/>
      <c r="AG179" s="30"/>
      <c r="AH179" s="30"/>
      <c r="AI179" s="80"/>
      <c r="AJ179" s="121"/>
    </row>
    <row r="180" spans="4:45">
      <c r="D180" s="12"/>
      <c r="E180" s="28"/>
      <c r="F180" s="28"/>
      <c r="G180" s="213"/>
      <c r="H180" s="213"/>
      <c r="I180" s="233"/>
      <c r="J180" s="233"/>
      <c r="K180" s="13"/>
      <c r="L180" s="192"/>
      <c r="M180" s="192"/>
      <c r="N180" s="34"/>
      <c r="O180" s="13"/>
      <c r="P180" s="13"/>
      <c r="Q180" s="104"/>
      <c r="R180" s="13"/>
      <c r="S180" s="24"/>
      <c r="T180" s="24"/>
      <c r="U180" s="24"/>
      <c r="V180" s="34"/>
      <c r="W180" s="24"/>
      <c r="X180" s="24"/>
      <c r="Y180" s="24"/>
      <c r="Z180" s="34"/>
      <c r="AA180" s="13"/>
      <c r="AB180" s="13"/>
      <c r="AC180" s="13"/>
      <c r="AD180" s="13"/>
      <c r="AE180" s="96"/>
      <c r="AF180" s="13"/>
      <c r="AG180" s="134"/>
      <c r="AH180" s="134"/>
      <c r="AI180" s="134"/>
      <c r="AJ180" s="121"/>
    </row>
    <row r="181" spans="4:45">
      <c r="D181" s="12"/>
      <c r="E181" s="13"/>
      <c r="F181" s="13"/>
      <c r="G181" s="13"/>
      <c r="H181" s="13"/>
      <c r="I181" s="13"/>
      <c r="J181" s="13"/>
      <c r="K181" s="13"/>
      <c r="L181" s="13"/>
      <c r="M181" s="13"/>
      <c r="N181" s="13"/>
      <c r="O181" s="13"/>
      <c r="P181" s="13"/>
      <c r="Q181" s="13"/>
      <c r="R181" s="13"/>
      <c r="U181" s="13"/>
      <c r="V181" s="13"/>
      <c r="W181" s="13"/>
      <c r="X181" s="13"/>
      <c r="Y181" s="13"/>
      <c r="Z181" s="13"/>
      <c r="AA181" s="13"/>
      <c r="AB181" s="13"/>
      <c r="AC181" s="13"/>
      <c r="AD181" s="13"/>
      <c r="AE181" s="13"/>
      <c r="AF181" s="13"/>
      <c r="AG181" s="13"/>
      <c r="AH181" s="13"/>
      <c r="AI181" s="13"/>
      <c r="AJ181" s="15"/>
    </row>
    <row r="182" spans="4:45">
      <c r="D182" s="12"/>
      <c r="E182" s="97"/>
      <c r="F182" s="96"/>
      <c r="G182" s="96"/>
      <c r="H182" s="96"/>
      <c r="I182" s="410" t="s">
        <v>413</v>
      </c>
      <c r="J182" s="412"/>
      <c r="K182" s="412"/>
      <c r="L182" s="412"/>
      <c r="M182" s="412"/>
      <c r="N182" s="412"/>
      <c r="O182" s="412"/>
      <c r="P182" s="412"/>
      <c r="Q182" s="412"/>
      <c r="R182" s="412"/>
      <c r="S182" s="410" t="s">
        <v>32</v>
      </c>
      <c r="T182" s="412"/>
      <c r="U182" s="412"/>
      <c r="V182" s="412"/>
      <c r="W182" s="412"/>
      <c r="X182" s="412"/>
      <c r="Y182" s="412"/>
      <c r="Z182" s="412"/>
      <c r="AA182" s="412"/>
      <c r="AB182" s="412"/>
      <c r="AC182" s="412"/>
      <c r="AD182" s="411"/>
      <c r="AE182" s="135"/>
      <c r="AF182" s="135"/>
      <c r="AG182" s="135"/>
      <c r="AH182" s="135"/>
      <c r="AI182" s="135"/>
      <c r="AJ182" s="136"/>
    </row>
    <row r="183" spans="4:45">
      <c r="D183" s="12"/>
      <c r="E183" s="13"/>
      <c r="F183" s="96"/>
      <c r="G183" s="96"/>
      <c r="H183" s="96"/>
      <c r="I183" s="423" t="s">
        <v>414</v>
      </c>
      <c r="J183" s="425"/>
      <c r="K183" s="425"/>
      <c r="L183" s="425"/>
      <c r="M183" s="425"/>
      <c r="N183" s="425"/>
      <c r="O183" s="425"/>
      <c r="P183" s="425"/>
      <c r="Q183" s="425"/>
      <c r="R183" s="425"/>
      <c r="S183" s="508" t="s">
        <v>150</v>
      </c>
      <c r="T183" s="509"/>
      <c r="U183" s="509"/>
      <c r="V183" s="509"/>
      <c r="W183" s="509"/>
      <c r="X183" s="509"/>
      <c r="Y183" s="509"/>
      <c r="Z183" s="509"/>
      <c r="AA183" s="509"/>
      <c r="AB183" s="509"/>
      <c r="AC183" s="509"/>
      <c r="AD183" s="510"/>
      <c r="AE183" s="96"/>
      <c r="AF183" s="13"/>
      <c r="AG183" s="134"/>
      <c r="AH183" s="134"/>
      <c r="AI183" s="134"/>
      <c r="AJ183" s="121"/>
    </row>
    <row r="184" spans="4:45">
      <c r="D184" s="12"/>
      <c r="E184" s="97"/>
      <c r="F184" s="96"/>
      <c r="G184" s="96"/>
      <c r="H184" s="96"/>
      <c r="I184" s="189"/>
      <c r="J184" s="25"/>
      <c r="K184" s="25"/>
      <c r="L184" s="25"/>
      <c r="M184" s="25"/>
      <c r="N184" s="25"/>
      <c r="O184" s="25"/>
      <c r="P184" s="25"/>
      <c r="Q184" s="25"/>
      <c r="R184" s="25"/>
      <c r="S184" s="498" t="s">
        <v>20</v>
      </c>
      <c r="T184" s="500"/>
      <c r="U184" s="500"/>
      <c r="V184" s="500"/>
      <c r="W184" s="500"/>
      <c r="X184" s="500"/>
      <c r="Y184" s="500"/>
      <c r="Z184" s="500"/>
      <c r="AA184" s="500"/>
      <c r="AB184" s="500"/>
      <c r="AC184" s="500"/>
      <c r="AD184" s="499"/>
      <c r="AE184" s="96"/>
      <c r="AF184" s="13"/>
      <c r="AG184" s="134"/>
      <c r="AH184" s="134"/>
      <c r="AI184" s="134"/>
      <c r="AJ184" s="121"/>
    </row>
    <row r="185" spans="4:45">
      <c r="D185" s="12"/>
      <c r="E185" s="554" t="s">
        <v>94</v>
      </c>
      <c r="F185" s="555"/>
      <c r="G185" s="544" t="s">
        <v>151</v>
      </c>
      <c r="H185" s="689"/>
      <c r="I185" s="687" t="s">
        <v>259</v>
      </c>
      <c r="J185" s="688"/>
      <c r="K185" s="30"/>
      <c r="L185" s="625"/>
      <c r="M185" s="625"/>
      <c r="N185" s="30" t="s">
        <v>70</v>
      </c>
      <c r="O185" s="64">
        <v>3</v>
      </c>
      <c r="P185" s="30" t="s">
        <v>27</v>
      </c>
      <c r="Q185" s="46">
        <v>2</v>
      </c>
      <c r="R185" s="80" t="s">
        <v>2</v>
      </c>
      <c r="U185" s="13"/>
      <c r="V185" s="13"/>
      <c r="W185" s="448">
        <f>Q185/O185</f>
        <v>0.66666666666666663</v>
      </c>
      <c r="X185" s="448"/>
      <c r="Y185" s="448"/>
      <c r="Z185" s="34" t="s">
        <v>259</v>
      </c>
      <c r="AA185" s="13"/>
      <c r="AB185" s="448"/>
      <c r="AC185" s="448"/>
      <c r="AD185" s="594"/>
      <c r="AE185" s="96"/>
      <c r="AF185" s="13"/>
      <c r="AG185" s="134"/>
      <c r="AH185" s="134"/>
      <c r="AI185" s="134"/>
      <c r="AJ185" s="121"/>
    </row>
    <row r="186" spans="4:45">
      <c r="D186" s="12"/>
      <c r="E186" s="556"/>
      <c r="F186" s="557"/>
      <c r="G186" s="561" t="s">
        <v>152</v>
      </c>
      <c r="H186" s="623"/>
      <c r="I186" s="687" t="s">
        <v>259</v>
      </c>
      <c r="J186" s="688"/>
      <c r="K186" s="30"/>
      <c r="L186" s="507"/>
      <c r="M186" s="507"/>
      <c r="N186" s="30" t="s">
        <v>70</v>
      </c>
      <c r="O186" s="64">
        <v>3</v>
      </c>
      <c r="P186" s="30" t="s">
        <v>27</v>
      </c>
      <c r="Q186" s="46">
        <v>1</v>
      </c>
      <c r="R186" s="80" t="s">
        <v>2</v>
      </c>
      <c r="S186" s="139"/>
      <c r="T186" s="30"/>
      <c r="U186" s="30"/>
      <c r="V186" s="30"/>
      <c r="W186" s="438">
        <f>Q186/O186</f>
        <v>0.33333333333333331</v>
      </c>
      <c r="X186" s="438"/>
      <c r="Y186" s="438"/>
      <c r="Z186" s="230" t="s">
        <v>259</v>
      </c>
      <c r="AA186" s="30"/>
      <c r="AB186" s="30"/>
      <c r="AC186" s="30"/>
      <c r="AD186" s="80"/>
      <c r="AE186" s="96"/>
      <c r="AF186" s="13"/>
      <c r="AG186" s="134"/>
      <c r="AH186" s="134"/>
      <c r="AI186" s="134"/>
      <c r="AJ186" s="121"/>
    </row>
    <row r="187" spans="4:45">
      <c r="D187" s="12"/>
      <c r="E187" s="28"/>
      <c r="F187" s="28"/>
      <c r="G187" s="213"/>
      <c r="H187" s="213"/>
      <c r="I187" s="233"/>
      <c r="J187" s="233"/>
      <c r="K187" s="13"/>
      <c r="L187" s="192"/>
      <c r="M187" s="192"/>
      <c r="N187" s="13"/>
      <c r="O187" s="104"/>
      <c r="P187" s="13"/>
      <c r="Q187" s="31"/>
      <c r="R187" s="13"/>
      <c r="S187" s="13"/>
      <c r="T187" s="13"/>
      <c r="U187" s="13"/>
      <c r="V187" s="13"/>
      <c r="W187" s="24"/>
      <c r="X187" s="24"/>
      <c r="Y187" s="24"/>
      <c r="Z187" s="34"/>
      <c r="AA187" s="13"/>
      <c r="AB187" s="13"/>
      <c r="AC187" s="13"/>
      <c r="AD187" s="13"/>
      <c r="AE187" s="96"/>
      <c r="AF187" s="13"/>
      <c r="AG187" s="134"/>
      <c r="AH187" s="134"/>
      <c r="AI187" s="134"/>
      <c r="AJ187" s="121"/>
    </row>
    <row r="188" spans="4:45">
      <c r="D188" s="12"/>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5"/>
    </row>
    <row r="189" spans="4:45">
      <c r="D189" s="12"/>
      <c r="E189" s="97"/>
      <c r="F189" s="96"/>
      <c r="G189" s="96"/>
      <c r="H189" s="96"/>
      <c r="I189" s="410" t="s">
        <v>251</v>
      </c>
      <c r="J189" s="412"/>
      <c r="K189" s="412"/>
      <c r="L189" s="412"/>
      <c r="M189" s="412"/>
      <c r="N189" s="412"/>
      <c r="O189" s="412"/>
      <c r="P189" s="412"/>
      <c r="Q189" s="412"/>
      <c r="R189" s="412"/>
      <c r="S189" s="412"/>
      <c r="T189" s="412"/>
      <c r="U189" s="412"/>
      <c r="V189" s="412"/>
      <c r="W189" s="412"/>
      <c r="X189" s="412"/>
      <c r="Y189" s="412"/>
      <c r="Z189" s="412"/>
      <c r="AA189" s="412"/>
      <c r="AB189" s="411"/>
      <c r="AC189" s="135"/>
      <c r="AD189" s="135"/>
      <c r="AE189" s="135"/>
      <c r="AF189" s="135"/>
      <c r="AG189" s="135"/>
      <c r="AH189" s="135"/>
      <c r="AI189" s="135"/>
      <c r="AJ189" s="136"/>
      <c r="AK189" s="122"/>
      <c r="AL189" s="122"/>
      <c r="AM189" s="122"/>
      <c r="AN189" s="122"/>
      <c r="AO189" s="122"/>
      <c r="AP189" s="122"/>
      <c r="AQ189" s="122"/>
      <c r="AR189" s="122"/>
      <c r="AS189" s="122"/>
    </row>
    <row r="190" spans="4:45">
      <c r="D190" s="12"/>
      <c r="E190" s="13"/>
      <c r="F190" s="96"/>
      <c r="G190" s="96"/>
      <c r="H190" s="96"/>
      <c r="I190" s="508" t="s">
        <v>261</v>
      </c>
      <c r="J190" s="509"/>
      <c r="K190" s="509"/>
      <c r="L190" s="509"/>
      <c r="M190" s="509"/>
      <c r="N190" s="509"/>
      <c r="O190" s="509"/>
      <c r="P190" s="509"/>
      <c r="Q190" s="509"/>
      <c r="R190" s="509"/>
      <c r="S190" s="509"/>
      <c r="T190" s="509"/>
      <c r="U190" s="509"/>
      <c r="V190" s="509"/>
      <c r="W190" s="509"/>
      <c r="X190" s="509"/>
      <c r="Y190" s="509"/>
      <c r="Z190" s="509"/>
      <c r="AA190" s="509"/>
      <c r="AB190" s="510"/>
      <c r="AC190" s="96"/>
      <c r="AD190" s="96"/>
      <c r="AE190" s="96"/>
      <c r="AF190" s="13"/>
      <c r="AG190" s="134"/>
      <c r="AH190" s="134"/>
      <c r="AI190" s="134"/>
      <c r="AJ190" s="121"/>
      <c r="AK190" s="96"/>
      <c r="AL190" s="96"/>
      <c r="AN190" s="13"/>
      <c r="AO190" s="13"/>
      <c r="AP190" s="13"/>
      <c r="AQ190" s="13"/>
      <c r="AR190" s="13"/>
      <c r="AS190" s="13"/>
    </row>
    <row r="191" spans="4:45">
      <c r="D191" s="12"/>
      <c r="E191" s="97"/>
      <c r="F191" s="96"/>
      <c r="G191" s="96"/>
      <c r="H191" s="96"/>
      <c r="I191" s="498" t="s">
        <v>35</v>
      </c>
      <c r="J191" s="500"/>
      <c r="K191" s="500"/>
      <c r="L191" s="500"/>
      <c r="M191" s="500"/>
      <c r="N191" s="500"/>
      <c r="O191" s="500"/>
      <c r="P191" s="500"/>
      <c r="Q191" s="500"/>
      <c r="R191" s="500"/>
      <c r="S191" s="500"/>
      <c r="T191" s="500"/>
      <c r="U191" s="500"/>
      <c r="V191" s="500"/>
      <c r="W191" s="500"/>
      <c r="X191" s="500"/>
      <c r="Y191" s="500"/>
      <c r="Z191" s="500"/>
      <c r="AA191" s="500"/>
      <c r="AB191" s="499"/>
      <c r="AC191" s="96"/>
      <c r="AD191" s="96"/>
      <c r="AE191" s="96"/>
      <c r="AF191" s="13"/>
      <c r="AG191" s="134"/>
      <c r="AH191" s="134"/>
      <c r="AI191" s="134"/>
      <c r="AJ191" s="121"/>
      <c r="AK191" s="96"/>
      <c r="AL191" s="96"/>
      <c r="AN191" s="13"/>
      <c r="AO191" s="13"/>
      <c r="AP191" s="13"/>
      <c r="AQ191" s="13"/>
      <c r="AR191" s="13"/>
      <c r="AS191" s="13"/>
    </row>
    <row r="192" spans="4:45" ht="20.25">
      <c r="D192" s="12"/>
      <c r="E192" s="554" t="s">
        <v>94</v>
      </c>
      <c r="F192" s="555"/>
      <c r="G192" s="544" t="s">
        <v>151</v>
      </c>
      <c r="H192" s="619"/>
      <c r="I192" s="682"/>
      <c r="J192" s="682"/>
      <c r="K192" s="682"/>
      <c r="L192" s="126"/>
      <c r="M192" s="124"/>
      <c r="N192" s="129"/>
      <c r="O192" s="682">
        <f>AB178*W185</f>
        <v>12.532972555110556</v>
      </c>
      <c r="P192" s="682"/>
      <c r="Q192" s="682"/>
      <c r="R192" s="126" t="s">
        <v>262</v>
      </c>
      <c r="S192" s="124"/>
      <c r="T192" s="129"/>
      <c r="U192" s="682"/>
      <c r="V192" s="682"/>
      <c r="W192" s="682"/>
      <c r="X192" s="124"/>
      <c r="Y192" s="124"/>
      <c r="Z192" s="124"/>
      <c r="AA192" s="124"/>
      <c r="AB192" s="128"/>
      <c r="AC192" s="96"/>
      <c r="AD192" s="96"/>
      <c r="AE192" s="96"/>
      <c r="AF192" s="13"/>
      <c r="AG192" s="134"/>
      <c r="AH192" s="134"/>
      <c r="AI192" s="134"/>
      <c r="AJ192" s="121"/>
      <c r="AK192" s="96"/>
      <c r="AL192" s="96"/>
      <c r="AN192" s="13"/>
      <c r="AO192" s="13"/>
      <c r="AP192" s="13"/>
      <c r="AQ192" s="13"/>
      <c r="AR192" s="13"/>
      <c r="AS192" s="13"/>
    </row>
    <row r="193" spans="4:45" ht="21" thickBot="1">
      <c r="D193" s="12"/>
      <c r="E193" s="629"/>
      <c r="F193" s="630"/>
      <c r="G193" s="653" t="s">
        <v>152</v>
      </c>
      <c r="H193" s="654"/>
      <c r="I193" s="686">
        <f>X179*W186</f>
        <v>1.6666666666666665</v>
      </c>
      <c r="J193" s="686"/>
      <c r="K193" s="686"/>
      <c r="L193" s="130" t="s">
        <v>583</v>
      </c>
      <c r="M193" s="130"/>
      <c r="N193" s="131" t="s">
        <v>68</v>
      </c>
      <c r="O193" s="686">
        <f>W186*AB179</f>
        <v>6.2664862775552779</v>
      </c>
      <c r="P193" s="686"/>
      <c r="Q193" s="686"/>
      <c r="R193" s="130" t="s">
        <v>262</v>
      </c>
      <c r="S193" s="130"/>
      <c r="T193" s="131"/>
      <c r="U193" s="686"/>
      <c r="V193" s="686"/>
      <c r="W193" s="686"/>
      <c r="X193" s="130"/>
      <c r="Y193" s="130"/>
      <c r="Z193" s="130"/>
      <c r="AA193" s="130"/>
      <c r="AB193" s="132"/>
      <c r="AC193" s="96"/>
      <c r="AD193" s="96"/>
      <c r="AE193" s="96"/>
      <c r="AF193" s="13"/>
      <c r="AG193" s="134"/>
      <c r="AH193" s="134"/>
      <c r="AI193" s="134"/>
      <c r="AJ193" s="121"/>
      <c r="AK193" s="96"/>
      <c r="AL193" s="96"/>
      <c r="AN193" s="13"/>
      <c r="AO193" s="13"/>
      <c r="AP193" s="13"/>
      <c r="AQ193" s="13"/>
      <c r="AR193" s="13"/>
      <c r="AS193" s="13"/>
    </row>
    <row r="194" spans="4:45" ht="21" thickTop="1">
      <c r="D194" s="12"/>
      <c r="E194" s="418" t="s">
        <v>252</v>
      </c>
      <c r="F194" s="419"/>
      <c r="G194" s="419"/>
      <c r="H194" s="420"/>
      <c r="I194" s="681">
        <f>SUM(I192:K193)</f>
        <v>1.6666666666666665</v>
      </c>
      <c r="J194" s="681"/>
      <c r="K194" s="681"/>
      <c r="L194" s="126" t="s">
        <v>583</v>
      </c>
      <c r="M194" s="126"/>
      <c r="N194" s="231" t="s">
        <v>68</v>
      </c>
      <c r="O194" s="681">
        <f>SUM(O192:Q193)</f>
        <v>18.799458832665835</v>
      </c>
      <c r="P194" s="681"/>
      <c r="Q194" s="681"/>
      <c r="R194" s="126" t="s">
        <v>262</v>
      </c>
      <c r="S194" s="126"/>
      <c r="T194" s="231"/>
      <c r="U194" s="681"/>
      <c r="V194" s="681"/>
      <c r="W194" s="681"/>
      <c r="X194" s="126"/>
      <c r="Y194" s="126"/>
      <c r="Z194" s="126"/>
      <c r="AA194" s="126"/>
      <c r="AB194" s="127"/>
      <c r="AC194" s="135"/>
      <c r="AD194" s="135"/>
      <c r="AE194" s="135"/>
      <c r="AF194" s="135"/>
      <c r="AG194" s="135"/>
      <c r="AH194" s="135"/>
      <c r="AI194" s="135"/>
      <c r="AJ194" s="136"/>
    </row>
    <row r="195" spans="4:45">
      <c r="D195" s="12"/>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5"/>
    </row>
    <row r="196" spans="4:45">
      <c r="D196" s="12" t="s">
        <v>396</v>
      </c>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5"/>
    </row>
    <row r="197" spans="4:45">
      <c r="D197" s="12"/>
      <c r="E197" s="13" t="s">
        <v>397</v>
      </c>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5"/>
    </row>
    <row r="198" spans="4:45" ht="21">
      <c r="D198" s="12"/>
      <c r="E198" s="13"/>
      <c r="F198" s="34" t="s">
        <v>266</v>
      </c>
      <c r="G198" s="13"/>
      <c r="H198" s="13" t="s">
        <v>2</v>
      </c>
      <c r="I198" s="360" t="s">
        <v>256</v>
      </c>
      <c r="J198" s="360"/>
      <c r="K198" s="13" t="s">
        <v>66</v>
      </c>
      <c r="L198" s="34" t="s">
        <v>259</v>
      </c>
      <c r="M198" s="13"/>
      <c r="N198" s="13" t="s">
        <v>263</v>
      </c>
      <c r="O198" s="13" t="s">
        <v>264</v>
      </c>
      <c r="P198" s="675">
        <f>I194</f>
        <v>1.6666666666666665</v>
      </c>
      <c r="Q198" s="675"/>
      <c r="R198" s="675"/>
      <c r="S198" s="125" t="s">
        <v>583</v>
      </c>
      <c r="T198" s="125"/>
      <c r="U198" s="133" t="s">
        <v>68</v>
      </c>
      <c r="V198" s="675">
        <f>O194</f>
        <v>18.799458832665835</v>
      </c>
      <c r="W198" s="675"/>
      <c r="X198" s="675"/>
      <c r="Y198" s="125" t="s">
        <v>262</v>
      </c>
      <c r="Z198" s="125"/>
      <c r="AA198" s="13" t="s">
        <v>265</v>
      </c>
      <c r="AB198" s="13"/>
      <c r="AC198" s="13"/>
      <c r="AJ198" s="15"/>
    </row>
    <row r="199" spans="4:45" ht="20.25">
      <c r="D199" s="12"/>
      <c r="E199" s="13"/>
      <c r="F199" s="13"/>
      <c r="G199" s="13"/>
      <c r="H199" s="13" t="s">
        <v>2</v>
      </c>
      <c r="I199" s="380">
        <f>L154</f>
        <v>135.73349971347005</v>
      </c>
      <c r="J199" s="380"/>
      <c r="K199" s="13" t="s">
        <v>66</v>
      </c>
      <c r="L199" s="34" t="s">
        <v>259</v>
      </c>
      <c r="M199" s="13"/>
      <c r="N199" s="13" t="s">
        <v>263</v>
      </c>
      <c r="O199" s="13" t="s">
        <v>264</v>
      </c>
      <c r="P199" s="675">
        <f>I194</f>
        <v>1.6666666666666665</v>
      </c>
      <c r="Q199" s="675"/>
      <c r="R199" s="675"/>
      <c r="S199" s="125" t="s">
        <v>583</v>
      </c>
      <c r="T199" s="125"/>
      <c r="U199" s="133" t="s">
        <v>68</v>
      </c>
      <c r="V199" s="675">
        <f>O194</f>
        <v>18.799458832665835</v>
      </c>
      <c r="W199" s="675"/>
      <c r="X199" s="675"/>
      <c r="Y199" s="125" t="s">
        <v>262</v>
      </c>
      <c r="Z199" s="125"/>
      <c r="AA199" s="13" t="s">
        <v>265</v>
      </c>
      <c r="AB199" s="13"/>
      <c r="AC199" s="13"/>
      <c r="AJ199" s="15"/>
    </row>
    <row r="200" spans="4:45" ht="20.25">
      <c r="D200" s="12"/>
      <c r="E200" s="13"/>
      <c r="F200" s="13"/>
      <c r="G200" s="13"/>
      <c r="H200" s="13" t="s">
        <v>2</v>
      </c>
      <c r="I200" s="679">
        <f>-P199</f>
        <v>-1.6666666666666665</v>
      </c>
      <c r="J200" s="679"/>
      <c r="K200" s="679"/>
      <c r="L200" s="125" t="s">
        <v>583</v>
      </c>
      <c r="M200" s="125"/>
      <c r="N200" s="13" t="s">
        <v>68</v>
      </c>
      <c r="O200" s="679">
        <f>-V199</f>
        <v>-18.799458832665835</v>
      </c>
      <c r="P200" s="679"/>
      <c r="Q200" s="679"/>
      <c r="R200" s="125" t="s">
        <v>262</v>
      </c>
      <c r="S200" s="125"/>
      <c r="T200" s="133" t="s">
        <v>68</v>
      </c>
      <c r="U200" s="675">
        <f>I199</f>
        <v>135.73349971347005</v>
      </c>
      <c r="V200" s="675"/>
      <c r="W200" s="675"/>
      <c r="X200" s="34" t="s">
        <v>259</v>
      </c>
      <c r="Y200" s="13"/>
      <c r="Z200" s="13"/>
      <c r="AA200" s="13"/>
      <c r="AB200" s="13"/>
      <c r="AC200" s="13"/>
      <c r="AD200" s="13"/>
      <c r="AE200" s="13"/>
      <c r="AF200" s="13"/>
      <c r="AG200" s="13"/>
      <c r="AH200" s="13"/>
      <c r="AI200" s="13"/>
      <c r="AJ200" s="15"/>
    </row>
    <row r="201" spans="4:45">
      <c r="D201" s="12"/>
      <c r="E201" s="13" t="s">
        <v>268</v>
      </c>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5"/>
    </row>
    <row r="202" spans="4:45" ht="20.25">
      <c r="D202" s="12"/>
      <c r="E202" s="13"/>
      <c r="F202" s="34" t="s">
        <v>266</v>
      </c>
      <c r="G202" s="137" t="s">
        <v>267</v>
      </c>
      <c r="H202" s="13" t="s">
        <v>2</v>
      </c>
      <c r="I202" s="679">
        <f>I200*3</f>
        <v>-5</v>
      </c>
      <c r="J202" s="679"/>
      <c r="K202" s="679"/>
      <c r="L202" s="125" t="s">
        <v>262</v>
      </c>
      <c r="M202" s="125"/>
      <c r="N202" s="13" t="s">
        <v>68</v>
      </c>
      <c r="O202" s="679">
        <f>O200*2</f>
        <v>-37.598917665331669</v>
      </c>
      <c r="P202" s="679"/>
      <c r="Q202" s="679"/>
      <c r="R202" s="34" t="s">
        <v>259</v>
      </c>
      <c r="S202" s="13"/>
      <c r="T202" s="133" t="s">
        <v>68</v>
      </c>
      <c r="U202" s="675">
        <f>U200</f>
        <v>135.73349971347005</v>
      </c>
      <c r="V202" s="675"/>
      <c r="W202" s="675"/>
      <c r="X202" s="13"/>
      <c r="Y202" s="13"/>
      <c r="Z202" s="13"/>
      <c r="AA202" s="13"/>
      <c r="AB202" s="13"/>
      <c r="AC202" s="13"/>
      <c r="AD202" s="13"/>
      <c r="AE202" s="13"/>
      <c r="AF202" s="13"/>
      <c r="AG202" s="13"/>
      <c r="AH202" s="13"/>
      <c r="AI202" s="13"/>
      <c r="AJ202" s="15"/>
    </row>
    <row r="203" spans="4:45">
      <c r="D203" s="12"/>
      <c r="E203" s="13" t="s">
        <v>395</v>
      </c>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5"/>
    </row>
    <row r="204" spans="4:45">
      <c r="D204" s="12"/>
      <c r="E204" s="13"/>
      <c r="F204" s="465" t="s">
        <v>259</v>
      </c>
      <c r="G204" s="137"/>
      <c r="H204" s="449" t="s">
        <v>2</v>
      </c>
      <c r="I204" s="681">
        <f>-O202</f>
        <v>37.598917665331669</v>
      </c>
      <c r="J204" s="681"/>
      <c r="K204" s="681"/>
      <c r="L204" s="232" t="s">
        <v>122</v>
      </c>
      <c r="M204" s="232" t="s">
        <v>584</v>
      </c>
      <c r="N204" s="681">
        <f>-O202</f>
        <v>37.598917665331669</v>
      </c>
      <c r="O204" s="681"/>
      <c r="P204" s="681"/>
      <c r="Q204" s="17" t="s">
        <v>585</v>
      </c>
      <c r="R204" s="17" t="s">
        <v>263</v>
      </c>
      <c r="S204" s="29">
        <v>4</v>
      </c>
      <c r="T204" s="17" t="s">
        <v>27</v>
      </c>
      <c r="U204" s="781">
        <f>I202</f>
        <v>-5</v>
      </c>
      <c r="V204" s="781"/>
      <c r="W204" s="781"/>
      <c r="X204" s="17" t="s">
        <v>27</v>
      </c>
      <c r="Y204" s="451">
        <f>U202</f>
        <v>135.73349971347005</v>
      </c>
      <c r="Z204" s="451"/>
      <c r="AA204" s="451"/>
      <c r="AB204" s="17" t="s">
        <v>83</v>
      </c>
      <c r="AC204" s="13"/>
      <c r="AD204" s="449" t="s">
        <v>2</v>
      </c>
      <c r="AE204" s="690">
        <f>(I204-SQRT(N204^2-S204*U204*Y204))/(P205*R205)</f>
        <v>2.6653308785382008</v>
      </c>
      <c r="AF204" s="774"/>
      <c r="AG204" s="691"/>
      <c r="AH204" s="449" t="s">
        <v>3</v>
      </c>
      <c r="AI204" s="13"/>
      <c r="AJ204" s="15"/>
    </row>
    <row r="205" spans="4:45">
      <c r="D205" s="12"/>
      <c r="E205" s="13"/>
      <c r="F205" s="465"/>
      <c r="G205" s="13"/>
      <c r="H205" s="449"/>
      <c r="M205" s="13"/>
      <c r="N205" s="13"/>
      <c r="O205" s="13"/>
      <c r="P205" s="31">
        <v>2</v>
      </c>
      <c r="Q205" s="13" t="s">
        <v>27</v>
      </c>
      <c r="R205" s="679">
        <f>I202</f>
        <v>-5</v>
      </c>
      <c r="S205" s="679"/>
      <c r="T205" s="679"/>
      <c r="U205" s="13"/>
      <c r="V205" s="13"/>
      <c r="W205" s="13"/>
      <c r="X205" s="13"/>
      <c r="Y205" s="13"/>
      <c r="Z205" s="13"/>
      <c r="AA205" s="13"/>
      <c r="AB205" s="13"/>
      <c r="AC205" s="13"/>
      <c r="AD205" s="449"/>
      <c r="AE205" s="692"/>
      <c r="AF205" s="775"/>
      <c r="AG205" s="693"/>
      <c r="AH205" s="449"/>
      <c r="AI205" s="13"/>
      <c r="AJ205" s="15"/>
    </row>
    <row r="206" spans="4:45">
      <c r="D206" s="12"/>
      <c r="E206" s="13" t="s">
        <v>394</v>
      </c>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5"/>
    </row>
    <row r="207" spans="4:45" ht="20.25">
      <c r="D207" s="12"/>
      <c r="E207" s="13"/>
      <c r="F207" s="34" t="s">
        <v>269</v>
      </c>
      <c r="G207" s="13"/>
      <c r="H207" s="13" t="s">
        <v>2</v>
      </c>
      <c r="I207" s="679">
        <f>I200</f>
        <v>-1.6666666666666665</v>
      </c>
      <c r="J207" s="679"/>
      <c r="K207" s="679"/>
      <c r="L207" s="13" t="s">
        <v>27</v>
      </c>
      <c r="M207" s="680">
        <f>AE204</f>
        <v>2.6653308785382008</v>
      </c>
      <c r="N207" s="680"/>
      <c r="O207" s="138">
        <v>3</v>
      </c>
      <c r="P207" s="13"/>
      <c r="Q207" s="13" t="s">
        <v>68</v>
      </c>
      <c r="R207" s="679">
        <f>O200</f>
        <v>-18.799458832665835</v>
      </c>
      <c r="S207" s="679"/>
      <c r="T207" s="679"/>
      <c r="U207" s="13" t="s">
        <v>27</v>
      </c>
      <c r="V207" s="448">
        <f>AE204</f>
        <v>2.6653308785382008</v>
      </c>
      <c r="W207" s="448"/>
      <c r="X207" s="13" t="s">
        <v>585</v>
      </c>
      <c r="Y207" s="13" t="s">
        <v>68</v>
      </c>
      <c r="Z207" s="436">
        <f>U200</f>
        <v>135.73349971347005</v>
      </c>
      <c r="AA207" s="436"/>
      <c r="AB207" s="436"/>
      <c r="AC207" s="13" t="s">
        <v>27</v>
      </c>
      <c r="AD207" s="448">
        <f>AE204</f>
        <v>2.6653308785382008</v>
      </c>
      <c r="AE207" s="448"/>
      <c r="AF207" s="448"/>
      <c r="AG207" s="13"/>
      <c r="AH207" s="13"/>
      <c r="AI207" s="13"/>
      <c r="AJ207" s="15"/>
    </row>
    <row r="208" spans="4:45">
      <c r="D208" s="12"/>
      <c r="E208" s="13"/>
      <c r="F208" s="13"/>
      <c r="G208" s="13"/>
      <c r="H208" s="13" t="s">
        <v>2</v>
      </c>
      <c r="I208" s="367">
        <f>I207*M207^3+R207*V207^2+Z207*AD207</f>
        <v>196.66607770402692</v>
      </c>
      <c r="J208" s="368"/>
      <c r="K208" s="369"/>
      <c r="L208" s="13" t="s">
        <v>270</v>
      </c>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5"/>
    </row>
    <row r="209" spans="3:36">
      <c r="D209" s="16"/>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9"/>
    </row>
    <row r="211" spans="3:36">
      <c r="C211" s="1" t="s">
        <v>586</v>
      </c>
      <c r="X211" t="s">
        <v>56</v>
      </c>
    </row>
    <row r="212" spans="3:36">
      <c r="D212" s="9" t="s">
        <v>633</v>
      </c>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1"/>
    </row>
    <row r="213" spans="3:36">
      <c r="D213" s="12" t="s">
        <v>125</v>
      </c>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5"/>
    </row>
    <row r="214" spans="3:36">
      <c r="D214" s="676" t="s">
        <v>124</v>
      </c>
      <c r="E214" s="465"/>
      <c r="F214" s="449" t="s">
        <v>2</v>
      </c>
      <c r="G214" s="466" t="s">
        <v>123</v>
      </c>
      <c r="H214" s="466"/>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5"/>
    </row>
    <row r="215" spans="3:36">
      <c r="D215" s="676"/>
      <c r="E215" s="465"/>
      <c r="F215" s="449"/>
      <c r="G215" s="34" t="s">
        <v>80</v>
      </c>
      <c r="H215" s="34"/>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5"/>
    </row>
    <row r="216" spans="3:36">
      <c r="D216" s="12"/>
      <c r="E216" s="36"/>
      <c r="F216" s="33" t="s">
        <v>42</v>
      </c>
      <c r="G216" s="34"/>
      <c r="H216" s="34"/>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5"/>
    </row>
    <row r="217" spans="3:36" ht="20.25">
      <c r="D217" s="12"/>
      <c r="E217" s="36"/>
      <c r="F217" s="33"/>
      <c r="G217" s="34" t="s">
        <v>127</v>
      </c>
      <c r="H217" s="34"/>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5"/>
    </row>
    <row r="218" spans="3:36" ht="20.25">
      <c r="D218" s="12"/>
      <c r="E218" s="13"/>
      <c r="F218" s="36"/>
      <c r="G218" s="38" t="s">
        <v>126</v>
      </c>
      <c r="H218" s="13"/>
      <c r="I218" s="13"/>
      <c r="J218" s="13"/>
      <c r="K218" s="13"/>
      <c r="L218" s="13"/>
      <c r="M218" s="13"/>
      <c r="N218" s="13"/>
      <c r="O218" s="13"/>
      <c r="P218" s="13"/>
      <c r="Q218" s="13"/>
      <c r="R218" s="13"/>
      <c r="S218" s="13"/>
      <c r="T218" s="36" t="s">
        <v>59</v>
      </c>
      <c r="U218" s="34" t="s">
        <v>2</v>
      </c>
      <c r="V218" s="380">
        <f>'1.設計条件'!T39</f>
        <v>1340</v>
      </c>
      <c r="W218" s="380"/>
      <c r="X218" s="380"/>
      <c r="Y218" s="13" t="s">
        <v>52</v>
      </c>
      <c r="Z218" s="13"/>
      <c r="AA218" s="13"/>
      <c r="AB218" s="34" t="s">
        <v>2</v>
      </c>
      <c r="AC218" s="782">
        <f>V218/1000000</f>
        <v>1.34E-3</v>
      </c>
      <c r="AD218" s="783"/>
      <c r="AE218" s="783"/>
      <c r="AF218" s="783"/>
      <c r="AG218" s="784"/>
      <c r="AH218" s="13" t="s">
        <v>81</v>
      </c>
      <c r="AI218" s="13"/>
      <c r="AJ218" s="15"/>
    </row>
    <row r="219" spans="3:36">
      <c r="D219" s="12"/>
      <c r="E219" s="13"/>
      <c r="F219" s="36"/>
      <c r="G219" s="38" t="s">
        <v>91</v>
      </c>
      <c r="H219" s="13"/>
      <c r="I219" s="13"/>
      <c r="J219" s="13"/>
      <c r="K219" s="13"/>
      <c r="L219" s="13"/>
      <c r="M219" s="13"/>
      <c r="N219" s="13"/>
      <c r="O219" s="13"/>
      <c r="P219" s="13"/>
      <c r="Q219" s="13"/>
      <c r="R219" s="13"/>
      <c r="S219" s="13"/>
      <c r="T219" s="36" t="s">
        <v>82</v>
      </c>
      <c r="U219" s="13" t="s">
        <v>2</v>
      </c>
      <c r="V219" s="785">
        <f>'1.設計条件'!T44</f>
        <v>0.6</v>
      </c>
      <c r="W219" s="786"/>
      <c r="X219" s="787"/>
      <c r="Y219" s="13"/>
      <c r="Z219" s="13"/>
      <c r="AA219" s="13"/>
      <c r="AB219" s="13"/>
      <c r="AC219" s="13"/>
      <c r="AD219" s="13"/>
      <c r="AE219" s="13"/>
      <c r="AF219" s="13"/>
      <c r="AG219" s="13"/>
      <c r="AH219" s="13"/>
      <c r="AI219" s="13"/>
      <c r="AJ219" s="15"/>
    </row>
    <row r="220" spans="3:36">
      <c r="D220" s="12"/>
      <c r="E220" s="36"/>
      <c r="F220" s="13"/>
      <c r="G220" s="13"/>
      <c r="H220" s="13"/>
      <c r="I220" s="13"/>
      <c r="J220" s="13"/>
      <c r="K220" s="13"/>
      <c r="L220" s="13"/>
      <c r="M220" s="13"/>
      <c r="N220" s="13"/>
      <c r="O220" s="13"/>
      <c r="P220" s="13"/>
      <c r="Q220" s="13"/>
      <c r="R220" s="13"/>
      <c r="S220" s="13"/>
      <c r="T220" s="13"/>
      <c r="U220" s="14"/>
      <c r="V220" s="14"/>
      <c r="W220" s="14"/>
      <c r="X220" s="13"/>
      <c r="Y220" s="13"/>
      <c r="Z220" s="13"/>
      <c r="AA220" s="13"/>
      <c r="AB220" s="13"/>
      <c r="AC220" s="13"/>
      <c r="AD220" s="13"/>
      <c r="AE220" s="13"/>
      <c r="AF220" s="13"/>
      <c r="AG220" s="13"/>
      <c r="AH220" s="13"/>
      <c r="AI220" s="13"/>
      <c r="AJ220" s="15"/>
    </row>
    <row r="221" spans="3:36">
      <c r="D221" s="12"/>
      <c r="E221" s="13" t="s">
        <v>67</v>
      </c>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5"/>
    </row>
    <row r="222" spans="3:36">
      <c r="D222" s="676" t="s">
        <v>124</v>
      </c>
      <c r="E222" s="465"/>
      <c r="F222" s="449" t="s">
        <v>2</v>
      </c>
      <c r="G222" s="677">
        <f>I208</f>
        <v>196.66607770402692</v>
      </c>
      <c r="H222" s="677"/>
      <c r="I222" s="677"/>
      <c r="J222" s="677"/>
      <c r="K222" s="677"/>
      <c r="L222" s="677"/>
      <c r="M222" s="677"/>
      <c r="N222" s="17"/>
      <c r="O222" s="17"/>
      <c r="P222" s="13"/>
      <c r="Q222" s="13"/>
      <c r="R222" s="13"/>
      <c r="S222" s="13"/>
      <c r="T222" s="13"/>
      <c r="U222" s="13"/>
      <c r="V222" s="13"/>
      <c r="W222" s="13"/>
      <c r="X222" s="13"/>
      <c r="Y222" s="13"/>
      <c r="Z222" s="13"/>
      <c r="AA222" s="13"/>
      <c r="AB222" s="13"/>
      <c r="AC222" s="13"/>
      <c r="AD222" s="13"/>
      <c r="AE222" s="13"/>
      <c r="AF222" s="13"/>
      <c r="AG222" s="13"/>
      <c r="AH222" s="13"/>
      <c r="AI222" s="13"/>
      <c r="AJ222" s="15"/>
    </row>
    <row r="223" spans="3:36">
      <c r="D223" s="676"/>
      <c r="E223" s="465"/>
      <c r="F223" s="449"/>
      <c r="G223" s="678">
        <f>AC218</f>
        <v>1.34E-3</v>
      </c>
      <c r="H223" s="678"/>
      <c r="I223" s="678"/>
      <c r="J223" s="678"/>
      <c r="K223" s="678"/>
      <c r="L223" s="39" t="s">
        <v>66</v>
      </c>
      <c r="M223" s="13"/>
      <c r="N223" s="436">
        <f>V219</f>
        <v>0.6</v>
      </c>
      <c r="O223" s="436"/>
      <c r="P223" s="13"/>
      <c r="Q223" s="13"/>
      <c r="V223" s="13"/>
      <c r="W223" s="13"/>
      <c r="X223" s="13"/>
      <c r="Y223" s="13"/>
      <c r="Z223" s="13"/>
      <c r="AA223" s="13"/>
      <c r="AB223" s="13"/>
      <c r="AC223" s="13"/>
      <c r="AD223" s="13"/>
      <c r="AE223" s="13"/>
      <c r="AF223" s="13"/>
      <c r="AG223" s="13"/>
      <c r="AH223" s="13"/>
      <c r="AI223" s="13"/>
      <c r="AJ223" s="15"/>
    </row>
    <row r="224" spans="3:36">
      <c r="D224" s="12"/>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5"/>
    </row>
    <row r="225" spans="4:36" ht="20.25">
      <c r="D225" s="12"/>
      <c r="E225" s="13"/>
      <c r="F225" s="14" t="s">
        <v>2</v>
      </c>
      <c r="G225" s="458">
        <f>G222/G223/N223</f>
        <v>244609.54938311805</v>
      </c>
      <c r="H225" s="458"/>
      <c r="I225" s="458"/>
      <c r="J225" s="13" t="s">
        <v>41</v>
      </c>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5"/>
    </row>
    <row r="226" spans="4:36">
      <c r="D226" s="12"/>
      <c r="E226" s="13"/>
      <c r="F226" s="14"/>
      <c r="G226" s="14"/>
      <c r="H226" s="14"/>
      <c r="I226" s="14"/>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5"/>
    </row>
    <row r="227" spans="4:36" ht="21">
      <c r="D227" s="12"/>
      <c r="E227" s="13"/>
      <c r="F227" s="14" t="s">
        <v>2</v>
      </c>
      <c r="G227" s="462">
        <f>G225/1000</f>
        <v>244.60954938311804</v>
      </c>
      <c r="H227" s="463"/>
      <c r="I227" s="464"/>
      <c r="J227" s="13" t="s">
        <v>48</v>
      </c>
      <c r="K227" s="13"/>
      <c r="L227" s="13"/>
      <c r="M227" s="13"/>
      <c r="N227" s="13" t="str">
        <f>IF(G227&lt;=R227, "≦","&gt;")</f>
        <v>≦</v>
      </c>
      <c r="O227" s="360" t="s">
        <v>84</v>
      </c>
      <c r="P227" s="360"/>
      <c r="Q227" s="13" t="s">
        <v>2</v>
      </c>
      <c r="R227" s="436">
        <f>'1.設計条件'!T40</f>
        <v>270</v>
      </c>
      <c r="S227" s="436"/>
      <c r="T227" s="436"/>
      <c r="U227" s="13" t="s">
        <v>48</v>
      </c>
      <c r="V227" s="13"/>
      <c r="W227" s="13"/>
      <c r="X227" s="13"/>
      <c r="Y227" s="462" t="str">
        <f>IF(N227="≦","OK","NG")</f>
        <v>OK</v>
      </c>
      <c r="Z227" s="463"/>
      <c r="AA227" s="464"/>
      <c r="AB227" s="13"/>
      <c r="AC227" s="13"/>
      <c r="AD227" s="13"/>
      <c r="AE227" s="13"/>
      <c r="AF227" s="13"/>
      <c r="AG227" s="13"/>
      <c r="AH227" s="13"/>
      <c r="AI227" s="13"/>
      <c r="AJ227" s="15"/>
    </row>
    <row r="228" spans="4:36">
      <c r="D228" s="16"/>
      <c r="E228" s="17"/>
      <c r="F228" s="17"/>
      <c r="G228" s="17"/>
      <c r="H228" s="17"/>
      <c r="I228" s="17"/>
      <c r="J228" s="17"/>
      <c r="K228" s="17"/>
      <c r="L228" s="17"/>
      <c r="M228" s="17"/>
      <c r="N228" s="17"/>
      <c r="O228" s="17"/>
      <c r="P228" s="17"/>
      <c r="Q228" s="17"/>
      <c r="R228" s="17"/>
      <c r="S228" s="17"/>
      <c r="T228" s="17"/>
      <c r="U228" s="17"/>
      <c r="V228" s="17"/>
      <c r="W228" s="17"/>
      <c r="X228" s="17"/>
      <c r="Y228" s="17"/>
      <c r="Z228" s="17"/>
      <c r="AA228" s="17"/>
      <c r="AB228" s="17"/>
      <c r="AC228" s="17"/>
      <c r="AD228" s="17"/>
      <c r="AE228" s="17"/>
      <c r="AF228" s="17"/>
      <c r="AG228" s="17"/>
      <c r="AH228" s="17"/>
      <c r="AI228" s="17"/>
      <c r="AJ228" s="19"/>
    </row>
  </sheetData>
  <sheetProtection sheet="1" objects="1" scenarios="1"/>
  <mergeCells count="461">
    <mergeCell ref="E132:F132"/>
    <mergeCell ref="Q130:S130"/>
    <mergeCell ref="G131:H131"/>
    <mergeCell ref="I131:J131"/>
    <mergeCell ref="L131:M131"/>
    <mergeCell ref="Q131:S131"/>
    <mergeCell ref="G132:H132"/>
    <mergeCell ref="I132:J132"/>
    <mergeCell ref="L132:M132"/>
    <mergeCell ref="Q132:S132"/>
    <mergeCell ref="K123:M123"/>
    <mergeCell ref="N123:P123"/>
    <mergeCell ref="G124:H124"/>
    <mergeCell ref="K124:M124"/>
    <mergeCell ref="N124:P124"/>
    <mergeCell ref="E123:F124"/>
    <mergeCell ref="G123:H123"/>
    <mergeCell ref="I123:J124"/>
    <mergeCell ref="E131:F131"/>
    <mergeCell ref="E121:F122"/>
    <mergeCell ref="G121:H121"/>
    <mergeCell ref="I121:J122"/>
    <mergeCell ref="K121:M121"/>
    <mergeCell ref="N121:P121"/>
    <mergeCell ref="G122:H122"/>
    <mergeCell ref="K122:M122"/>
    <mergeCell ref="N122:P122"/>
    <mergeCell ref="I120:J120"/>
    <mergeCell ref="K120:P120"/>
    <mergeCell ref="I118:J118"/>
    <mergeCell ref="K118:P118"/>
    <mergeCell ref="I119:J119"/>
    <mergeCell ref="K119:P119"/>
    <mergeCell ref="AD98:AF98"/>
    <mergeCell ref="AG98:AI98"/>
    <mergeCell ref="AD96:AF96"/>
    <mergeCell ref="AG96:AI96"/>
    <mergeCell ref="Z98:AB98"/>
    <mergeCell ref="I95:J96"/>
    <mergeCell ref="N110:P110"/>
    <mergeCell ref="M109:O109"/>
    <mergeCell ref="AD97:AF97"/>
    <mergeCell ref="AG97:AI97"/>
    <mergeCell ref="Z96:AB96"/>
    <mergeCell ref="N95:P95"/>
    <mergeCell ref="Q95:S95"/>
    <mergeCell ref="W95:Y95"/>
    <mergeCell ref="Z95:AB95"/>
    <mergeCell ref="Z97:AB97"/>
    <mergeCell ref="Q96:S96"/>
    <mergeCell ref="T96:V96"/>
    <mergeCell ref="W96:Y96"/>
    <mergeCell ref="AG94:AI94"/>
    <mergeCell ref="AD95:AF95"/>
    <mergeCell ref="AG95:AI95"/>
    <mergeCell ref="E97:F98"/>
    <mergeCell ref="G97:H97"/>
    <mergeCell ref="I97:J98"/>
    <mergeCell ref="K97:M97"/>
    <mergeCell ref="N97:P97"/>
    <mergeCell ref="Q97:S97"/>
    <mergeCell ref="T97:V97"/>
    <mergeCell ref="W97:Y97"/>
    <mergeCell ref="G98:H98"/>
    <mergeCell ref="K98:M98"/>
    <mergeCell ref="N98:P98"/>
    <mergeCell ref="Q98:S98"/>
    <mergeCell ref="T98:V98"/>
    <mergeCell ref="W98:Y98"/>
    <mergeCell ref="G95:H95"/>
    <mergeCell ref="K95:M95"/>
    <mergeCell ref="T95:V95"/>
    <mergeCell ref="T94:V94"/>
    <mergeCell ref="G94:H94"/>
    <mergeCell ref="K94:M94"/>
    <mergeCell ref="N94:P94"/>
    <mergeCell ref="M68:O68"/>
    <mergeCell ref="I69:K69"/>
    <mergeCell ref="E95:F96"/>
    <mergeCell ref="I86:J86"/>
    <mergeCell ref="K86:P86"/>
    <mergeCell ref="E93:F94"/>
    <mergeCell ref="G93:H93"/>
    <mergeCell ref="N88:P88"/>
    <mergeCell ref="K73:L73"/>
    <mergeCell ref="N73:P73"/>
    <mergeCell ref="K74:M74"/>
    <mergeCell ref="E89:F90"/>
    <mergeCell ref="G89:H89"/>
    <mergeCell ref="I89:J90"/>
    <mergeCell ref="I93:J94"/>
    <mergeCell ref="K93:M93"/>
    <mergeCell ref="N93:P93"/>
    <mergeCell ref="K89:M89"/>
    <mergeCell ref="N89:P89"/>
    <mergeCell ref="G96:H96"/>
    <mergeCell ref="K96:M96"/>
    <mergeCell ref="N96:P96"/>
    <mergeCell ref="G90:H90"/>
    <mergeCell ref="K90:M90"/>
    <mergeCell ref="N46:P46"/>
    <mergeCell ref="N47:P47"/>
    <mergeCell ref="I49:K49"/>
    <mergeCell ref="G46:G47"/>
    <mergeCell ref="H46:H47"/>
    <mergeCell ref="I46:K46"/>
    <mergeCell ref="I47:K47"/>
    <mergeCell ref="M46:M47"/>
    <mergeCell ref="AC50:AF50"/>
    <mergeCell ref="AA46:AB46"/>
    <mergeCell ref="Y49:Z49"/>
    <mergeCell ref="AA49:AB49"/>
    <mergeCell ref="Y48:Z48"/>
    <mergeCell ref="AA48:AB48"/>
    <mergeCell ref="Y47:Z47"/>
    <mergeCell ref="AA47:AB47"/>
    <mergeCell ref="AG50:AI50"/>
    <mergeCell ref="AG51:AI51"/>
    <mergeCell ref="AC49:AF49"/>
    <mergeCell ref="AG47:AI47"/>
    <mergeCell ref="AG48:AI48"/>
    <mergeCell ref="AG49:AI49"/>
    <mergeCell ref="AG44:AI44"/>
    <mergeCell ref="AG45:AI45"/>
    <mergeCell ref="AG46:AI46"/>
    <mergeCell ref="AC45:AF45"/>
    <mergeCell ref="AC46:AF46"/>
    <mergeCell ref="AC47:AF47"/>
    <mergeCell ref="AC48:AF48"/>
    <mergeCell ref="AC51:AF51"/>
    <mergeCell ref="G225:I225"/>
    <mergeCell ref="G227:I227"/>
    <mergeCell ref="O227:P227"/>
    <mergeCell ref="R227:T227"/>
    <mergeCell ref="Y227:AA227"/>
    <mergeCell ref="J10:K10"/>
    <mergeCell ref="L10:M10"/>
    <mergeCell ref="N10:P10"/>
    <mergeCell ref="Q10:R10"/>
    <mergeCell ref="V219:X219"/>
    <mergeCell ref="V218:X218"/>
    <mergeCell ref="V198:X198"/>
    <mergeCell ref="I191:AB191"/>
    <mergeCell ref="G186:H186"/>
    <mergeCell ref="I186:J186"/>
    <mergeCell ref="L186:M186"/>
    <mergeCell ref="W186:Y186"/>
    <mergeCell ref="I189:AB189"/>
    <mergeCell ref="I190:AB190"/>
    <mergeCell ref="Q11:R11"/>
    <mergeCell ref="S11:U11"/>
    <mergeCell ref="Y16:AA16"/>
    <mergeCell ref="AA15:AB15"/>
    <mergeCell ref="I199:J199"/>
    <mergeCell ref="D222:E223"/>
    <mergeCell ref="F222:F223"/>
    <mergeCell ref="G222:M222"/>
    <mergeCell ref="G223:K223"/>
    <mergeCell ref="N223:O223"/>
    <mergeCell ref="I208:K208"/>
    <mergeCell ref="D214:E215"/>
    <mergeCell ref="F214:F215"/>
    <mergeCell ref="G214:H214"/>
    <mergeCell ref="AC218:AG218"/>
    <mergeCell ref="I207:K207"/>
    <mergeCell ref="M207:N207"/>
    <mergeCell ref="R207:T207"/>
    <mergeCell ref="V207:W207"/>
    <mergeCell ref="Z207:AB207"/>
    <mergeCell ref="I200:K200"/>
    <mergeCell ref="O200:Q200"/>
    <mergeCell ref="U200:W200"/>
    <mergeCell ref="I202:K202"/>
    <mergeCell ref="O202:Q202"/>
    <mergeCell ref="I204:K204"/>
    <mergeCell ref="U202:W202"/>
    <mergeCell ref="AD207:AF207"/>
    <mergeCell ref="U204:W204"/>
    <mergeCell ref="Y204:AA204"/>
    <mergeCell ref="AD204:AD205"/>
    <mergeCell ref="AE204:AG205"/>
    <mergeCell ref="P199:R199"/>
    <mergeCell ref="V199:X199"/>
    <mergeCell ref="E194:H194"/>
    <mergeCell ref="I194:K194"/>
    <mergeCell ref="O194:Q194"/>
    <mergeCell ref="U194:W194"/>
    <mergeCell ref="I198:J198"/>
    <mergeCell ref="P198:R198"/>
    <mergeCell ref="E192:F193"/>
    <mergeCell ref="G192:H192"/>
    <mergeCell ref="I192:K192"/>
    <mergeCell ref="O192:Q192"/>
    <mergeCell ref="U192:W192"/>
    <mergeCell ref="G193:H193"/>
    <mergeCell ref="I193:K193"/>
    <mergeCell ref="O193:Q193"/>
    <mergeCell ref="U193:W193"/>
    <mergeCell ref="E185:F186"/>
    <mergeCell ref="G185:H185"/>
    <mergeCell ref="I185:J185"/>
    <mergeCell ref="L185:M185"/>
    <mergeCell ref="W185:Y185"/>
    <mergeCell ref="AB185:AD185"/>
    <mergeCell ref="I182:R182"/>
    <mergeCell ref="I183:R183"/>
    <mergeCell ref="S183:AD183"/>
    <mergeCell ref="S184:AD184"/>
    <mergeCell ref="G179:H179"/>
    <mergeCell ref="AB178:AD178"/>
    <mergeCell ref="S182:AD182"/>
    <mergeCell ref="E178:F179"/>
    <mergeCell ref="I175:W175"/>
    <mergeCell ref="I176:W176"/>
    <mergeCell ref="I177:W177"/>
    <mergeCell ref="X175:AI175"/>
    <mergeCell ref="X176:AI176"/>
    <mergeCell ref="X177:AI177"/>
    <mergeCell ref="AG178:AI178"/>
    <mergeCell ref="AB179:AD179"/>
    <mergeCell ref="J179:K179"/>
    <mergeCell ref="N179:P179"/>
    <mergeCell ref="X179:Y179"/>
    <mergeCell ref="H172:J172"/>
    <mergeCell ref="K172:L172"/>
    <mergeCell ref="N172:P172"/>
    <mergeCell ref="G178:H178"/>
    <mergeCell ref="I178:J178"/>
    <mergeCell ref="O169:O170"/>
    <mergeCell ref="P169:P170"/>
    <mergeCell ref="Q169:R170"/>
    <mergeCell ref="J170:L170"/>
    <mergeCell ref="I169:J169"/>
    <mergeCell ref="L169:M169"/>
    <mergeCell ref="E169:F170"/>
    <mergeCell ref="G169:G170"/>
    <mergeCell ref="I161:J161"/>
    <mergeCell ref="I162:J162"/>
    <mergeCell ref="G165:H165"/>
    <mergeCell ref="K165:M165"/>
    <mergeCell ref="N165:O165"/>
    <mergeCell ref="G166:H166"/>
    <mergeCell ref="K166:M166"/>
    <mergeCell ref="N166:P166"/>
    <mergeCell ref="K161:T161"/>
    <mergeCell ref="K162:T162"/>
    <mergeCell ref="E163:F166"/>
    <mergeCell ref="G163:H163"/>
    <mergeCell ref="I163:J166"/>
    <mergeCell ref="K163:M163"/>
    <mergeCell ref="N163:P163"/>
    <mergeCell ref="G164:H164"/>
    <mergeCell ref="K164:M164"/>
    <mergeCell ref="N164:O164"/>
    <mergeCell ref="R164:T164"/>
    <mergeCell ref="R165:T165"/>
    <mergeCell ref="S151:V151"/>
    <mergeCell ref="I154:J154"/>
    <mergeCell ref="L154:N154"/>
    <mergeCell ref="I160:J160"/>
    <mergeCell ref="E147:F147"/>
    <mergeCell ref="O147:R147"/>
    <mergeCell ref="G151:I151"/>
    <mergeCell ref="K151:M151"/>
    <mergeCell ref="P151:Q151"/>
    <mergeCell ref="I147:K147"/>
    <mergeCell ref="E157:U159"/>
    <mergeCell ref="K160:T160"/>
    <mergeCell ref="E139:F139"/>
    <mergeCell ref="G139:H139"/>
    <mergeCell ref="J139:K139"/>
    <mergeCell ref="E146:F146"/>
    <mergeCell ref="G146:H146"/>
    <mergeCell ref="I146:K146"/>
    <mergeCell ref="L146:N146"/>
    <mergeCell ref="O146:R146"/>
    <mergeCell ref="L145:N145"/>
    <mergeCell ref="O145:R145"/>
    <mergeCell ref="I143:K143"/>
    <mergeCell ref="L143:N143"/>
    <mergeCell ref="O143:R143"/>
    <mergeCell ref="E144:F145"/>
    <mergeCell ref="G144:H144"/>
    <mergeCell ref="I144:K144"/>
    <mergeCell ref="L144:N144"/>
    <mergeCell ref="O144:R144"/>
    <mergeCell ref="G145:H145"/>
    <mergeCell ref="I145:K145"/>
    <mergeCell ref="M139:N139"/>
    <mergeCell ref="Q139:R139"/>
    <mergeCell ref="Y139:AA139"/>
    <mergeCell ref="G138:H138"/>
    <mergeCell ref="I138:J138"/>
    <mergeCell ref="L138:M138"/>
    <mergeCell ref="R138:S138"/>
    <mergeCell ref="Y138:AA138"/>
    <mergeCell ref="I134:AA134"/>
    <mergeCell ref="I135:AA135"/>
    <mergeCell ref="I136:AA136"/>
    <mergeCell ref="I137:J137"/>
    <mergeCell ref="L137:M137"/>
    <mergeCell ref="R137:S137"/>
    <mergeCell ref="Y137:AA137"/>
    <mergeCell ref="F103:H103"/>
    <mergeCell ref="F104:H104"/>
    <mergeCell ref="I103:I104"/>
    <mergeCell ref="J104:L104"/>
    <mergeCell ref="J103:L103"/>
    <mergeCell ref="F106:H106"/>
    <mergeCell ref="I106:I107"/>
    <mergeCell ref="J106:L106"/>
    <mergeCell ref="F107:H107"/>
    <mergeCell ref="Q94:S94"/>
    <mergeCell ref="AD94:AF94"/>
    <mergeCell ref="AD87:AF87"/>
    <mergeCell ref="AG87:AI87"/>
    <mergeCell ref="G88:H88"/>
    <mergeCell ref="K88:M88"/>
    <mergeCell ref="Q93:S93"/>
    <mergeCell ref="T93:V93"/>
    <mergeCell ref="AD93:AF93"/>
    <mergeCell ref="AG93:AI93"/>
    <mergeCell ref="Q88:S88"/>
    <mergeCell ref="T88:V88"/>
    <mergeCell ref="AD88:AF88"/>
    <mergeCell ref="AG88:AI88"/>
    <mergeCell ref="AD89:AF89"/>
    <mergeCell ref="AG89:AI89"/>
    <mergeCell ref="N90:P90"/>
    <mergeCell ref="Q90:S90"/>
    <mergeCell ref="T90:V90"/>
    <mergeCell ref="AD90:AF90"/>
    <mergeCell ref="G91:H91"/>
    <mergeCell ref="AG90:AI90"/>
    <mergeCell ref="Q89:S89"/>
    <mergeCell ref="T89:V89"/>
    <mergeCell ref="AD91:AF91"/>
    <mergeCell ref="AG91:AI91"/>
    <mergeCell ref="AG92:AI92"/>
    <mergeCell ref="E87:F88"/>
    <mergeCell ref="G87:H87"/>
    <mergeCell ref="I87:J88"/>
    <mergeCell ref="K87:M87"/>
    <mergeCell ref="N87:P87"/>
    <mergeCell ref="AD92:AF92"/>
    <mergeCell ref="E91:F92"/>
    <mergeCell ref="I91:J92"/>
    <mergeCell ref="K91:M91"/>
    <mergeCell ref="N91:P91"/>
    <mergeCell ref="Q91:S91"/>
    <mergeCell ref="T91:V91"/>
    <mergeCell ref="G92:H92"/>
    <mergeCell ref="K92:M92"/>
    <mergeCell ref="N92:P92"/>
    <mergeCell ref="Q92:S92"/>
    <mergeCell ref="T92:V92"/>
    <mergeCell ref="I84:J84"/>
    <mergeCell ref="K84:P84"/>
    <mergeCell ref="Q84:V84"/>
    <mergeCell ref="W84:AB84"/>
    <mergeCell ref="I85:J85"/>
    <mergeCell ref="K85:P85"/>
    <mergeCell ref="Q85:V85"/>
    <mergeCell ref="W85:AB85"/>
    <mergeCell ref="Q87:S87"/>
    <mergeCell ref="T87:V87"/>
    <mergeCell ref="G29:I29"/>
    <mergeCell ref="K29:M29"/>
    <mergeCell ref="H30:J30"/>
    <mergeCell ref="AA33:AC33"/>
    <mergeCell ref="V29:W29"/>
    <mergeCell ref="U25:V26"/>
    <mergeCell ref="Q86:V86"/>
    <mergeCell ref="W86:AB86"/>
    <mergeCell ref="AD86:AI86"/>
    <mergeCell ref="AD84:AI84"/>
    <mergeCell ref="AD85:AI85"/>
    <mergeCell ref="AA44:AB44"/>
    <mergeCell ref="AC44:AF44"/>
    <mergeCell ref="AA45:AB45"/>
    <mergeCell ref="K54:L54"/>
    <mergeCell ref="J59:K59"/>
    <mergeCell ref="G56:H56"/>
    <mergeCell ref="I56:J56"/>
    <mergeCell ref="G61:H61"/>
    <mergeCell ref="I61:J61"/>
    <mergeCell ref="Y51:Z51"/>
    <mergeCell ref="AA51:AB51"/>
    <mergeCell ref="Y50:Z50"/>
    <mergeCell ref="AA50:AB50"/>
    <mergeCell ref="D4:AJ5"/>
    <mergeCell ref="E7:F8"/>
    <mergeCell ref="G7:G8"/>
    <mergeCell ref="H7:I7"/>
    <mergeCell ref="H8:I8"/>
    <mergeCell ref="J11:K11"/>
    <mergeCell ref="L11:M11"/>
    <mergeCell ref="N11:P11"/>
    <mergeCell ref="G18:G19"/>
    <mergeCell ref="H18:J18"/>
    <mergeCell ref="H19:J19"/>
    <mergeCell ref="W15:Y15"/>
    <mergeCell ref="AD15:AF15"/>
    <mergeCell ref="E15:F16"/>
    <mergeCell ref="G15:G16"/>
    <mergeCell ref="H15:I15"/>
    <mergeCell ref="K15:L15"/>
    <mergeCell ref="S15:T15"/>
    <mergeCell ref="J16:L16"/>
    <mergeCell ref="N16:O16"/>
    <mergeCell ref="O15:Q15"/>
    <mergeCell ref="R16:T16"/>
    <mergeCell ref="V16:W16"/>
    <mergeCell ref="AH204:AH205"/>
    <mergeCell ref="R205:T205"/>
    <mergeCell ref="G10:H10"/>
    <mergeCell ref="G11:H11"/>
    <mergeCell ref="J12:L12"/>
    <mergeCell ref="S10:U10"/>
    <mergeCell ref="V10:W10"/>
    <mergeCell ref="X10:Z10"/>
    <mergeCell ref="H21:J21"/>
    <mergeCell ref="F24:Q24"/>
    <mergeCell ref="G25:I25"/>
    <mergeCell ref="K25:M25"/>
    <mergeCell ref="AF33:AH33"/>
    <mergeCell ref="F35:H35"/>
    <mergeCell ref="I35:K35"/>
    <mergeCell ref="M35:O35"/>
    <mergeCell ref="F36:Q36"/>
    <mergeCell ref="R36:T36"/>
    <mergeCell ref="H26:J26"/>
    <mergeCell ref="F28:Q28"/>
    <mergeCell ref="J107:L107"/>
    <mergeCell ref="F109:H110"/>
    <mergeCell ref="I109:I110"/>
    <mergeCell ref="J110:L110"/>
    <mergeCell ref="F112:H112"/>
    <mergeCell ref="J112:L112"/>
    <mergeCell ref="H204:H205"/>
    <mergeCell ref="F204:F205"/>
    <mergeCell ref="N204:P204"/>
    <mergeCell ref="I126:S126"/>
    <mergeCell ref="I127:S127"/>
    <mergeCell ref="I128:S128"/>
    <mergeCell ref="E129:F130"/>
    <mergeCell ref="G129:H129"/>
    <mergeCell ref="I129:J129"/>
    <mergeCell ref="L129:M129"/>
    <mergeCell ref="Q129:S129"/>
    <mergeCell ref="G130:H130"/>
    <mergeCell ref="I130:J130"/>
    <mergeCell ref="L130:M130"/>
    <mergeCell ref="E137:F138"/>
    <mergeCell ref="G137:H137"/>
    <mergeCell ref="I141:K141"/>
    <mergeCell ref="L141:N141"/>
    <mergeCell ref="O141:R141"/>
    <mergeCell ref="I142:K142"/>
    <mergeCell ref="L142:N142"/>
    <mergeCell ref="O142:R142"/>
  </mergeCells>
  <phoneticPr fontId="3"/>
  <conditionalFormatting sqref="O141:O146">
    <cfRule type="cellIs" dxfId="5" priority="2" operator="greaterThan">
      <formula>#REF!</formula>
    </cfRule>
  </conditionalFormatting>
  <conditionalFormatting sqref="Q129:R132 AG178:AH178 AB178:AC179 W180:X180">
    <cfRule type="cellIs" dxfId="4" priority="3" operator="greaterThan">
      <formula>#REF!</formula>
    </cfRule>
  </conditionalFormatting>
  <conditionalFormatting sqref="AB185:AC185 W185:X187">
    <cfRule type="cellIs" dxfId="3" priority="1" operator="greaterThan">
      <formula>#REF!</formula>
    </cfRule>
  </conditionalFormatting>
  <pageMargins left="0.70866141732283472" right="0.70866141732283472" top="0.74803149606299213" bottom="0.74803149606299213"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03641-1D97-44CA-B4B8-42ED3340B8D9}">
  <dimension ref="A2:AI135"/>
  <sheetViews>
    <sheetView showOutlineSymbols="0" zoomScaleNormal="100" workbookViewId="0"/>
  </sheetViews>
  <sheetFormatPr defaultRowHeight="18.75"/>
  <cols>
    <col min="1" max="35" width="3" customWidth="1"/>
    <col min="36" max="36" width="1.625" customWidth="1"/>
  </cols>
  <sheetData>
    <row r="2" spans="1:35">
      <c r="A2" t="s">
        <v>638</v>
      </c>
      <c r="W2" t="s">
        <v>637</v>
      </c>
    </row>
    <row r="3" spans="1:35" ht="18.75" customHeight="1">
      <c r="C3" s="812" t="s">
        <v>639</v>
      </c>
      <c r="D3" s="812"/>
      <c r="E3" s="812"/>
      <c r="F3" s="812"/>
      <c r="G3" s="812"/>
      <c r="H3" s="812"/>
      <c r="I3" s="812"/>
      <c r="J3" s="812"/>
      <c r="K3" s="812"/>
      <c r="L3" s="812"/>
      <c r="M3" s="812"/>
      <c r="N3" s="812"/>
      <c r="O3" s="812"/>
      <c r="P3" s="812"/>
      <c r="Q3" s="812"/>
      <c r="R3" s="812"/>
      <c r="S3" s="812"/>
      <c r="T3" s="812"/>
      <c r="U3" s="812"/>
      <c r="V3" s="812"/>
      <c r="W3" s="812"/>
      <c r="X3" s="812"/>
      <c r="Y3" s="812"/>
      <c r="Z3" s="812"/>
      <c r="AA3" s="812"/>
      <c r="AB3" s="812"/>
      <c r="AC3" s="812"/>
      <c r="AD3" s="812"/>
      <c r="AE3" s="812"/>
      <c r="AF3" s="812"/>
      <c r="AG3" s="812"/>
      <c r="AH3" s="812"/>
      <c r="AI3" s="812"/>
    </row>
    <row r="4" spans="1:35">
      <c r="B4" s="268"/>
      <c r="C4" s="812"/>
      <c r="D4" s="812"/>
      <c r="E4" s="812"/>
      <c r="F4" s="812"/>
      <c r="G4" s="812"/>
      <c r="H4" s="812"/>
      <c r="I4" s="812"/>
      <c r="J4" s="812"/>
      <c r="K4" s="812"/>
      <c r="L4" s="812"/>
      <c r="M4" s="812"/>
      <c r="N4" s="812"/>
      <c r="O4" s="812"/>
      <c r="P4" s="812"/>
      <c r="Q4" s="812"/>
      <c r="R4" s="812"/>
      <c r="S4" s="812"/>
      <c r="T4" s="812"/>
      <c r="U4" s="812"/>
      <c r="V4" s="812"/>
      <c r="W4" s="812"/>
      <c r="X4" s="812"/>
      <c r="Y4" s="812"/>
      <c r="Z4" s="812"/>
      <c r="AA4" s="812"/>
      <c r="AB4" s="812"/>
      <c r="AC4" s="812"/>
      <c r="AD4" s="812"/>
      <c r="AE4" s="812"/>
      <c r="AF4" s="812"/>
      <c r="AG4" s="812"/>
      <c r="AH4" s="812"/>
      <c r="AI4" s="812"/>
    </row>
    <row r="5" spans="1:35">
      <c r="B5" t="s">
        <v>674</v>
      </c>
    </row>
    <row r="6" spans="1:35">
      <c r="C6" s="2"/>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4"/>
    </row>
    <row r="7" spans="1:35" ht="21">
      <c r="C7" s="5" t="s">
        <v>640</v>
      </c>
      <c r="AI7" s="6"/>
    </row>
    <row r="8" spans="1:35" ht="20.25">
      <c r="C8" s="5"/>
      <c r="D8" s="425" t="s">
        <v>641</v>
      </c>
      <c r="E8" s="425"/>
      <c r="F8" t="s">
        <v>2</v>
      </c>
      <c r="G8" s="600">
        <f>-('1.設計条件'!T50-'1.設計条件'!T49)</f>
        <v>3</v>
      </c>
      <c r="H8" s="600"/>
      <c r="I8" t="s">
        <v>68</v>
      </c>
      <c r="J8" s="600">
        <f>'1.設計条件'!R10-(-'1.設計条件'!T50)</f>
        <v>3</v>
      </c>
      <c r="K8" s="600"/>
      <c r="L8" t="s">
        <v>68</v>
      </c>
      <c r="M8" s="600">
        <f>'3.断面力2'!R36</f>
        <v>2.7849109887803722</v>
      </c>
      <c r="N8" s="600"/>
      <c r="O8" t="s">
        <v>70</v>
      </c>
      <c r="P8">
        <v>2</v>
      </c>
      <c r="AI8" s="6"/>
    </row>
    <row r="9" spans="1:35">
      <c r="C9" s="5"/>
      <c r="F9" t="s">
        <v>2</v>
      </c>
      <c r="G9" s="600">
        <f>G8</f>
        <v>3</v>
      </c>
      <c r="H9" s="600"/>
      <c r="I9" t="s">
        <v>68</v>
      </c>
      <c r="J9" s="600">
        <f>J8</f>
        <v>3</v>
      </c>
      <c r="K9" s="600"/>
      <c r="L9" t="s">
        <v>68</v>
      </c>
      <c r="M9" s="600">
        <f>M8/P8</f>
        <v>1.3924554943901861</v>
      </c>
      <c r="N9" s="600"/>
      <c r="AI9" s="6"/>
    </row>
    <row r="10" spans="1:35">
      <c r="C10" s="5"/>
      <c r="F10" t="s">
        <v>2</v>
      </c>
      <c r="G10" s="544">
        <f>G9+J9+M9</f>
        <v>7.3924554943901857</v>
      </c>
      <c r="H10" s="689"/>
      <c r="I10" t="s">
        <v>3</v>
      </c>
      <c r="AI10" s="6"/>
    </row>
    <row r="11" spans="1:35">
      <c r="C11" s="5" t="s">
        <v>237</v>
      </c>
      <c r="AI11" s="6"/>
    </row>
    <row r="12" spans="1:35">
      <c r="C12" s="5"/>
      <c r="Q12" s="268"/>
      <c r="AI12" s="6"/>
    </row>
    <row r="13" spans="1:35">
      <c r="C13" s="5"/>
      <c r="Q13" s="268"/>
      <c r="AI13" s="6"/>
    </row>
    <row r="14" spans="1:35">
      <c r="C14" s="5"/>
      <c r="Q14" s="268"/>
      <c r="AI14" s="6"/>
    </row>
    <row r="15" spans="1:35">
      <c r="C15" s="5"/>
      <c r="Q15" s="268"/>
      <c r="AI15" s="6"/>
    </row>
    <row r="16" spans="1:35">
      <c r="C16" s="5"/>
      <c r="AI16" s="6"/>
    </row>
    <row r="17" spans="2:35">
      <c r="C17" s="5"/>
      <c r="AI17" s="6"/>
    </row>
    <row r="18" spans="2:35">
      <c r="C18" s="5"/>
      <c r="AI18" s="6"/>
    </row>
    <row r="19" spans="2:35">
      <c r="C19" s="5"/>
      <c r="AI19" s="6"/>
    </row>
    <row r="20" spans="2:35">
      <c r="C20" s="189"/>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1"/>
    </row>
    <row r="22" spans="2:35">
      <c r="B22" t="s">
        <v>806</v>
      </c>
    </row>
    <row r="23" spans="2:35">
      <c r="C23" s="808" t="s">
        <v>643</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10"/>
    </row>
    <row r="24" spans="2:35">
      <c r="C24" s="811"/>
      <c r="D24" s="812"/>
      <c r="E24" s="812"/>
      <c r="F24" s="812"/>
      <c r="G24" s="812"/>
      <c r="H24" s="812"/>
      <c r="I24" s="812"/>
      <c r="J24" s="812"/>
      <c r="K24" s="812"/>
      <c r="L24" s="812"/>
      <c r="M24" s="812"/>
      <c r="N24" s="812"/>
      <c r="O24" s="812"/>
      <c r="P24" s="812"/>
      <c r="Q24" s="812"/>
      <c r="R24" s="812"/>
      <c r="S24" s="812"/>
      <c r="T24" s="812"/>
      <c r="U24" s="812"/>
      <c r="V24" s="812"/>
      <c r="W24" s="812"/>
      <c r="X24" s="812"/>
      <c r="Y24" s="812"/>
      <c r="Z24" s="812"/>
      <c r="AA24" s="812"/>
      <c r="AB24" s="812"/>
      <c r="AC24" s="812"/>
      <c r="AD24" s="812"/>
      <c r="AE24" s="812"/>
      <c r="AF24" s="812"/>
      <c r="AG24" s="812"/>
      <c r="AH24" s="812"/>
      <c r="AI24" s="813"/>
    </row>
    <row r="25" spans="2:35">
      <c r="C25" s="5" t="s">
        <v>648</v>
      </c>
      <c r="AI25" s="6"/>
    </row>
    <row r="26" spans="2:35">
      <c r="C26" s="5" t="s">
        <v>646</v>
      </c>
      <c r="AI26" s="6"/>
    </row>
    <row r="27" spans="2:35">
      <c r="C27" s="5"/>
      <c r="AI27" s="6"/>
    </row>
    <row r="28" spans="2:35" s="1" customFormat="1">
      <c r="B28" s="13"/>
      <c r="C28" s="12"/>
      <c r="D28" s="13"/>
      <c r="E28" s="13"/>
      <c r="F28" s="13"/>
      <c r="G28"/>
      <c r="H28" s="410" t="s">
        <v>23</v>
      </c>
      <c r="I28" s="411"/>
      <c r="J28" s="410" t="s">
        <v>25</v>
      </c>
      <c r="K28" s="412"/>
      <c r="L28" s="412"/>
      <c r="M28" s="412"/>
      <c r="N28" s="412"/>
      <c r="O28" s="411"/>
      <c r="P28" s="410" t="s">
        <v>31</v>
      </c>
      <c r="Q28" s="412"/>
      <c r="R28" s="412"/>
      <c r="S28" s="412"/>
      <c r="T28" s="412"/>
      <c r="U28" s="411"/>
      <c r="V28" s="410" t="s">
        <v>167</v>
      </c>
      <c r="W28" s="412"/>
      <c r="X28" s="412"/>
      <c r="Y28" s="412"/>
      <c r="Z28" s="412"/>
      <c r="AA28" s="411"/>
      <c r="AB28" s="13"/>
      <c r="AC28" s="13"/>
      <c r="AD28" s="13"/>
      <c r="AE28" s="13"/>
      <c r="AF28" s="13"/>
      <c r="AG28" s="13"/>
      <c r="AH28" s="13"/>
      <c r="AI28" s="15"/>
    </row>
    <row r="29" spans="2:35" s="1" customFormat="1">
      <c r="B29" s="13"/>
      <c r="C29" s="12"/>
      <c r="D29" s="13"/>
      <c r="E29" s="13"/>
      <c r="F29" s="13"/>
      <c r="G29"/>
      <c r="H29" s="421" t="s">
        <v>15</v>
      </c>
      <c r="I29" s="422"/>
      <c r="J29" s="421" t="s">
        <v>116</v>
      </c>
      <c r="K29" s="360"/>
      <c r="L29" s="360"/>
      <c r="M29" s="360"/>
      <c r="N29" s="360"/>
      <c r="O29" s="422"/>
      <c r="P29" s="421" t="s">
        <v>148</v>
      </c>
      <c r="Q29" s="360"/>
      <c r="R29" s="360"/>
      <c r="S29" s="360"/>
      <c r="T29" s="360"/>
      <c r="U29" s="422"/>
      <c r="V29" s="421" t="s">
        <v>172</v>
      </c>
      <c r="W29" s="360"/>
      <c r="X29" s="360"/>
      <c r="Y29" s="360"/>
      <c r="Z29" s="360"/>
      <c r="AA29" s="422"/>
      <c r="AB29" s="13"/>
      <c r="AC29" s="13"/>
      <c r="AD29" s="13"/>
      <c r="AE29" s="13"/>
      <c r="AF29" s="13"/>
      <c r="AG29" s="13"/>
      <c r="AH29" s="13"/>
      <c r="AI29" s="15"/>
    </row>
    <row r="30" spans="2:35" s="1" customFormat="1" ht="20.25">
      <c r="B30" s="13"/>
      <c r="C30" s="12"/>
      <c r="D30" s="13"/>
      <c r="E30" s="13"/>
      <c r="F30" s="13"/>
      <c r="G30"/>
      <c r="H30" s="498" t="s">
        <v>20</v>
      </c>
      <c r="I30" s="499"/>
      <c r="J30" s="498" t="s">
        <v>36</v>
      </c>
      <c r="K30" s="500"/>
      <c r="L30" s="500"/>
      <c r="M30" s="500"/>
      <c r="N30" s="500"/>
      <c r="O30" s="499"/>
      <c r="P30" s="498" t="s">
        <v>36</v>
      </c>
      <c r="Q30" s="500"/>
      <c r="R30" s="500"/>
      <c r="S30" s="500"/>
      <c r="T30" s="500"/>
      <c r="U30" s="499"/>
      <c r="V30" s="498" t="s">
        <v>36</v>
      </c>
      <c r="W30" s="500"/>
      <c r="X30" s="500"/>
      <c r="Y30" s="500"/>
      <c r="Z30" s="500"/>
      <c r="AA30" s="499"/>
      <c r="AB30" s="13"/>
      <c r="AC30" s="13"/>
      <c r="AD30" s="13"/>
      <c r="AE30" s="13"/>
      <c r="AF30" s="13"/>
      <c r="AG30" s="13"/>
      <c r="AH30" s="13"/>
      <c r="AI30" s="15"/>
    </row>
    <row r="31" spans="2:35" s="1" customFormat="1">
      <c r="B31" s="13"/>
      <c r="C31" s="12"/>
      <c r="D31" s="497" t="s">
        <v>22</v>
      </c>
      <c r="E31" s="497"/>
      <c r="F31" s="413" t="s">
        <v>130</v>
      </c>
      <c r="G31" s="415"/>
      <c r="H31" s="487">
        <f>'3.断面力2'!I91</f>
        <v>1.5</v>
      </c>
      <c r="I31" s="489"/>
      <c r="J31" s="502" t="s">
        <v>133</v>
      </c>
      <c r="K31" s="503"/>
      <c r="L31" s="503"/>
      <c r="M31" s="504">
        <f>'3.断面力2'!N91</f>
        <v>22.598917665331669</v>
      </c>
      <c r="N31" s="504"/>
      <c r="O31" s="505"/>
      <c r="P31" s="502" t="s">
        <v>140</v>
      </c>
      <c r="Q31" s="503"/>
      <c r="R31" s="503"/>
      <c r="S31" s="504">
        <f>'3.断面力2'!T91</f>
        <v>0</v>
      </c>
      <c r="T31" s="504"/>
      <c r="U31" s="505"/>
      <c r="V31" s="9"/>
      <c r="W31" s="10"/>
      <c r="X31" s="10"/>
      <c r="Y31" s="10"/>
      <c r="Z31" s="10"/>
      <c r="AA31" s="11"/>
      <c r="AB31" s="13"/>
      <c r="AC31" s="13"/>
      <c r="AD31" s="13"/>
      <c r="AE31" s="13"/>
      <c r="AF31" s="13"/>
      <c r="AG31" s="13"/>
      <c r="AH31" s="13"/>
      <c r="AI31" s="15"/>
    </row>
    <row r="32" spans="2:35" s="1" customFormat="1">
      <c r="B32" s="13"/>
      <c r="C32" s="12"/>
      <c r="D32" s="497"/>
      <c r="E32" s="497"/>
      <c r="F32" s="418" t="s">
        <v>131</v>
      </c>
      <c r="G32" s="420"/>
      <c r="H32" s="490"/>
      <c r="I32" s="492"/>
      <c r="J32" s="513" t="s">
        <v>134</v>
      </c>
      <c r="K32" s="514"/>
      <c r="L32" s="514"/>
      <c r="M32" s="515">
        <f>'3.断面力2'!N92</f>
        <v>22.598917665331669</v>
      </c>
      <c r="N32" s="515"/>
      <c r="O32" s="516"/>
      <c r="P32" s="513" t="s">
        <v>147</v>
      </c>
      <c r="Q32" s="514"/>
      <c r="R32" s="514"/>
      <c r="S32" s="515">
        <f>'3.断面力2'!T92</f>
        <v>0</v>
      </c>
      <c r="T32" s="515"/>
      <c r="U32" s="516"/>
      <c r="V32" s="16"/>
      <c r="W32" s="17"/>
      <c r="X32" s="17"/>
      <c r="Y32" s="17"/>
      <c r="Z32" s="17"/>
      <c r="AA32" s="19"/>
      <c r="AB32" s="13"/>
      <c r="AC32" s="13"/>
      <c r="AD32" s="13"/>
      <c r="AE32" s="13"/>
      <c r="AF32" s="13"/>
      <c r="AG32" s="13"/>
      <c r="AH32" s="13"/>
      <c r="AI32" s="15"/>
    </row>
    <row r="33" spans="2:35" s="1" customFormat="1">
      <c r="B33" s="13"/>
      <c r="C33" s="12"/>
      <c r="D33" s="554" t="s">
        <v>94</v>
      </c>
      <c r="E33" s="555"/>
      <c r="F33" s="413" t="s">
        <v>130</v>
      </c>
      <c r="G33" s="415"/>
      <c r="H33" s="487">
        <f>'3.断面力2'!I93</f>
        <v>4.5</v>
      </c>
      <c r="I33" s="489"/>
      <c r="J33" s="502" t="s">
        <v>135</v>
      </c>
      <c r="K33" s="503"/>
      <c r="L33" s="503"/>
      <c r="M33" s="504">
        <f>'3.断面力2'!N93</f>
        <v>22.598917665331669</v>
      </c>
      <c r="N33" s="504"/>
      <c r="O33" s="505"/>
      <c r="P33" s="502" t="s">
        <v>142</v>
      </c>
      <c r="Q33" s="503"/>
      <c r="R33" s="503"/>
      <c r="S33" s="504">
        <f>'3.断面力2'!T93</f>
        <v>0</v>
      </c>
      <c r="T33" s="504"/>
      <c r="U33" s="505"/>
      <c r="V33" s="12"/>
      <c r="W33" s="13"/>
      <c r="X33" s="13"/>
      <c r="Y33" s="13"/>
      <c r="Z33" s="13"/>
      <c r="AA33" s="15"/>
      <c r="AB33" s="13"/>
      <c r="AC33" s="13"/>
      <c r="AD33" s="13"/>
      <c r="AE33" s="13"/>
      <c r="AF33" s="13"/>
      <c r="AG33" s="13"/>
      <c r="AH33" s="13"/>
      <c r="AI33" s="15"/>
    </row>
    <row r="34" spans="2:35" s="1" customFormat="1">
      <c r="B34" s="13"/>
      <c r="C34" s="12"/>
      <c r="D34" s="556"/>
      <c r="E34" s="557"/>
      <c r="F34" s="418" t="s">
        <v>131</v>
      </c>
      <c r="G34" s="420"/>
      <c r="H34" s="490"/>
      <c r="I34" s="492"/>
      <c r="J34" s="513" t="s">
        <v>136</v>
      </c>
      <c r="K34" s="514"/>
      <c r="L34" s="514"/>
      <c r="M34" s="515">
        <f>'3.断面力2'!N94</f>
        <v>22.598917665331669</v>
      </c>
      <c r="N34" s="515"/>
      <c r="O34" s="516"/>
      <c r="P34" s="513" t="s">
        <v>143</v>
      </c>
      <c r="Q34" s="514"/>
      <c r="R34" s="514"/>
      <c r="S34" s="515">
        <f>'3.断面力2'!T94</f>
        <v>45</v>
      </c>
      <c r="T34" s="515"/>
      <c r="U34" s="516"/>
      <c r="V34" s="235"/>
      <c r="W34" s="236"/>
      <c r="X34" s="236"/>
      <c r="Y34" s="237"/>
      <c r="Z34" s="237"/>
      <c r="AA34" s="238"/>
      <c r="AB34" s="13"/>
      <c r="AC34" s="13"/>
      <c r="AD34" s="13"/>
      <c r="AE34" s="13"/>
      <c r="AF34" s="13"/>
      <c r="AG34" s="13"/>
      <c r="AH34" s="13"/>
      <c r="AI34" s="15"/>
    </row>
    <row r="35" spans="2:35" s="1" customFormat="1">
      <c r="B35" s="13"/>
      <c r="C35" s="12"/>
      <c r="D35" s="554" t="s">
        <v>114</v>
      </c>
      <c r="E35" s="555"/>
      <c r="F35" s="413" t="s">
        <v>130</v>
      </c>
      <c r="G35" s="415"/>
      <c r="H35" s="735">
        <f>'3.断面力2'!I95</f>
        <v>3</v>
      </c>
      <c r="I35" s="736"/>
      <c r="J35" s="503" t="s">
        <v>137</v>
      </c>
      <c r="K35" s="503"/>
      <c r="L35" s="503"/>
      <c r="M35" s="504">
        <f>'3.断面力2'!N95</f>
        <v>22.598917665331669</v>
      </c>
      <c r="N35" s="504"/>
      <c r="O35" s="505"/>
      <c r="P35" s="502" t="s">
        <v>144</v>
      </c>
      <c r="Q35" s="503"/>
      <c r="R35" s="503"/>
      <c r="S35" s="504">
        <f>'3.断面力2'!T95</f>
        <v>45</v>
      </c>
      <c r="T35" s="504"/>
      <c r="U35" s="505"/>
      <c r="V35" s="842" t="s">
        <v>644</v>
      </c>
      <c r="W35" s="843"/>
      <c r="X35" s="843"/>
      <c r="Y35" s="838">
        <f>'3.断面力2'!Z95</f>
        <v>0</v>
      </c>
      <c r="Z35" s="838"/>
      <c r="AA35" s="839"/>
      <c r="AB35" s="13"/>
      <c r="AC35" s="13"/>
      <c r="AD35" s="13"/>
      <c r="AE35" s="13"/>
      <c r="AF35" s="13"/>
      <c r="AG35" s="13"/>
      <c r="AH35" s="13"/>
      <c r="AI35" s="15"/>
    </row>
    <row r="36" spans="2:35" s="1" customFormat="1">
      <c r="B36" s="13"/>
      <c r="C36" s="12"/>
      <c r="D36" s="556"/>
      <c r="E36" s="557"/>
      <c r="F36" s="418" t="s">
        <v>131</v>
      </c>
      <c r="G36" s="420"/>
      <c r="H36" s="737"/>
      <c r="I36" s="738"/>
      <c r="J36" s="514" t="s">
        <v>138</v>
      </c>
      <c r="K36" s="514"/>
      <c r="L36" s="514"/>
      <c r="M36" s="515">
        <f>'3.断面力2'!N96</f>
        <v>22.598917665331669</v>
      </c>
      <c r="N36" s="515"/>
      <c r="O36" s="516"/>
      <c r="P36" s="513" t="s">
        <v>145</v>
      </c>
      <c r="Q36" s="514"/>
      <c r="R36" s="514"/>
      <c r="S36" s="515">
        <f>'3.断面力2'!T96</f>
        <v>11.724032239633354</v>
      </c>
      <c r="T36" s="515"/>
      <c r="U36" s="516"/>
      <c r="V36" s="840" t="s">
        <v>645</v>
      </c>
      <c r="W36" s="841"/>
      <c r="X36" s="841"/>
      <c r="Y36" s="832">
        <f>'3.断面力2'!Z96</f>
        <v>81</v>
      </c>
      <c r="Z36" s="832"/>
      <c r="AA36" s="833"/>
      <c r="AB36" s="13"/>
      <c r="AC36" s="13"/>
      <c r="AD36" s="13"/>
      <c r="AE36" s="13"/>
      <c r="AF36" s="13"/>
      <c r="AG36" s="13"/>
      <c r="AH36" s="13"/>
      <c r="AI36" s="15"/>
    </row>
    <row r="37" spans="2:35" s="1" customFormat="1">
      <c r="B37" s="13"/>
      <c r="C37" s="12"/>
      <c r="D37" s="497" t="s">
        <v>418</v>
      </c>
      <c r="E37" s="497"/>
      <c r="F37" s="413" t="s">
        <v>130</v>
      </c>
      <c r="G37" s="415"/>
      <c r="H37" s="834">
        <f>'3.断面力2'!I97</f>
        <v>1.0569819327927044</v>
      </c>
      <c r="I37" s="835"/>
      <c r="J37" s="502" t="s">
        <v>426</v>
      </c>
      <c r="K37" s="503"/>
      <c r="L37" s="503"/>
      <c r="M37" s="504">
        <f>'3.断面力2'!N97</f>
        <v>22.598917665331669</v>
      </c>
      <c r="N37" s="504"/>
      <c r="O37" s="505"/>
      <c r="P37" s="659" t="s">
        <v>460</v>
      </c>
      <c r="Q37" s="660"/>
      <c r="R37" s="660"/>
      <c r="S37" s="504">
        <f>'3.断面力2'!T97</f>
        <v>11.724032239633354</v>
      </c>
      <c r="T37" s="504"/>
      <c r="U37" s="505"/>
      <c r="V37" s="502" t="s">
        <v>431</v>
      </c>
      <c r="W37" s="503"/>
      <c r="X37" s="503"/>
      <c r="Y37" s="838">
        <f>'3.断面力2'!Z97</f>
        <v>99.63</v>
      </c>
      <c r="Z37" s="838"/>
      <c r="AA37" s="839"/>
      <c r="AB37" s="13"/>
      <c r="AC37" s="13"/>
      <c r="AD37" s="13"/>
      <c r="AE37" s="13"/>
      <c r="AF37" s="13"/>
      <c r="AG37" s="13"/>
      <c r="AH37" s="13"/>
      <c r="AI37" s="15"/>
    </row>
    <row r="38" spans="2:35" s="1" customFormat="1">
      <c r="B38" s="13"/>
      <c r="C38" s="12"/>
      <c r="D38" s="497"/>
      <c r="E38" s="497"/>
      <c r="F38" s="418" t="s">
        <v>131</v>
      </c>
      <c r="G38" s="420"/>
      <c r="H38" s="836"/>
      <c r="I38" s="837"/>
      <c r="J38" s="513" t="s">
        <v>427</v>
      </c>
      <c r="K38" s="514"/>
      <c r="L38" s="514"/>
      <c r="M38" s="515">
        <f>'3.断面力2'!N98</f>
        <v>22.598917665331669</v>
      </c>
      <c r="N38" s="515"/>
      <c r="O38" s="516"/>
      <c r="P38" s="513" t="s">
        <v>461</v>
      </c>
      <c r="Q38" s="514"/>
      <c r="R38" s="514"/>
      <c r="S38" s="515">
        <f>'3.断面力2'!T98</f>
        <v>0</v>
      </c>
      <c r="T38" s="515"/>
      <c r="U38" s="516"/>
      <c r="V38" s="513" t="s">
        <v>432</v>
      </c>
      <c r="W38" s="514"/>
      <c r="X38" s="514"/>
      <c r="Y38" s="832">
        <f>'3.断面力2'!Z98</f>
        <v>134.73236998804572</v>
      </c>
      <c r="Z38" s="832"/>
      <c r="AA38" s="833"/>
      <c r="AB38" s="13"/>
      <c r="AC38" s="13"/>
      <c r="AD38" s="13"/>
      <c r="AE38" s="13"/>
      <c r="AF38" s="13"/>
      <c r="AG38" s="13"/>
      <c r="AH38" s="13"/>
      <c r="AI38" s="15"/>
    </row>
    <row r="39" spans="2:35">
      <c r="C39" s="5"/>
      <c r="AI39" s="6"/>
    </row>
    <row r="40" spans="2:35">
      <c r="C40" s="5"/>
      <c r="D40" t="s">
        <v>647</v>
      </c>
      <c r="AI40" s="6"/>
    </row>
    <row r="41" spans="2:35">
      <c r="C41" s="5"/>
      <c r="D41" s="13"/>
      <c r="E41" s="13"/>
      <c r="F41" s="13"/>
      <c r="H41" s="410" t="s">
        <v>23</v>
      </c>
      <c r="I41" s="411"/>
      <c r="J41" s="410" t="s">
        <v>25</v>
      </c>
      <c r="K41" s="412"/>
      <c r="L41" s="412"/>
      <c r="M41" s="412"/>
      <c r="N41" s="412"/>
      <c r="O41" s="411"/>
      <c r="P41" s="410" t="s">
        <v>31</v>
      </c>
      <c r="Q41" s="412"/>
      <c r="R41" s="412"/>
      <c r="S41" s="412"/>
      <c r="T41" s="412"/>
      <c r="U41" s="411"/>
      <c r="W41" s="410" t="s">
        <v>242</v>
      </c>
      <c r="X41" s="412"/>
      <c r="Y41" s="412"/>
      <c r="Z41" s="412"/>
      <c r="AA41" s="412"/>
      <c r="AB41" s="411"/>
      <c r="AD41" s="410" t="s">
        <v>11</v>
      </c>
      <c r="AE41" s="411"/>
      <c r="AI41" s="6"/>
    </row>
    <row r="42" spans="2:35">
      <c r="C42" s="5"/>
      <c r="D42" s="13"/>
      <c r="E42" s="13"/>
      <c r="F42" s="13"/>
      <c r="H42" s="421" t="s">
        <v>15</v>
      </c>
      <c r="I42" s="422"/>
      <c r="J42" s="421" t="s">
        <v>116</v>
      </c>
      <c r="K42" s="360"/>
      <c r="L42" s="360"/>
      <c r="M42" s="360"/>
      <c r="N42" s="360"/>
      <c r="O42" s="422"/>
      <c r="P42" s="421" t="s">
        <v>148</v>
      </c>
      <c r="Q42" s="360"/>
      <c r="R42" s="360"/>
      <c r="S42" s="360"/>
      <c r="T42" s="360"/>
      <c r="U42" s="422"/>
      <c r="W42" s="421" t="s">
        <v>278</v>
      </c>
      <c r="X42" s="360"/>
      <c r="Y42" s="360"/>
      <c r="Z42" s="360"/>
      <c r="AA42" s="360"/>
      <c r="AB42" s="422"/>
      <c r="AD42" s="423"/>
      <c r="AE42" s="424"/>
      <c r="AI42" s="6"/>
    </row>
    <row r="43" spans="2:35" ht="20.25">
      <c r="C43" s="5"/>
      <c r="D43" s="13"/>
      <c r="E43" s="13"/>
      <c r="F43" s="13"/>
      <c r="H43" s="498" t="s">
        <v>20</v>
      </c>
      <c r="I43" s="499"/>
      <c r="J43" s="498" t="s">
        <v>36</v>
      </c>
      <c r="K43" s="500"/>
      <c r="L43" s="500"/>
      <c r="M43" s="500"/>
      <c r="N43" s="500"/>
      <c r="O43" s="499"/>
      <c r="P43" s="498" t="s">
        <v>36</v>
      </c>
      <c r="Q43" s="500"/>
      <c r="R43" s="500"/>
      <c r="S43" s="500"/>
      <c r="T43" s="500"/>
      <c r="U43" s="499"/>
      <c r="W43" s="498" t="s">
        <v>36</v>
      </c>
      <c r="X43" s="500"/>
      <c r="Y43" s="500"/>
      <c r="Z43" s="500"/>
      <c r="AA43" s="500"/>
      <c r="AB43" s="499"/>
      <c r="AD43" s="418"/>
      <c r="AE43" s="420"/>
      <c r="AI43" s="6"/>
    </row>
    <row r="44" spans="2:35">
      <c r="C44" s="5"/>
      <c r="D44" s="497" t="s">
        <v>22</v>
      </c>
      <c r="E44" s="497"/>
      <c r="F44" s="413" t="s">
        <v>130</v>
      </c>
      <c r="G44" s="415"/>
      <c r="H44" s="487">
        <f>H31</f>
        <v>1.5</v>
      </c>
      <c r="I44" s="489"/>
      <c r="J44" s="502" t="s">
        <v>133</v>
      </c>
      <c r="K44" s="503"/>
      <c r="L44" s="503"/>
      <c r="M44" s="504">
        <f t="shared" ref="M44:M49" si="0">M31</f>
        <v>22.598917665331669</v>
      </c>
      <c r="N44" s="504"/>
      <c r="O44" s="505"/>
      <c r="P44" s="502" t="s">
        <v>140</v>
      </c>
      <c r="Q44" s="503"/>
      <c r="R44" s="503"/>
      <c r="S44" s="504">
        <f>S31</f>
        <v>0</v>
      </c>
      <c r="T44" s="504"/>
      <c r="U44" s="505"/>
      <c r="W44" s="502" t="s">
        <v>244</v>
      </c>
      <c r="X44" s="503"/>
      <c r="Y44" s="503"/>
      <c r="Z44" s="504">
        <f t="shared" ref="Z44:Z49" si="1">M44+S44</f>
        <v>22.598917665331669</v>
      </c>
      <c r="AA44" s="504"/>
      <c r="AB44" s="505"/>
      <c r="AD44" s="554">
        <f>'1.設計条件'!N23</f>
        <v>15</v>
      </c>
      <c r="AE44" s="555"/>
      <c r="AI44" s="6"/>
    </row>
    <row r="45" spans="2:35">
      <c r="C45" s="5"/>
      <c r="D45" s="497"/>
      <c r="E45" s="497"/>
      <c r="F45" s="418" t="s">
        <v>131</v>
      </c>
      <c r="G45" s="420"/>
      <c r="H45" s="490"/>
      <c r="I45" s="492"/>
      <c r="J45" s="513" t="s">
        <v>134</v>
      </c>
      <c r="K45" s="514"/>
      <c r="L45" s="514"/>
      <c r="M45" s="515">
        <f t="shared" si="0"/>
        <v>22.598917665331669</v>
      </c>
      <c r="N45" s="515"/>
      <c r="O45" s="516"/>
      <c r="P45" s="513" t="s">
        <v>147</v>
      </c>
      <c r="Q45" s="514"/>
      <c r="R45" s="514"/>
      <c r="S45" s="515">
        <f>S32</f>
        <v>0</v>
      </c>
      <c r="T45" s="515"/>
      <c r="U45" s="516"/>
      <c r="W45" s="513" t="s">
        <v>245</v>
      </c>
      <c r="X45" s="514"/>
      <c r="Y45" s="514"/>
      <c r="Z45" s="515">
        <f t="shared" si="1"/>
        <v>22.598917665331669</v>
      </c>
      <c r="AA45" s="515"/>
      <c r="AB45" s="516"/>
      <c r="AD45" s="556"/>
      <c r="AE45" s="557"/>
      <c r="AI45" s="6"/>
    </row>
    <row r="46" spans="2:35">
      <c r="C46" s="5"/>
      <c r="D46" s="554" t="s">
        <v>94</v>
      </c>
      <c r="E46" s="555"/>
      <c r="F46" s="413" t="s">
        <v>130</v>
      </c>
      <c r="G46" s="415"/>
      <c r="H46" s="487">
        <f>H33</f>
        <v>4.5</v>
      </c>
      <c r="I46" s="489"/>
      <c r="J46" s="502" t="s">
        <v>135</v>
      </c>
      <c r="K46" s="503"/>
      <c r="L46" s="503"/>
      <c r="M46" s="504">
        <f t="shared" si="0"/>
        <v>22.598917665331669</v>
      </c>
      <c r="N46" s="504"/>
      <c r="O46" s="505"/>
      <c r="P46" s="502" t="s">
        <v>142</v>
      </c>
      <c r="Q46" s="503"/>
      <c r="R46" s="503"/>
      <c r="S46" s="504">
        <f>S33</f>
        <v>0</v>
      </c>
      <c r="T46" s="504"/>
      <c r="U46" s="505"/>
      <c r="W46" s="502" t="s">
        <v>246</v>
      </c>
      <c r="X46" s="503"/>
      <c r="Y46" s="503"/>
      <c r="Z46" s="504">
        <f t="shared" si="1"/>
        <v>22.598917665331669</v>
      </c>
      <c r="AA46" s="504"/>
      <c r="AB46" s="505"/>
      <c r="AD46" s="554">
        <f>'1.設計条件'!N24</f>
        <v>15</v>
      </c>
      <c r="AE46" s="555"/>
      <c r="AI46" s="6"/>
    </row>
    <row r="47" spans="2:35">
      <c r="C47" s="5"/>
      <c r="D47" s="556"/>
      <c r="E47" s="557"/>
      <c r="F47" s="418" t="s">
        <v>131</v>
      </c>
      <c r="G47" s="420"/>
      <c r="H47" s="490"/>
      <c r="I47" s="492"/>
      <c r="J47" s="513" t="s">
        <v>136</v>
      </c>
      <c r="K47" s="514"/>
      <c r="L47" s="514"/>
      <c r="M47" s="515">
        <f t="shared" si="0"/>
        <v>22.598917665331669</v>
      </c>
      <c r="N47" s="515"/>
      <c r="O47" s="516"/>
      <c r="P47" s="513" t="s">
        <v>143</v>
      </c>
      <c r="Q47" s="514"/>
      <c r="R47" s="514"/>
      <c r="S47" s="515">
        <f>S34</f>
        <v>45</v>
      </c>
      <c r="T47" s="515"/>
      <c r="U47" s="516"/>
      <c r="W47" s="513" t="s">
        <v>247</v>
      </c>
      <c r="X47" s="514"/>
      <c r="Y47" s="514"/>
      <c r="Z47" s="515">
        <f t="shared" si="1"/>
        <v>67.598917665331669</v>
      </c>
      <c r="AA47" s="515"/>
      <c r="AB47" s="516"/>
      <c r="AD47" s="556"/>
      <c r="AE47" s="557"/>
      <c r="AI47" s="6"/>
    </row>
    <row r="48" spans="2:35">
      <c r="C48" s="5"/>
      <c r="D48" s="554" t="s">
        <v>445</v>
      </c>
      <c r="E48" s="555"/>
      <c r="F48" s="413" t="s">
        <v>130</v>
      </c>
      <c r="G48" s="415"/>
      <c r="H48" s="735">
        <f>M9</f>
        <v>1.3924554943901861</v>
      </c>
      <c r="I48" s="736"/>
      <c r="J48" s="503" t="s">
        <v>137</v>
      </c>
      <c r="K48" s="503"/>
      <c r="L48" s="503"/>
      <c r="M48" s="504">
        <f t="shared" si="0"/>
        <v>22.598917665331669</v>
      </c>
      <c r="N48" s="504"/>
      <c r="O48" s="505"/>
      <c r="P48" s="502" t="s">
        <v>144</v>
      </c>
      <c r="Q48" s="503"/>
      <c r="R48" s="503"/>
      <c r="S48" s="504">
        <f>S35</f>
        <v>45</v>
      </c>
      <c r="T48" s="504"/>
      <c r="U48" s="505"/>
      <c r="W48" s="502" t="s">
        <v>605</v>
      </c>
      <c r="X48" s="503"/>
      <c r="Y48" s="503"/>
      <c r="Z48" s="504">
        <f t="shared" si="1"/>
        <v>67.598917665331669</v>
      </c>
      <c r="AA48" s="504"/>
      <c r="AB48" s="505"/>
      <c r="AD48" s="554">
        <f>'1.設計条件'!N26</f>
        <v>15</v>
      </c>
      <c r="AE48" s="555"/>
      <c r="AI48" s="6"/>
    </row>
    <row r="49" spans="3:35">
      <c r="C49" s="5"/>
      <c r="D49" s="556"/>
      <c r="E49" s="557"/>
      <c r="F49" s="418" t="s">
        <v>131</v>
      </c>
      <c r="G49" s="420"/>
      <c r="H49" s="737"/>
      <c r="I49" s="738"/>
      <c r="J49" s="514" t="s">
        <v>443</v>
      </c>
      <c r="K49" s="514"/>
      <c r="L49" s="514"/>
      <c r="M49" s="515">
        <f t="shared" si="0"/>
        <v>22.598917665331669</v>
      </c>
      <c r="N49" s="515"/>
      <c r="O49" s="516"/>
      <c r="P49" s="513" t="s">
        <v>451</v>
      </c>
      <c r="Q49" s="514"/>
      <c r="R49" s="514"/>
      <c r="S49" s="515">
        <f>S48/(H35+H37)*(H35+H37-H48)</f>
        <v>29.554898620308919</v>
      </c>
      <c r="T49" s="515"/>
      <c r="U49" s="516"/>
      <c r="W49" s="659" t="s">
        <v>622</v>
      </c>
      <c r="X49" s="660"/>
      <c r="Y49" s="660"/>
      <c r="Z49" s="591">
        <f t="shared" si="1"/>
        <v>52.153816285640588</v>
      </c>
      <c r="AA49" s="591"/>
      <c r="AB49" s="578"/>
      <c r="AD49" s="556"/>
      <c r="AE49" s="557"/>
      <c r="AI49" s="6"/>
    </row>
    <row r="50" spans="3:35">
      <c r="C50" s="5"/>
      <c r="W50" s="275"/>
      <c r="X50" s="275"/>
      <c r="Y50" s="275"/>
      <c r="Z50" s="276"/>
      <c r="AA50" s="276"/>
      <c r="AB50" s="276"/>
      <c r="AI50" s="6"/>
    </row>
    <row r="51" spans="3:35">
      <c r="C51" s="5"/>
      <c r="W51" s="134"/>
      <c r="X51" s="134"/>
      <c r="Y51" s="134"/>
      <c r="Z51" s="96"/>
      <c r="AA51" s="96"/>
      <c r="AB51" s="96"/>
      <c r="AI51" s="6"/>
    </row>
    <row r="52" spans="3:35">
      <c r="C52" s="5"/>
      <c r="W52" s="134"/>
      <c r="X52" s="134"/>
      <c r="Y52" s="134"/>
      <c r="Z52" s="96"/>
      <c r="AA52" s="96"/>
      <c r="AB52" s="96"/>
      <c r="AI52" s="6"/>
    </row>
    <row r="53" spans="3:35">
      <c r="C53" s="5"/>
      <c r="F53" s="410" t="s">
        <v>413</v>
      </c>
      <c r="G53" s="412"/>
      <c r="H53" s="412"/>
      <c r="I53" s="412"/>
      <c r="J53" s="412"/>
      <c r="K53" s="412"/>
      <c r="L53" s="412"/>
      <c r="M53" s="412"/>
      <c r="N53" s="412"/>
      <c r="O53" s="412"/>
      <c r="P53" s="412"/>
      <c r="Q53" s="412"/>
      <c r="R53" s="411"/>
      <c r="S53" s="410" t="s">
        <v>248</v>
      </c>
      <c r="T53" s="412"/>
      <c r="U53" s="411"/>
      <c r="V53" s="134"/>
      <c r="W53" s="96"/>
      <c r="X53" s="96"/>
      <c r="Y53" s="96"/>
      <c r="AI53" s="6"/>
    </row>
    <row r="54" spans="3:35">
      <c r="C54" s="5"/>
      <c r="F54" s="5"/>
      <c r="R54" s="6"/>
      <c r="S54" s="508" t="s">
        <v>33</v>
      </c>
      <c r="T54" s="509"/>
      <c r="U54" s="510"/>
      <c r="V54" s="134"/>
      <c r="W54" s="96"/>
      <c r="X54" s="96"/>
      <c r="Y54" s="96"/>
      <c r="AI54" s="6"/>
    </row>
    <row r="55" spans="3:35">
      <c r="C55" s="5"/>
      <c r="F55" s="189"/>
      <c r="G55" s="25"/>
      <c r="H55" s="25"/>
      <c r="I55" s="25"/>
      <c r="J55" s="25"/>
      <c r="K55" s="25"/>
      <c r="L55" s="25"/>
      <c r="M55" s="25"/>
      <c r="N55" s="25"/>
      <c r="O55" s="25"/>
      <c r="P55" s="25"/>
      <c r="Q55" s="25"/>
      <c r="R55" s="271"/>
      <c r="S55" s="498" t="s">
        <v>570</v>
      </c>
      <c r="T55" s="500"/>
      <c r="U55" s="499"/>
      <c r="V55" s="134"/>
      <c r="W55" s="96"/>
      <c r="X55" s="96"/>
      <c r="Y55" s="96"/>
      <c r="AI55" s="6"/>
    </row>
    <row r="56" spans="3:35">
      <c r="C56" s="5"/>
      <c r="D56" s="398" t="s">
        <v>22</v>
      </c>
      <c r="E56" s="398"/>
      <c r="F56" s="269"/>
      <c r="G56" s="546">
        <f>Z44</f>
        <v>22.598917665331669</v>
      </c>
      <c r="H56" s="546"/>
      <c r="I56" s="70" t="s">
        <v>27</v>
      </c>
      <c r="J56" s="546">
        <f>H44</f>
        <v>1.5</v>
      </c>
      <c r="K56" s="546"/>
      <c r="L56" s="70"/>
      <c r="M56" s="70"/>
      <c r="N56" s="70"/>
      <c r="O56" s="70"/>
      <c r="P56" s="70"/>
      <c r="Q56" s="70"/>
      <c r="R56" s="270" t="s">
        <v>2</v>
      </c>
      <c r="S56" s="397">
        <f>G56*J56</f>
        <v>33.898376497997504</v>
      </c>
      <c r="T56" s="397"/>
      <c r="U56" s="397"/>
      <c r="V56" s="134"/>
      <c r="W56" s="96"/>
      <c r="X56" s="96"/>
      <c r="Y56" s="96"/>
      <c r="AI56" s="6"/>
    </row>
    <row r="57" spans="3:35">
      <c r="C57" s="5"/>
      <c r="D57" s="398" t="s">
        <v>94</v>
      </c>
      <c r="E57" s="398"/>
      <c r="F57" s="279" t="s">
        <v>69</v>
      </c>
      <c r="G57" s="546">
        <f>Z46</f>
        <v>22.598917665331669</v>
      </c>
      <c r="H57" s="546"/>
      <c r="I57" t="s">
        <v>68</v>
      </c>
      <c r="J57" s="546">
        <f>Z47</f>
        <v>67.598917665331669</v>
      </c>
      <c r="K57" s="546"/>
      <c r="L57" t="s">
        <v>83</v>
      </c>
      <c r="M57" t="s">
        <v>27</v>
      </c>
      <c r="N57" s="546">
        <f>H46</f>
        <v>4.5</v>
      </c>
      <c r="O57" s="546"/>
      <c r="P57" t="s">
        <v>70</v>
      </c>
      <c r="Q57">
        <v>2</v>
      </c>
      <c r="R57" t="s">
        <v>2</v>
      </c>
      <c r="S57" s="397">
        <f>(G57+J57)*N57/Q57</f>
        <v>202.94512949399251</v>
      </c>
      <c r="T57" s="397"/>
      <c r="U57" s="397"/>
      <c r="V57" s="134"/>
      <c r="W57" s="96"/>
      <c r="X57" s="96"/>
      <c r="Y57" s="96"/>
      <c r="AI57" s="6"/>
    </row>
    <row r="58" spans="3:35" ht="19.5" thickBot="1">
      <c r="C58" s="5"/>
      <c r="D58" s="754" t="s">
        <v>445</v>
      </c>
      <c r="E58" s="754"/>
      <c r="F58" s="272" t="s">
        <v>69</v>
      </c>
      <c r="G58" s="640">
        <f>Z48</f>
        <v>67.598917665331669</v>
      </c>
      <c r="H58" s="640"/>
      <c r="I58" s="273" t="s">
        <v>68</v>
      </c>
      <c r="J58" s="640">
        <f>Z49</f>
        <v>52.153816285640588</v>
      </c>
      <c r="K58" s="640"/>
      <c r="L58" s="273" t="s">
        <v>83</v>
      </c>
      <c r="M58" s="273" t="s">
        <v>27</v>
      </c>
      <c r="N58" s="640">
        <f>H48</f>
        <v>1.3924554943901861</v>
      </c>
      <c r="O58" s="640"/>
      <c r="P58" s="273" t="s">
        <v>70</v>
      </c>
      <c r="Q58" s="273">
        <v>2</v>
      </c>
      <c r="R58" s="274" t="s">
        <v>2</v>
      </c>
      <c r="S58" s="830">
        <f>(G58+J58)*N58/Q58</f>
        <v>83.375176179138748</v>
      </c>
      <c r="T58" s="830"/>
      <c r="U58" s="830"/>
      <c r="V58" s="134"/>
      <c r="W58" s="96"/>
      <c r="X58" s="96"/>
      <c r="Y58" s="96"/>
      <c r="AI58" s="6"/>
    </row>
    <row r="59" spans="3:35" ht="19.5" thickTop="1">
      <c r="C59" s="5"/>
      <c r="D59" s="498" t="s">
        <v>579</v>
      </c>
      <c r="E59" s="499"/>
      <c r="F59" s="189"/>
      <c r="G59" s="25"/>
      <c r="H59" s="25"/>
      <c r="I59" s="25"/>
      <c r="J59" s="25"/>
      <c r="K59" s="25"/>
      <c r="L59" s="25"/>
      <c r="M59" s="25"/>
      <c r="N59" s="25"/>
      <c r="O59" s="25"/>
      <c r="P59" s="25"/>
      <c r="Q59" s="25"/>
      <c r="R59" s="271"/>
      <c r="S59" s="560">
        <f>SUM(S56:U58)</f>
        <v>320.21868217112876</v>
      </c>
      <c r="T59" s="500"/>
      <c r="U59" s="499"/>
      <c r="V59" s="134"/>
      <c r="W59" s="96"/>
      <c r="X59" s="96"/>
      <c r="Y59" s="96"/>
      <c r="AI59" s="6"/>
    </row>
    <row r="60" spans="3:35">
      <c r="C60" s="5"/>
      <c r="W60" s="134"/>
      <c r="X60" s="134"/>
      <c r="Y60" s="134"/>
      <c r="Z60" s="96"/>
      <c r="AA60" s="96"/>
      <c r="AB60" s="96"/>
      <c r="AI60" s="6"/>
    </row>
    <row r="61" spans="3:35">
      <c r="C61" s="5"/>
      <c r="AI61" s="6"/>
    </row>
    <row r="62" spans="3:35">
      <c r="C62" s="5"/>
      <c r="D62" t="s">
        <v>649</v>
      </c>
      <c r="AI62" s="6"/>
    </row>
    <row r="63" spans="3:35">
      <c r="C63" s="5"/>
      <c r="F63" s="568" t="s">
        <v>642</v>
      </c>
      <c r="G63" s="568"/>
      <c r="H63" s="525" t="s">
        <v>222</v>
      </c>
      <c r="I63" s="500" t="s">
        <v>579</v>
      </c>
      <c r="J63" s="500"/>
      <c r="K63" s="525" t="s">
        <v>222</v>
      </c>
      <c r="L63" s="515">
        <f>S59</f>
        <v>320.21868217112876</v>
      </c>
      <c r="M63" s="500"/>
      <c r="N63" s="500"/>
      <c r="P63" s="525" t="s">
        <v>222</v>
      </c>
      <c r="Q63" s="661">
        <f>L63/L64</f>
        <v>43.31695772996251</v>
      </c>
      <c r="R63" s="661"/>
      <c r="S63" s="831" t="s">
        <v>276</v>
      </c>
      <c r="T63" s="831"/>
      <c r="U63" s="831"/>
      <c r="AI63" s="6"/>
    </row>
    <row r="64" spans="3:35" ht="20.25">
      <c r="C64" s="5"/>
      <c r="F64" s="568"/>
      <c r="G64" s="568"/>
      <c r="H64" s="525"/>
      <c r="I64" s="425" t="s">
        <v>641</v>
      </c>
      <c r="J64" s="425"/>
      <c r="K64" s="525"/>
      <c r="L64" s="591">
        <f>G10</f>
        <v>7.3924554943901857</v>
      </c>
      <c r="M64" s="425"/>
      <c r="N64" s="425"/>
      <c r="P64" s="525"/>
      <c r="Q64" s="661"/>
      <c r="R64" s="661"/>
      <c r="S64" s="831"/>
      <c r="T64" s="831"/>
      <c r="U64" s="831"/>
      <c r="AI64" s="6"/>
    </row>
    <row r="65" spans="2:35">
      <c r="C65" s="189"/>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71"/>
    </row>
    <row r="67" spans="2:35">
      <c r="B67" t="s">
        <v>675</v>
      </c>
    </row>
    <row r="68" spans="2:35">
      <c r="B68" s="268"/>
      <c r="C68" s="808" t="s">
        <v>673</v>
      </c>
      <c r="D68" s="809"/>
      <c r="E68" s="809"/>
      <c r="F68" s="809"/>
      <c r="G68" s="809"/>
      <c r="H68" s="809"/>
      <c r="I68" s="809"/>
      <c r="J68" s="809"/>
      <c r="K68" s="809"/>
      <c r="L68" s="809"/>
      <c r="M68" s="809"/>
      <c r="N68" s="809"/>
      <c r="O68" s="809"/>
      <c r="P68" s="809"/>
      <c r="Q68" s="809"/>
      <c r="R68" s="809"/>
      <c r="S68" s="809"/>
      <c r="T68" s="809"/>
      <c r="U68" s="809"/>
      <c r="V68" s="809"/>
      <c r="W68" s="809"/>
      <c r="X68" s="809"/>
      <c r="Y68" s="809"/>
      <c r="Z68" s="809"/>
      <c r="AA68" s="809"/>
      <c r="AB68" s="809"/>
      <c r="AC68" s="809"/>
      <c r="AD68" s="809"/>
      <c r="AE68" s="809"/>
      <c r="AF68" s="809"/>
      <c r="AG68" s="809"/>
      <c r="AH68" s="809"/>
      <c r="AI68" s="810"/>
    </row>
    <row r="69" spans="2:35">
      <c r="B69" s="268"/>
      <c r="C69" s="811"/>
      <c r="D69" s="812"/>
      <c r="E69" s="812"/>
      <c r="F69" s="812"/>
      <c r="G69" s="812"/>
      <c r="H69" s="812"/>
      <c r="I69" s="812"/>
      <c r="J69" s="812"/>
      <c r="K69" s="812"/>
      <c r="L69" s="812"/>
      <c r="M69" s="812"/>
      <c r="N69" s="812"/>
      <c r="O69" s="812"/>
      <c r="P69" s="812"/>
      <c r="Q69" s="812"/>
      <c r="R69" s="812"/>
      <c r="S69" s="812"/>
      <c r="T69" s="812"/>
      <c r="U69" s="812"/>
      <c r="V69" s="812"/>
      <c r="W69" s="812"/>
      <c r="X69" s="812"/>
      <c r="Y69" s="812"/>
      <c r="Z69" s="812"/>
      <c r="AA69" s="812"/>
      <c r="AB69" s="812"/>
      <c r="AC69" s="812"/>
      <c r="AD69" s="812"/>
      <c r="AE69" s="812"/>
      <c r="AF69" s="812"/>
      <c r="AG69" s="812"/>
      <c r="AH69" s="812"/>
      <c r="AI69" s="813"/>
    </row>
    <row r="70" spans="2:35">
      <c r="C70" s="5"/>
      <c r="AI70" s="6"/>
    </row>
    <row r="71" spans="2:35" ht="18.75" customHeight="1">
      <c r="C71" s="5"/>
      <c r="F71" s="568" t="s">
        <v>650</v>
      </c>
      <c r="G71" s="568"/>
      <c r="H71" s="525" t="s">
        <v>222</v>
      </c>
      <c r="I71" s="500" t="s">
        <v>651</v>
      </c>
      <c r="J71" s="500"/>
      <c r="K71" s="500"/>
      <c r="L71" s="500"/>
      <c r="AI71" s="6"/>
    </row>
    <row r="72" spans="2:35">
      <c r="C72" s="5"/>
      <c r="F72" s="568"/>
      <c r="G72" s="568"/>
      <c r="H72" s="525"/>
      <c r="I72" s="425" t="s">
        <v>652</v>
      </c>
      <c r="J72" s="425"/>
      <c r="K72" s="425"/>
      <c r="L72" s="425"/>
      <c r="AI72" s="6"/>
    </row>
    <row r="73" spans="2:35">
      <c r="C73" s="5"/>
      <c r="AI73" s="6"/>
    </row>
    <row r="74" spans="2:35">
      <c r="C74" s="5"/>
      <c r="H74" s="525" t="s">
        <v>222</v>
      </c>
      <c r="I74" s="25"/>
      <c r="J74" s="25">
        <v>5</v>
      </c>
      <c r="K74" s="25" t="s">
        <v>27</v>
      </c>
      <c r="L74" s="515">
        <f>K80</f>
        <v>43.31695772996251</v>
      </c>
      <c r="M74" s="515"/>
      <c r="N74" s="515"/>
      <c r="O74" s="25" t="s">
        <v>27</v>
      </c>
      <c r="P74" s="515">
        <f>K81</f>
        <v>7.3924554943901857</v>
      </c>
      <c r="Q74" s="515"/>
      <c r="R74" s="25" t="s">
        <v>653</v>
      </c>
      <c r="S74" s="25"/>
      <c r="T74" s="25"/>
      <c r="U74" s="25"/>
      <c r="V74" s="25"/>
      <c r="AI74" s="6"/>
    </row>
    <row r="75" spans="2:35">
      <c r="C75" s="5"/>
      <c r="H75" s="525"/>
      <c r="I75" s="425">
        <v>384</v>
      </c>
      <c r="J75" s="425"/>
      <c r="K75" t="s">
        <v>27</v>
      </c>
      <c r="L75" s="822">
        <f>R82</f>
        <v>200000000</v>
      </c>
      <c r="M75" s="823"/>
      <c r="N75" s="823"/>
      <c r="O75" s="823"/>
      <c r="P75" t="s">
        <v>27</v>
      </c>
      <c r="Q75" s="824">
        <f>R83</f>
        <v>1.6799999999999999E-4</v>
      </c>
      <c r="R75" s="824"/>
      <c r="S75" s="824"/>
      <c r="T75" t="s">
        <v>27</v>
      </c>
      <c r="U75" s="825">
        <f>K84</f>
        <v>0.45</v>
      </c>
      <c r="V75" s="825"/>
      <c r="AI75" s="6"/>
    </row>
    <row r="76" spans="2:35">
      <c r="C76" s="5"/>
      <c r="H76" s="94"/>
      <c r="I76" s="81"/>
      <c r="J76" s="81"/>
      <c r="L76" s="281"/>
      <c r="M76" s="81"/>
      <c r="N76" s="81"/>
      <c r="O76" s="81"/>
      <c r="Q76" s="281"/>
      <c r="R76" s="281"/>
      <c r="S76" s="281"/>
      <c r="U76" s="282"/>
      <c r="V76" s="282"/>
      <c r="AI76" s="6"/>
    </row>
    <row r="77" spans="2:35">
      <c r="C77" s="5"/>
      <c r="H77" s="94" t="s">
        <v>2</v>
      </c>
      <c r="I77" s="816">
        <f>J74*L74*P74^4/(I75*L75*Q75*U75)</f>
        <v>0.11140375010354953</v>
      </c>
      <c r="J77" s="817"/>
      <c r="K77" s="818"/>
      <c r="L77" t="s">
        <v>3</v>
      </c>
      <c r="M77" s="81"/>
      <c r="N77" s="81"/>
      <c r="O77" s="81"/>
      <c r="Q77" s="281"/>
      <c r="R77" s="281"/>
      <c r="S77" s="281"/>
      <c r="U77" s="282"/>
      <c r="V77" s="282"/>
      <c r="AI77" s="6"/>
    </row>
    <row r="78" spans="2:35">
      <c r="C78" s="5"/>
      <c r="H78" s="94"/>
      <c r="I78" s="81"/>
      <c r="J78" s="81"/>
      <c r="L78" s="281"/>
      <c r="M78" s="81"/>
      <c r="N78" s="81"/>
      <c r="O78" s="81"/>
      <c r="Q78" s="281"/>
      <c r="R78" s="281"/>
      <c r="S78" s="281"/>
      <c r="U78" s="282"/>
      <c r="V78" s="282"/>
      <c r="AI78" s="6"/>
    </row>
    <row r="79" spans="2:35">
      <c r="C79" s="5"/>
      <c r="G79" s="2" t="s">
        <v>260</v>
      </c>
      <c r="H79" s="53"/>
      <c r="I79" s="51"/>
      <c r="J79" s="51"/>
      <c r="K79" s="3"/>
      <c r="L79" s="278"/>
      <c r="M79" s="51"/>
      <c r="N79" s="51"/>
      <c r="O79" s="51"/>
      <c r="P79" s="3"/>
      <c r="Q79" s="278"/>
      <c r="R79" s="278"/>
      <c r="S79" s="278"/>
      <c r="T79" s="3"/>
      <c r="U79" s="288"/>
      <c r="V79" s="288"/>
      <c r="W79" s="3"/>
      <c r="X79" s="3"/>
      <c r="Y79" s="3"/>
      <c r="Z79" s="3"/>
      <c r="AA79" s="3"/>
      <c r="AB79" s="3"/>
      <c r="AC79" s="3"/>
      <c r="AD79" s="3"/>
      <c r="AE79" s="3"/>
      <c r="AF79" s="3"/>
      <c r="AG79" s="3"/>
      <c r="AH79" s="4"/>
      <c r="AI79" s="6"/>
    </row>
    <row r="80" spans="2:35">
      <c r="C80" s="5"/>
      <c r="G80" s="5"/>
      <c r="H80" s="360" t="s">
        <v>642</v>
      </c>
      <c r="I80" s="360"/>
      <c r="J80" s="13" t="s">
        <v>2</v>
      </c>
      <c r="K80" s="848">
        <f>Q63</f>
        <v>43.31695772996251</v>
      </c>
      <c r="L80" s="848"/>
      <c r="M80" s="848"/>
      <c r="N80" s="13" t="s">
        <v>276</v>
      </c>
      <c r="Q80" s="13"/>
      <c r="R80" s="289"/>
      <c r="S80" s="289"/>
      <c r="T80" s="289"/>
      <c r="AH80" s="6"/>
      <c r="AI80" s="6"/>
    </row>
    <row r="81" spans="3:35" ht="20.25">
      <c r="C81" s="5"/>
      <c r="G81" s="5"/>
      <c r="H81" s="425" t="s">
        <v>641</v>
      </c>
      <c r="I81" s="425"/>
      <c r="J81" s="13" t="s">
        <v>2</v>
      </c>
      <c r="K81" s="848">
        <f>G10</f>
        <v>7.3924554943901857</v>
      </c>
      <c r="L81" s="848"/>
      <c r="M81" s="848"/>
      <c r="N81" s="13" t="s">
        <v>3</v>
      </c>
      <c r="Q81" s="13"/>
      <c r="R81" s="289"/>
      <c r="S81" s="289"/>
      <c r="T81" s="289"/>
      <c r="U81" s="13"/>
      <c r="AH81" s="6"/>
      <c r="AI81" s="6"/>
    </row>
    <row r="82" spans="3:35" ht="20.25">
      <c r="C82" s="5"/>
      <c r="G82" s="5"/>
      <c r="H82" s="360" t="s">
        <v>58</v>
      </c>
      <c r="I82" s="360"/>
      <c r="J82" s="13" t="s">
        <v>2</v>
      </c>
      <c r="K82" s="844">
        <f>'1.設計条件'!T41</f>
        <v>200000</v>
      </c>
      <c r="L82" s="844"/>
      <c r="M82" s="844"/>
      <c r="N82" s="13" t="s">
        <v>48</v>
      </c>
      <c r="Q82" s="13" t="s">
        <v>2</v>
      </c>
      <c r="R82" s="844">
        <f>K82*1000</f>
        <v>200000000</v>
      </c>
      <c r="S82" s="844"/>
      <c r="T82" s="844"/>
      <c r="U82" s="844"/>
      <c r="V82" s="844"/>
      <c r="W82" s="13"/>
      <c r="X82" s="13" t="s">
        <v>41</v>
      </c>
      <c r="AH82" s="6"/>
      <c r="AI82" s="6"/>
    </row>
    <row r="83" spans="3:35" ht="20.25">
      <c r="C83" s="5"/>
      <c r="G83" s="5"/>
      <c r="H83" s="360" t="s">
        <v>57</v>
      </c>
      <c r="I83" s="360"/>
      <c r="J83" s="13" t="s">
        <v>2</v>
      </c>
      <c r="K83" s="847">
        <f>'1.設計条件'!T38</f>
        <v>16800</v>
      </c>
      <c r="L83" s="847"/>
      <c r="M83" s="847"/>
      <c r="N83" s="13" t="s">
        <v>306</v>
      </c>
      <c r="Q83" s="13" t="s">
        <v>2</v>
      </c>
      <c r="R83" s="846">
        <f>K83/100000000</f>
        <v>1.6799999999999999E-4</v>
      </c>
      <c r="S83" s="846"/>
      <c r="T83" s="846"/>
      <c r="U83" s="13" t="s">
        <v>676</v>
      </c>
      <c r="AH83" s="6"/>
      <c r="AI83" s="6"/>
    </row>
    <row r="84" spans="3:35">
      <c r="C84" s="5"/>
      <c r="G84" s="5"/>
      <c r="H84" s="360" t="s">
        <v>654</v>
      </c>
      <c r="I84" s="360"/>
      <c r="J84" s="13" t="s">
        <v>2</v>
      </c>
      <c r="K84" s="776">
        <f>'1.設計条件'!T43</f>
        <v>0.45</v>
      </c>
      <c r="L84" s="776"/>
      <c r="M84" s="776"/>
      <c r="AH84" s="6"/>
      <c r="AI84" s="6"/>
    </row>
    <row r="85" spans="3:35">
      <c r="C85" s="5"/>
      <c r="G85" s="189"/>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71"/>
      <c r="AI85" s="6"/>
    </row>
    <row r="86" spans="3:35">
      <c r="C86" s="5"/>
      <c r="AI86" s="6"/>
    </row>
    <row r="87" spans="3:35">
      <c r="C87" s="5"/>
      <c r="F87" s="568" t="s">
        <v>655</v>
      </c>
      <c r="G87" s="568"/>
      <c r="H87" s="525" t="s">
        <v>222</v>
      </c>
      <c r="I87" s="500" t="s">
        <v>656</v>
      </c>
      <c r="J87" s="500"/>
      <c r="K87" s="500"/>
      <c r="L87" s="500"/>
      <c r="AI87" s="6"/>
    </row>
    <row r="88" spans="3:35">
      <c r="C88" s="5"/>
      <c r="F88" s="568"/>
      <c r="G88" s="568"/>
      <c r="H88" s="525"/>
      <c r="I88" s="425" t="s">
        <v>657</v>
      </c>
      <c r="J88" s="425"/>
      <c r="K88" s="425"/>
      <c r="L88" s="425"/>
      <c r="AI88" s="6"/>
    </row>
    <row r="89" spans="3:35">
      <c r="C89" s="5"/>
      <c r="AI89" s="6"/>
    </row>
    <row r="90" spans="3:35">
      <c r="C90" s="5"/>
      <c r="H90" s="525" t="s">
        <v>222</v>
      </c>
      <c r="I90" s="425">
        <v>0.5</v>
      </c>
      <c r="J90" s="425"/>
      <c r="K90" t="s">
        <v>27</v>
      </c>
      <c r="L90" s="825">
        <f>K80</f>
        <v>43.31695772996251</v>
      </c>
      <c r="M90" s="825"/>
      <c r="N90" s="825"/>
      <c r="O90" t="s">
        <v>27</v>
      </c>
      <c r="P90" s="825">
        <f>K81</f>
        <v>7.3924554943901857</v>
      </c>
      <c r="Q90" s="825"/>
      <c r="R90" s="825"/>
      <c r="AI90" s="6"/>
    </row>
    <row r="91" spans="3:35">
      <c r="C91" s="5"/>
      <c r="H91" s="525"/>
      <c r="I91" s="3">
        <v>2</v>
      </c>
      <c r="J91" s="3" t="s">
        <v>27</v>
      </c>
      <c r="K91" s="504">
        <f>K103</f>
        <v>10091.80793936597</v>
      </c>
      <c r="L91" s="412"/>
      <c r="M91" s="412"/>
      <c r="N91" s="3" t="s">
        <v>27</v>
      </c>
      <c r="O91" s="814">
        <f>T126</f>
        <v>2.7849109887803722</v>
      </c>
      <c r="P91" s="814"/>
      <c r="Q91" s="814"/>
      <c r="R91" s="3" t="s">
        <v>27</v>
      </c>
      <c r="S91" s="504">
        <f>S128</f>
        <v>1</v>
      </c>
      <c r="T91" s="504"/>
      <c r="U91" s="504"/>
      <c r="AI91" s="6"/>
    </row>
    <row r="92" spans="3:35">
      <c r="C92" s="5"/>
      <c r="AI92" s="6"/>
    </row>
    <row r="93" spans="3:35">
      <c r="C93" s="5"/>
      <c r="H93" t="s">
        <v>2</v>
      </c>
      <c r="I93" s="816">
        <f>I90*L90*P90/(I91*K91*O91*S91)</f>
        <v>2.8484354297208456E-3</v>
      </c>
      <c r="J93" s="817"/>
      <c r="K93" s="818"/>
      <c r="L93" t="s">
        <v>3</v>
      </c>
      <c r="AI93" s="6"/>
    </row>
    <row r="94" spans="3:35">
      <c r="C94" s="5"/>
      <c r="AI94" s="6"/>
    </row>
    <row r="95" spans="3:35">
      <c r="C95" s="5"/>
      <c r="G95" s="2" t="s">
        <v>260</v>
      </c>
      <c r="H95" s="3"/>
      <c r="I95" s="3"/>
      <c r="J95" s="3"/>
      <c r="K95" s="3"/>
      <c r="L95" s="3"/>
      <c r="M95" s="3"/>
      <c r="N95" s="3"/>
      <c r="O95" s="3"/>
      <c r="P95" s="3"/>
      <c r="Q95" s="3"/>
      <c r="R95" s="3"/>
      <c r="S95" s="3"/>
      <c r="T95" s="3"/>
      <c r="U95" s="3"/>
      <c r="V95" s="3"/>
      <c r="W95" s="3"/>
      <c r="X95" s="3"/>
      <c r="Y95" s="3"/>
      <c r="Z95" s="3"/>
      <c r="AA95" s="3"/>
      <c r="AB95" s="3"/>
      <c r="AC95" s="3"/>
      <c r="AD95" s="3"/>
      <c r="AE95" s="3"/>
      <c r="AF95" s="3"/>
      <c r="AG95" s="3"/>
      <c r="AH95" s="4"/>
      <c r="AI95" s="6"/>
    </row>
    <row r="96" spans="3:35" ht="21">
      <c r="C96" s="5"/>
      <c r="G96" s="5"/>
      <c r="H96" s="283" t="s">
        <v>677</v>
      </c>
      <c r="AH96" s="6"/>
      <c r="AI96" s="6"/>
    </row>
    <row r="97" spans="3:35">
      <c r="C97" s="5"/>
      <c r="G97" s="5"/>
      <c r="H97" s="568" t="s">
        <v>660</v>
      </c>
      <c r="I97" s="568"/>
      <c r="J97" s="525" t="s">
        <v>2</v>
      </c>
      <c r="K97" s="525" t="s">
        <v>658</v>
      </c>
      <c r="L97" s="568" t="s">
        <v>661</v>
      </c>
      <c r="M97" s="568"/>
      <c r="N97" s="525" t="s">
        <v>69</v>
      </c>
      <c r="O97" s="845" t="s">
        <v>664</v>
      </c>
      <c r="P97" s="845"/>
      <c r="Q97" s="525" t="s">
        <v>83</v>
      </c>
      <c r="R97" s="284" t="s">
        <v>659</v>
      </c>
      <c r="AH97" s="6"/>
      <c r="AI97" s="6"/>
    </row>
    <row r="98" spans="3:35">
      <c r="C98" s="5"/>
      <c r="G98" s="5"/>
      <c r="H98" s="568"/>
      <c r="I98" s="568"/>
      <c r="J98" s="525"/>
      <c r="K98" s="525"/>
      <c r="L98" s="568"/>
      <c r="M98" s="568"/>
      <c r="N98" s="525"/>
      <c r="O98" s="425">
        <v>0.3</v>
      </c>
      <c r="P98" s="425"/>
      <c r="Q98" s="525"/>
      <c r="AH98" s="6"/>
      <c r="AI98" s="6"/>
    </row>
    <row r="99" spans="3:35">
      <c r="C99" s="5"/>
      <c r="G99" s="5"/>
      <c r="H99" s="280"/>
      <c r="I99" s="280"/>
      <c r="J99" s="94"/>
      <c r="K99" s="94"/>
      <c r="L99" s="94"/>
      <c r="M99" s="280"/>
      <c r="N99" s="280"/>
      <c r="O99" s="94"/>
      <c r="P99" s="81"/>
      <c r="Q99" s="81"/>
      <c r="R99" s="94"/>
      <c r="AH99" s="6"/>
      <c r="AI99" s="6"/>
    </row>
    <row r="100" spans="3:35">
      <c r="C100" s="5"/>
      <c r="G100" s="5"/>
      <c r="H100" s="280"/>
      <c r="I100" s="280"/>
      <c r="J100" s="525" t="s">
        <v>2</v>
      </c>
      <c r="K100" s="525">
        <f>V105</f>
        <v>1</v>
      </c>
      <c r="L100" s="828" t="s">
        <v>27</v>
      </c>
      <c r="M100" s="567">
        <f>L114</f>
        <v>140000</v>
      </c>
      <c r="N100" s="567"/>
      <c r="O100" s="567"/>
      <c r="P100" s="567"/>
      <c r="Q100" s="525" t="s">
        <v>69</v>
      </c>
      <c r="R100" s="425">
        <f>S124</f>
        <v>10</v>
      </c>
      <c r="S100" s="425"/>
      <c r="T100" s="525" t="s">
        <v>83</v>
      </c>
      <c r="U100" s="284" t="s">
        <v>659</v>
      </c>
      <c r="AH100" s="6"/>
      <c r="AI100" s="6"/>
    </row>
    <row r="101" spans="3:35">
      <c r="C101" s="5"/>
      <c r="G101" s="5"/>
      <c r="H101" s="280"/>
      <c r="I101" s="280"/>
      <c r="J101" s="525"/>
      <c r="K101" s="525"/>
      <c r="L101" s="828"/>
      <c r="M101" s="567"/>
      <c r="N101" s="567"/>
      <c r="O101" s="567"/>
      <c r="P101" s="567"/>
      <c r="Q101" s="525"/>
      <c r="R101" s="425">
        <v>0.3</v>
      </c>
      <c r="S101" s="425"/>
      <c r="T101" s="525"/>
      <c r="AH101" s="6"/>
      <c r="AI101" s="6"/>
    </row>
    <row r="102" spans="3:35">
      <c r="C102" s="5"/>
      <c r="G102" s="5"/>
      <c r="H102" s="280"/>
      <c r="I102" s="280"/>
      <c r="J102" s="94"/>
      <c r="K102" s="94"/>
      <c r="L102" s="285"/>
      <c r="M102" s="94"/>
      <c r="N102" s="94"/>
      <c r="O102" s="94"/>
      <c r="P102" s="81"/>
      <c r="Q102" s="81"/>
      <c r="R102" s="94"/>
      <c r="AH102" s="6"/>
      <c r="AI102" s="6"/>
    </row>
    <row r="103" spans="3:35">
      <c r="C103" s="5"/>
      <c r="G103" s="5"/>
      <c r="J103" t="s">
        <v>2</v>
      </c>
      <c r="K103" s="827">
        <f>K100*M100*(R100/R101)^(-3/4)</f>
        <v>10091.80793936597</v>
      </c>
      <c r="L103" s="827"/>
      <c r="M103" s="827"/>
      <c r="AH103" s="6"/>
      <c r="AI103" s="6"/>
    </row>
    <row r="104" spans="3:35">
      <c r="C104" s="5"/>
      <c r="G104" s="5"/>
      <c r="AH104" s="6"/>
      <c r="AI104" s="6"/>
    </row>
    <row r="105" spans="3:35">
      <c r="C105" s="5"/>
      <c r="G105" s="5"/>
      <c r="I105" t="s">
        <v>665</v>
      </c>
      <c r="S105" s="425" t="s">
        <v>658</v>
      </c>
      <c r="T105" s="425"/>
      <c r="U105" t="s">
        <v>2</v>
      </c>
      <c r="V105" s="826">
        <v>1</v>
      </c>
      <c r="W105" s="826"/>
      <c r="AH105" s="6"/>
      <c r="AI105" s="6"/>
    </row>
    <row r="106" spans="3:35">
      <c r="C106" s="5"/>
      <c r="G106" s="5"/>
      <c r="I106" s="81"/>
      <c r="J106" s="81"/>
      <c r="AH106" s="6"/>
      <c r="AI106" s="6"/>
    </row>
    <row r="107" spans="3:35" ht="20.25">
      <c r="C107" s="5"/>
      <c r="G107" s="5"/>
      <c r="I107" s="286" t="s">
        <v>678</v>
      </c>
      <c r="AH107" s="6"/>
      <c r="AI107" s="6"/>
    </row>
    <row r="108" spans="3:35">
      <c r="C108" s="5"/>
      <c r="G108" s="5"/>
      <c r="I108" s="568" t="s">
        <v>661</v>
      </c>
      <c r="J108" s="568"/>
      <c r="K108" s="525" t="s">
        <v>2</v>
      </c>
      <c r="L108" s="500">
        <v>1</v>
      </c>
      <c r="M108" s="500"/>
      <c r="N108" s="525" t="s">
        <v>662</v>
      </c>
      <c r="O108" s="525"/>
      <c r="P108" s="829" t="s">
        <v>663</v>
      </c>
      <c r="Q108" s="525"/>
      <c r="AH108" s="6"/>
      <c r="AI108" s="6"/>
    </row>
    <row r="109" spans="3:35">
      <c r="C109" s="5"/>
      <c r="G109" s="5"/>
      <c r="I109" s="568"/>
      <c r="J109" s="568"/>
      <c r="K109" s="525"/>
      <c r="L109" s="425">
        <v>0.3</v>
      </c>
      <c r="M109" s="425"/>
      <c r="N109" s="525"/>
      <c r="O109" s="525"/>
      <c r="P109" s="525"/>
      <c r="Q109" s="525"/>
      <c r="AH109" s="6"/>
      <c r="AI109" s="6"/>
    </row>
    <row r="110" spans="3:35">
      <c r="C110" s="5"/>
      <c r="G110" s="5"/>
      <c r="I110" s="280"/>
      <c r="J110" s="280"/>
      <c r="K110" s="94"/>
      <c r="L110" s="81"/>
      <c r="M110" s="81"/>
      <c r="N110" s="94"/>
      <c r="O110" s="94"/>
      <c r="P110" s="94"/>
      <c r="Q110" s="94"/>
      <c r="AH110" s="6"/>
      <c r="AI110" s="6"/>
    </row>
    <row r="111" spans="3:35">
      <c r="C111" s="5"/>
      <c r="G111" s="5"/>
      <c r="I111" s="280"/>
      <c r="J111" s="280"/>
      <c r="K111" s="525" t="s">
        <v>2</v>
      </c>
      <c r="L111" s="500">
        <v>1</v>
      </c>
      <c r="M111" s="500"/>
      <c r="N111" s="828" t="s">
        <v>27</v>
      </c>
      <c r="O111" s="525">
        <f>Y116</f>
        <v>1</v>
      </c>
      <c r="P111" s="525"/>
      <c r="Q111" s="828" t="s">
        <v>27</v>
      </c>
      <c r="R111" s="821">
        <f>O120</f>
        <v>42000</v>
      </c>
      <c r="S111" s="525"/>
      <c r="T111" s="525"/>
      <c r="AH111" s="6"/>
      <c r="AI111" s="6"/>
    </row>
    <row r="112" spans="3:35">
      <c r="C112" s="5"/>
      <c r="G112" s="5"/>
      <c r="I112" s="280"/>
      <c r="J112" s="280"/>
      <c r="K112" s="525"/>
      <c r="L112" s="425">
        <v>0.3</v>
      </c>
      <c r="M112" s="425"/>
      <c r="N112" s="828"/>
      <c r="O112" s="525"/>
      <c r="P112" s="525"/>
      <c r="Q112" s="828"/>
      <c r="R112" s="525"/>
      <c r="S112" s="525"/>
      <c r="T112" s="525"/>
      <c r="AH112" s="6"/>
      <c r="AI112" s="6"/>
    </row>
    <row r="113" spans="3:35">
      <c r="C113" s="5"/>
      <c r="G113" s="5"/>
      <c r="I113" s="280"/>
      <c r="J113" s="280"/>
      <c r="K113" s="94"/>
      <c r="L113" s="81"/>
      <c r="M113" s="81"/>
      <c r="N113" s="285"/>
      <c r="O113" s="94"/>
      <c r="P113" s="94"/>
      <c r="Q113" s="285"/>
      <c r="R113" s="94"/>
      <c r="S113" s="94"/>
      <c r="T113" s="94"/>
      <c r="AH113" s="6"/>
      <c r="AI113" s="6"/>
    </row>
    <row r="114" spans="3:35">
      <c r="C114" s="5"/>
      <c r="G114" s="5"/>
      <c r="I114" s="280"/>
      <c r="J114" s="280"/>
      <c r="K114" s="94" t="s">
        <v>2</v>
      </c>
      <c r="L114" s="425">
        <f>L111/L112*O111*R111</f>
        <v>140000</v>
      </c>
      <c r="M114" s="425"/>
      <c r="N114" s="425"/>
      <c r="O114" s="94"/>
      <c r="P114" s="94"/>
      <c r="Q114" s="94"/>
      <c r="AH114" s="6"/>
      <c r="AI114" s="6"/>
    </row>
    <row r="115" spans="3:35">
      <c r="C115" s="5"/>
      <c r="G115" s="5"/>
      <c r="AH115" s="6"/>
      <c r="AI115" s="6"/>
    </row>
    <row r="116" spans="3:35">
      <c r="C116" s="5"/>
      <c r="G116" s="5"/>
      <c r="K116" s="37" t="s">
        <v>666</v>
      </c>
      <c r="L116" s="13"/>
      <c r="M116" s="13"/>
      <c r="N116" s="13"/>
      <c r="O116" s="13"/>
      <c r="P116" s="13"/>
      <c r="Q116" s="13"/>
      <c r="R116" s="13"/>
      <c r="S116" s="13"/>
      <c r="T116" s="13"/>
      <c r="U116" s="13"/>
      <c r="V116" s="13"/>
      <c r="W116" s="34" t="s">
        <v>662</v>
      </c>
      <c r="X116" s="13" t="s">
        <v>2</v>
      </c>
      <c r="Y116" s="815">
        <v>1</v>
      </c>
      <c r="Z116" s="815"/>
      <c r="AA116" s="13"/>
      <c r="AB116" s="13"/>
      <c r="AC116" s="13"/>
      <c r="AD116" s="13"/>
      <c r="AH116" s="6"/>
      <c r="AI116" s="6"/>
    </row>
    <row r="117" spans="3:35" ht="20.25">
      <c r="C117" s="5"/>
      <c r="G117" s="5"/>
      <c r="K117" s="38" t="s">
        <v>679</v>
      </c>
      <c r="L117" s="13"/>
      <c r="M117" s="13"/>
      <c r="N117" s="13"/>
      <c r="O117" s="13"/>
      <c r="P117" s="13"/>
      <c r="Q117" s="13"/>
      <c r="R117" s="13"/>
      <c r="S117" s="13"/>
      <c r="T117" s="13"/>
      <c r="U117" s="13"/>
      <c r="V117" s="13"/>
      <c r="W117" s="13"/>
      <c r="X117" s="13"/>
      <c r="Y117" s="13"/>
      <c r="Z117" s="13"/>
      <c r="AA117" s="13"/>
      <c r="AB117" s="13"/>
      <c r="AC117" s="13"/>
      <c r="AD117" s="13"/>
      <c r="AH117" s="6"/>
      <c r="AI117" s="6"/>
    </row>
    <row r="118" spans="3:35">
      <c r="C118" s="5"/>
      <c r="G118" s="5"/>
      <c r="K118" s="13"/>
      <c r="L118" s="360" t="s">
        <v>667</v>
      </c>
      <c r="M118" s="360"/>
      <c r="N118" s="13" t="s">
        <v>2</v>
      </c>
      <c r="O118" s="458">
        <v>2800</v>
      </c>
      <c r="P118" s="458"/>
      <c r="Q118" s="458"/>
      <c r="R118" s="13" t="s">
        <v>66</v>
      </c>
      <c r="S118" s="34" t="s">
        <v>310</v>
      </c>
      <c r="T118" s="13"/>
      <c r="U118" s="13"/>
      <c r="V118" s="13"/>
      <c r="W118" s="13"/>
      <c r="X118" s="13"/>
      <c r="Y118" s="13"/>
      <c r="Z118" s="13"/>
      <c r="AA118" s="13"/>
      <c r="AB118" s="13"/>
      <c r="AC118" s="13"/>
      <c r="AD118" s="13"/>
      <c r="AH118" s="6"/>
      <c r="AI118" s="6"/>
    </row>
    <row r="119" spans="3:35">
      <c r="C119" s="5"/>
      <c r="G119" s="5"/>
      <c r="K119" s="13"/>
      <c r="L119" s="34"/>
      <c r="M119" s="13"/>
      <c r="N119" s="13" t="s">
        <v>2</v>
      </c>
      <c r="O119" s="458">
        <f>O118</f>
        <v>2800</v>
      </c>
      <c r="P119" s="458"/>
      <c r="Q119" s="458"/>
      <c r="R119" s="13" t="s">
        <v>66</v>
      </c>
      <c r="S119" s="820">
        <f>AD122</f>
        <v>15</v>
      </c>
      <c r="T119" s="820"/>
      <c r="U119" s="13"/>
      <c r="V119" s="13"/>
      <c r="W119" s="13"/>
      <c r="X119" s="13"/>
      <c r="Y119" s="13"/>
      <c r="Z119" s="13"/>
      <c r="AA119" s="13"/>
      <c r="AB119" s="13"/>
      <c r="AC119" s="13"/>
      <c r="AD119" s="13"/>
      <c r="AH119" s="6"/>
      <c r="AI119" s="6"/>
    </row>
    <row r="120" spans="3:35">
      <c r="C120" s="5"/>
      <c r="G120" s="5"/>
      <c r="K120" s="13"/>
      <c r="L120" s="34"/>
      <c r="M120" s="13"/>
      <c r="N120" s="13" t="s">
        <v>2</v>
      </c>
      <c r="O120" s="458">
        <f>O119*S119</f>
        <v>42000</v>
      </c>
      <c r="P120" s="458"/>
      <c r="Q120" s="458"/>
      <c r="R120" s="13"/>
      <c r="S120" s="34"/>
      <c r="T120" s="13"/>
      <c r="U120" s="13"/>
      <c r="V120" s="13"/>
      <c r="W120" s="13"/>
      <c r="X120" s="13"/>
      <c r="Y120" s="13"/>
      <c r="Z120" s="13"/>
      <c r="AA120" s="13"/>
      <c r="AB120" s="13"/>
      <c r="AC120" s="13"/>
      <c r="AD120" s="13"/>
      <c r="AH120" s="6"/>
      <c r="AI120" s="6"/>
    </row>
    <row r="121" spans="3:35">
      <c r="C121" s="5"/>
      <c r="G121" s="5"/>
      <c r="K121" s="13"/>
      <c r="L121" s="34"/>
      <c r="M121" s="13"/>
      <c r="N121" s="13"/>
      <c r="O121" s="27"/>
      <c r="P121" s="27"/>
      <c r="Q121" s="27"/>
      <c r="R121" s="13"/>
      <c r="S121" s="34"/>
      <c r="T121" s="13"/>
      <c r="U121" s="13"/>
      <c r="V121" s="13"/>
      <c r="W121" s="13"/>
      <c r="X121" s="13"/>
      <c r="Y121" s="13"/>
      <c r="Z121" s="13"/>
      <c r="AA121" s="13"/>
      <c r="AB121" s="13"/>
      <c r="AC121" s="13"/>
      <c r="AD121" s="13"/>
      <c r="AH121" s="6"/>
      <c r="AI121" s="6"/>
    </row>
    <row r="122" spans="3:35">
      <c r="C122" s="5"/>
      <c r="G122" s="5"/>
      <c r="K122" s="13"/>
      <c r="L122" s="34"/>
      <c r="M122" s="13"/>
      <c r="N122" s="13" t="s">
        <v>669</v>
      </c>
      <c r="O122" s="27"/>
      <c r="P122" s="27"/>
      <c r="Q122" s="27"/>
      <c r="R122" s="13"/>
      <c r="S122" s="34"/>
      <c r="T122" s="13"/>
      <c r="U122" s="13"/>
      <c r="V122" s="13"/>
      <c r="W122" s="13"/>
      <c r="X122" s="13"/>
      <c r="Y122" s="13"/>
      <c r="Z122" s="13"/>
      <c r="AA122" s="13"/>
      <c r="AB122" s="34" t="s">
        <v>310</v>
      </c>
      <c r="AC122" s="13" t="s">
        <v>2</v>
      </c>
      <c r="AD122" s="820">
        <f>AVERAGE(AD44:AE49)</f>
        <v>15</v>
      </c>
      <c r="AE122" s="820"/>
      <c r="AH122" s="6"/>
      <c r="AI122" s="6"/>
    </row>
    <row r="123" spans="3:35">
      <c r="C123" s="5"/>
      <c r="G123" s="5"/>
      <c r="K123" s="13"/>
      <c r="L123" s="34"/>
      <c r="M123" s="13"/>
      <c r="N123" s="13"/>
      <c r="O123" s="27"/>
      <c r="P123" s="27"/>
      <c r="Q123" s="27"/>
      <c r="R123" s="13"/>
      <c r="S123" s="34"/>
      <c r="T123" s="13"/>
      <c r="U123" s="13"/>
      <c r="V123" s="13"/>
      <c r="W123" s="13"/>
      <c r="X123" s="13"/>
      <c r="Y123" s="13"/>
      <c r="Z123" s="13"/>
      <c r="AA123" s="13"/>
      <c r="AB123" s="13"/>
      <c r="AC123" s="13"/>
      <c r="AD123" s="13"/>
      <c r="AH123" s="6"/>
      <c r="AI123" s="6"/>
    </row>
    <row r="124" spans="3:35">
      <c r="C124" s="5"/>
      <c r="G124" s="5"/>
      <c r="I124" s="38" t="s">
        <v>668</v>
      </c>
      <c r="K124" s="13"/>
      <c r="L124" s="13"/>
      <c r="P124" s="360" t="s">
        <v>664</v>
      </c>
      <c r="Q124" s="360"/>
      <c r="R124" s="13" t="s">
        <v>2</v>
      </c>
      <c r="S124" s="815">
        <v>10</v>
      </c>
      <c r="T124" s="815"/>
      <c r="U124" s="13" t="s">
        <v>3</v>
      </c>
      <c r="V124" s="13"/>
      <c r="AC124" s="13"/>
      <c r="AD124" s="13"/>
      <c r="AH124" s="6"/>
      <c r="AI124" s="6"/>
    </row>
    <row r="125" spans="3:35">
      <c r="C125" s="5"/>
      <c r="G125" s="5"/>
      <c r="AH125" s="6"/>
      <c r="AI125" s="6"/>
    </row>
    <row r="126" spans="3:35" ht="20.25">
      <c r="C126" s="5"/>
      <c r="G126" s="5"/>
      <c r="H126" s="283" t="s">
        <v>680</v>
      </c>
      <c r="Q126" s="360" t="s">
        <v>670</v>
      </c>
      <c r="R126" s="360"/>
      <c r="S126" s="13" t="s">
        <v>2</v>
      </c>
      <c r="T126" s="448">
        <f>M8</f>
        <v>2.7849109887803722</v>
      </c>
      <c r="U126" s="448"/>
      <c r="V126" s="448"/>
      <c r="AH126" s="6"/>
      <c r="AI126" s="6"/>
    </row>
    <row r="127" spans="3:35">
      <c r="C127" s="5"/>
      <c r="G127" s="5"/>
      <c r="AH127" s="6"/>
      <c r="AI127" s="6"/>
    </row>
    <row r="128" spans="3:35">
      <c r="C128" s="5"/>
      <c r="G128" s="5"/>
      <c r="H128" s="277" t="s">
        <v>671</v>
      </c>
      <c r="P128" s="360" t="s">
        <v>241</v>
      </c>
      <c r="Q128" s="360"/>
      <c r="R128" s="13" t="s">
        <v>2</v>
      </c>
      <c r="S128" s="815">
        <v>1</v>
      </c>
      <c r="T128" s="815"/>
      <c r="U128" s="13" t="s">
        <v>3</v>
      </c>
      <c r="AH128" s="6"/>
      <c r="AI128" s="6"/>
    </row>
    <row r="129" spans="3:35">
      <c r="C129" s="5"/>
      <c r="G129" s="189"/>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71"/>
      <c r="AI129" s="6"/>
    </row>
    <row r="130" spans="3:35">
      <c r="C130" s="5"/>
      <c r="AI130" s="6"/>
    </row>
    <row r="131" spans="3:35">
      <c r="C131" s="5"/>
      <c r="F131" t="s">
        <v>522</v>
      </c>
      <c r="AI131" s="6"/>
    </row>
    <row r="132" spans="3:35" ht="18.75" customHeight="1">
      <c r="C132" s="5"/>
      <c r="F132" s="568" t="s">
        <v>672</v>
      </c>
      <c r="G132" s="568"/>
      <c r="H132" t="s">
        <v>2</v>
      </c>
      <c r="I132" s="568" t="s">
        <v>650</v>
      </c>
      <c r="J132" s="568"/>
      <c r="K132" t="s">
        <v>68</v>
      </c>
      <c r="L132" s="568" t="s">
        <v>655</v>
      </c>
      <c r="M132" s="568"/>
      <c r="AI132" s="6"/>
    </row>
    <row r="133" spans="3:35">
      <c r="C133" s="5"/>
      <c r="F133" s="287"/>
      <c r="G133" s="287"/>
      <c r="H133" t="s">
        <v>2</v>
      </c>
      <c r="I133" s="819">
        <f>I77</f>
        <v>0.11140375010354953</v>
      </c>
      <c r="J133" s="819"/>
      <c r="K133" s="819"/>
      <c r="L133" t="s">
        <v>68</v>
      </c>
      <c r="M133" s="819">
        <f>I93</f>
        <v>2.8484354297208456E-3</v>
      </c>
      <c r="N133" s="819"/>
      <c r="O133" s="819"/>
      <c r="AI133" s="6"/>
    </row>
    <row r="134" spans="3:35" ht="20.25">
      <c r="C134" s="5"/>
      <c r="H134" t="s">
        <v>2</v>
      </c>
      <c r="I134" s="807">
        <f>I133+M133</f>
        <v>0.11425218553327038</v>
      </c>
      <c r="J134" s="807"/>
      <c r="K134" s="807"/>
      <c r="L134" t="s">
        <v>3</v>
      </c>
      <c r="P134" s="13" t="str">
        <f>IF(I134&lt;=T134, "≦","&gt;")</f>
        <v>≦</v>
      </c>
      <c r="Q134" s="360" t="s">
        <v>802</v>
      </c>
      <c r="R134" s="360"/>
      <c r="S134" s="13" t="s">
        <v>2</v>
      </c>
      <c r="T134" s="776">
        <f>'1.設計条件'!O32</f>
        <v>0.3</v>
      </c>
      <c r="U134" s="776"/>
      <c r="V134" s="776"/>
      <c r="W134" s="13" t="s">
        <v>3</v>
      </c>
      <c r="X134" s="13"/>
      <c r="Y134" s="13"/>
      <c r="Z134" s="13"/>
      <c r="AA134" s="462" t="str">
        <f>IF(P134="≦","OK","NG")</f>
        <v>OK</v>
      </c>
      <c r="AB134" s="463"/>
      <c r="AC134" s="464"/>
      <c r="AI134" s="6"/>
    </row>
    <row r="135" spans="3:35">
      <c r="C135" s="189"/>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71"/>
    </row>
  </sheetData>
  <sheetProtection sheet="1" objects="1" scenarios="1"/>
  <mergeCells count="266">
    <mergeCell ref="H74:H75"/>
    <mergeCell ref="L74:N74"/>
    <mergeCell ref="P74:Q74"/>
    <mergeCell ref="I75:J75"/>
    <mergeCell ref="H82:I82"/>
    <mergeCell ref="K82:M82"/>
    <mergeCell ref="R82:V82"/>
    <mergeCell ref="H97:I98"/>
    <mergeCell ref="J97:J98"/>
    <mergeCell ref="L97:M98"/>
    <mergeCell ref="N97:N98"/>
    <mergeCell ref="O97:P97"/>
    <mergeCell ref="O98:P98"/>
    <mergeCell ref="K97:K98"/>
    <mergeCell ref="R83:T83"/>
    <mergeCell ref="Q97:Q98"/>
    <mergeCell ref="H83:I83"/>
    <mergeCell ref="K83:M83"/>
    <mergeCell ref="I77:K77"/>
    <mergeCell ref="H80:I80"/>
    <mergeCell ref="K80:M80"/>
    <mergeCell ref="H81:I81"/>
    <mergeCell ref="K81:M81"/>
    <mergeCell ref="H84:I84"/>
    <mergeCell ref="F87:G88"/>
    <mergeCell ref="H87:H88"/>
    <mergeCell ref="I87:L87"/>
    <mergeCell ref="I88:L88"/>
    <mergeCell ref="H90:H91"/>
    <mergeCell ref="I90:J90"/>
    <mergeCell ref="L90:N90"/>
    <mergeCell ref="P90:R90"/>
    <mergeCell ref="K91:M91"/>
    <mergeCell ref="C3:AI4"/>
    <mergeCell ref="C68:AI69"/>
    <mergeCell ref="D8:E8"/>
    <mergeCell ref="G8:H8"/>
    <mergeCell ref="J8:K8"/>
    <mergeCell ref="M8:N8"/>
    <mergeCell ref="V28:AA28"/>
    <mergeCell ref="F71:G72"/>
    <mergeCell ref="H71:H72"/>
    <mergeCell ref="I71:L71"/>
    <mergeCell ref="I72:L72"/>
    <mergeCell ref="H29:I29"/>
    <mergeCell ref="J29:O29"/>
    <mergeCell ref="P29:U29"/>
    <mergeCell ref="V29:AA29"/>
    <mergeCell ref="H30:I30"/>
    <mergeCell ref="J30:O30"/>
    <mergeCell ref="P30:U30"/>
    <mergeCell ref="V30:AA30"/>
    <mergeCell ref="G9:H9"/>
    <mergeCell ref="J9:K9"/>
    <mergeCell ref="M9:N9"/>
    <mergeCell ref="G10:H10"/>
    <mergeCell ref="H28:I28"/>
    <mergeCell ref="J28:O28"/>
    <mergeCell ref="P28:U28"/>
    <mergeCell ref="S31:U31"/>
    <mergeCell ref="F32:G32"/>
    <mergeCell ref="J32:L32"/>
    <mergeCell ref="M32:O32"/>
    <mergeCell ref="P32:R32"/>
    <mergeCell ref="S32:U32"/>
    <mergeCell ref="D31:E32"/>
    <mergeCell ref="F31:G31"/>
    <mergeCell ref="H31:I32"/>
    <mergeCell ref="J31:L31"/>
    <mergeCell ref="M31:O31"/>
    <mergeCell ref="P31:R31"/>
    <mergeCell ref="D35:E36"/>
    <mergeCell ref="F35:G35"/>
    <mergeCell ref="H35:I36"/>
    <mergeCell ref="J35:L35"/>
    <mergeCell ref="P35:R35"/>
    <mergeCell ref="M35:O35"/>
    <mergeCell ref="S33:U33"/>
    <mergeCell ref="F34:G34"/>
    <mergeCell ref="J34:L34"/>
    <mergeCell ref="M34:O34"/>
    <mergeCell ref="P34:R34"/>
    <mergeCell ref="S34:U34"/>
    <mergeCell ref="D33:E34"/>
    <mergeCell ref="F33:G33"/>
    <mergeCell ref="H33:I34"/>
    <mergeCell ref="J33:L33"/>
    <mergeCell ref="M33:O33"/>
    <mergeCell ref="P33:R33"/>
    <mergeCell ref="V36:X36"/>
    <mergeCell ref="Y36:AA36"/>
    <mergeCell ref="S35:U35"/>
    <mergeCell ref="V35:X35"/>
    <mergeCell ref="Y35:AA35"/>
    <mergeCell ref="F36:G36"/>
    <mergeCell ref="J36:L36"/>
    <mergeCell ref="M36:O36"/>
    <mergeCell ref="P36:R36"/>
    <mergeCell ref="S36:U36"/>
    <mergeCell ref="S38:U38"/>
    <mergeCell ref="V38:X38"/>
    <mergeCell ref="Y38:AA38"/>
    <mergeCell ref="H41:I41"/>
    <mergeCell ref="W41:AB41"/>
    <mergeCell ref="D37:E38"/>
    <mergeCell ref="H37:I38"/>
    <mergeCell ref="F38:G38"/>
    <mergeCell ref="J38:L38"/>
    <mergeCell ref="M38:O38"/>
    <mergeCell ref="P38:R38"/>
    <mergeCell ref="V37:X37"/>
    <mergeCell ref="Y37:AA37"/>
    <mergeCell ref="S37:U37"/>
    <mergeCell ref="F37:G37"/>
    <mergeCell ref="J37:L37"/>
    <mergeCell ref="M37:O37"/>
    <mergeCell ref="P37:R37"/>
    <mergeCell ref="D46:E47"/>
    <mergeCell ref="F46:G46"/>
    <mergeCell ref="H46:I47"/>
    <mergeCell ref="F47:G47"/>
    <mergeCell ref="D48:E49"/>
    <mergeCell ref="F48:G48"/>
    <mergeCell ref="H48:I49"/>
    <mergeCell ref="F49:G49"/>
    <mergeCell ref="H42:I42"/>
    <mergeCell ref="H43:I43"/>
    <mergeCell ref="D44:E45"/>
    <mergeCell ref="F44:G44"/>
    <mergeCell ref="H44:I45"/>
    <mergeCell ref="F45:G45"/>
    <mergeCell ref="J45:L45"/>
    <mergeCell ref="J46:L46"/>
    <mergeCell ref="J47:L47"/>
    <mergeCell ref="J48:L48"/>
    <mergeCell ref="J49:L49"/>
    <mergeCell ref="J41:O41"/>
    <mergeCell ref="P41:U41"/>
    <mergeCell ref="J42:O42"/>
    <mergeCell ref="P42:U42"/>
    <mergeCell ref="J43:O43"/>
    <mergeCell ref="P43:U43"/>
    <mergeCell ref="S44:U44"/>
    <mergeCell ref="S45:U45"/>
    <mergeCell ref="S46:U46"/>
    <mergeCell ref="S47:U47"/>
    <mergeCell ref="S48:U48"/>
    <mergeCell ref="S49:U49"/>
    <mergeCell ref="M44:O44"/>
    <mergeCell ref="M45:O45"/>
    <mergeCell ref="M46:O46"/>
    <mergeCell ref="M47:O47"/>
    <mergeCell ref="M48:O48"/>
    <mergeCell ref="M49:O49"/>
    <mergeCell ref="W42:AB42"/>
    <mergeCell ref="W43:AB43"/>
    <mergeCell ref="W44:Y44"/>
    <mergeCell ref="Z44:AB44"/>
    <mergeCell ref="W45:Y45"/>
    <mergeCell ref="Z45:AB45"/>
    <mergeCell ref="F63:G64"/>
    <mergeCell ref="P63:P64"/>
    <mergeCell ref="Q63:R64"/>
    <mergeCell ref="S63:U64"/>
    <mergeCell ref="G58:H58"/>
    <mergeCell ref="P44:R44"/>
    <mergeCell ref="P45:R45"/>
    <mergeCell ref="P46:R46"/>
    <mergeCell ref="P47:R47"/>
    <mergeCell ref="P48:R48"/>
    <mergeCell ref="P49:R49"/>
    <mergeCell ref="W46:Y46"/>
    <mergeCell ref="Z46:AB46"/>
    <mergeCell ref="W47:Y47"/>
    <mergeCell ref="Z47:AB47"/>
    <mergeCell ref="W48:Y48"/>
    <mergeCell ref="Z48:AB48"/>
    <mergeCell ref="J44:L44"/>
    <mergeCell ref="D56:E56"/>
    <mergeCell ref="D57:E57"/>
    <mergeCell ref="D58:E58"/>
    <mergeCell ref="W49:Y49"/>
    <mergeCell ref="Z49:AB49"/>
    <mergeCell ref="L63:N63"/>
    <mergeCell ref="L64:N64"/>
    <mergeCell ref="H63:H64"/>
    <mergeCell ref="F53:R53"/>
    <mergeCell ref="S53:U53"/>
    <mergeCell ref="S54:U54"/>
    <mergeCell ref="S55:U55"/>
    <mergeCell ref="D59:E59"/>
    <mergeCell ref="S59:U59"/>
    <mergeCell ref="N57:O57"/>
    <mergeCell ref="N58:O58"/>
    <mergeCell ref="J56:K56"/>
    <mergeCell ref="J57:K57"/>
    <mergeCell ref="S56:U56"/>
    <mergeCell ref="S57:U57"/>
    <mergeCell ref="S58:U58"/>
    <mergeCell ref="J58:K58"/>
    <mergeCell ref="G56:H56"/>
    <mergeCell ref="G57:H57"/>
    <mergeCell ref="I108:J109"/>
    <mergeCell ref="K108:K109"/>
    <mergeCell ref="L108:M108"/>
    <mergeCell ref="L109:M109"/>
    <mergeCell ref="N108:O109"/>
    <mergeCell ref="P108:Q109"/>
    <mergeCell ref="M100:P101"/>
    <mergeCell ref="J100:J101"/>
    <mergeCell ref="L100:L101"/>
    <mergeCell ref="K100:K101"/>
    <mergeCell ref="Q100:Q101"/>
    <mergeCell ref="P124:Q124"/>
    <mergeCell ref="S124:T124"/>
    <mergeCell ref="V105:W105"/>
    <mergeCell ref="O120:Q120"/>
    <mergeCell ref="S105:T105"/>
    <mergeCell ref="R100:S100"/>
    <mergeCell ref="O119:Q119"/>
    <mergeCell ref="K103:M103"/>
    <mergeCell ref="L118:M118"/>
    <mergeCell ref="K111:K112"/>
    <mergeCell ref="L111:M111"/>
    <mergeCell ref="L112:M112"/>
    <mergeCell ref="N111:N112"/>
    <mergeCell ref="O111:P112"/>
    <mergeCell ref="Q111:Q112"/>
    <mergeCell ref="L114:N114"/>
    <mergeCell ref="AD46:AE47"/>
    <mergeCell ref="AD48:AE49"/>
    <mergeCell ref="AD122:AE122"/>
    <mergeCell ref="S119:T119"/>
    <mergeCell ref="R111:T112"/>
    <mergeCell ref="R101:S101"/>
    <mergeCell ref="T100:T101"/>
    <mergeCell ref="Y116:Z116"/>
    <mergeCell ref="O118:Q118"/>
    <mergeCell ref="L75:O75"/>
    <mergeCell ref="Q75:S75"/>
    <mergeCell ref="U75:V75"/>
    <mergeCell ref="K84:M84"/>
    <mergeCell ref="I63:J63"/>
    <mergeCell ref="I64:J64"/>
    <mergeCell ref="K63:K64"/>
    <mergeCell ref="I134:K134"/>
    <mergeCell ref="Q134:R134"/>
    <mergeCell ref="T134:V134"/>
    <mergeCell ref="AA134:AC134"/>
    <mergeCell ref="C23:AI24"/>
    <mergeCell ref="Q126:R126"/>
    <mergeCell ref="T126:V126"/>
    <mergeCell ref="O91:Q91"/>
    <mergeCell ref="S91:U91"/>
    <mergeCell ref="P128:Q128"/>
    <mergeCell ref="S128:T128"/>
    <mergeCell ref="I93:K93"/>
    <mergeCell ref="F132:G132"/>
    <mergeCell ref="I132:J132"/>
    <mergeCell ref="L132:M132"/>
    <mergeCell ref="I133:K133"/>
    <mergeCell ref="M133:O133"/>
    <mergeCell ref="AD41:AE41"/>
    <mergeCell ref="AD42:AE42"/>
    <mergeCell ref="AD43:AE43"/>
    <mergeCell ref="AD44:AE45"/>
  </mergeCells>
  <phoneticPr fontId="3"/>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0C0E9-0C86-4F8F-8BD7-4818CADD2DED}">
  <dimension ref="A2:AK361"/>
  <sheetViews>
    <sheetView showOutlineSymbols="0" zoomScaleNormal="100" workbookViewId="0"/>
  </sheetViews>
  <sheetFormatPr defaultRowHeight="18.75"/>
  <cols>
    <col min="1" max="35" width="3" style="1" customWidth="1"/>
    <col min="36" max="36" width="1.625" style="1" customWidth="1"/>
    <col min="37" max="16384" width="9" style="1"/>
  </cols>
  <sheetData>
    <row r="2" spans="1:36">
      <c r="A2" s="1" t="s">
        <v>707</v>
      </c>
      <c r="W2" s="1" t="s">
        <v>277</v>
      </c>
    </row>
    <row r="3" spans="1:36">
      <c r="B3" s="1" t="s">
        <v>733</v>
      </c>
      <c r="C3" s="116"/>
      <c r="D3" s="116"/>
      <c r="E3" s="116"/>
      <c r="F3" s="116"/>
      <c r="G3" s="116"/>
      <c r="H3" s="116"/>
      <c r="I3" s="116"/>
      <c r="J3" s="116"/>
      <c r="K3" s="116"/>
      <c r="L3" s="116"/>
      <c r="M3" s="116"/>
      <c r="N3" s="116"/>
      <c r="O3" s="116"/>
      <c r="P3" s="116"/>
      <c r="Q3" s="116"/>
      <c r="R3" s="116"/>
      <c r="S3" s="116"/>
      <c r="T3" s="116"/>
      <c r="U3" s="116"/>
      <c r="V3" s="116"/>
      <c r="W3"/>
      <c r="X3" s="116"/>
      <c r="Y3" s="116"/>
      <c r="Z3" s="116"/>
      <c r="AA3" s="116"/>
      <c r="AB3" s="116"/>
      <c r="AC3" s="116"/>
      <c r="AD3" s="116"/>
      <c r="AE3" s="116"/>
      <c r="AF3" s="116"/>
      <c r="AG3" s="116"/>
      <c r="AH3" s="116"/>
      <c r="AI3" s="116"/>
    </row>
    <row r="4" spans="1:36">
      <c r="C4" s="1" t="s">
        <v>683</v>
      </c>
      <c r="D4" s="116"/>
      <c r="E4" s="116"/>
      <c r="F4" s="116"/>
      <c r="G4" s="116"/>
      <c r="H4" s="116"/>
      <c r="I4" s="116"/>
      <c r="J4" s="116"/>
      <c r="K4" s="116"/>
      <c r="L4" s="116"/>
      <c r="M4" s="116"/>
      <c r="N4" s="116"/>
      <c r="O4" s="116"/>
      <c r="P4" s="116"/>
      <c r="Q4" s="116"/>
      <c r="R4" s="116"/>
      <c r="S4" s="116"/>
      <c r="T4" s="116"/>
      <c r="U4" s="116"/>
      <c r="V4" s="116"/>
      <c r="W4" t="s">
        <v>422</v>
      </c>
      <c r="X4" s="116"/>
      <c r="Y4" s="116"/>
      <c r="Z4" s="116"/>
      <c r="AA4" s="116"/>
      <c r="AB4" s="116"/>
      <c r="AC4" s="116"/>
      <c r="AD4" s="116"/>
      <c r="AE4" s="116"/>
      <c r="AF4" s="116"/>
      <c r="AG4" s="116"/>
      <c r="AH4" s="116"/>
      <c r="AI4" s="116"/>
    </row>
    <row r="5" spans="1:36" ht="18.75" customHeight="1">
      <c r="D5" s="893" t="s">
        <v>272</v>
      </c>
      <c r="E5" s="894"/>
      <c r="F5" s="894"/>
      <c r="G5" s="894"/>
      <c r="H5" s="894"/>
      <c r="I5" s="894"/>
      <c r="J5" s="894"/>
      <c r="K5" s="894"/>
      <c r="L5" s="894"/>
      <c r="M5" s="894"/>
      <c r="N5" s="894"/>
      <c r="O5" s="894"/>
      <c r="P5" s="894"/>
      <c r="Q5" s="894"/>
      <c r="R5" s="894"/>
      <c r="S5" s="894"/>
      <c r="T5" s="894"/>
      <c r="U5" s="894"/>
      <c r="V5" s="894"/>
      <c r="W5" s="894"/>
      <c r="X5" s="894"/>
      <c r="Y5" s="894"/>
      <c r="Z5" s="894"/>
      <c r="AA5" s="894"/>
      <c r="AB5" s="894"/>
      <c r="AC5" s="894"/>
      <c r="AD5" s="894"/>
      <c r="AE5" s="894"/>
      <c r="AF5" s="894"/>
      <c r="AG5" s="894"/>
      <c r="AH5" s="894"/>
      <c r="AI5" s="894"/>
      <c r="AJ5" s="895"/>
    </row>
    <row r="6" spans="1:36" ht="18.75" customHeight="1">
      <c r="C6" s="13"/>
      <c r="D6" s="896"/>
      <c r="E6" s="897"/>
      <c r="F6" s="897"/>
      <c r="G6" s="897"/>
      <c r="H6" s="897"/>
      <c r="I6" s="897"/>
      <c r="J6" s="897"/>
      <c r="K6" s="897"/>
      <c r="L6" s="897"/>
      <c r="M6" s="897"/>
      <c r="N6" s="897"/>
      <c r="O6" s="897"/>
      <c r="P6" s="897"/>
      <c r="Q6" s="897"/>
      <c r="R6" s="897"/>
      <c r="S6" s="897"/>
      <c r="T6" s="897"/>
      <c r="U6" s="897"/>
      <c r="V6" s="897"/>
      <c r="W6" s="897"/>
      <c r="X6" s="897"/>
      <c r="Y6" s="897"/>
      <c r="Z6" s="897"/>
      <c r="AA6" s="897"/>
      <c r="AB6" s="897"/>
      <c r="AC6" s="897"/>
      <c r="AD6" s="897"/>
      <c r="AE6" s="897"/>
      <c r="AF6" s="897"/>
      <c r="AG6" s="897"/>
      <c r="AH6" s="897"/>
      <c r="AI6" s="897"/>
      <c r="AJ6" s="898"/>
    </row>
    <row r="7" spans="1:36">
      <c r="C7" s="13"/>
      <c r="D7" s="12"/>
      <c r="E7" s="13"/>
      <c r="F7" s="13"/>
      <c r="G7" s="13"/>
      <c r="H7"/>
      <c r="I7" s="410" t="s">
        <v>23</v>
      </c>
      <c r="J7" s="411"/>
      <c r="K7" s="410" t="s">
        <v>242</v>
      </c>
      <c r="L7" s="412"/>
      <c r="M7" s="412"/>
      <c r="N7" s="412"/>
      <c r="O7" s="412"/>
      <c r="P7" s="411"/>
      <c r="Q7" s="13"/>
      <c r="R7" s="13"/>
      <c r="S7" s="13"/>
      <c r="T7" s="13"/>
      <c r="U7" s="13"/>
      <c r="V7" s="13"/>
      <c r="AJ7" s="15"/>
    </row>
    <row r="8" spans="1:36">
      <c r="C8" s="13"/>
      <c r="D8" s="12"/>
      <c r="E8" s="13"/>
      <c r="F8" s="13"/>
      <c r="G8" s="13"/>
      <c r="H8"/>
      <c r="I8" s="421" t="s">
        <v>15</v>
      </c>
      <c r="J8" s="422"/>
      <c r="K8" s="421" t="s">
        <v>149</v>
      </c>
      <c r="L8" s="360"/>
      <c r="M8" s="360"/>
      <c r="N8" s="360"/>
      <c r="O8" s="360"/>
      <c r="P8" s="422"/>
      <c r="Q8" s="13"/>
      <c r="R8" s="13"/>
      <c r="S8" s="13"/>
      <c r="T8" s="13"/>
      <c r="U8" s="13"/>
      <c r="V8" s="13"/>
      <c r="AJ8" s="15"/>
    </row>
    <row r="9" spans="1:36" ht="20.25">
      <c r="C9" s="13"/>
      <c r="D9" s="12"/>
      <c r="E9" s="13"/>
      <c r="F9" s="13"/>
      <c r="G9" s="13"/>
      <c r="H9"/>
      <c r="I9" s="498" t="s">
        <v>20</v>
      </c>
      <c r="J9" s="499"/>
      <c r="K9" s="498" t="s">
        <v>36</v>
      </c>
      <c r="L9" s="500"/>
      <c r="M9" s="500"/>
      <c r="N9" s="500"/>
      <c r="O9" s="500"/>
      <c r="P9" s="499"/>
      <c r="Q9" s="13"/>
      <c r="R9" s="13"/>
      <c r="S9" s="13"/>
      <c r="T9" s="13"/>
      <c r="U9" s="13"/>
      <c r="V9" s="13"/>
      <c r="AJ9" s="15"/>
    </row>
    <row r="10" spans="1:36">
      <c r="C10" s="13"/>
      <c r="D10" s="12"/>
      <c r="E10" s="497" t="str">
        <f>'3.断面力2'!E87</f>
        <v>0層</v>
      </c>
      <c r="F10" s="497"/>
      <c r="G10" s="413" t="s">
        <v>130</v>
      </c>
      <c r="H10" s="415"/>
      <c r="I10" s="899">
        <f>'3.断面力2'!I87</f>
        <v>0.88499813558245788</v>
      </c>
      <c r="J10" s="899"/>
      <c r="K10" s="502" t="s">
        <v>627</v>
      </c>
      <c r="L10" s="503"/>
      <c r="M10" s="503"/>
      <c r="N10" s="504">
        <f>'3.断面力2'!AG87</f>
        <v>22.598917665331669</v>
      </c>
      <c r="O10" s="504"/>
      <c r="P10" s="505"/>
      <c r="Q10" s="13"/>
      <c r="R10" s="13"/>
      <c r="S10" s="13"/>
      <c r="T10" s="13"/>
      <c r="U10" s="13"/>
      <c r="V10" s="13"/>
      <c r="AJ10" s="15"/>
    </row>
    <row r="11" spans="1:36">
      <c r="C11" s="13"/>
      <c r="D11" s="12"/>
      <c r="E11" s="497"/>
      <c r="F11" s="497"/>
      <c r="G11" s="418" t="s">
        <v>131</v>
      </c>
      <c r="H11" s="420"/>
      <c r="I11" s="899"/>
      <c r="J11" s="899"/>
      <c r="K11" s="513" t="s">
        <v>628</v>
      </c>
      <c r="L11" s="514"/>
      <c r="M11" s="514"/>
      <c r="N11" s="515">
        <f>'3.断面力2'!AG88</f>
        <v>22.598917665331669</v>
      </c>
      <c r="O11" s="515"/>
      <c r="P11" s="516"/>
      <c r="Q11" s="13"/>
      <c r="R11" s="13"/>
      <c r="S11" s="13"/>
      <c r="T11" s="13"/>
      <c r="U11" s="13"/>
      <c r="V11" s="13"/>
      <c r="AJ11" s="15"/>
    </row>
    <row r="12" spans="1:36">
      <c r="C12" s="13"/>
      <c r="D12" s="12"/>
      <c r="E12" s="497" t="str">
        <f>'3.断面力2'!E89</f>
        <v>1層</v>
      </c>
      <c r="F12" s="497"/>
      <c r="G12" s="413" t="s">
        <v>130</v>
      </c>
      <c r="H12" s="415"/>
      <c r="I12" s="899">
        <f>'3.断面力2'!I89</f>
        <v>1</v>
      </c>
      <c r="J12" s="899"/>
      <c r="K12" s="502" t="s">
        <v>273</v>
      </c>
      <c r="L12" s="503"/>
      <c r="M12" s="503"/>
      <c r="N12" s="504">
        <f>'3.断面力2'!AG89</f>
        <v>22.598917665331669</v>
      </c>
      <c r="O12" s="504"/>
      <c r="P12" s="505"/>
      <c r="Q12" s="13"/>
      <c r="R12" s="13"/>
      <c r="S12" s="13"/>
      <c r="T12" s="13"/>
      <c r="U12" s="13"/>
      <c r="V12" s="13"/>
      <c r="AJ12" s="15"/>
    </row>
    <row r="13" spans="1:36">
      <c r="C13" s="13"/>
      <c r="D13" s="12"/>
      <c r="E13" s="497"/>
      <c r="F13" s="497"/>
      <c r="G13" s="418" t="s">
        <v>131</v>
      </c>
      <c r="H13" s="420"/>
      <c r="I13" s="899"/>
      <c r="J13" s="899"/>
      <c r="K13" s="513" t="s">
        <v>274</v>
      </c>
      <c r="L13" s="514"/>
      <c r="M13" s="514"/>
      <c r="N13" s="515">
        <f>'3.断面力2'!AG90</f>
        <v>22.598917665331669</v>
      </c>
      <c r="O13" s="515"/>
      <c r="P13" s="516"/>
      <c r="Q13" s="13"/>
      <c r="R13" s="13"/>
      <c r="S13" s="13"/>
      <c r="T13" s="13"/>
      <c r="U13" s="13"/>
      <c r="V13" s="13"/>
      <c r="AJ13" s="15"/>
    </row>
    <row r="14" spans="1:36">
      <c r="C14" s="13"/>
      <c r="D14" s="12"/>
      <c r="E14" s="497" t="str">
        <f>'3.断面力2'!E91</f>
        <v>2層</v>
      </c>
      <c r="F14" s="497"/>
      <c r="G14" s="413" t="s">
        <v>130</v>
      </c>
      <c r="H14" s="415"/>
      <c r="I14" s="899">
        <f>'3.断面力2'!I91</f>
        <v>1.5</v>
      </c>
      <c r="J14" s="899"/>
      <c r="K14" s="502" t="s">
        <v>244</v>
      </c>
      <c r="L14" s="503"/>
      <c r="M14" s="503"/>
      <c r="N14" s="504">
        <f>'3.断面力2'!AG91</f>
        <v>22.598917665331669</v>
      </c>
      <c r="O14" s="504"/>
      <c r="P14" s="505"/>
      <c r="Q14" s="13"/>
      <c r="R14" s="13"/>
      <c r="S14" s="13"/>
      <c r="T14" s="13"/>
      <c r="U14" s="13"/>
      <c r="V14" s="13"/>
      <c r="AJ14" s="15"/>
    </row>
    <row r="15" spans="1:36">
      <c r="C15" s="13"/>
      <c r="D15" s="12"/>
      <c r="E15" s="497"/>
      <c r="F15" s="497"/>
      <c r="G15" s="418" t="s">
        <v>131</v>
      </c>
      <c r="H15" s="420"/>
      <c r="I15" s="899"/>
      <c r="J15" s="899"/>
      <c r="K15" s="513" t="s">
        <v>245</v>
      </c>
      <c r="L15" s="514"/>
      <c r="M15" s="514"/>
      <c r="N15" s="515">
        <f>'3.断面力2'!AG92</f>
        <v>22.598917665331669</v>
      </c>
      <c r="O15" s="515"/>
      <c r="P15" s="516"/>
      <c r="Q15" s="13"/>
      <c r="R15" s="13"/>
      <c r="S15" s="13"/>
      <c r="T15" s="13"/>
      <c r="U15" s="13"/>
      <c r="V15" s="13"/>
      <c r="AJ15" s="15"/>
    </row>
    <row r="16" spans="1:36">
      <c r="C16" s="13"/>
      <c r="D16" s="12"/>
      <c r="E16" s="497" t="str">
        <f>'3.断面力2'!E93</f>
        <v>3層</v>
      </c>
      <c r="F16" s="497"/>
      <c r="G16" s="413" t="s">
        <v>130</v>
      </c>
      <c r="H16" s="415"/>
      <c r="I16" s="690">
        <f>'3.断面力2'!I93-'3.断面力2'!I121</f>
        <v>1.5</v>
      </c>
      <c r="J16" s="691"/>
      <c r="K16" s="502" t="s">
        <v>246</v>
      </c>
      <c r="L16" s="503"/>
      <c r="M16" s="503"/>
      <c r="N16" s="504">
        <f>'3.断面力2'!AG93</f>
        <v>22.598917665331669</v>
      </c>
      <c r="O16" s="504"/>
      <c r="P16" s="505"/>
      <c r="Q16" s="13"/>
      <c r="R16" s="13"/>
      <c r="S16" s="13"/>
      <c r="T16" s="13"/>
      <c r="U16" s="13"/>
      <c r="V16" s="13"/>
      <c r="AJ16" s="15"/>
    </row>
    <row r="17" spans="3:36">
      <c r="C17" s="13"/>
      <c r="D17" s="12"/>
      <c r="E17" s="497"/>
      <c r="F17" s="497"/>
      <c r="G17" s="418" t="s">
        <v>240</v>
      </c>
      <c r="H17" s="420"/>
      <c r="I17" s="692"/>
      <c r="J17" s="693"/>
      <c r="K17" s="513" t="s">
        <v>576</v>
      </c>
      <c r="L17" s="514"/>
      <c r="M17" s="514"/>
      <c r="N17" s="515">
        <f>'3.断面力2'!N121</f>
        <v>37.598917665331669</v>
      </c>
      <c r="O17" s="515"/>
      <c r="P17" s="516"/>
      <c r="Q17" s="13"/>
      <c r="R17" s="13"/>
      <c r="S17" s="13"/>
      <c r="T17" s="13"/>
      <c r="U17" s="13"/>
      <c r="V17" s="13"/>
      <c r="AJ17" s="15"/>
    </row>
    <row r="18" spans="3:36">
      <c r="C18" s="13"/>
      <c r="D18" s="12"/>
      <c r="E18" s="497"/>
      <c r="F18" s="497"/>
      <c r="G18" s="668" t="s">
        <v>240</v>
      </c>
      <c r="H18" s="669"/>
      <c r="I18" s="690">
        <f>'3.断面力2'!I121</f>
        <v>3</v>
      </c>
      <c r="J18" s="691"/>
      <c r="K18" s="502" t="s">
        <v>576</v>
      </c>
      <c r="L18" s="503"/>
      <c r="M18" s="503"/>
      <c r="N18" s="504">
        <f>N17</f>
        <v>37.598917665331669</v>
      </c>
      <c r="O18" s="504"/>
      <c r="P18" s="505"/>
      <c r="Q18" s="13"/>
      <c r="R18" s="13"/>
      <c r="S18" s="13"/>
      <c r="T18" s="13"/>
      <c r="U18" s="13"/>
      <c r="V18" s="13"/>
      <c r="AJ18" s="15"/>
    </row>
    <row r="19" spans="3:36">
      <c r="C19" s="13"/>
      <c r="D19" s="12"/>
      <c r="E19" s="497"/>
      <c r="F19" s="497"/>
      <c r="G19" s="418" t="s">
        <v>131</v>
      </c>
      <c r="H19" s="420"/>
      <c r="I19" s="692"/>
      <c r="J19" s="693"/>
      <c r="K19" s="513" t="s">
        <v>247</v>
      </c>
      <c r="L19" s="514"/>
      <c r="M19" s="514"/>
      <c r="N19" s="515">
        <f>'3.断面力2'!N122</f>
        <v>67.598917665331669</v>
      </c>
      <c r="O19" s="515"/>
      <c r="P19" s="516"/>
      <c r="Q19" s="13"/>
      <c r="R19" s="13"/>
      <c r="S19" s="13"/>
      <c r="T19" s="13"/>
      <c r="U19" s="13"/>
      <c r="V19" s="13"/>
      <c r="AJ19" s="15"/>
    </row>
    <row r="20" spans="3:36">
      <c r="D20" s="12"/>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5"/>
    </row>
    <row r="21" spans="3:36">
      <c r="C21" s="13"/>
      <c r="D21" s="12"/>
      <c r="E21" s="97"/>
      <c r="F21" s="96"/>
      <c r="G21" s="410" t="s">
        <v>248</v>
      </c>
      <c r="H21" s="412"/>
      <c r="I21" s="412"/>
      <c r="J21" s="412"/>
      <c r="K21" s="412"/>
      <c r="L21" s="412"/>
      <c r="M21" s="412"/>
      <c r="N21" s="412"/>
      <c r="O21" s="412"/>
      <c r="P21" s="412"/>
      <c r="Q21" s="412"/>
      <c r="R21" s="412"/>
      <c r="S21" s="412"/>
      <c r="T21" s="412"/>
      <c r="U21" s="411"/>
      <c r="V21" s="13"/>
      <c r="W21" s="13"/>
      <c r="X21" s="13"/>
      <c r="Y21" s="13"/>
      <c r="Z21" s="13"/>
      <c r="AA21" s="13"/>
      <c r="AB21" s="13"/>
      <c r="AC21" s="13"/>
      <c r="AD21" s="13"/>
      <c r="AE21" s="13"/>
      <c r="AF21" s="13"/>
      <c r="AG21" s="13"/>
      <c r="AH21" s="13"/>
      <c r="AI21" s="13"/>
      <c r="AJ21" s="15"/>
    </row>
    <row r="22" spans="3:36">
      <c r="C22" s="13"/>
      <c r="D22" s="12"/>
      <c r="E22" s="117"/>
      <c r="F22" s="96"/>
      <c r="G22" s="508" t="s">
        <v>33</v>
      </c>
      <c r="H22" s="509"/>
      <c r="I22" s="509"/>
      <c r="J22" s="509"/>
      <c r="K22" s="509"/>
      <c r="L22" s="509"/>
      <c r="M22" s="509"/>
      <c r="N22" s="509"/>
      <c r="O22" s="509"/>
      <c r="P22" s="509"/>
      <c r="Q22" s="509"/>
      <c r="R22" s="509"/>
      <c r="S22" s="509"/>
      <c r="T22" s="509"/>
      <c r="U22" s="510"/>
      <c r="V22" s="13"/>
      <c r="W22" s="13"/>
      <c r="X22" s="13"/>
      <c r="Y22" s="13"/>
      <c r="Z22" s="13"/>
      <c r="AA22" s="13"/>
      <c r="AB22" s="13"/>
      <c r="AC22" s="13"/>
      <c r="AD22" s="13"/>
      <c r="AE22" s="13"/>
      <c r="AF22" s="13"/>
      <c r="AG22" s="13"/>
      <c r="AH22" s="13"/>
      <c r="AI22" s="13"/>
      <c r="AJ22" s="15"/>
    </row>
    <row r="23" spans="3:36">
      <c r="C23" s="13"/>
      <c r="D23" s="12"/>
      <c r="E23" s="97"/>
      <c r="F23" s="96"/>
      <c r="G23" s="498" t="s">
        <v>34</v>
      </c>
      <c r="H23" s="500"/>
      <c r="I23" s="500"/>
      <c r="J23" s="500"/>
      <c r="K23" s="500"/>
      <c r="L23" s="500"/>
      <c r="M23" s="500"/>
      <c r="N23" s="500"/>
      <c r="O23" s="500"/>
      <c r="P23" s="500"/>
      <c r="Q23" s="500"/>
      <c r="R23" s="500"/>
      <c r="S23" s="500"/>
      <c r="T23" s="500"/>
      <c r="U23" s="499"/>
      <c r="V23" s="13"/>
      <c r="W23" s="13"/>
      <c r="X23" s="13"/>
      <c r="Y23" s="13"/>
      <c r="Z23" s="13"/>
      <c r="AA23" s="13"/>
      <c r="AB23" s="13"/>
      <c r="AC23" s="13"/>
      <c r="AD23" s="13"/>
      <c r="AE23" s="13"/>
      <c r="AF23" s="13"/>
      <c r="AG23" s="13"/>
      <c r="AH23" s="13"/>
      <c r="AI23" s="13"/>
      <c r="AJ23" s="15"/>
    </row>
    <row r="24" spans="3:36">
      <c r="C24" s="13"/>
      <c r="D24" s="12"/>
      <c r="E24" s="294" t="s">
        <v>597</v>
      </c>
      <c r="F24" s="295"/>
      <c r="G24" s="296"/>
      <c r="H24" s="638">
        <f>N10</f>
        <v>22.598917665331669</v>
      </c>
      <c r="I24" s="638"/>
      <c r="J24" s="201"/>
      <c r="K24" s="638"/>
      <c r="L24" s="638"/>
      <c r="M24" s="201"/>
      <c r="N24" s="201" t="s">
        <v>27</v>
      </c>
      <c r="O24" s="638">
        <f>I10</f>
        <v>0.88499813558245788</v>
      </c>
      <c r="P24" s="638"/>
      <c r="Q24" s="201"/>
      <c r="R24" s="64"/>
      <c r="S24" s="297" t="s">
        <v>2</v>
      </c>
      <c r="T24" s="637">
        <f>H24*O24</f>
        <v>20</v>
      </c>
      <c r="U24" s="900"/>
      <c r="V24" s="13"/>
      <c r="W24" s="13"/>
      <c r="X24" s="13"/>
      <c r="Y24" s="13"/>
      <c r="Z24" s="13"/>
      <c r="AA24" s="13"/>
      <c r="AB24" s="13"/>
      <c r="AC24" s="13"/>
      <c r="AD24" s="13"/>
      <c r="AE24" s="13"/>
      <c r="AF24" s="13"/>
      <c r="AG24" s="13"/>
      <c r="AH24" s="13"/>
      <c r="AI24" s="13"/>
      <c r="AJ24" s="15"/>
    </row>
    <row r="25" spans="3:36">
      <c r="C25" s="13"/>
      <c r="D25" s="12"/>
      <c r="E25" s="294" t="s">
        <v>21</v>
      </c>
      <c r="F25" s="295"/>
      <c r="G25" s="296"/>
      <c r="H25" s="638">
        <f>N12</f>
        <v>22.598917665331669</v>
      </c>
      <c r="I25" s="638"/>
      <c r="J25" s="201"/>
      <c r="K25" s="638"/>
      <c r="L25" s="638"/>
      <c r="M25" s="201"/>
      <c r="N25" s="201" t="s">
        <v>27</v>
      </c>
      <c r="O25" s="638">
        <f>I12</f>
        <v>1</v>
      </c>
      <c r="P25" s="638"/>
      <c r="Q25" s="201"/>
      <c r="R25" s="64"/>
      <c r="S25" s="297" t="s">
        <v>2</v>
      </c>
      <c r="T25" s="637">
        <f>H25*O25</f>
        <v>22.598917665331669</v>
      </c>
      <c r="U25" s="900"/>
      <c r="V25" s="13"/>
      <c r="W25" s="13"/>
      <c r="X25" s="13"/>
      <c r="Y25" s="13"/>
      <c r="Z25" s="13"/>
      <c r="AA25" s="13"/>
      <c r="AB25" s="13"/>
      <c r="AC25" s="13"/>
      <c r="AD25" s="13"/>
      <c r="AE25" s="13"/>
      <c r="AF25" s="13"/>
      <c r="AG25" s="13"/>
      <c r="AH25" s="13"/>
      <c r="AI25" s="13"/>
      <c r="AJ25" s="15"/>
    </row>
    <row r="26" spans="3:36">
      <c r="C26" s="13"/>
      <c r="D26" s="12"/>
      <c r="E26" s="294" t="s">
        <v>22</v>
      </c>
      <c r="F26" s="295"/>
      <c r="G26" s="296"/>
      <c r="H26" s="638">
        <f>N14</f>
        <v>22.598917665331669</v>
      </c>
      <c r="I26" s="638"/>
      <c r="J26" s="201"/>
      <c r="K26" s="638"/>
      <c r="L26" s="638"/>
      <c r="M26" s="201"/>
      <c r="N26" s="201" t="s">
        <v>27</v>
      </c>
      <c r="O26" s="638">
        <f>I14</f>
        <v>1.5</v>
      </c>
      <c r="P26" s="638"/>
      <c r="Q26" s="201"/>
      <c r="R26" s="64"/>
      <c r="S26" s="297" t="s">
        <v>2</v>
      </c>
      <c r="T26" s="637">
        <f>H26*O26</f>
        <v>33.898376497997504</v>
      </c>
      <c r="U26" s="900"/>
      <c r="V26" s="13"/>
      <c r="W26" s="13"/>
      <c r="X26" s="13"/>
      <c r="Y26" s="13"/>
      <c r="Z26" s="13"/>
      <c r="AA26" s="13"/>
      <c r="AB26" s="13"/>
      <c r="AC26" s="13"/>
      <c r="AD26" s="13"/>
      <c r="AE26" s="13"/>
      <c r="AF26" s="13"/>
      <c r="AG26" s="13"/>
      <c r="AH26" s="13"/>
      <c r="AI26" s="13"/>
      <c r="AJ26" s="15"/>
    </row>
    <row r="27" spans="3:36">
      <c r="D27" s="12"/>
      <c r="E27" s="294" t="s">
        <v>94</v>
      </c>
      <c r="F27" s="295"/>
      <c r="G27" s="296" t="s">
        <v>69</v>
      </c>
      <c r="H27" s="638">
        <f>N16</f>
        <v>22.598917665331669</v>
      </c>
      <c r="I27" s="638"/>
      <c r="J27" s="201" t="s">
        <v>68</v>
      </c>
      <c r="K27" s="638">
        <f>N17</f>
        <v>37.598917665331669</v>
      </c>
      <c r="L27" s="638"/>
      <c r="M27" s="201" t="s">
        <v>83</v>
      </c>
      <c r="N27" s="201" t="s">
        <v>27</v>
      </c>
      <c r="O27" s="638">
        <f>-('1.設計条件'!T50+'1.設計条件'!F22+'1.設計条件'!F23)</f>
        <v>1.5</v>
      </c>
      <c r="P27" s="638"/>
      <c r="Q27" s="201" t="s">
        <v>70</v>
      </c>
      <c r="R27" s="64">
        <v>2</v>
      </c>
      <c r="S27" s="297" t="s">
        <v>2</v>
      </c>
      <c r="T27" s="637">
        <f>(H27+K27)*O27/R27</f>
        <v>45.148376497997504</v>
      </c>
      <c r="U27" s="900"/>
      <c r="V27" s="96"/>
      <c r="W27" s="13"/>
      <c r="X27" s="134"/>
      <c r="Y27" s="134"/>
      <c r="Z27" s="134"/>
      <c r="AA27" s="96"/>
      <c r="AB27" s="96"/>
      <c r="AC27" s="96"/>
      <c r="AD27" s="13"/>
      <c r="AE27" s="13"/>
      <c r="AF27" s="13"/>
      <c r="AG27" s="13"/>
      <c r="AH27" s="13"/>
      <c r="AI27" s="13"/>
      <c r="AJ27" s="15"/>
    </row>
    <row r="28" spans="3:36">
      <c r="D28" s="12"/>
      <c r="E28" s="298" t="s">
        <v>26</v>
      </c>
      <c r="F28" s="299"/>
      <c r="G28" s="290"/>
      <c r="H28" s="290"/>
      <c r="I28" s="300"/>
      <c r="J28" s="300"/>
      <c r="K28" s="292"/>
      <c r="L28" s="292"/>
      <c r="M28" s="292"/>
      <c r="N28" s="301"/>
      <c r="O28" s="301"/>
      <c r="P28" s="301"/>
      <c r="Q28" s="292"/>
      <c r="R28" s="292"/>
      <c r="S28" s="292"/>
      <c r="T28" s="511">
        <f>SUM(T24:U27)</f>
        <v>121.64567066132668</v>
      </c>
      <c r="U28" s="882"/>
      <c r="V28" s="96"/>
      <c r="W28" s="13"/>
      <c r="X28" s="134"/>
      <c r="Y28" s="134"/>
      <c r="Z28" s="134"/>
      <c r="AA28" s="96"/>
      <c r="AB28" s="96"/>
      <c r="AC28" s="96"/>
      <c r="AD28" s="13"/>
      <c r="AE28" s="13"/>
      <c r="AF28" s="13"/>
      <c r="AG28" s="13"/>
      <c r="AH28" s="13"/>
      <c r="AI28" s="13"/>
      <c r="AJ28" s="15"/>
    </row>
    <row r="29" spans="3:36">
      <c r="D29" s="12"/>
      <c r="V29" s="96"/>
      <c r="W29" s="13"/>
      <c r="X29" s="134"/>
      <c r="Y29" s="134"/>
      <c r="Z29" s="134"/>
      <c r="AA29" s="96"/>
      <c r="AB29" s="96"/>
      <c r="AC29" s="96"/>
      <c r="AD29" s="13"/>
      <c r="AE29" s="13"/>
      <c r="AF29" s="13"/>
      <c r="AG29" s="13"/>
      <c r="AH29" s="13"/>
      <c r="AI29" s="13"/>
      <c r="AJ29" s="15"/>
    </row>
    <row r="30" spans="3:36">
      <c r="D30" s="12"/>
      <c r="E30" s="167" t="s">
        <v>698</v>
      </c>
      <c r="F30" s="119"/>
      <c r="G30" s="166"/>
      <c r="H30" s="13"/>
      <c r="I30" s="13"/>
      <c r="J30" s="13"/>
      <c r="K30" s="13"/>
      <c r="L30" s="13"/>
      <c r="M30" s="13"/>
      <c r="N30" s="13"/>
      <c r="O30" s="13"/>
      <c r="R30" s="134"/>
      <c r="S30" s="134"/>
      <c r="T30" s="96"/>
      <c r="U30" s="96"/>
      <c r="V30" s="96"/>
      <c r="W30" s="13"/>
      <c r="X30" s="134"/>
      <c r="Y30" s="134"/>
      <c r="Z30" s="134"/>
      <c r="AA30" s="96"/>
      <c r="AB30" s="96"/>
      <c r="AC30" s="96"/>
      <c r="AD30" s="13"/>
      <c r="AE30" s="13"/>
      <c r="AF30" s="13"/>
      <c r="AG30" s="13"/>
      <c r="AH30" s="13"/>
      <c r="AI30" s="13"/>
      <c r="AJ30" s="15"/>
    </row>
    <row r="31" spans="3:36" ht="20.25">
      <c r="D31" s="12"/>
      <c r="E31" s="167"/>
      <c r="F31" s="119"/>
      <c r="G31" s="166"/>
      <c r="H31" s="360" t="s">
        <v>275</v>
      </c>
      <c r="I31" s="360"/>
      <c r="J31" s="13" t="s">
        <v>2</v>
      </c>
      <c r="K31" s="437">
        <f>T28</f>
        <v>121.64567066132668</v>
      </c>
      <c r="L31" s="438"/>
      <c r="M31" s="439"/>
      <c r="N31" s="13" t="s">
        <v>276</v>
      </c>
      <c r="O31" s="118"/>
      <c r="P31" s="118"/>
      <c r="Q31" s="134"/>
      <c r="R31" s="134"/>
      <c r="S31" s="134"/>
      <c r="T31" s="96"/>
      <c r="U31" s="96"/>
      <c r="V31" s="96"/>
      <c r="W31" s="13"/>
      <c r="X31" s="134"/>
      <c r="Y31" s="134"/>
      <c r="Z31" s="134"/>
      <c r="AA31" s="96"/>
      <c r="AB31" s="96"/>
      <c r="AC31" s="96"/>
      <c r="AD31" s="13"/>
      <c r="AE31" s="13"/>
      <c r="AF31" s="13"/>
      <c r="AG31" s="13"/>
      <c r="AH31" s="13"/>
      <c r="AI31" s="13"/>
      <c r="AJ31" s="15"/>
    </row>
    <row r="32" spans="3:36">
      <c r="D32" s="12"/>
      <c r="P32" s="118"/>
      <c r="Q32" s="134"/>
      <c r="R32" s="134"/>
      <c r="S32" s="134"/>
      <c r="T32" s="96"/>
      <c r="U32" s="96"/>
      <c r="V32" s="96"/>
      <c r="W32" s="13"/>
      <c r="X32" s="134"/>
      <c r="Y32" s="134"/>
      <c r="Z32" s="134"/>
      <c r="AA32" s="96"/>
      <c r="AB32" s="96"/>
      <c r="AC32" s="96"/>
      <c r="AD32" s="13"/>
      <c r="AE32" s="13"/>
      <c r="AF32" s="13"/>
      <c r="AG32" s="13"/>
      <c r="AH32" s="13"/>
      <c r="AI32" s="13"/>
      <c r="AJ32" s="15"/>
    </row>
    <row r="33" spans="3:37">
      <c r="D33" s="12"/>
      <c r="E33" s="97"/>
      <c r="F33" s="96"/>
      <c r="G33" s="410" t="s">
        <v>248</v>
      </c>
      <c r="H33" s="412"/>
      <c r="I33" s="412"/>
      <c r="J33" s="412"/>
      <c r="K33" s="412"/>
      <c r="L33" s="412"/>
      <c r="M33" s="412"/>
      <c r="N33" s="412"/>
      <c r="O33" s="412"/>
      <c r="P33" s="412"/>
      <c r="Q33" s="412"/>
      <c r="R33" s="412"/>
      <c r="S33" s="412"/>
      <c r="T33" s="412"/>
      <c r="U33" s="411"/>
      <c r="V33" s="96"/>
      <c r="W33" s="13"/>
      <c r="X33" s="134"/>
      <c r="Y33" s="134"/>
      <c r="Z33" s="134"/>
      <c r="AA33" s="96"/>
      <c r="AB33" s="96"/>
      <c r="AC33" s="96"/>
      <c r="AD33" s="13"/>
      <c r="AE33" s="13"/>
      <c r="AF33" s="13"/>
      <c r="AG33" s="13"/>
      <c r="AH33" s="13"/>
      <c r="AI33" s="13"/>
      <c r="AJ33" s="15"/>
    </row>
    <row r="34" spans="3:37">
      <c r="D34" s="12"/>
      <c r="E34" s="117"/>
      <c r="F34" s="96"/>
      <c r="G34" s="508" t="s">
        <v>33</v>
      </c>
      <c r="H34" s="509"/>
      <c r="I34" s="509"/>
      <c r="J34" s="509"/>
      <c r="K34" s="509"/>
      <c r="L34" s="509"/>
      <c r="M34" s="509"/>
      <c r="N34" s="509"/>
      <c r="O34" s="509"/>
      <c r="P34" s="509"/>
      <c r="Q34" s="509"/>
      <c r="R34" s="509"/>
      <c r="S34" s="509"/>
      <c r="T34" s="509"/>
      <c r="U34" s="510"/>
      <c r="V34" s="96"/>
      <c r="W34" s="13"/>
      <c r="X34" s="134"/>
      <c r="Y34" s="134"/>
      <c r="Z34" s="134"/>
      <c r="AA34" s="96"/>
      <c r="AB34" s="96"/>
      <c r="AC34" s="96"/>
      <c r="AD34" s="13"/>
      <c r="AE34" s="13"/>
      <c r="AF34" s="13"/>
      <c r="AG34" s="13"/>
      <c r="AH34" s="13"/>
      <c r="AI34" s="13"/>
      <c r="AJ34" s="15"/>
    </row>
    <row r="35" spans="3:37">
      <c r="D35" s="12"/>
      <c r="E35" s="97"/>
      <c r="F35" s="96"/>
      <c r="G35" s="498" t="s">
        <v>34</v>
      </c>
      <c r="H35" s="500"/>
      <c r="I35" s="500"/>
      <c r="J35" s="500"/>
      <c r="K35" s="500"/>
      <c r="L35" s="500"/>
      <c r="M35" s="500"/>
      <c r="N35" s="500"/>
      <c r="O35" s="500"/>
      <c r="P35" s="500"/>
      <c r="Q35" s="500"/>
      <c r="R35" s="500"/>
      <c r="S35" s="500"/>
      <c r="T35" s="500"/>
      <c r="U35" s="499"/>
      <c r="V35" s="96"/>
      <c r="W35" s="13"/>
      <c r="X35" s="134"/>
      <c r="Y35" s="134"/>
      <c r="Z35" s="134"/>
      <c r="AA35" s="96"/>
      <c r="AB35" s="96"/>
      <c r="AC35" s="96"/>
      <c r="AD35" s="13"/>
      <c r="AE35" s="13"/>
      <c r="AF35" s="13"/>
      <c r="AG35" s="13"/>
      <c r="AH35" s="13"/>
      <c r="AI35" s="13"/>
      <c r="AJ35" s="15"/>
    </row>
    <row r="36" spans="3:37">
      <c r="D36" s="12"/>
      <c r="E36" s="294" t="s">
        <v>94</v>
      </c>
      <c r="F36" s="295"/>
      <c r="G36" s="296" t="s">
        <v>69</v>
      </c>
      <c r="H36" s="638">
        <f>N18</f>
        <v>37.598917665331669</v>
      </c>
      <c r="I36" s="638"/>
      <c r="J36" s="201" t="s">
        <v>68</v>
      </c>
      <c r="K36" s="638">
        <f>N19</f>
        <v>67.598917665331669</v>
      </c>
      <c r="L36" s="638"/>
      <c r="M36" s="201" t="s">
        <v>83</v>
      </c>
      <c r="N36" s="201" t="s">
        <v>27</v>
      </c>
      <c r="O36" s="638">
        <f>I18</f>
        <v>3</v>
      </c>
      <c r="P36" s="638"/>
      <c r="Q36" s="201" t="s">
        <v>70</v>
      </c>
      <c r="R36" s="64">
        <v>2</v>
      </c>
      <c r="S36" s="297" t="s">
        <v>2</v>
      </c>
      <c r="T36" s="637">
        <f>(H36+K36)*O36/R36</f>
        <v>157.79675299599501</v>
      </c>
      <c r="U36" s="900"/>
      <c r="V36" s="96"/>
      <c r="W36" s="13"/>
      <c r="X36" s="134"/>
      <c r="Y36" s="134"/>
      <c r="Z36" s="134"/>
      <c r="AA36" s="96"/>
      <c r="AB36" s="96"/>
      <c r="AC36" s="96"/>
      <c r="AD36" s="13"/>
      <c r="AE36" s="13"/>
      <c r="AF36" s="13"/>
      <c r="AG36" s="13"/>
      <c r="AH36" s="13"/>
      <c r="AI36" s="13"/>
      <c r="AJ36" s="15"/>
    </row>
    <row r="37" spans="3:37">
      <c r="D37" s="12"/>
      <c r="E37" s="298" t="s">
        <v>26</v>
      </c>
      <c r="F37" s="299"/>
      <c r="G37" s="290"/>
      <c r="H37" s="290"/>
      <c r="I37" s="300"/>
      <c r="J37" s="300"/>
      <c r="K37" s="292"/>
      <c r="L37" s="292"/>
      <c r="M37" s="292"/>
      <c r="N37" s="301"/>
      <c r="O37" s="301"/>
      <c r="P37" s="301"/>
      <c r="Q37" s="292"/>
      <c r="R37" s="292"/>
      <c r="S37" s="292"/>
      <c r="T37" s="511">
        <f>SUM(T36:U36)</f>
        <v>157.79675299599501</v>
      </c>
      <c r="U37" s="882"/>
      <c r="V37" s="96"/>
      <c r="W37" s="13"/>
      <c r="X37" s="134"/>
      <c r="Y37" s="134"/>
      <c r="Z37" s="134"/>
      <c r="AA37" s="96"/>
      <c r="AB37" s="96"/>
      <c r="AC37" s="96"/>
      <c r="AD37" s="13"/>
      <c r="AE37" s="13"/>
      <c r="AF37" s="13"/>
      <c r="AG37" s="13"/>
      <c r="AH37" s="13"/>
      <c r="AI37" s="13"/>
      <c r="AJ37" s="15"/>
    </row>
    <row r="38" spans="3:37">
      <c r="D38" s="12"/>
      <c r="E38" s="167"/>
      <c r="F38" s="119"/>
      <c r="G38" s="166"/>
      <c r="H38" s="35"/>
      <c r="I38" s="35"/>
      <c r="J38" s="13"/>
      <c r="K38" s="24"/>
      <c r="L38" s="24"/>
      <c r="M38" s="24"/>
      <c r="N38" s="13"/>
      <c r="O38" s="118"/>
      <c r="P38" s="118"/>
      <c r="Q38" s="134"/>
      <c r="R38" s="134"/>
      <c r="S38" s="134"/>
      <c r="T38" s="96"/>
      <c r="U38" s="96"/>
      <c r="V38" s="96"/>
      <c r="W38" s="13"/>
      <c r="X38" s="134"/>
      <c r="Y38" s="134"/>
      <c r="Z38" s="134"/>
      <c r="AA38" s="96"/>
      <c r="AB38" s="96"/>
      <c r="AC38" s="96"/>
      <c r="AD38" s="13"/>
      <c r="AE38" s="13"/>
      <c r="AF38" s="13"/>
      <c r="AG38" s="13"/>
      <c r="AH38" s="13"/>
      <c r="AI38" s="13"/>
      <c r="AJ38" s="15"/>
    </row>
    <row r="39" spans="3:37">
      <c r="D39" s="12"/>
      <c r="E39" s="167" t="s">
        <v>699</v>
      </c>
      <c r="F39" s="119"/>
      <c r="G39" s="166"/>
      <c r="H39" s="13"/>
      <c r="I39" s="13"/>
      <c r="J39" s="13"/>
      <c r="K39" s="13"/>
      <c r="L39" s="13"/>
      <c r="M39" s="13"/>
      <c r="N39" s="13"/>
      <c r="O39" s="13"/>
      <c r="Q39" s="134"/>
      <c r="R39" s="134"/>
      <c r="S39" s="134"/>
      <c r="T39" s="96"/>
      <c r="U39" s="96"/>
      <c r="V39" s="96"/>
      <c r="W39" s="13"/>
      <c r="X39" s="134"/>
      <c r="Y39" s="134"/>
      <c r="Z39" s="134"/>
      <c r="AA39" s="96"/>
      <c r="AB39" s="96"/>
      <c r="AC39" s="96"/>
      <c r="AD39" s="13"/>
      <c r="AE39" s="13"/>
      <c r="AF39" s="13"/>
      <c r="AG39" s="13"/>
      <c r="AH39" s="13"/>
      <c r="AI39" s="13"/>
      <c r="AJ39" s="15"/>
    </row>
    <row r="40" spans="3:37" ht="20.25">
      <c r="D40" s="12"/>
      <c r="E40" s="167"/>
      <c r="F40" s="119"/>
      <c r="G40" s="166"/>
      <c r="H40" s="360" t="s">
        <v>682</v>
      </c>
      <c r="I40" s="360"/>
      <c r="J40" s="13" t="s">
        <v>2</v>
      </c>
      <c r="K40" s="437">
        <f>T37</f>
        <v>157.79675299599501</v>
      </c>
      <c r="L40" s="438"/>
      <c r="M40" s="439"/>
      <c r="N40" s="13" t="s">
        <v>276</v>
      </c>
      <c r="O40" s="118"/>
      <c r="P40" s="118"/>
      <c r="Q40" s="134"/>
      <c r="R40" s="134"/>
      <c r="S40" s="134"/>
      <c r="T40" s="96"/>
      <c r="U40" s="96"/>
      <c r="V40" s="96"/>
      <c r="W40" s="13"/>
      <c r="X40" s="134"/>
      <c r="Y40" s="134"/>
      <c r="Z40" s="134"/>
      <c r="AA40" s="96"/>
      <c r="AB40" s="96"/>
      <c r="AC40" s="96"/>
      <c r="AD40" s="13"/>
      <c r="AE40" s="13"/>
      <c r="AF40" s="13"/>
      <c r="AG40" s="13"/>
      <c r="AH40" s="13"/>
      <c r="AI40" s="13"/>
      <c r="AJ40" s="15"/>
    </row>
    <row r="41" spans="3:37">
      <c r="D41" s="16"/>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9"/>
      <c r="AK41" s="13"/>
    </row>
    <row r="42" spans="3:37">
      <c r="C42" s="13"/>
      <c r="D42" s="117"/>
      <c r="E42" s="117"/>
      <c r="F42" s="117"/>
      <c r="G42" s="117"/>
      <c r="H42" s="117"/>
      <c r="I42" s="117"/>
      <c r="J42" s="117"/>
      <c r="K42" s="117"/>
      <c r="L42" s="117"/>
      <c r="M42" s="117"/>
      <c r="N42" s="117"/>
      <c r="O42" s="117"/>
      <c r="P42" s="117"/>
      <c r="Q42" s="117"/>
      <c r="R42" s="13"/>
      <c r="S42" s="13"/>
      <c r="T42" s="13"/>
      <c r="U42" s="13"/>
      <c r="V42" s="13"/>
      <c r="W42" s="13"/>
      <c r="X42" s="13"/>
      <c r="Y42" s="13"/>
      <c r="Z42" s="13"/>
      <c r="AA42" s="13"/>
      <c r="AB42" s="13"/>
      <c r="AC42" s="13"/>
      <c r="AD42" s="13"/>
      <c r="AE42" s="13"/>
      <c r="AF42" s="13"/>
      <c r="AG42" s="13"/>
      <c r="AH42" s="13"/>
      <c r="AI42" s="13"/>
      <c r="AJ42" s="13"/>
    </row>
    <row r="43" spans="3:37">
      <c r="C43" s="1" t="s">
        <v>704</v>
      </c>
      <c r="X43" t="s">
        <v>700</v>
      </c>
    </row>
    <row r="44" spans="3:37">
      <c r="D44" s="9" t="s">
        <v>720</v>
      </c>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1"/>
    </row>
    <row r="45" spans="3:37" ht="18.75" customHeight="1">
      <c r="D45" s="12"/>
      <c r="E45" s="764" t="s">
        <v>693</v>
      </c>
      <c r="F45" s="764"/>
      <c r="G45" s="764"/>
      <c r="H45" s="764"/>
      <c r="I45" s="764"/>
      <c r="J45" s="764"/>
      <c r="K45" s="764"/>
      <c r="L45" s="764"/>
      <c r="M45" s="764"/>
      <c r="N45" s="764"/>
      <c r="O45" s="764"/>
      <c r="P45" s="764"/>
      <c r="Q45" s="764"/>
      <c r="R45" s="764"/>
      <c r="S45" s="764"/>
      <c r="T45" s="764"/>
      <c r="U45" s="764"/>
      <c r="V45" s="764"/>
      <c r="W45" s="764"/>
      <c r="X45" s="764"/>
      <c r="Y45" s="764"/>
      <c r="Z45" s="764"/>
      <c r="AA45" s="764"/>
      <c r="AB45" s="764"/>
      <c r="AC45" s="764"/>
      <c r="AD45" s="764"/>
      <c r="AE45" s="764"/>
      <c r="AF45" s="764"/>
      <c r="AG45" s="764"/>
      <c r="AH45" s="764"/>
      <c r="AI45" s="764"/>
      <c r="AJ45" s="765"/>
    </row>
    <row r="46" spans="3:37">
      <c r="D46" s="143"/>
      <c r="E46" s="764"/>
      <c r="F46" s="764"/>
      <c r="G46" s="764"/>
      <c r="H46" s="764"/>
      <c r="I46" s="764"/>
      <c r="J46" s="764"/>
      <c r="K46" s="764"/>
      <c r="L46" s="764"/>
      <c r="M46" s="764"/>
      <c r="N46" s="764"/>
      <c r="O46" s="764"/>
      <c r="P46" s="764"/>
      <c r="Q46" s="764"/>
      <c r="R46" s="764"/>
      <c r="S46" s="764"/>
      <c r="T46" s="764"/>
      <c r="U46" s="764"/>
      <c r="V46" s="764"/>
      <c r="W46" s="764"/>
      <c r="X46" s="764"/>
      <c r="Y46" s="764"/>
      <c r="Z46" s="764"/>
      <c r="AA46" s="764"/>
      <c r="AB46" s="764"/>
      <c r="AC46" s="764"/>
      <c r="AD46" s="764"/>
      <c r="AE46" s="764"/>
      <c r="AF46" s="764"/>
      <c r="AG46" s="764"/>
      <c r="AH46" s="764"/>
      <c r="AI46" s="764"/>
      <c r="AJ46" s="765"/>
    </row>
    <row r="47" spans="3:37">
      <c r="D47" s="143"/>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1"/>
    </row>
    <row r="48" spans="3:37">
      <c r="D48" s="143"/>
      <c r="E48" s="110"/>
      <c r="F48" s="13" t="s">
        <v>689</v>
      </c>
      <c r="G48" s="110"/>
      <c r="H48" s="110"/>
      <c r="I48" s="110"/>
      <c r="J48" s="110"/>
      <c r="K48" s="110"/>
      <c r="L48" s="110"/>
      <c r="M48" s="360" t="s">
        <v>241</v>
      </c>
      <c r="N48" s="360"/>
      <c r="O48" s="110" t="s">
        <v>2</v>
      </c>
      <c r="P48" s="872">
        <f>'1.設計条件'!Q71</f>
        <v>5</v>
      </c>
      <c r="Q48" s="872"/>
      <c r="R48" s="872"/>
      <c r="S48" s="110" t="s">
        <v>3</v>
      </c>
      <c r="T48" s="110"/>
      <c r="U48" s="110"/>
      <c r="V48" s="110"/>
      <c r="W48" s="110"/>
      <c r="X48" s="110"/>
      <c r="Y48" s="110"/>
      <c r="Z48" s="110"/>
      <c r="AA48" s="110"/>
      <c r="AB48" s="110"/>
      <c r="AC48" s="110"/>
      <c r="AD48" s="110"/>
      <c r="AE48" s="110"/>
      <c r="AF48" s="110"/>
      <c r="AG48" s="110"/>
      <c r="AH48" s="110"/>
      <c r="AI48" s="110"/>
      <c r="AJ48" s="111"/>
    </row>
    <row r="49" spans="4:36">
      <c r="D49" s="143"/>
      <c r="E49" s="110"/>
      <c r="F49" s="596" t="s">
        <v>691</v>
      </c>
      <c r="G49" s="596"/>
      <c r="H49" s="596"/>
      <c r="I49" s="596"/>
      <c r="J49" s="596"/>
      <c r="K49" s="596"/>
      <c r="L49" s="596"/>
      <c r="M49" s="380" t="s">
        <v>686</v>
      </c>
      <c r="N49" s="380"/>
      <c r="O49" s="110" t="s">
        <v>2</v>
      </c>
      <c r="P49" s="872">
        <f>'1.設計条件'!T87</f>
        <v>1.5</v>
      </c>
      <c r="Q49" s="872"/>
      <c r="R49" s="872"/>
      <c r="S49" s="110" t="s">
        <v>3</v>
      </c>
      <c r="T49" s="110"/>
      <c r="U49" s="110"/>
      <c r="V49" s="110"/>
      <c r="W49" s="110"/>
      <c r="X49" s="110"/>
      <c r="Y49" s="110"/>
      <c r="Z49" s="110"/>
      <c r="AA49" s="110"/>
      <c r="AB49" s="110"/>
      <c r="AC49" s="110"/>
      <c r="AD49" s="110"/>
      <c r="AE49" s="110"/>
      <c r="AF49" s="110"/>
      <c r="AG49" s="110"/>
      <c r="AH49" s="110"/>
      <c r="AI49" s="110"/>
      <c r="AJ49" s="111"/>
    </row>
    <row r="50" spans="4:36">
      <c r="D50" s="143"/>
      <c r="E50" s="110"/>
      <c r="F50" s="596" t="s">
        <v>694</v>
      </c>
      <c r="G50" s="596"/>
      <c r="H50" s="596"/>
      <c r="I50" s="596"/>
      <c r="J50" s="596"/>
      <c r="K50" s="596"/>
      <c r="L50" s="596"/>
      <c r="M50" s="380" t="s">
        <v>695</v>
      </c>
      <c r="N50" s="380"/>
      <c r="O50" s="110" t="s">
        <v>2</v>
      </c>
      <c r="P50" s="360" t="s">
        <v>241</v>
      </c>
      <c r="Q50" s="360"/>
      <c r="R50" s="303" t="s">
        <v>236</v>
      </c>
      <c r="S50" s="305">
        <v>2</v>
      </c>
      <c r="T50" s="380" t="s">
        <v>686</v>
      </c>
      <c r="U50" s="380"/>
      <c r="V50" s="110"/>
      <c r="W50" s="110" t="s">
        <v>2</v>
      </c>
      <c r="X50" s="853">
        <f>P48</f>
        <v>5</v>
      </c>
      <c r="Y50" s="853"/>
      <c r="Z50" s="303" t="s">
        <v>236</v>
      </c>
      <c r="AA50" s="305">
        <v>2</v>
      </c>
      <c r="AB50" s="1" t="s">
        <v>27</v>
      </c>
      <c r="AC50" s="853">
        <f>P49</f>
        <v>1.5</v>
      </c>
      <c r="AD50" s="853"/>
      <c r="AE50" s="853"/>
      <c r="AF50" s="110"/>
      <c r="AG50" s="110"/>
      <c r="AH50" s="110"/>
      <c r="AI50" s="110"/>
      <c r="AJ50" s="111"/>
    </row>
    <row r="51" spans="4:36">
      <c r="D51" s="143"/>
      <c r="E51" s="110"/>
      <c r="F51" s="57"/>
      <c r="G51" s="57"/>
      <c r="H51" s="57"/>
      <c r="I51" s="57"/>
      <c r="J51" s="57"/>
      <c r="K51" s="57"/>
      <c r="L51" s="57"/>
      <c r="M51" s="147"/>
      <c r="N51" s="147"/>
      <c r="O51" s="110" t="s">
        <v>2</v>
      </c>
      <c r="P51" s="872">
        <f>X50-AA50*AC50</f>
        <v>2</v>
      </c>
      <c r="Q51" s="872"/>
      <c r="R51" s="872"/>
      <c r="S51" s="110" t="s">
        <v>3</v>
      </c>
      <c r="T51" s="110"/>
      <c r="U51" s="110"/>
      <c r="V51" s="110"/>
      <c r="W51" s="110"/>
      <c r="X51" s="110"/>
      <c r="Y51" s="110"/>
      <c r="Z51" s="110"/>
      <c r="AA51" s="110"/>
      <c r="AB51" s="110"/>
      <c r="AC51" s="110"/>
      <c r="AD51" s="110"/>
      <c r="AE51" s="110"/>
      <c r="AF51" s="110"/>
      <c r="AG51" s="110"/>
      <c r="AH51" s="110"/>
      <c r="AI51" s="110"/>
      <c r="AJ51" s="111"/>
    </row>
    <row r="52" spans="4:36">
      <c r="D52" s="143"/>
      <c r="E52" s="110"/>
      <c r="F52" s="596" t="s">
        <v>692</v>
      </c>
      <c r="G52" s="596"/>
      <c r="H52" s="596"/>
      <c r="I52" s="596"/>
      <c r="J52" s="596"/>
      <c r="K52" s="596"/>
      <c r="L52" s="596"/>
      <c r="M52" s="380" t="s">
        <v>201</v>
      </c>
      <c r="N52" s="380"/>
      <c r="O52" s="110" t="s">
        <v>2</v>
      </c>
      <c r="P52" s="873">
        <f>'1.設計条件'!T89</f>
        <v>45</v>
      </c>
      <c r="Q52" s="873"/>
      <c r="R52" s="873"/>
      <c r="S52" s="110" t="s">
        <v>688</v>
      </c>
      <c r="T52" s="110"/>
      <c r="U52" s="110"/>
      <c r="V52" s="110"/>
      <c r="W52" s="110"/>
      <c r="X52" s="110"/>
      <c r="Y52" s="110"/>
      <c r="Z52" s="110"/>
      <c r="AA52" s="110"/>
      <c r="AB52" s="110"/>
      <c r="AC52" s="110"/>
      <c r="AD52" s="110"/>
      <c r="AE52" s="110"/>
      <c r="AF52" s="110"/>
      <c r="AG52" s="110"/>
      <c r="AH52" s="110"/>
      <c r="AI52" s="110"/>
      <c r="AJ52" s="111"/>
    </row>
    <row r="53" spans="4:36">
      <c r="D53" s="143"/>
      <c r="E53" s="110"/>
      <c r="F53" s="57"/>
      <c r="G53" s="57"/>
      <c r="H53" s="57"/>
      <c r="I53" s="57"/>
      <c r="J53" s="57"/>
      <c r="K53" s="57"/>
      <c r="L53" s="57"/>
      <c r="M53" s="147"/>
      <c r="N53" s="147"/>
      <c r="O53" s="110"/>
      <c r="P53" s="302"/>
      <c r="Q53" s="302"/>
      <c r="R53" s="302"/>
      <c r="S53" s="110"/>
      <c r="T53" s="110"/>
      <c r="U53" s="110"/>
      <c r="V53" s="110"/>
      <c r="W53" s="110"/>
      <c r="X53" s="110"/>
      <c r="Y53" s="110"/>
      <c r="Z53" s="110"/>
      <c r="AA53" s="110"/>
      <c r="AB53" s="110"/>
      <c r="AC53" s="110"/>
      <c r="AD53" s="110"/>
      <c r="AE53" s="110"/>
      <c r="AF53" s="110"/>
      <c r="AG53" s="110"/>
      <c r="AH53" s="110"/>
      <c r="AI53" s="110"/>
      <c r="AJ53" s="111"/>
    </row>
    <row r="54" spans="4:36">
      <c r="D54" s="143"/>
      <c r="E54" s="13" t="s">
        <v>696</v>
      </c>
      <c r="G54" s="57"/>
      <c r="H54" s="57"/>
      <c r="I54" s="57"/>
      <c r="J54" s="57"/>
      <c r="K54" s="57"/>
      <c r="L54" s="57"/>
      <c r="M54" s="147"/>
      <c r="N54" s="147"/>
      <c r="O54" s="110"/>
      <c r="P54" s="302"/>
      <c r="Q54" s="302"/>
      <c r="R54" s="302"/>
      <c r="S54" s="110"/>
      <c r="T54" s="110"/>
      <c r="U54" s="110"/>
      <c r="V54" s="110"/>
      <c r="W54" s="110"/>
      <c r="X54" s="110"/>
      <c r="Y54" s="110"/>
      <c r="Z54" s="110"/>
      <c r="AA54" s="110"/>
      <c r="AB54" s="110"/>
      <c r="AC54" s="110"/>
      <c r="AD54" s="110"/>
      <c r="AE54" s="110"/>
      <c r="AF54" s="110"/>
      <c r="AG54" s="110"/>
      <c r="AH54" s="110"/>
      <c r="AI54" s="110"/>
      <c r="AJ54" s="111"/>
    </row>
    <row r="55" spans="4:36">
      <c r="D55" s="143"/>
      <c r="E55" s="110"/>
      <c r="F55" s="13"/>
      <c r="G55" s="57"/>
      <c r="H55" s="57"/>
      <c r="I55" s="57"/>
      <c r="J55" s="57"/>
      <c r="K55" s="57"/>
      <c r="L55" s="57"/>
      <c r="M55" s="380" t="s">
        <v>166</v>
      </c>
      <c r="N55" s="380"/>
      <c r="O55" s="110" t="s">
        <v>2</v>
      </c>
      <c r="P55" s="380" t="s">
        <v>695</v>
      </c>
      <c r="Q55" s="380"/>
      <c r="R55" s="304" t="s">
        <v>68</v>
      </c>
      <c r="S55" s="380" t="s">
        <v>686</v>
      </c>
      <c r="T55" s="380"/>
      <c r="U55" s="110"/>
      <c r="V55" s="110"/>
      <c r="W55" s="110"/>
      <c r="X55" s="110"/>
      <c r="Y55" s="110"/>
      <c r="Z55" s="110"/>
      <c r="AA55" s="110"/>
      <c r="AB55" s="110"/>
      <c r="AC55" s="110"/>
      <c r="AD55" s="110"/>
      <c r="AE55" s="110"/>
      <c r="AF55" s="110"/>
      <c r="AG55" s="110"/>
      <c r="AH55" s="110"/>
      <c r="AI55" s="110"/>
      <c r="AJ55" s="111"/>
    </row>
    <row r="56" spans="4:36">
      <c r="D56" s="143"/>
      <c r="E56" s="110"/>
      <c r="F56" s="110"/>
      <c r="G56" s="110"/>
      <c r="H56" s="110"/>
      <c r="I56" s="110"/>
      <c r="J56" s="110"/>
      <c r="K56" s="110"/>
      <c r="L56" s="110"/>
      <c r="M56" s="110"/>
      <c r="N56" s="110"/>
      <c r="O56" s="110" t="s">
        <v>2</v>
      </c>
      <c r="P56" s="872">
        <f>P51</f>
        <v>2</v>
      </c>
      <c r="Q56" s="872"/>
      <c r="R56" s="110" t="s">
        <v>68</v>
      </c>
      <c r="S56" s="872">
        <f>P49</f>
        <v>1.5</v>
      </c>
      <c r="T56" s="872"/>
      <c r="U56" s="110"/>
      <c r="V56" s="110"/>
      <c r="W56" s="110"/>
      <c r="X56" s="110"/>
      <c r="Y56" s="110"/>
      <c r="Z56" s="110"/>
      <c r="AA56" s="110"/>
      <c r="AB56" s="110"/>
      <c r="AC56" s="110"/>
      <c r="AD56" s="110"/>
      <c r="AE56" s="110"/>
      <c r="AF56" s="110"/>
      <c r="AG56" s="110"/>
      <c r="AH56" s="110"/>
      <c r="AI56" s="110"/>
      <c r="AJ56" s="111"/>
    </row>
    <row r="57" spans="4:36">
      <c r="D57" s="143"/>
      <c r="E57" s="110"/>
      <c r="F57" s="110"/>
      <c r="G57" s="110"/>
      <c r="H57" s="110"/>
      <c r="I57" s="110"/>
      <c r="J57" s="110"/>
      <c r="K57" s="110"/>
      <c r="L57" s="110"/>
      <c r="M57" s="110"/>
      <c r="N57" s="110"/>
      <c r="O57" s="110" t="s">
        <v>2</v>
      </c>
      <c r="P57" s="874">
        <f>P56+S56</f>
        <v>3.5</v>
      </c>
      <c r="Q57" s="876"/>
      <c r="R57" s="110" t="s">
        <v>3</v>
      </c>
      <c r="S57" s="110"/>
      <c r="T57" s="110"/>
      <c r="U57" s="110"/>
      <c r="V57" s="110"/>
      <c r="W57" s="110"/>
      <c r="X57" s="110"/>
      <c r="Y57" s="110"/>
      <c r="Z57" s="110"/>
      <c r="AA57" s="110"/>
      <c r="AB57" s="110"/>
      <c r="AC57" s="110"/>
      <c r="AD57" s="110"/>
      <c r="AE57" s="110"/>
      <c r="AF57" s="110"/>
      <c r="AG57" s="110"/>
      <c r="AH57" s="110"/>
      <c r="AI57" s="110"/>
      <c r="AJ57" s="111"/>
    </row>
    <row r="58" spans="4:36">
      <c r="D58" s="143"/>
      <c r="E58" s="110"/>
      <c r="F58" s="110"/>
      <c r="G58" s="110"/>
      <c r="H58" s="110"/>
      <c r="I58" s="110"/>
      <c r="J58" s="110"/>
      <c r="K58" s="110"/>
      <c r="L58" s="110"/>
      <c r="M58" s="110"/>
      <c r="N58" s="110"/>
      <c r="O58" s="110"/>
      <c r="P58" s="303"/>
      <c r="Q58" s="303"/>
      <c r="R58" s="110"/>
      <c r="S58" s="110"/>
      <c r="T58" s="110"/>
      <c r="U58" s="110"/>
      <c r="V58" s="110"/>
      <c r="W58" s="110"/>
      <c r="X58" s="110"/>
      <c r="Y58" s="110"/>
      <c r="Z58" s="110"/>
      <c r="AA58" s="110"/>
      <c r="AB58" s="110"/>
      <c r="AC58" s="110"/>
      <c r="AD58" s="110"/>
      <c r="AE58" s="110"/>
      <c r="AF58" s="110"/>
      <c r="AG58" s="110"/>
      <c r="AH58" s="110"/>
      <c r="AI58" s="110"/>
      <c r="AJ58" s="111"/>
    </row>
    <row r="59" spans="4:36">
      <c r="D59" s="143"/>
      <c r="E59" s="764" t="s">
        <v>831</v>
      </c>
      <c r="F59" s="764"/>
      <c r="G59" s="764"/>
      <c r="H59" s="764"/>
      <c r="I59" s="764"/>
      <c r="J59" s="764"/>
      <c r="K59" s="764"/>
      <c r="L59" s="764"/>
      <c r="M59" s="764"/>
      <c r="N59" s="764"/>
      <c r="O59" s="764"/>
      <c r="P59" s="764"/>
      <c r="Q59" s="764"/>
      <c r="R59" s="764"/>
      <c r="S59" s="764"/>
      <c r="T59" s="764"/>
      <c r="U59" s="764"/>
      <c r="V59" s="764"/>
      <c r="W59" s="764"/>
      <c r="X59" s="764"/>
      <c r="Y59" s="764"/>
      <c r="Z59" s="764"/>
      <c r="AA59" s="764"/>
      <c r="AB59" s="764"/>
      <c r="AC59" s="764"/>
      <c r="AD59" s="764"/>
      <c r="AE59" s="764"/>
      <c r="AF59" s="764"/>
      <c r="AG59" s="764"/>
      <c r="AH59" s="764"/>
      <c r="AI59" s="764"/>
      <c r="AJ59" s="765"/>
    </row>
    <row r="60" spans="4:36">
      <c r="D60" s="143"/>
      <c r="E60" s="764"/>
      <c r="F60" s="764"/>
      <c r="G60" s="764"/>
      <c r="H60" s="764"/>
      <c r="I60" s="764"/>
      <c r="J60" s="764"/>
      <c r="K60" s="764"/>
      <c r="L60" s="764"/>
      <c r="M60" s="764"/>
      <c r="N60" s="764"/>
      <c r="O60" s="764"/>
      <c r="P60" s="764"/>
      <c r="Q60" s="764"/>
      <c r="R60" s="764"/>
      <c r="S60" s="764"/>
      <c r="T60" s="764"/>
      <c r="U60" s="764"/>
      <c r="V60" s="764"/>
      <c r="W60" s="764"/>
      <c r="X60" s="764"/>
      <c r="Y60" s="764"/>
      <c r="Z60" s="764"/>
      <c r="AA60" s="764"/>
      <c r="AB60" s="764"/>
      <c r="AC60" s="764"/>
      <c r="AD60" s="764"/>
      <c r="AE60" s="764"/>
      <c r="AF60" s="764"/>
      <c r="AG60" s="764"/>
      <c r="AH60" s="764"/>
      <c r="AI60" s="764"/>
      <c r="AJ60" s="765"/>
    </row>
    <row r="61" spans="4:36">
      <c r="D61" s="143"/>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1"/>
    </row>
    <row r="62" spans="4:36" s="234" customFormat="1">
      <c r="D62" s="345"/>
      <c r="E62" s="318"/>
      <c r="F62" s="904" t="s">
        <v>710</v>
      </c>
      <c r="G62" s="904"/>
      <c r="H62" s="904"/>
      <c r="I62" s="904"/>
      <c r="J62" s="904"/>
      <c r="K62" s="904"/>
      <c r="L62" s="904"/>
      <c r="M62" s="904"/>
      <c r="N62" s="904"/>
      <c r="O62" s="902" t="s">
        <v>709</v>
      </c>
      <c r="P62" s="902"/>
      <c r="Q62" s="318" t="s">
        <v>2</v>
      </c>
      <c r="R62" s="903">
        <f>'1.設計条件'!T88</f>
        <v>2</v>
      </c>
      <c r="S62" s="903"/>
      <c r="T62" s="903"/>
      <c r="U62" s="318" t="s">
        <v>3</v>
      </c>
      <c r="V62" s="318"/>
      <c r="W62" s="318"/>
      <c r="X62" s="318"/>
      <c r="Y62" s="318"/>
      <c r="Z62" s="318"/>
      <c r="AA62" s="318"/>
      <c r="AB62" s="318"/>
      <c r="AC62" s="318"/>
      <c r="AD62" s="318"/>
      <c r="AE62" s="318"/>
      <c r="AF62" s="318"/>
      <c r="AG62" s="318"/>
      <c r="AH62" s="318"/>
      <c r="AI62" s="318"/>
      <c r="AJ62" s="344"/>
    </row>
    <row r="63" spans="4:36">
      <c r="D63" s="143"/>
      <c r="E63" s="110"/>
      <c r="F63" s="596" t="s">
        <v>711</v>
      </c>
      <c r="G63" s="596"/>
      <c r="H63" s="596"/>
      <c r="I63" s="596"/>
      <c r="J63" s="596"/>
      <c r="K63" s="596"/>
      <c r="L63" s="596"/>
      <c r="M63" s="596"/>
      <c r="N63" s="596"/>
      <c r="O63" s="380" t="s">
        <v>712</v>
      </c>
      <c r="P63" s="380"/>
      <c r="Q63" s="110" t="s">
        <v>2</v>
      </c>
      <c r="R63" s="360" t="s">
        <v>88</v>
      </c>
      <c r="S63" s="360"/>
      <c r="T63" s="303" t="s">
        <v>236</v>
      </c>
      <c r="U63" s="305">
        <v>2</v>
      </c>
      <c r="V63" s="360" t="s">
        <v>15</v>
      </c>
      <c r="W63" s="360"/>
      <c r="X63" s="303" t="s">
        <v>236</v>
      </c>
      <c r="Y63" s="305">
        <v>2</v>
      </c>
      <c r="Z63" s="380" t="s">
        <v>709</v>
      </c>
      <c r="AA63" s="380"/>
      <c r="AH63" s="110"/>
      <c r="AI63" s="110"/>
      <c r="AJ63" s="111"/>
    </row>
    <row r="64" spans="4:36">
      <c r="D64" s="143"/>
      <c r="E64" s="110"/>
      <c r="F64" s="57"/>
      <c r="G64" s="57"/>
      <c r="H64" s="57"/>
      <c r="I64" s="57"/>
      <c r="J64" s="57"/>
      <c r="K64" s="57"/>
      <c r="L64" s="57"/>
      <c r="M64" s="57"/>
      <c r="N64" s="57"/>
      <c r="O64" s="147"/>
      <c r="P64" s="147"/>
      <c r="Q64" s="110" t="s">
        <v>2</v>
      </c>
      <c r="R64" s="853">
        <f>'1.設計条件'!R12</f>
        <v>7.2</v>
      </c>
      <c r="S64" s="853"/>
      <c r="T64" s="303" t="s">
        <v>236</v>
      </c>
      <c r="U64" s="305">
        <v>2</v>
      </c>
      <c r="V64" s="1" t="s">
        <v>27</v>
      </c>
      <c r="W64" s="853">
        <f>'1.設計条件'!T42/1000</f>
        <v>0.1</v>
      </c>
      <c r="X64" s="853"/>
      <c r="Y64" s="853"/>
      <c r="Z64" s="303" t="s">
        <v>236</v>
      </c>
      <c r="AA64" s="305">
        <v>2</v>
      </c>
      <c r="AB64" s="1" t="s">
        <v>27</v>
      </c>
      <c r="AC64" s="853">
        <f>R62</f>
        <v>2</v>
      </c>
      <c r="AD64" s="853"/>
      <c r="AE64" s="853"/>
      <c r="AI64" s="110"/>
      <c r="AJ64" s="111"/>
    </row>
    <row r="65" spans="4:36">
      <c r="D65" s="143"/>
      <c r="E65" s="110"/>
      <c r="F65" s="110"/>
      <c r="G65" s="110"/>
      <c r="H65" s="110"/>
      <c r="I65" s="110"/>
      <c r="J65" s="110"/>
      <c r="K65" s="110"/>
      <c r="L65" s="110"/>
      <c r="M65" s="110"/>
      <c r="N65" s="110"/>
      <c r="O65" s="110"/>
      <c r="P65" s="110"/>
      <c r="Q65" s="110" t="s">
        <v>2</v>
      </c>
      <c r="R65" s="872">
        <f>R64-U64*W64-AA64*AC64</f>
        <v>3</v>
      </c>
      <c r="S65" s="872"/>
      <c r="T65" s="872"/>
      <c r="U65" s="110" t="s">
        <v>3</v>
      </c>
      <c r="V65" s="110"/>
      <c r="W65" s="110"/>
      <c r="X65" s="110"/>
      <c r="Y65" s="110"/>
      <c r="Z65" s="110"/>
      <c r="AA65" s="110"/>
      <c r="AB65" s="110"/>
      <c r="AC65" s="110"/>
      <c r="AD65" s="110"/>
      <c r="AE65" s="110"/>
      <c r="AF65" s="110"/>
      <c r="AG65" s="110"/>
      <c r="AH65" s="110"/>
      <c r="AI65" s="110"/>
      <c r="AJ65" s="111"/>
    </row>
    <row r="66" spans="4:36">
      <c r="D66" s="143"/>
      <c r="E66" s="110"/>
      <c r="F66" s="13" t="s">
        <v>708</v>
      </c>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1"/>
    </row>
    <row r="67" spans="4:36">
      <c r="D67" s="143"/>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110"/>
      <c r="AJ67" s="111"/>
    </row>
    <row r="68" spans="4:36">
      <c r="D68" s="143"/>
      <c r="E68" s="110"/>
      <c r="F68" s="110"/>
      <c r="G68" s="110"/>
      <c r="H68" s="465" t="s">
        <v>195</v>
      </c>
      <c r="I68" s="901"/>
      <c r="J68" s="878" t="s">
        <v>2</v>
      </c>
      <c r="K68" s="309">
        <v>1</v>
      </c>
      <c r="L68" s="878" t="s">
        <v>712</v>
      </c>
      <c r="M68" s="878"/>
      <c r="N68" s="878" t="s">
        <v>68</v>
      </c>
      <c r="O68" s="878" t="s">
        <v>709</v>
      </c>
      <c r="P68" s="878"/>
      <c r="Q68" s="110"/>
      <c r="R68" s="878" t="s">
        <v>2</v>
      </c>
      <c r="S68" s="309">
        <v>1</v>
      </c>
      <c r="T68" s="879">
        <f>R65</f>
        <v>3</v>
      </c>
      <c r="U68" s="879"/>
      <c r="V68" s="878" t="s">
        <v>68</v>
      </c>
      <c r="W68" s="879">
        <f>R62</f>
        <v>2</v>
      </c>
      <c r="X68" s="879"/>
      <c r="Y68" s="110"/>
      <c r="Z68" s="110"/>
      <c r="AA68" s="110"/>
      <c r="AB68" s="110"/>
      <c r="AC68" s="110"/>
      <c r="AD68" s="110"/>
      <c r="AE68" s="110"/>
      <c r="AF68" s="110"/>
      <c r="AG68" s="110"/>
      <c r="AH68" s="110"/>
      <c r="AI68" s="110"/>
      <c r="AJ68" s="111"/>
    </row>
    <row r="69" spans="4:36">
      <c r="D69" s="143"/>
      <c r="E69" s="110"/>
      <c r="F69" s="110"/>
      <c r="G69" s="110"/>
      <c r="H69" s="901"/>
      <c r="I69" s="901"/>
      <c r="J69" s="878"/>
      <c r="K69" s="302">
        <v>2</v>
      </c>
      <c r="L69" s="878"/>
      <c r="M69" s="878"/>
      <c r="N69" s="878"/>
      <c r="O69" s="878"/>
      <c r="P69" s="878"/>
      <c r="Q69" s="110"/>
      <c r="R69" s="878"/>
      <c r="S69" s="302">
        <v>2</v>
      </c>
      <c r="T69" s="879"/>
      <c r="U69" s="879"/>
      <c r="V69" s="878"/>
      <c r="W69" s="879"/>
      <c r="X69" s="879"/>
      <c r="Y69" s="110"/>
      <c r="Z69" s="110"/>
      <c r="AA69" s="110"/>
      <c r="AB69" s="110"/>
      <c r="AC69" s="110"/>
      <c r="AD69" s="110"/>
      <c r="AE69" s="110"/>
      <c r="AF69" s="110"/>
      <c r="AG69" s="110"/>
      <c r="AH69" s="110"/>
      <c r="AI69" s="110"/>
      <c r="AJ69" s="111"/>
    </row>
    <row r="70" spans="4:36">
      <c r="D70" s="143"/>
      <c r="E70" s="110"/>
      <c r="F70" s="110"/>
      <c r="G70" s="110"/>
      <c r="H70" s="871"/>
      <c r="I70" s="871"/>
      <c r="J70" s="119" t="s">
        <v>2</v>
      </c>
      <c r="K70" s="879">
        <f>S68/S69*T68+W68</f>
        <v>3.5</v>
      </c>
      <c r="L70" s="879"/>
      <c r="M70" s="110" t="s">
        <v>3</v>
      </c>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1"/>
    </row>
    <row r="71" spans="4:36">
      <c r="D71" s="143"/>
      <c r="E71" s="110"/>
      <c r="F71" s="110"/>
      <c r="G71" s="110"/>
      <c r="H71" s="110"/>
      <c r="I71" s="110"/>
      <c r="J71" s="119"/>
      <c r="K71" s="310"/>
      <c r="L71" s="3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1"/>
    </row>
    <row r="72" spans="4:36">
      <c r="D72" s="12"/>
      <c r="E72" s="13" t="s">
        <v>832</v>
      </c>
      <c r="F72" s="13"/>
      <c r="G72" s="13"/>
      <c r="H72" s="13"/>
      <c r="I72" s="13"/>
      <c r="J72" s="13"/>
      <c r="K72" s="13"/>
      <c r="L72" s="13"/>
      <c r="M72" s="13"/>
      <c r="N72" s="360" t="s">
        <v>307</v>
      </c>
      <c r="O72" s="360"/>
      <c r="P72" s="13" t="s">
        <v>2</v>
      </c>
      <c r="Q72" s="374">
        <v>150</v>
      </c>
      <c r="R72" s="376"/>
      <c r="S72" s="13" t="s">
        <v>257</v>
      </c>
      <c r="T72" s="13"/>
      <c r="U72" s="13"/>
      <c r="V72" s="32" t="s">
        <v>315</v>
      </c>
      <c r="W72" s="13"/>
      <c r="X72" s="13"/>
      <c r="Y72" s="13"/>
      <c r="Z72" s="13"/>
      <c r="AA72" s="13"/>
      <c r="AB72" s="13"/>
      <c r="AC72" s="13"/>
      <c r="AD72" s="13"/>
      <c r="AE72" s="13"/>
      <c r="AF72" s="13"/>
      <c r="AG72" s="13"/>
      <c r="AH72" s="13"/>
      <c r="AI72" s="13"/>
      <c r="AJ72" s="15"/>
    </row>
    <row r="73" spans="4:36">
      <c r="D73" s="12"/>
      <c r="E73" s="13"/>
      <c r="F73" s="13"/>
      <c r="G73" s="13"/>
      <c r="H73" s="13"/>
      <c r="I73" s="13"/>
      <c r="J73" s="13"/>
      <c r="K73" s="13"/>
      <c r="L73" s="13"/>
      <c r="M73" s="13"/>
      <c r="N73" s="35"/>
      <c r="O73" s="35"/>
      <c r="P73" s="13"/>
      <c r="Q73" s="35"/>
      <c r="R73" s="13"/>
      <c r="S73" s="35"/>
      <c r="T73" s="13"/>
      <c r="U73" s="13"/>
      <c r="V73" s="32"/>
      <c r="W73" s="13"/>
      <c r="X73" s="13"/>
      <c r="Y73" s="13"/>
      <c r="Z73" s="13"/>
      <c r="AA73" s="13"/>
      <c r="AB73" s="13"/>
      <c r="AC73" s="13"/>
      <c r="AD73" s="13"/>
      <c r="AE73" s="13"/>
      <c r="AF73" s="13"/>
      <c r="AG73" s="13"/>
      <c r="AH73" s="13"/>
      <c r="AI73" s="13"/>
      <c r="AJ73" s="15"/>
    </row>
    <row r="74" spans="4:36">
      <c r="D74" s="311" t="s">
        <v>721</v>
      </c>
      <c r="E74" s="167"/>
      <c r="F74" s="110"/>
      <c r="G74" s="110"/>
      <c r="H74" s="110"/>
      <c r="I74" s="110"/>
      <c r="J74" s="110"/>
      <c r="K74" s="110"/>
      <c r="L74" s="110"/>
      <c r="M74" s="110"/>
      <c r="N74" s="110"/>
      <c r="O74" s="110"/>
      <c r="P74" s="303"/>
      <c r="Q74" s="303"/>
      <c r="R74" s="110"/>
      <c r="S74" s="110"/>
      <c r="T74" s="110"/>
      <c r="U74" s="110"/>
      <c r="V74" s="110"/>
      <c r="W74" s="110"/>
      <c r="X74" s="110"/>
      <c r="Y74" s="110"/>
      <c r="Z74" s="110"/>
      <c r="AA74" s="110"/>
      <c r="AB74" s="110"/>
      <c r="AC74" s="110"/>
      <c r="AD74" s="110"/>
      <c r="AE74" s="110"/>
      <c r="AF74" s="110"/>
      <c r="AG74" s="110"/>
      <c r="AH74" s="110"/>
      <c r="AI74" s="110"/>
      <c r="AJ74" s="111"/>
    </row>
    <row r="75" spans="4:36">
      <c r="D75" s="143"/>
      <c r="E75" s="110"/>
      <c r="F75" s="13" t="s">
        <v>705</v>
      </c>
      <c r="G75" s="110"/>
      <c r="H75" s="110"/>
      <c r="I75" s="110"/>
      <c r="R75" s="110"/>
      <c r="S75" s="110"/>
      <c r="T75" s="110"/>
      <c r="U75" s="110"/>
      <c r="V75" s="110"/>
      <c r="W75" s="110"/>
      <c r="X75" s="110"/>
      <c r="Y75" s="110"/>
      <c r="Z75" s="110"/>
      <c r="AA75" s="110"/>
      <c r="AB75" s="110"/>
      <c r="AC75" s="110"/>
      <c r="AD75" s="110"/>
      <c r="AE75" s="110"/>
      <c r="AF75" s="110"/>
      <c r="AG75" s="110"/>
      <c r="AH75" s="110"/>
      <c r="AI75" s="110"/>
      <c r="AJ75" s="111"/>
    </row>
    <row r="76" spans="4:36" ht="20.25">
      <c r="D76" s="143"/>
      <c r="E76" s="110"/>
      <c r="F76" s="110"/>
      <c r="G76" s="360" t="s">
        <v>706</v>
      </c>
      <c r="H76" s="360"/>
      <c r="I76" s="110" t="s">
        <v>2</v>
      </c>
      <c r="J76" s="1" t="s">
        <v>69</v>
      </c>
      <c r="K76" s="360" t="s">
        <v>713</v>
      </c>
      <c r="L76" s="360"/>
      <c r="M76" s="110" t="s">
        <v>66</v>
      </c>
      <c r="N76" s="871" t="s">
        <v>195</v>
      </c>
      <c r="O76" s="871"/>
      <c r="P76" s="110" t="s">
        <v>68</v>
      </c>
      <c r="Q76" s="360" t="s">
        <v>307</v>
      </c>
      <c r="R76" s="360"/>
      <c r="S76" s="312" t="s">
        <v>83</v>
      </c>
      <c r="T76" s="110" t="s">
        <v>70</v>
      </c>
      <c r="U76" s="322" t="s">
        <v>750</v>
      </c>
      <c r="V76" s="110"/>
      <c r="W76" s="110"/>
      <c r="X76" s="110"/>
      <c r="Y76" s="110"/>
      <c r="Z76" s="110"/>
      <c r="AA76" s="110"/>
      <c r="AB76" s="110"/>
      <c r="AC76" s="110"/>
      <c r="AD76" s="110"/>
      <c r="AE76" s="110"/>
      <c r="AF76" s="110"/>
      <c r="AG76" s="110"/>
      <c r="AH76" s="110"/>
      <c r="AI76" s="110"/>
      <c r="AJ76" s="111"/>
    </row>
    <row r="77" spans="4:36" ht="20.25" customHeight="1">
      <c r="D77" s="143"/>
      <c r="E77" s="110"/>
      <c r="F77" s="110"/>
      <c r="G77" s="110"/>
      <c r="H77" s="110"/>
      <c r="I77" s="110" t="s">
        <v>2</v>
      </c>
      <c r="J77" s="1" t="s">
        <v>69</v>
      </c>
      <c r="K77" s="872">
        <f>K31</f>
        <v>121.64567066132668</v>
      </c>
      <c r="L77" s="872"/>
      <c r="M77" s="872"/>
      <c r="N77" s="110" t="s">
        <v>66</v>
      </c>
      <c r="O77" s="872">
        <f>K70</f>
        <v>3.5</v>
      </c>
      <c r="P77" s="872"/>
      <c r="Q77" s="110" t="s">
        <v>68</v>
      </c>
      <c r="R77" s="873">
        <f>Q72</f>
        <v>150</v>
      </c>
      <c r="S77" s="873"/>
      <c r="T77" s="873"/>
      <c r="U77" s="1" t="s">
        <v>83</v>
      </c>
      <c r="V77" s="110" t="s">
        <v>70</v>
      </c>
      <c r="W77" s="905">
        <f>'1.設計条件'!N54</f>
        <v>1</v>
      </c>
      <c r="X77" s="905"/>
      <c r="Z77" s="110"/>
      <c r="AA77" s="110"/>
      <c r="AB77" s="110"/>
      <c r="AC77" s="110"/>
      <c r="AD77" s="110"/>
      <c r="AE77" s="110"/>
      <c r="AF77" s="110"/>
      <c r="AG77" s="110"/>
      <c r="AH77" s="110"/>
      <c r="AI77" s="110"/>
      <c r="AJ77" s="111"/>
    </row>
    <row r="78" spans="4:36">
      <c r="D78" s="143"/>
      <c r="E78" s="110"/>
      <c r="F78" s="110"/>
      <c r="G78" s="110"/>
      <c r="H78" s="110"/>
      <c r="I78" s="110" t="s">
        <v>2</v>
      </c>
      <c r="J78" s="874">
        <f>(K77*O77+R77)/W77</f>
        <v>575.75984731464337</v>
      </c>
      <c r="K78" s="875"/>
      <c r="L78" s="876"/>
      <c r="M78" s="110" t="s">
        <v>257</v>
      </c>
      <c r="N78" s="110"/>
      <c r="O78" s="110"/>
      <c r="P78" s="303"/>
      <c r="AA78" s="110"/>
      <c r="AB78" s="110"/>
      <c r="AC78" s="110"/>
      <c r="AD78" s="110"/>
      <c r="AE78" s="110"/>
      <c r="AF78" s="110"/>
      <c r="AG78" s="110"/>
      <c r="AH78" s="110"/>
      <c r="AI78" s="110"/>
      <c r="AJ78" s="111"/>
    </row>
    <row r="79" spans="4:36">
      <c r="D79" s="143"/>
      <c r="E79" s="110"/>
      <c r="F79" s="110"/>
      <c r="G79" s="110"/>
      <c r="H79" s="110"/>
      <c r="I79" s="110"/>
      <c r="J79" s="110"/>
      <c r="K79" s="110"/>
      <c r="L79" s="110"/>
      <c r="M79" s="110"/>
      <c r="N79" s="110"/>
      <c r="O79" s="110"/>
      <c r="P79" s="303"/>
      <c r="Q79" s="303"/>
      <c r="R79" s="110"/>
      <c r="S79" s="110"/>
      <c r="T79" s="110"/>
      <c r="U79" s="110"/>
      <c r="V79" s="110"/>
      <c r="W79" s="110"/>
      <c r="X79" s="110"/>
      <c r="Y79" s="110"/>
      <c r="Z79" s="110"/>
      <c r="AA79" s="110"/>
      <c r="AB79" s="110"/>
      <c r="AC79" s="110"/>
      <c r="AD79" s="110"/>
      <c r="AE79" s="110"/>
      <c r="AF79" s="110"/>
      <c r="AG79" s="110"/>
      <c r="AH79" s="110"/>
      <c r="AI79" s="110"/>
      <c r="AJ79" s="111"/>
    </row>
    <row r="80" spans="4:36">
      <c r="D80" s="12"/>
      <c r="F80" s="13" t="s">
        <v>371</v>
      </c>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5"/>
    </row>
    <row r="81" spans="4:36" ht="20.25">
      <c r="D81" s="12"/>
      <c r="E81" s="13"/>
      <c r="G81" s="465" t="s">
        <v>715</v>
      </c>
      <c r="H81" s="465"/>
      <c r="I81" s="449" t="s">
        <v>2</v>
      </c>
      <c r="J81" s="306" t="s">
        <v>697</v>
      </c>
      <c r="K81" s="307" t="s">
        <v>66</v>
      </c>
      <c r="L81" s="141" t="s">
        <v>166</v>
      </c>
      <c r="M81" s="306" t="s">
        <v>585</v>
      </c>
      <c r="N81" s="449" t="s">
        <v>27</v>
      </c>
      <c r="O81" s="617">
        <v>1</v>
      </c>
      <c r="P81" s="617"/>
      <c r="R81" s="449" t="s">
        <v>2</v>
      </c>
      <c r="S81" s="681">
        <f>K31</f>
        <v>121.64567066132668</v>
      </c>
      <c r="T81" s="681"/>
      <c r="U81" s="681"/>
      <c r="V81" s="141" t="s">
        <v>27</v>
      </c>
      <c r="W81" s="877">
        <f>P57</f>
        <v>3.5</v>
      </c>
      <c r="X81" s="877"/>
      <c r="Y81" s="142" t="s">
        <v>281</v>
      </c>
      <c r="Z81" s="449" t="s">
        <v>27</v>
      </c>
      <c r="AA81" s="152">
        <v>1</v>
      </c>
      <c r="AC81" s="449" t="s">
        <v>2</v>
      </c>
      <c r="AD81" s="690">
        <f>S81*W81^2/S82*AA81/AA82</f>
        <v>186.26993320015646</v>
      </c>
      <c r="AE81" s="774"/>
      <c r="AF81" s="691"/>
      <c r="AG81" s="880" t="s">
        <v>270</v>
      </c>
      <c r="AH81" s="881"/>
      <c r="AI81" s="881"/>
      <c r="AJ81" s="15"/>
    </row>
    <row r="82" spans="4:36">
      <c r="D82" s="12"/>
      <c r="E82" s="13"/>
      <c r="G82" s="465"/>
      <c r="H82" s="465"/>
      <c r="I82" s="449"/>
      <c r="J82" s="870">
        <v>8</v>
      </c>
      <c r="K82" s="870"/>
      <c r="L82" s="870"/>
      <c r="M82" s="870"/>
      <c r="N82" s="449"/>
      <c r="O82" s="453" t="s">
        <v>750</v>
      </c>
      <c r="P82" s="453"/>
      <c r="R82" s="449"/>
      <c r="S82" s="870">
        <f>J82</f>
        <v>8</v>
      </c>
      <c r="T82" s="870"/>
      <c r="U82" s="870"/>
      <c r="V82" s="870"/>
      <c r="W82" s="870"/>
      <c r="X82" s="870"/>
      <c r="Z82" s="449"/>
      <c r="AA82" s="323">
        <f>W77</f>
        <v>1</v>
      </c>
      <c r="AC82" s="449"/>
      <c r="AD82" s="692"/>
      <c r="AE82" s="775"/>
      <c r="AF82" s="693"/>
      <c r="AG82" s="880"/>
      <c r="AH82" s="881"/>
      <c r="AI82" s="881"/>
      <c r="AJ82" s="15"/>
    </row>
    <row r="83" spans="4:36">
      <c r="D83" s="12"/>
      <c r="E83" s="13"/>
      <c r="F83" s="13"/>
      <c r="G83" s="13"/>
      <c r="H83" s="13"/>
      <c r="N83" s="13"/>
      <c r="O83" s="13"/>
      <c r="V83" s="13"/>
      <c r="W83" s="13"/>
      <c r="X83" s="13"/>
      <c r="Y83" s="13"/>
      <c r="Z83" s="13"/>
      <c r="AA83" s="13"/>
      <c r="AB83" s="13"/>
      <c r="AC83" s="13"/>
      <c r="AD83" s="13"/>
      <c r="AE83" s="13"/>
      <c r="AF83" s="13"/>
      <c r="AG83" s="13"/>
      <c r="AH83" s="13"/>
      <c r="AI83" s="13"/>
      <c r="AJ83" s="15"/>
    </row>
    <row r="84" spans="4:36">
      <c r="D84" s="12"/>
      <c r="E84" s="13"/>
      <c r="F84" s="13" t="s">
        <v>372</v>
      </c>
      <c r="G84" s="13"/>
      <c r="H84" s="13"/>
      <c r="I84" s="13"/>
      <c r="J84" s="13"/>
      <c r="K84" s="13"/>
      <c r="L84" s="13"/>
      <c r="M84" s="13"/>
      <c r="N84" s="13"/>
      <c r="O84" s="13"/>
      <c r="P84" s="13"/>
      <c r="Q84" s="13"/>
      <c r="R84" s="13"/>
      <c r="AH84" s="13"/>
      <c r="AI84" s="13"/>
      <c r="AJ84" s="15"/>
    </row>
    <row r="85" spans="4:36">
      <c r="D85" s="12"/>
      <c r="E85" s="13"/>
      <c r="F85" s="13"/>
      <c r="G85" s="465" t="s">
        <v>716</v>
      </c>
      <c r="H85" s="465"/>
      <c r="I85" s="449" t="s">
        <v>2</v>
      </c>
      <c r="J85" s="306" t="s">
        <v>697</v>
      </c>
      <c r="K85" s="307" t="s">
        <v>66</v>
      </c>
      <c r="L85" s="141" t="s">
        <v>166</v>
      </c>
      <c r="M85" s="449" t="s">
        <v>27</v>
      </c>
      <c r="N85" s="617">
        <v>1</v>
      </c>
      <c r="O85" s="617"/>
      <c r="R85" s="449" t="s">
        <v>2</v>
      </c>
      <c r="S85" s="681">
        <f>K31</f>
        <v>121.64567066132668</v>
      </c>
      <c r="T85" s="681"/>
      <c r="U85" s="681"/>
      <c r="V85" s="141" t="s">
        <v>27</v>
      </c>
      <c r="W85" s="877">
        <f>P57</f>
        <v>3.5</v>
      </c>
      <c r="X85" s="877"/>
      <c r="Z85" s="449" t="s">
        <v>27</v>
      </c>
      <c r="AA85" s="152">
        <v>1</v>
      </c>
      <c r="AB85" s="32"/>
      <c r="AC85" s="449" t="s">
        <v>2</v>
      </c>
      <c r="AD85" s="690">
        <f>S85*W85/S86*AA85/AA86</f>
        <v>212.87992365732168</v>
      </c>
      <c r="AE85" s="774"/>
      <c r="AF85" s="691"/>
      <c r="AG85" s="651" t="s">
        <v>257</v>
      </c>
      <c r="AH85" s="13"/>
      <c r="AI85" s="13"/>
      <c r="AJ85" s="15"/>
    </row>
    <row r="86" spans="4:36">
      <c r="D86" s="12"/>
      <c r="G86" s="465"/>
      <c r="H86" s="465"/>
      <c r="I86" s="449"/>
      <c r="J86" s="870">
        <v>2</v>
      </c>
      <c r="K86" s="870"/>
      <c r="L86" s="870"/>
      <c r="M86" s="449"/>
      <c r="N86" s="453" t="s">
        <v>750</v>
      </c>
      <c r="O86" s="453"/>
      <c r="R86" s="449"/>
      <c r="S86" s="870">
        <f>J86</f>
        <v>2</v>
      </c>
      <c r="T86" s="870"/>
      <c r="U86" s="870"/>
      <c r="V86" s="870"/>
      <c r="W86" s="870"/>
      <c r="X86" s="870"/>
      <c r="Z86" s="449"/>
      <c r="AA86" s="323">
        <f>W77</f>
        <v>1</v>
      </c>
      <c r="AB86" s="32"/>
      <c r="AC86" s="449"/>
      <c r="AD86" s="692"/>
      <c r="AE86" s="775"/>
      <c r="AF86" s="693"/>
      <c r="AG86" s="651"/>
      <c r="AH86" s="13"/>
      <c r="AI86" s="13"/>
      <c r="AJ86" s="15"/>
    </row>
    <row r="87" spans="4:36">
      <c r="D87" s="12"/>
      <c r="E87" s="13"/>
      <c r="N87" s="13"/>
      <c r="Y87" s="13"/>
      <c r="Z87" s="13"/>
      <c r="AA87" s="13"/>
      <c r="AB87" s="13"/>
      <c r="AC87" s="13"/>
      <c r="AD87" s="13"/>
      <c r="AE87" s="13"/>
      <c r="AF87" s="13"/>
      <c r="AG87" s="13"/>
      <c r="AH87" s="13"/>
      <c r="AI87" s="13"/>
      <c r="AJ87" s="15"/>
    </row>
    <row r="88" spans="4:36">
      <c r="D88" s="311" t="s">
        <v>722</v>
      </c>
      <c r="E88" s="167"/>
      <c r="F88" s="110"/>
      <c r="G88" s="110"/>
      <c r="H88" s="110"/>
      <c r="I88" s="110"/>
      <c r="J88" s="110"/>
      <c r="K88" s="110"/>
      <c r="L88" s="110"/>
      <c r="M88" s="110"/>
      <c r="N88" s="110"/>
      <c r="O88" s="110"/>
      <c r="P88" s="303"/>
      <c r="Q88" s="303"/>
      <c r="R88" s="110"/>
      <c r="S88" s="110"/>
      <c r="T88" s="110"/>
      <c r="U88" s="110"/>
      <c r="V88" s="110"/>
      <c r="W88" s="110"/>
      <c r="X88" s="110"/>
      <c r="Y88" s="110"/>
      <c r="Z88" s="110"/>
      <c r="AA88" s="110"/>
      <c r="AB88" s="110"/>
      <c r="AC88" s="110"/>
      <c r="AD88" s="110"/>
      <c r="AE88" s="110"/>
      <c r="AF88" s="110"/>
      <c r="AG88" s="110"/>
      <c r="AH88" s="110"/>
      <c r="AI88" s="110"/>
      <c r="AJ88" s="111"/>
    </row>
    <row r="89" spans="4:36">
      <c r="D89" s="143"/>
      <c r="E89" s="110"/>
      <c r="F89" s="13" t="s">
        <v>705</v>
      </c>
      <c r="G89" s="110"/>
      <c r="H89" s="110"/>
      <c r="I89" s="318"/>
      <c r="J89" s="318"/>
      <c r="S89" s="318"/>
      <c r="T89" s="110"/>
      <c r="U89" s="110"/>
      <c r="V89" s="110"/>
      <c r="W89" s="110"/>
      <c r="X89" s="110"/>
      <c r="Y89" s="110"/>
      <c r="Z89" s="110"/>
      <c r="AA89" s="110"/>
      <c r="AB89" s="110"/>
      <c r="AC89" s="110"/>
      <c r="AD89" s="110"/>
      <c r="AE89" s="110"/>
      <c r="AF89" s="110"/>
      <c r="AG89" s="110"/>
      <c r="AH89" s="110"/>
      <c r="AI89" s="110"/>
      <c r="AJ89" s="111"/>
    </row>
    <row r="90" spans="4:36" ht="20.25" customHeight="1">
      <c r="D90" s="143"/>
      <c r="E90" s="110"/>
      <c r="F90" s="110"/>
      <c r="G90" s="360" t="s">
        <v>714</v>
      </c>
      <c r="H90" s="360"/>
      <c r="I90" s="110" t="s">
        <v>2</v>
      </c>
      <c r="J90" s="1" t="s">
        <v>69</v>
      </c>
      <c r="K90" s="360" t="s">
        <v>681</v>
      </c>
      <c r="L90" s="360"/>
      <c r="M90" s="110" t="s">
        <v>66</v>
      </c>
      <c r="N90" s="871" t="s">
        <v>195</v>
      </c>
      <c r="O90" s="871"/>
      <c r="P90" s="110" t="s">
        <v>68</v>
      </c>
      <c r="Q90" s="360" t="s">
        <v>307</v>
      </c>
      <c r="R90" s="360"/>
      <c r="S90" s="110" t="s">
        <v>83</v>
      </c>
      <c r="T90" s="110" t="s">
        <v>70</v>
      </c>
      <c r="U90" s="322" t="s">
        <v>750</v>
      </c>
      <c r="V90" s="110"/>
      <c r="W90" s="110"/>
      <c r="X90" s="110"/>
      <c r="Y90" s="110"/>
      <c r="Z90" s="110"/>
      <c r="AA90" s="110"/>
      <c r="AB90" s="110"/>
      <c r="AC90" s="110"/>
      <c r="AD90" s="110"/>
      <c r="AE90" s="110"/>
      <c r="AF90" s="110"/>
      <c r="AG90" s="110"/>
      <c r="AH90" s="110"/>
      <c r="AI90" s="110"/>
      <c r="AJ90" s="111"/>
    </row>
    <row r="91" spans="4:36" ht="20.25" customHeight="1">
      <c r="D91" s="143"/>
      <c r="E91" s="110"/>
      <c r="F91" s="110"/>
      <c r="G91" s="110"/>
      <c r="H91" s="110"/>
      <c r="I91" s="110" t="s">
        <v>2</v>
      </c>
      <c r="J91" s="1" t="s">
        <v>69</v>
      </c>
      <c r="K91" s="872">
        <f>K40</f>
        <v>157.79675299599501</v>
      </c>
      <c r="L91" s="872"/>
      <c r="M91" s="872"/>
      <c r="N91" s="110" t="s">
        <v>66</v>
      </c>
      <c r="O91" s="872">
        <f>K70</f>
        <v>3.5</v>
      </c>
      <c r="P91" s="872"/>
      <c r="Q91" s="110" t="s">
        <v>68</v>
      </c>
      <c r="R91" s="873">
        <f>Q72</f>
        <v>150</v>
      </c>
      <c r="S91" s="873"/>
      <c r="T91" s="873"/>
      <c r="U91" s="110" t="s">
        <v>83</v>
      </c>
      <c r="V91" s="110" t="s">
        <v>70</v>
      </c>
      <c r="W91" s="905">
        <f>'1.設計条件'!Q54</f>
        <v>1</v>
      </c>
      <c r="X91" s="905"/>
      <c r="Z91" s="110"/>
      <c r="AA91" s="110"/>
      <c r="AB91" s="110"/>
      <c r="AC91" s="110"/>
      <c r="AD91" s="110"/>
      <c r="AE91" s="110"/>
      <c r="AF91" s="110"/>
      <c r="AG91" s="110"/>
      <c r="AH91" s="110"/>
      <c r="AI91" s="110"/>
      <c r="AJ91" s="111"/>
    </row>
    <row r="92" spans="4:36">
      <c r="D92" s="143"/>
      <c r="E92" s="110"/>
      <c r="F92" s="110"/>
      <c r="G92" s="110"/>
      <c r="H92" s="110"/>
      <c r="I92" s="110" t="s">
        <v>2</v>
      </c>
      <c r="J92" s="874">
        <f>(K91*O91+R91)/W91</f>
        <v>702.28863548598247</v>
      </c>
      <c r="K92" s="875"/>
      <c r="L92" s="876"/>
      <c r="M92" s="110" t="s">
        <v>257</v>
      </c>
      <c r="N92" s="110"/>
      <c r="O92" s="110"/>
      <c r="Z92" s="110"/>
      <c r="AA92" s="110"/>
      <c r="AB92" s="110"/>
      <c r="AC92" s="110"/>
      <c r="AD92" s="110"/>
      <c r="AE92" s="110"/>
      <c r="AF92" s="110"/>
      <c r="AG92" s="110"/>
      <c r="AH92" s="110"/>
      <c r="AI92" s="110"/>
      <c r="AJ92" s="111"/>
    </row>
    <row r="93" spans="4:36">
      <c r="D93" s="143"/>
      <c r="E93" s="110"/>
      <c r="F93" s="110"/>
      <c r="G93" s="110"/>
      <c r="H93" s="110"/>
      <c r="I93" s="110"/>
      <c r="J93" s="110"/>
      <c r="K93" s="110"/>
      <c r="L93" s="110"/>
      <c r="M93" s="110"/>
      <c r="N93" s="110"/>
      <c r="O93" s="110"/>
      <c r="P93" s="303"/>
      <c r="Q93" s="303"/>
      <c r="R93" s="110"/>
      <c r="S93" s="110"/>
      <c r="T93" s="110"/>
      <c r="U93" s="110"/>
      <c r="V93" s="110"/>
      <c r="W93" s="110"/>
      <c r="X93" s="110"/>
      <c r="Y93" s="110"/>
      <c r="Z93" s="110"/>
      <c r="AA93" s="110"/>
      <c r="AB93" s="110"/>
      <c r="AC93" s="110"/>
      <c r="AD93" s="110"/>
      <c r="AE93" s="110"/>
      <c r="AF93" s="110"/>
      <c r="AG93" s="110"/>
      <c r="AH93" s="110"/>
      <c r="AI93" s="110"/>
      <c r="AJ93" s="111"/>
    </row>
    <row r="94" spans="4:36">
      <c r="D94" s="12"/>
      <c r="F94" s="13" t="s">
        <v>371</v>
      </c>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5"/>
    </row>
    <row r="95" spans="4:36" ht="20.25">
      <c r="D95" s="12"/>
      <c r="E95" s="13"/>
      <c r="G95" s="465" t="s">
        <v>717</v>
      </c>
      <c r="H95" s="465"/>
      <c r="I95" s="449" t="s">
        <v>2</v>
      </c>
      <c r="J95" s="306" t="s">
        <v>719</v>
      </c>
      <c r="K95" s="307" t="s">
        <v>66</v>
      </c>
      <c r="L95" s="141" t="s">
        <v>166</v>
      </c>
      <c r="M95" s="306" t="s">
        <v>585</v>
      </c>
      <c r="N95" s="449" t="s">
        <v>27</v>
      </c>
      <c r="O95" s="617">
        <v>1</v>
      </c>
      <c r="P95" s="617"/>
      <c r="R95" s="449" t="s">
        <v>2</v>
      </c>
      <c r="S95" s="681">
        <f>K40</f>
        <v>157.79675299599501</v>
      </c>
      <c r="T95" s="681"/>
      <c r="U95" s="681"/>
      <c r="V95" s="141" t="s">
        <v>27</v>
      </c>
      <c r="W95" s="877">
        <f>P57</f>
        <v>3.5</v>
      </c>
      <c r="X95" s="877"/>
      <c r="Y95" s="142" t="s">
        <v>281</v>
      </c>
      <c r="Z95" s="449" t="s">
        <v>27</v>
      </c>
      <c r="AA95" s="152">
        <v>1</v>
      </c>
      <c r="AC95" s="449" t="s">
        <v>2</v>
      </c>
      <c r="AD95" s="690">
        <f>S95*W95^2/S96</f>
        <v>241.62627802511736</v>
      </c>
      <c r="AE95" s="774"/>
      <c r="AF95" s="691"/>
      <c r="AG95" s="880" t="s">
        <v>270</v>
      </c>
      <c r="AH95" s="881"/>
      <c r="AI95" s="881"/>
      <c r="AJ95" s="15"/>
    </row>
    <row r="96" spans="4:36">
      <c r="D96" s="12"/>
      <c r="E96" s="13"/>
      <c r="G96" s="465"/>
      <c r="H96" s="465"/>
      <c r="I96" s="449"/>
      <c r="J96" s="870">
        <v>8</v>
      </c>
      <c r="K96" s="870"/>
      <c r="L96" s="870"/>
      <c r="M96" s="870"/>
      <c r="N96" s="449"/>
      <c r="O96" s="453" t="s">
        <v>750</v>
      </c>
      <c r="P96" s="453"/>
      <c r="R96" s="449"/>
      <c r="S96" s="870">
        <f>J96</f>
        <v>8</v>
      </c>
      <c r="T96" s="870"/>
      <c r="U96" s="870"/>
      <c r="V96" s="870"/>
      <c r="W96" s="870"/>
      <c r="X96" s="870"/>
      <c r="Z96" s="449"/>
      <c r="AA96" s="323">
        <f>W91</f>
        <v>1</v>
      </c>
      <c r="AC96" s="449"/>
      <c r="AD96" s="692"/>
      <c r="AE96" s="775"/>
      <c r="AF96" s="693"/>
      <c r="AG96" s="880"/>
      <c r="AH96" s="881"/>
      <c r="AI96" s="881"/>
      <c r="AJ96" s="15"/>
    </row>
    <row r="97" spans="3:36">
      <c r="D97" s="12"/>
      <c r="E97" s="13"/>
      <c r="F97" s="13"/>
      <c r="G97" s="13"/>
      <c r="H97" s="13"/>
      <c r="N97" s="13"/>
      <c r="O97" s="13"/>
      <c r="P97" s="13"/>
      <c r="Q97" s="13"/>
      <c r="R97" s="13"/>
      <c r="Y97" s="13"/>
      <c r="Z97" s="13"/>
      <c r="AA97" s="13"/>
      <c r="AB97" s="13"/>
      <c r="AC97" s="13"/>
      <c r="AD97" s="13"/>
      <c r="AE97" s="13"/>
      <c r="AF97" s="13"/>
      <c r="AG97" s="13"/>
      <c r="AH97" s="13"/>
      <c r="AI97" s="13"/>
      <c r="AJ97" s="15"/>
    </row>
    <row r="98" spans="3:36">
      <c r="D98" s="12"/>
      <c r="E98" s="13"/>
      <c r="F98" s="13" t="s">
        <v>372</v>
      </c>
      <c r="G98" s="13"/>
      <c r="H98" s="13"/>
      <c r="I98" s="13"/>
      <c r="J98" s="13"/>
      <c r="K98" s="13"/>
      <c r="L98" s="13"/>
      <c r="M98" s="13"/>
      <c r="N98" s="13"/>
      <c r="O98" s="13"/>
      <c r="P98" s="13"/>
      <c r="Q98" s="13"/>
      <c r="R98" s="13"/>
      <c r="AH98" s="13"/>
      <c r="AI98" s="13"/>
      <c r="AJ98" s="15"/>
    </row>
    <row r="99" spans="3:36">
      <c r="D99" s="12"/>
      <c r="E99" s="13"/>
      <c r="F99" s="13"/>
      <c r="G99" s="465" t="s">
        <v>718</v>
      </c>
      <c r="H99" s="465"/>
      <c r="I99" s="449" t="s">
        <v>2</v>
      </c>
      <c r="J99" s="306" t="s">
        <v>719</v>
      </c>
      <c r="K99" s="307" t="s">
        <v>66</v>
      </c>
      <c r="L99" s="141" t="s">
        <v>166</v>
      </c>
      <c r="M99" s="449" t="s">
        <v>27</v>
      </c>
      <c r="N99" s="617">
        <v>1</v>
      </c>
      <c r="O99" s="617"/>
      <c r="R99" s="449" t="s">
        <v>2</v>
      </c>
      <c r="S99" s="681">
        <f>K40</f>
        <v>157.79675299599501</v>
      </c>
      <c r="T99" s="681"/>
      <c r="U99" s="681"/>
      <c r="V99" s="141" t="s">
        <v>27</v>
      </c>
      <c r="W99" s="877">
        <f>P57</f>
        <v>3.5</v>
      </c>
      <c r="X99" s="877"/>
      <c r="Y99" s="17"/>
      <c r="Z99" s="449" t="s">
        <v>27</v>
      </c>
      <c r="AA99" s="152">
        <v>1</v>
      </c>
      <c r="AB99" s="32"/>
      <c r="AC99" s="449" t="s">
        <v>2</v>
      </c>
      <c r="AD99" s="690">
        <f>S99*W99/S100</f>
        <v>276.14431774299123</v>
      </c>
      <c r="AE99" s="774"/>
      <c r="AF99" s="691"/>
      <c r="AG99" s="651" t="s">
        <v>257</v>
      </c>
      <c r="AH99" s="13"/>
      <c r="AI99" s="13"/>
      <c r="AJ99" s="15"/>
    </row>
    <row r="100" spans="3:36">
      <c r="D100" s="12"/>
      <c r="G100" s="465"/>
      <c r="H100" s="465"/>
      <c r="I100" s="449"/>
      <c r="J100" s="870">
        <v>2</v>
      </c>
      <c r="K100" s="870"/>
      <c r="L100" s="870"/>
      <c r="M100" s="449"/>
      <c r="N100" s="453" t="s">
        <v>750</v>
      </c>
      <c r="O100" s="453"/>
      <c r="R100" s="449"/>
      <c r="S100" s="870">
        <f>J100</f>
        <v>2</v>
      </c>
      <c r="T100" s="870"/>
      <c r="U100" s="870"/>
      <c r="V100" s="870"/>
      <c r="W100" s="870"/>
      <c r="X100" s="870"/>
      <c r="Z100" s="449"/>
      <c r="AA100" s="323">
        <f>W91</f>
        <v>1</v>
      </c>
      <c r="AB100" s="32"/>
      <c r="AC100" s="449"/>
      <c r="AD100" s="692"/>
      <c r="AE100" s="775"/>
      <c r="AF100" s="693"/>
      <c r="AG100" s="651"/>
      <c r="AH100" s="13"/>
      <c r="AI100" s="13"/>
      <c r="AJ100" s="15"/>
    </row>
    <row r="101" spans="3:36">
      <c r="D101" s="16"/>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9"/>
    </row>
    <row r="103" spans="3:36" s="234" customFormat="1">
      <c r="C103" s="234" t="s">
        <v>728</v>
      </c>
      <c r="X103" t="s">
        <v>297</v>
      </c>
    </row>
    <row r="104" spans="3:36">
      <c r="D104" s="9" t="s">
        <v>729</v>
      </c>
      <c r="E104" s="10"/>
      <c r="F104" s="10"/>
      <c r="G104" s="10"/>
      <c r="H104" s="10"/>
      <c r="I104" s="10"/>
      <c r="J104" s="10"/>
      <c r="K104" s="10"/>
      <c r="L104" s="10"/>
      <c r="M104" s="10"/>
      <c r="N104" s="10"/>
      <c r="O104" s="10"/>
      <c r="P104" s="10"/>
      <c r="Q104" s="10"/>
      <c r="R104" s="10"/>
      <c r="S104" s="10"/>
      <c r="T104" s="10"/>
      <c r="U104" s="10"/>
      <c r="V104" s="10"/>
      <c r="W104" s="10"/>
      <c r="X104" s="3" t="s">
        <v>316</v>
      </c>
      <c r="Y104" s="10"/>
      <c r="Z104" s="10"/>
      <c r="AA104" s="10"/>
      <c r="AB104" s="10"/>
      <c r="AC104" s="10"/>
      <c r="AD104" s="10"/>
      <c r="AE104" s="10"/>
      <c r="AF104" s="10"/>
      <c r="AG104" s="10"/>
      <c r="AH104" s="10"/>
      <c r="AI104" s="10"/>
      <c r="AJ104" s="11"/>
    </row>
    <row r="105" spans="3:36">
      <c r="D105" s="12"/>
      <c r="E105" s="13"/>
      <c r="F105" s="13"/>
      <c r="G105" s="13"/>
      <c r="H105" s="13"/>
      <c r="I105" s="13"/>
      <c r="J105" s="13"/>
      <c r="K105" s="13"/>
      <c r="L105" s="13"/>
      <c r="M105" s="13"/>
      <c r="N105" s="13"/>
      <c r="O105" s="13"/>
      <c r="P105" s="13"/>
      <c r="Q105" s="13"/>
      <c r="R105" s="13"/>
      <c r="S105" s="13"/>
      <c r="T105" s="13"/>
      <c r="U105" s="13"/>
      <c r="V105" s="13"/>
      <c r="W105" s="13"/>
      <c r="Y105" s="13"/>
      <c r="Z105" s="13"/>
      <c r="AA105" s="13"/>
      <c r="AB105" s="13"/>
      <c r="AC105" s="13"/>
      <c r="AD105" s="13"/>
      <c r="AE105" s="13"/>
      <c r="AF105" s="13"/>
      <c r="AG105" s="13"/>
      <c r="AH105" s="13"/>
      <c r="AI105" s="13"/>
      <c r="AJ105" s="15"/>
    </row>
    <row r="106" spans="3:36">
      <c r="D106" s="12"/>
      <c r="E106" s="1" t="s">
        <v>399</v>
      </c>
      <c r="AJ106" s="15"/>
    </row>
    <row r="107" spans="3:36">
      <c r="D107" s="12"/>
      <c r="AJ107" s="15"/>
    </row>
    <row r="108" spans="3:36">
      <c r="D108" s="12"/>
      <c r="F108" s="13" t="s">
        <v>383</v>
      </c>
      <c r="G108" s="13"/>
      <c r="H108" s="13"/>
      <c r="I108" s="13"/>
      <c r="J108" s="13"/>
      <c r="K108" s="13"/>
      <c r="L108" s="13"/>
      <c r="M108" s="13"/>
      <c r="N108" s="13"/>
      <c r="O108" s="13"/>
      <c r="P108" s="13"/>
      <c r="Q108" s="13"/>
      <c r="R108" s="13"/>
      <c r="S108" s="13"/>
      <c r="T108" s="13"/>
      <c r="U108" s="13"/>
      <c r="V108" s="13"/>
      <c r="W108" s="13"/>
      <c r="X108"/>
      <c r="Y108" s="13"/>
      <c r="Z108" s="13"/>
      <c r="AA108" s="13"/>
      <c r="AB108" s="13"/>
      <c r="AC108" s="13"/>
      <c r="AD108" s="13"/>
      <c r="AJ108" s="15"/>
    </row>
    <row r="109" spans="3:36">
      <c r="D109" s="12"/>
      <c r="E109" s="13"/>
      <c r="F109" s="13"/>
      <c r="G109" s="466" t="s">
        <v>318</v>
      </c>
      <c r="H109" s="466"/>
      <c r="I109" s="449" t="s">
        <v>68</v>
      </c>
      <c r="J109" s="17"/>
      <c r="K109" s="17"/>
      <c r="L109" s="17"/>
      <c r="M109" s="17"/>
      <c r="N109" s="466" t="s">
        <v>317</v>
      </c>
      <c r="O109" s="466"/>
      <c r="P109" s="17"/>
      <c r="Q109" s="17"/>
      <c r="R109" s="17"/>
      <c r="S109" s="17"/>
      <c r="T109" s="449" t="s">
        <v>68</v>
      </c>
      <c r="U109" s="17"/>
      <c r="V109" s="17"/>
      <c r="W109" s="17"/>
      <c r="X109" s="17"/>
      <c r="Y109" s="466" t="s">
        <v>323</v>
      </c>
      <c r="Z109" s="466"/>
      <c r="AA109" s="17"/>
      <c r="AB109" s="17"/>
      <c r="AC109" s="17"/>
      <c r="AD109" s="17"/>
      <c r="AF109" s="883" t="s">
        <v>326</v>
      </c>
      <c r="AG109" s="884">
        <v>1</v>
      </c>
      <c r="AJ109" s="15"/>
    </row>
    <row r="110" spans="3:36">
      <c r="D110" s="12"/>
      <c r="E110" s="13"/>
      <c r="F110" s="13"/>
      <c r="G110" s="360" t="s">
        <v>319</v>
      </c>
      <c r="H110" s="360"/>
      <c r="I110" s="449"/>
      <c r="J110" s="360" t="s">
        <v>322</v>
      </c>
      <c r="K110" s="360"/>
      <c r="L110" s="41" t="s">
        <v>320</v>
      </c>
      <c r="M110" s="13" t="s">
        <v>263</v>
      </c>
      <c r="N110" s="360" t="s">
        <v>318</v>
      </c>
      <c r="O110" s="360"/>
      <c r="P110" s="13" t="s">
        <v>70</v>
      </c>
      <c r="Q110" s="360" t="s">
        <v>321</v>
      </c>
      <c r="R110" s="360"/>
      <c r="S110" s="13" t="s">
        <v>83</v>
      </c>
      <c r="T110" s="449"/>
      <c r="U110" s="360" t="s">
        <v>324</v>
      </c>
      <c r="V110" s="360"/>
      <c r="W110" s="41" t="s">
        <v>320</v>
      </c>
      <c r="X110" s="13" t="s">
        <v>263</v>
      </c>
      <c r="Y110" s="360" t="s">
        <v>318</v>
      </c>
      <c r="Z110" s="360"/>
      <c r="AA110" s="13" t="s">
        <v>70</v>
      </c>
      <c r="AB110" s="360" t="s">
        <v>325</v>
      </c>
      <c r="AC110" s="360"/>
      <c r="AD110" s="13" t="s">
        <v>83</v>
      </c>
      <c r="AF110" s="883"/>
      <c r="AG110" s="884"/>
      <c r="AJ110" s="15"/>
    </row>
    <row r="111" spans="3:36">
      <c r="D111" s="12"/>
      <c r="AJ111" s="15"/>
    </row>
    <row r="112" spans="3:36">
      <c r="D112" s="12"/>
      <c r="AJ112" s="15"/>
    </row>
    <row r="113" spans="4:36">
      <c r="D113" s="12"/>
      <c r="F113" s="13" t="s">
        <v>384</v>
      </c>
      <c r="G113" s="13"/>
      <c r="H113" s="13"/>
      <c r="I113" s="13"/>
      <c r="J113" s="13"/>
      <c r="K113" s="13"/>
      <c r="L113" s="13"/>
      <c r="M113" s="13"/>
      <c r="N113" s="13"/>
      <c r="O113" s="13"/>
      <c r="P113" s="13"/>
      <c r="Q113" s="13"/>
      <c r="R113" s="13"/>
      <c r="S113" s="13"/>
      <c r="T113" s="13"/>
      <c r="U113" s="13"/>
      <c r="V113" s="13"/>
      <c r="W113" s="13"/>
      <c r="X113"/>
      <c r="Y113" s="13"/>
      <c r="Z113" s="13"/>
      <c r="AJ113" s="15"/>
    </row>
    <row r="114" spans="4:36" ht="20.25" customHeight="1">
      <c r="D114" s="12"/>
      <c r="E114" s="13"/>
      <c r="F114" s="13"/>
      <c r="G114" s="465" t="s">
        <v>318</v>
      </c>
      <c r="H114" s="465"/>
      <c r="I114" s="449" t="s">
        <v>68</v>
      </c>
      <c r="J114" s="17"/>
      <c r="K114" s="17"/>
      <c r="L114" s="17"/>
      <c r="M114" s="466" t="s">
        <v>317</v>
      </c>
      <c r="N114" s="466"/>
      <c r="O114" s="17"/>
      <c r="P114" s="17"/>
      <c r="Q114" s="17"/>
      <c r="R114" s="449" t="s">
        <v>68</v>
      </c>
      <c r="S114" s="17"/>
      <c r="T114" s="17"/>
      <c r="U114" s="17"/>
      <c r="V114" s="466" t="s">
        <v>323</v>
      </c>
      <c r="W114" s="466"/>
      <c r="X114" s="17"/>
      <c r="Y114" s="17"/>
      <c r="Z114" s="17"/>
      <c r="AC114" s="883" t="s">
        <v>326</v>
      </c>
      <c r="AD114" s="465" t="s">
        <v>327</v>
      </c>
      <c r="AE114" s="465"/>
      <c r="AJ114" s="15"/>
    </row>
    <row r="115" spans="4:36">
      <c r="D115" s="12"/>
      <c r="E115" s="13"/>
      <c r="F115" s="13"/>
      <c r="G115" s="465"/>
      <c r="H115" s="465"/>
      <c r="I115" s="449"/>
      <c r="J115" s="13" t="s">
        <v>320</v>
      </c>
      <c r="K115" s="13" t="s">
        <v>263</v>
      </c>
      <c r="L115" s="360" t="s">
        <v>318</v>
      </c>
      <c r="M115" s="360"/>
      <c r="N115" s="13" t="s">
        <v>70</v>
      </c>
      <c r="O115" s="360" t="s">
        <v>321</v>
      </c>
      <c r="P115" s="360"/>
      <c r="Q115" s="13" t="s">
        <v>83</v>
      </c>
      <c r="R115" s="449"/>
      <c r="S115" s="13" t="s">
        <v>320</v>
      </c>
      <c r="T115" s="13" t="s">
        <v>263</v>
      </c>
      <c r="U115" s="360" t="s">
        <v>318</v>
      </c>
      <c r="V115" s="360"/>
      <c r="W115" s="13" t="s">
        <v>70</v>
      </c>
      <c r="X115" s="360" t="s">
        <v>325</v>
      </c>
      <c r="Y115" s="360"/>
      <c r="Z115" s="13" t="s">
        <v>83</v>
      </c>
      <c r="AC115" s="883"/>
      <c r="AD115" s="465"/>
      <c r="AE115" s="465"/>
      <c r="AJ115" s="15"/>
    </row>
    <row r="116" spans="4:36">
      <c r="D116" s="12"/>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5"/>
    </row>
    <row r="117" spans="4:36">
      <c r="D117" s="12"/>
      <c r="E117" s="13"/>
      <c r="F117" s="13" t="s">
        <v>42</v>
      </c>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5"/>
    </row>
    <row r="118" spans="4:36" ht="20.25">
      <c r="D118" s="12"/>
      <c r="E118" s="13"/>
      <c r="F118" s="9"/>
      <c r="G118" s="10"/>
      <c r="H118" s="467" t="s">
        <v>318</v>
      </c>
      <c r="I118" s="467"/>
      <c r="J118" s="10" t="s">
        <v>328</v>
      </c>
      <c r="K118" s="10"/>
      <c r="L118" s="10"/>
      <c r="M118" s="10"/>
      <c r="N118" s="10"/>
      <c r="O118" s="10"/>
      <c r="P118" s="10"/>
      <c r="Q118" s="10"/>
      <c r="R118" s="10"/>
      <c r="S118" s="10"/>
      <c r="T118" s="10"/>
      <c r="U118" s="10"/>
      <c r="V118" s="10"/>
      <c r="W118" s="10"/>
      <c r="X118" s="3"/>
      <c r="Y118" s="10"/>
      <c r="Z118" s="10"/>
      <c r="AA118" s="10"/>
      <c r="AB118" s="10"/>
      <c r="AC118" s="10"/>
      <c r="AD118" s="10"/>
      <c r="AE118" s="10"/>
      <c r="AF118" s="10"/>
      <c r="AG118" s="10"/>
      <c r="AH118" s="10"/>
      <c r="AI118" s="11"/>
      <c r="AJ118" s="15"/>
    </row>
    <row r="119" spans="4:36">
      <c r="D119" s="12"/>
      <c r="E119" s="13"/>
      <c r="F119" s="12"/>
      <c r="G119" s="13"/>
      <c r="H119" s="865" t="s">
        <v>318</v>
      </c>
      <c r="I119" s="865"/>
      <c r="J119" s="449" t="s">
        <v>2</v>
      </c>
      <c r="K119" s="161" t="s">
        <v>310</v>
      </c>
      <c r="L119" s="34"/>
      <c r="M119" s="13"/>
      <c r="N119" s="449" t="s">
        <v>2</v>
      </c>
      <c r="O119" s="451">
        <f>J78</f>
        <v>575.75984731464337</v>
      </c>
      <c r="P119" s="451"/>
      <c r="Q119" s="451"/>
      <c r="R119" s="17" t="s">
        <v>27</v>
      </c>
      <c r="S119" s="617">
        <v>1000</v>
      </c>
      <c r="T119" s="617"/>
      <c r="U119" s="13"/>
      <c r="V119" s="449" t="s">
        <v>2</v>
      </c>
      <c r="W119" s="554">
        <f>O119*S119/O120/S120</f>
        <v>37.169777102301055</v>
      </c>
      <c r="X119" s="555"/>
      <c r="Y119" s="13"/>
      <c r="Z119" s="13"/>
      <c r="AA119" s="13"/>
      <c r="AB119" s="13"/>
      <c r="AC119" s="13"/>
      <c r="AD119" s="13"/>
      <c r="AE119" s="13"/>
      <c r="AF119" s="13"/>
      <c r="AG119" s="13"/>
      <c r="AH119" s="13"/>
      <c r="AI119" s="15"/>
      <c r="AJ119" s="15"/>
    </row>
    <row r="120" spans="4:36">
      <c r="D120" s="12"/>
      <c r="E120" s="13"/>
      <c r="F120" s="12"/>
      <c r="G120" s="13"/>
      <c r="H120" s="865"/>
      <c r="I120" s="865"/>
      <c r="J120" s="449"/>
      <c r="K120" s="35" t="s">
        <v>240</v>
      </c>
      <c r="L120" s="13"/>
      <c r="M120" s="13"/>
      <c r="N120" s="449"/>
      <c r="O120" s="475">
        <f>'1.設計条件'!N60</f>
        <v>154.9</v>
      </c>
      <c r="P120" s="475"/>
      <c r="Q120" s="475"/>
      <c r="R120" s="13" t="s">
        <v>27</v>
      </c>
      <c r="S120" s="458">
        <v>100</v>
      </c>
      <c r="T120" s="458"/>
      <c r="U120" s="13"/>
      <c r="V120" s="449"/>
      <c r="W120" s="556"/>
      <c r="X120" s="557"/>
      <c r="Y120" s="13"/>
      <c r="Z120" s="13"/>
      <c r="AA120" s="13"/>
      <c r="AB120" s="13"/>
      <c r="AC120" s="13"/>
      <c r="AD120" s="13"/>
      <c r="AE120" s="13"/>
      <c r="AF120" s="13"/>
      <c r="AG120" s="13"/>
      <c r="AH120" s="13"/>
      <c r="AI120" s="15"/>
      <c r="AJ120" s="15"/>
    </row>
    <row r="121" spans="4:36">
      <c r="D121" s="12"/>
      <c r="E121" s="13"/>
      <c r="F121" s="16"/>
      <c r="G121" s="17"/>
      <c r="H121" s="168"/>
      <c r="I121" s="168"/>
      <c r="J121" s="169"/>
      <c r="K121" s="151"/>
      <c r="L121" s="17"/>
      <c r="M121" s="17"/>
      <c r="N121" s="169"/>
      <c r="O121" s="150"/>
      <c r="P121" s="150"/>
      <c r="Q121" s="150"/>
      <c r="R121" s="17"/>
      <c r="S121" s="152"/>
      <c r="T121" s="152"/>
      <c r="U121" s="17"/>
      <c r="V121" s="169"/>
      <c r="W121" s="169"/>
      <c r="X121" s="169"/>
      <c r="Y121" s="17"/>
      <c r="Z121" s="17"/>
      <c r="AA121" s="17"/>
      <c r="AB121" s="17"/>
      <c r="AC121" s="17"/>
      <c r="AD121" s="17"/>
      <c r="AE121" s="17"/>
      <c r="AF121" s="17"/>
      <c r="AG121" s="17"/>
      <c r="AH121" s="17"/>
      <c r="AI121" s="19"/>
      <c r="AJ121" s="15"/>
    </row>
    <row r="122" spans="4:36">
      <c r="D122" s="12"/>
      <c r="E122" s="13"/>
      <c r="F122" s="13"/>
      <c r="G122" s="13"/>
      <c r="H122" s="160"/>
      <c r="I122" s="160"/>
      <c r="J122" s="28"/>
      <c r="K122" s="35"/>
      <c r="L122" s="13"/>
      <c r="M122" s="13"/>
      <c r="N122" s="28"/>
      <c r="O122" s="24"/>
      <c r="P122" s="24"/>
      <c r="Q122" s="24"/>
      <c r="R122" s="13"/>
      <c r="S122" s="27"/>
      <c r="T122" s="27"/>
      <c r="U122" s="13"/>
      <c r="V122" s="28"/>
      <c r="W122" s="28"/>
      <c r="X122" s="28"/>
      <c r="Y122" s="13"/>
      <c r="Z122" s="13"/>
      <c r="AA122" s="13"/>
      <c r="AB122" s="13"/>
      <c r="AC122" s="13"/>
      <c r="AD122" s="13"/>
      <c r="AE122" s="13"/>
      <c r="AF122" s="13"/>
      <c r="AG122" s="13"/>
      <c r="AH122" s="13"/>
      <c r="AI122" s="13"/>
      <c r="AJ122" s="15"/>
    </row>
    <row r="123" spans="4:36">
      <c r="D123" s="12"/>
      <c r="E123" s="13"/>
      <c r="F123" s="13"/>
      <c r="G123" s="13"/>
      <c r="H123" s="35"/>
      <c r="I123" s="35"/>
      <c r="J123" s="160"/>
      <c r="K123" s="160"/>
      <c r="L123" s="28"/>
      <c r="M123" s="35"/>
      <c r="N123" s="13"/>
      <c r="O123" s="13"/>
      <c r="P123" s="28"/>
      <c r="Q123" s="24"/>
      <c r="R123" s="24"/>
      <c r="S123" s="24"/>
      <c r="T123" s="13"/>
      <c r="U123" s="27"/>
      <c r="V123" s="27"/>
      <c r="W123" s="13"/>
      <c r="X123" s="28"/>
      <c r="Y123" s="28"/>
      <c r="Z123" s="28"/>
      <c r="AA123" s="13"/>
      <c r="AB123" s="13"/>
      <c r="AC123" s="13"/>
      <c r="AD123" s="13"/>
      <c r="AE123" s="13"/>
      <c r="AF123" s="13"/>
      <c r="AG123" s="13"/>
      <c r="AH123" s="13"/>
      <c r="AI123" s="13"/>
      <c r="AJ123" s="15"/>
    </row>
    <row r="124" spans="4:36">
      <c r="D124" s="12"/>
      <c r="E124" s="13"/>
      <c r="F124" s="856" t="s">
        <v>317</v>
      </c>
      <c r="G124" s="857"/>
      <c r="H124" s="858" t="s">
        <v>342</v>
      </c>
      <c r="I124" s="858"/>
      <c r="J124" s="862" t="s">
        <v>370</v>
      </c>
      <c r="K124" s="862"/>
      <c r="L124" s="862"/>
      <c r="M124" s="862"/>
      <c r="N124" s="862"/>
      <c r="O124" s="862"/>
      <c r="P124" s="862"/>
      <c r="Q124" s="862"/>
      <c r="R124" s="862"/>
      <c r="S124" s="862"/>
      <c r="T124" s="862"/>
      <c r="U124" s="862"/>
      <c r="V124" s="862"/>
      <c r="W124" s="862"/>
      <c r="X124" s="862"/>
      <c r="Y124" s="862"/>
      <c r="Z124" s="862"/>
      <c r="AA124" s="862"/>
      <c r="AB124" s="862"/>
      <c r="AC124" s="862"/>
      <c r="AD124" s="862"/>
      <c r="AE124" s="862"/>
      <c r="AF124" s="862"/>
      <c r="AG124" s="862"/>
      <c r="AH124" s="862"/>
      <c r="AI124" s="863"/>
      <c r="AJ124" s="170"/>
    </row>
    <row r="125" spans="4:36">
      <c r="D125" s="12"/>
      <c r="E125" s="13"/>
      <c r="F125" s="171"/>
      <c r="G125" s="153"/>
      <c r="H125" s="155"/>
      <c r="I125" s="155"/>
      <c r="J125" s="596" t="s">
        <v>415</v>
      </c>
      <c r="K125" s="596"/>
      <c r="L125" s="596"/>
      <c r="M125" s="596"/>
      <c r="N125" s="596"/>
      <c r="O125" s="596"/>
      <c r="P125" s="596"/>
      <c r="Q125" s="596"/>
      <c r="R125" s="596"/>
      <c r="S125" s="596"/>
      <c r="T125" s="596"/>
      <c r="U125" s="596"/>
      <c r="V125" s="596"/>
      <c r="W125" s="596"/>
      <c r="X125" s="596"/>
      <c r="Y125" s="596"/>
      <c r="Z125" s="596"/>
      <c r="AA125" s="596"/>
      <c r="AB125" s="596"/>
      <c r="AC125" s="596"/>
      <c r="AD125" s="596"/>
      <c r="AE125" s="596"/>
      <c r="AF125" s="596"/>
      <c r="AG125" s="596"/>
      <c r="AH125" s="596"/>
      <c r="AI125" s="864"/>
      <c r="AJ125" s="170"/>
    </row>
    <row r="126" spans="4:36">
      <c r="D126" s="12"/>
      <c r="E126" s="13"/>
      <c r="F126" s="171"/>
      <c r="G126" s="153"/>
      <c r="H126" s="865" t="s">
        <v>317</v>
      </c>
      <c r="I126" s="865"/>
      <c r="J126" s="449" t="s">
        <v>2</v>
      </c>
      <c r="K126" s="866" t="s">
        <v>269</v>
      </c>
      <c r="L126" s="866"/>
      <c r="M126" s="57"/>
      <c r="N126" s="449" t="s">
        <v>2</v>
      </c>
      <c r="O126" s="770">
        <f>AD81</f>
        <v>186.26993320015646</v>
      </c>
      <c r="P126" s="770"/>
      <c r="Q126" s="770"/>
      <c r="R126" s="17" t="s">
        <v>27</v>
      </c>
      <c r="S126" s="867">
        <v>1000000</v>
      </c>
      <c r="T126" s="867"/>
      <c r="U126" s="867"/>
      <c r="V126" s="13"/>
      <c r="W126" s="13"/>
      <c r="X126" s="13"/>
      <c r="Y126" s="13"/>
      <c r="Z126" s="13"/>
      <c r="AA126" s="57"/>
      <c r="AB126" s="57"/>
      <c r="AC126" s="57"/>
      <c r="AD126" s="57"/>
      <c r="AE126" s="57"/>
      <c r="AF126" s="57"/>
      <c r="AG126" s="57"/>
      <c r="AH126" s="57"/>
      <c r="AI126" s="154"/>
      <c r="AJ126" s="154"/>
    </row>
    <row r="127" spans="4:36">
      <c r="D127" s="12"/>
      <c r="E127" s="13"/>
      <c r="F127" s="171"/>
      <c r="G127" s="153"/>
      <c r="H127" s="865"/>
      <c r="I127" s="865"/>
      <c r="J127" s="449"/>
      <c r="K127" s="360" t="s">
        <v>59</v>
      </c>
      <c r="L127" s="360"/>
      <c r="M127" s="57"/>
      <c r="N127" s="449"/>
      <c r="O127" s="868">
        <f>'1.設計条件'!N63</f>
        <v>2000</v>
      </c>
      <c r="P127" s="868"/>
      <c r="Q127" s="868"/>
      <c r="R127" s="13" t="s">
        <v>27</v>
      </c>
      <c r="S127" s="458">
        <v>1000</v>
      </c>
      <c r="T127" s="458"/>
      <c r="U127" s="57"/>
      <c r="V127" s="13"/>
      <c r="W127" s="13"/>
      <c r="X127" s="13"/>
      <c r="Y127" s="13"/>
      <c r="Z127" s="13"/>
      <c r="AA127" s="57"/>
      <c r="AB127" s="57"/>
      <c r="AC127" s="57"/>
      <c r="AD127" s="57"/>
      <c r="AE127" s="57"/>
      <c r="AF127" s="57"/>
      <c r="AG127" s="57"/>
      <c r="AH127" s="57"/>
      <c r="AI127" s="154"/>
      <c r="AJ127" s="154"/>
    </row>
    <row r="128" spans="4:36">
      <c r="D128" s="12"/>
      <c r="E128" s="13"/>
      <c r="F128" s="171"/>
      <c r="G128" s="153"/>
      <c r="H128" s="160"/>
      <c r="I128" s="160"/>
      <c r="J128" s="449" t="s">
        <v>2</v>
      </c>
      <c r="K128" s="554">
        <f>O126*S126/O127/S127</f>
        <v>93.134966600078229</v>
      </c>
      <c r="L128" s="555"/>
      <c r="M128" s="57"/>
      <c r="N128" s="28"/>
      <c r="O128" s="158"/>
      <c r="P128" s="158"/>
      <c r="Q128" s="158"/>
      <c r="R128" s="13"/>
      <c r="S128" s="27"/>
      <c r="T128" s="27"/>
      <c r="U128" s="57"/>
      <c r="V128" s="28"/>
      <c r="W128" s="28"/>
      <c r="X128" s="28"/>
      <c r="Y128" s="13"/>
      <c r="Z128" s="13"/>
      <c r="AA128" s="57"/>
      <c r="AB128" s="57"/>
      <c r="AC128" s="57"/>
      <c r="AD128" s="57"/>
      <c r="AE128" s="57"/>
      <c r="AF128" s="57"/>
      <c r="AG128" s="57"/>
      <c r="AH128" s="57"/>
      <c r="AI128" s="154"/>
      <c r="AJ128" s="154"/>
    </row>
    <row r="129" spans="4:36">
      <c r="D129" s="12"/>
      <c r="E129" s="13"/>
      <c r="F129" s="171"/>
      <c r="G129" s="153"/>
      <c r="H129" s="160"/>
      <c r="I129" s="160"/>
      <c r="J129" s="449"/>
      <c r="K129" s="556"/>
      <c r="L129" s="557"/>
      <c r="M129" s="57"/>
      <c r="N129" s="28"/>
      <c r="O129" s="158"/>
      <c r="P129" s="158"/>
      <c r="Q129" s="158"/>
      <c r="R129" s="13"/>
      <c r="S129" s="27"/>
      <c r="T129" s="27"/>
      <c r="U129" s="57"/>
      <c r="V129" s="28"/>
      <c r="W129" s="28"/>
      <c r="X129" s="28"/>
      <c r="Y129" s="13"/>
      <c r="Z129" s="13"/>
      <c r="AA129" s="57"/>
      <c r="AB129" s="57"/>
      <c r="AC129" s="57"/>
      <c r="AD129" s="57"/>
      <c r="AE129" s="57"/>
      <c r="AF129" s="57"/>
      <c r="AG129" s="57"/>
      <c r="AH129" s="57"/>
      <c r="AI129" s="154"/>
      <c r="AJ129" s="154"/>
    </row>
    <row r="130" spans="4:36">
      <c r="D130" s="12"/>
      <c r="E130" s="13"/>
      <c r="F130" s="171"/>
      <c r="G130" s="153"/>
      <c r="H130" s="160"/>
      <c r="I130" s="160"/>
      <c r="J130" s="28"/>
      <c r="K130" s="35"/>
      <c r="L130" s="35"/>
      <c r="M130" s="57"/>
      <c r="N130" s="28"/>
      <c r="O130" s="158"/>
      <c r="P130" s="158"/>
      <c r="Q130" s="158"/>
      <c r="R130" s="13"/>
      <c r="S130" s="27"/>
      <c r="T130" s="27"/>
      <c r="U130" s="57"/>
      <c r="V130" s="28"/>
      <c r="W130" s="28"/>
      <c r="X130" s="28"/>
      <c r="Y130" s="13"/>
      <c r="Z130" s="13"/>
      <c r="AA130" s="57"/>
      <c r="AB130" s="57"/>
      <c r="AC130" s="57"/>
      <c r="AD130" s="57"/>
      <c r="AE130" s="57"/>
      <c r="AF130" s="57"/>
      <c r="AG130" s="57"/>
      <c r="AH130" s="57"/>
      <c r="AI130" s="154"/>
      <c r="AJ130" s="154"/>
    </row>
    <row r="131" spans="4:36">
      <c r="D131" s="12"/>
      <c r="E131" s="13"/>
      <c r="F131" s="171"/>
      <c r="G131" s="153"/>
      <c r="H131" s="859" t="s">
        <v>323</v>
      </c>
      <c r="I131" s="859"/>
      <c r="J131" s="57" t="s">
        <v>2</v>
      </c>
      <c r="K131" s="860">
        <v>0</v>
      </c>
      <c r="L131" s="861"/>
      <c r="M131" s="57"/>
      <c r="N131" s="28"/>
      <c r="O131" s="158"/>
      <c r="P131" s="158"/>
      <c r="Q131" s="158"/>
      <c r="R131" s="13"/>
      <c r="S131" s="27"/>
      <c r="T131" s="27"/>
      <c r="U131" s="57"/>
      <c r="V131" s="28"/>
      <c r="W131" s="28"/>
      <c r="X131" s="28"/>
      <c r="Y131" s="13"/>
      <c r="Z131" s="13"/>
      <c r="AA131" s="57"/>
      <c r="AB131" s="57"/>
      <c r="AC131" s="57"/>
      <c r="AD131" s="57"/>
      <c r="AE131" s="57"/>
      <c r="AF131" s="57"/>
      <c r="AG131" s="57"/>
      <c r="AH131" s="57"/>
      <c r="AI131" s="154"/>
      <c r="AJ131" s="154"/>
    </row>
    <row r="132" spans="4:36">
      <c r="D132" s="12"/>
      <c r="E132" s="13"/>
      <c r="F132" s="172"/>
      <c r="G132" s="173"/>
      <c r="H132" s="174"/>
      <c r="I132" s="174"/>
      <c r="J132" s="106"/>
      <c r="K132" s="106"/>
      <c r="L132" s="106"/>
      <c r="M132" s="106"/>
      <c r="N132" s="106"/>
      <c r="O132" s="106"/>
      <c r="P132" s="106"/>
      <c r="Q132" s="106"/>
      <c r="R132" s="106"/>
      <c r="S132" s="106"/>
      <c r="T132" s="106"/>
      <c r="U132" s="106"/>
      <c r="V132" s="106"/>
      <c r="W132" s="106"/>
      <c r="X132" s="106"/>
      <c r="Y132" s="106"/>
      <c r="Z132" s="106"/>
      <c r="AA132" s="106"/>
      <c r="AB132" s="106"/>
      <c r="AC132" s="106"/>
      <c r="AD132" s="106"/>
      <c r="AE132" s="106"/>
      <c r="AF132" s="106"/>
      <c r="AG132" s="106"/>
      <c r="AH132" s="106"/>
      <c r="AI132" s="175"/>
      <c r="AJ132" s="154"/>
    </row>
    <row r="133" spans="4:36">
      <c r="D133" s="12"/>
      <c r="E133" s="13"/>
      <c r="F133" s="153"/>
      <c r="G133" s="153"/>
      <c r="H133" s="155"/>
      <c r="I133" s="155"/>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154"/>
    </row>
    <row r="134" spans="4:36">
      <c r="D134" s="12"/>
      <c r="E134" s="13"/>
      <c r="F134" s="153"/>
      <c r="G134" s="153"/>
      <c r="M134" s="13"/>
      <c r="N134" s="13"/>
      <c r="O134" s="57"/>
      <c r="P134" s="57"/>
      <c r="Q134" s="13"/>
      <c r="R134" s="13"/>
      <c r="S134" s="13"/>
      <c r="T134" s="13"/>
      <c r="U134" s="13"/>
      <c r="V134" s="57"/>
      <c r="W134" s="57"/>
      <c r="X134" s="57"/>
      <c r="Y134" s="57"/>
      <c r="Z134" s="57"/>
      <c r="AA134" s="57"/>
      <c r="AB134" s="57"/>
      <c r="AC134" s="57"/>
      <c r="AD134" s="57"/>
      <c r="AE134" s="57"/>
      <c r="AF134" s="57"/>
      <c r="AG134" s="57"/>
      <c r="AH134" s="57"/>
      <c r="AI134" s="57"/>
      <c r="AJ134" s="154"/>
    </row>
    <row r="135" spans="4:36" ht="20.25">
      <c r="D135" s="12"/>
      <c r="E135" s="13"/>
      <c r="F135" s="9"/>
      <c r="G135" s="10"/>
      <c r="H135" s="467" t="s">
        <v>319</v>
      </c>
      <c r="I135" s="467"/>
      <c r="J135" s="10" t="s">
        <v>329</v>
      </c>
      <c r="K135" s="10"/>
      <c r="L135" s="10"/>
      <c r="M135" s="10"/>
      <c r="N135" s="10"/>
      <c r="O135" s="10"/>
      <c r="P135" s="10"/>
      <c r="Q135" s="10"/>
      <c r="R135" s="10"/>
      <c r="S135" s="10"/>
      <c r="T135" s="10"/>
      <c r="U135" s="10"/>
      <c r="V135" s="10"/>
      <c r="W135" s="10"/>
      <c r="X135" s="3"/>
      <c r="Y135" s="10"/>
      <c r="Z135" s="10"/>
      <c r="AA135" s="10"/>
      <c r="AB135" s="10"/>
      <c r="AC135" s="10"/>
      <c r="AD135" s="10"/>
      <c r="AE135" s="10"/>
      <c r="AF135" s="10"/>
      <c r="AG135" s="10"/>
      <c r="AH135" s="10"/>
      <c r="AI135" s="11"/>
      <c r="AJ135" s="15"/>
    </row>
    <row r="136" spans="4:36">
      <c r="D136" s="12"/>
      <c r="E136" s="13"/>
      <c r="F136" s="12"/>
      <c r="G136" s="13"/>
      <c r="H136" s="13"/>
      <c r="I136" s="13"/>
      <c r="J136" s="13"/>
      <c r="K136" s="13" t="s">
        <v>330</v>
      </c>
      <c r="L136" s="13"/>
      <c r="M136" s="13"/>
      <c r="N136" s="34" t="s">
        <v>331</v>
      </c>
      <c r="O136" s="13" t="s">
        <v>326</v>
      </c>
      <c r="P136" s="436">
        <v>13.1</v>
      </c>
      <c r="Q136" s="436"/>
      <c r="R136" s="34" t="s">
        <v>332</v>
      </c>
      <c r="S136" s="13" t="s">
        <v>315</v>
      </c>
      <c r="T136" s="13"/>
      <c r="U136" s="13"/>
      <c r="V136" s="13"/>
      <c r="W136" s="13"/>
      <c r="X136"/>
      <c r="Y136" s="13"/>
      <c r="Z136" s="13"/>
      <c r="AA136" s="13"/>
      <c r="AB136" s="13"/>
      <c r="AC136" s="13"/>
      <c r="AD136" s="13"/>
      <c r="AE136" s="13"/>
      <c r="AF136" s="13"/>
      <c r="AG136" s="13"/>
      <c r="AH136" s="13"/>
      <c r="AI136" s="15"/>
      <c r="AJ136" s="15"/>
    </row>
    <row r="137" spans="4:36">
      <c r="D137" s="12"/>
      <c r="E137" s="13"/>
      <c r="F137" s="12"/>
      <c r="G137" s="13"/>
      <c r="H137" s="13"/>
      <c r="I137" s="13"/>
      <c r="J137" s="13"/>
      <c r="K137" s="34" t="s">
        <v>331</v>
      </c>
      <c r="L137" s="596" t="s">
        <v>724</v>
      </c>
      <c r="M137" s="596"/>
      <c r="N137" s="596"/>
      <c r="O137" s="596"/>
      <c r="P137" s="596"/>
      <c r="Q137" s="596"/>
      <c r="R137" s="596"/>
      <c r="S137" s="596"/>
      <c r="T137" s="13"/>
      <c r="U137" s="13"/>
      <c r="V137" s="13"/>
      <c r="W137" s="13"/>
      <c r="X137" s="13"/>
      <c r="Y137" s="13"/>
      <c r="Z137" s="13"/>
      <c r="AA137" s="13"/>
      <c r="AB137" s="13"/>
      <c r="AC137" s="13"/>
      <c r="AD137" s="13"/>
      <c r="AE137" s="13"/>
      <c r="AF137" s="13"/>
      <c r="AG137" s="13"/>
      <c r="AH137" s="13"/>
      <c r="AI137" s="15"/>
      <c r="AJ137" s="15"/>
    </row>
    <row r="138" spans="4:36">
      <c r="D138" s="12"/>
      <c r="E138" s="13"/>
      <c r="F138" s="12"/>
      <c r="G138" s="13"/>
      <c r="H138" s="13"/>
      <c r="I138" s="13"/>
      <c r="J138" s="13"/>
      <c r="K138" s="13"/>
      <c r="L138" s="34" t="s">
        <v>331</v>
      </c>
      <c r="M138" s="13" t="s">
        <v>2</v>
      </c>
      <c r="N138" s="13" t="s">
        <v>69</v>
      </c>
      <c r="O138" s="888">
        <f>'1.設計条件'!N57</f>
        <v>350</v>
      </c>
      <c r="P138" s="888"/>
      <c r="Q138" s="13" t="s">
        <v>263</v>
      </c>
      <c r="R138" s="458">
        <f>'1.設計条件'!N58</f>
        <v>12</v>
      </c>
      <c r="S138" s="458"/>
      <c r="T138" s="13" t="s">
        <v>176</v>
      </c>
      <c r="U138" s="31">
        <v>2</v>
      </c>
      <c r="V138" s="13"/>
      <c r="W138" s="13" t="s">
        <v>2</v>
      </c>
      <c r="X138" s="471">
        <f>(O138-R138)/U138</f>
        <v>169</v>
      </c>
      <c r="Y138" s="473"/>
      <c r="Z138" s="13" t="s">
        <v>290</v>
      </c>
      <c r="AA138" s="13"/>
      <c r="AB138" s="13"/>
      <c r="AC138" s="13"/>
      <c r="AD138" s="13"/>
      <c r="AE138" s="13"/>
      <c r="AF138" s="13"/>
      <c r="AG138" s="13"/>
      <c r="AH138" s="13"/>
      <c r="AI138" s="15"/>
      <c r="AJ138" s="15"/>
    </row>
    <row r="139" spans="4:36">
      <c r="D139" s="12"/>
      <c r="E139" s="13"/>
      <c r="F139" s="12"/>
      <c r="G139" s="13"/>
      <c r="H139" s="13"/>
      <c r="I139" s="13"/>
      <c r="J139" s="34"/>
      <c r="K139" s="34" t="s">
        <v>332</v>
      </c>
      <c r="L139" s="13" t="s">
        <v>725</v>
      </c>
      <c r="M139" s="27"/>
      <c r="N139" s="27"/>
      <c r="O139" s="13"/>
      <c r="P139" s="34"/>
      <c r="Q139" s="13"/>
      <c r="R139" s="13"/>
      <c r="S139" s="31"/>
      <c r="T139" s="13"/>
      <c r="U139" s="13"/>
      <c r="V139" s="13"/>
      <c r="W139" s="13"/>
      <c r="X139" s="13"/>
      <c r="Y139" s="13"/>
      <c r="Z139" s="13"/>
      <c r="AA139" s="13"/>
      <c r="AB139" s="13"/>
      <c r="AC139" s="13"/>
      <c r="AD139" s="13"/>
      <c r="AE139" s="13"/>
      <c r="AF139" s="13"/>
      <c r="AG139" s="13"/>
      <c r="AH139" s="13"/>
      <c r="AI139" s="15"/>
      <c r="AJ139" s="15"/>
    </row>
    <row r="140" spans="4:36">
      <c r="D140" s="12"/>
      <c r="E140" s="13"/>
      <c r="F140" s="12"/>
      <c r="G140" s="13"/>
      <c r="H140" s="13"/>
      <c r="I140" s="13"/>
      <c r="J140" s="35"/>
      <c r="K140" s="13"/>
      <c r="L140" s="34" t="s">
        <v>332</v>
      </c>
      <c r="M140" s="13" t="s">
        <v>2</v>
      </c>
      <c r="N140" s="471">
        <f>'1.設計条件'!N59</f>
        <v>19</v>
      </c>
      <c r="O140" s="473"/>
      <c r="P140" s="13" t="s">
        <v>290</v>
      </c>
      <c r="Q140" s="13"/>
      <c r="R140" s="13"/>
      <c r="S140" s="13"/>
      <c r="T140" s="13"/>
      <c r="U140" s="13"/>
      <c r="V140" s="13"/>
      <c r="W140" s="13"/>
      <c r="X140" s="13"/>
      <c r="Y140" s="13"/>
      <c r="Z140" s="13"/>
      <c r="AA140" s="13"/>
      <c r="AB140" s="13"/>
      <c r="AC140" s="13"/>
      <c r="AD140" s="13"/>
      <c r="AE140" s="13"/>
      <c r="AF140" s="13"/>
      <c r="AG140" s="13"/>
      <c r="AH140" s="13"/>
      <c r="AI140" s="15"/>
      <c r="AJ140" s="15"/>
    </row>
    <row r="141" spans="4:36">
      <c r="D141" s="12"/>
      <c r="E141" s="13"/>
      <c r="F141" s="12"/>
      <c r="G141" s="13"/>
      <c r="H141" s="13"/>
      <c r="I141" s="13"/>
      <c r="J141" s="35"/>
      <c r="K141" s="13"/>
      <c r="L141" s="34"/>
      <c r="M141" s="13"/>
      <c r="N141" s="27"/>
      <c r="O141" s="27"/>
      <c r="P141" s="13"/>
      <c r="Q141" s="13"/>
      <c r="R141" s="13"/>
      <c r="S141" s="13"/>
      <c r="T141" s="13"/>
      <c r="U141" s="13"/>
      <c r="V141" s="13"/>
      <c r="W141" s="13"/>
      <c r="X141" s="13"/>
      <c r="Y141" s="13"/>
      <c r="Z141" s="13"/>
      <c r="AA141" s="13"/>
      <c r="AB141" s="13"/>
      <c r="AC141" s="13"/>
      <c r="AD141" s="13"/>
      <c r="AE141" s="13"/>
      <c r="AF141" s="13"/>
      <c r="AG141" s="13"/>
      <c r="AH141" s="13"/>
      <c r="AI141" s="15"/>
      <c r="AJ141" s="15"/>
    </row>
    <row r="142" spans="4:36">
      <c r="D142" s="12"/>
      <c r="E142" s="13"/>
      <c r="F142" s="12"/>
      <c r="G142" s="13"/>
      <c r="H142" s="13"/>
      <c r="I142" s="13"/>
      <c r="J142" s="35"/>
      <c r="K142" s="436" t="s">
        <v>357</v>
      </c>
      <c r="L142" s="436"/>
      <c r="M142" s="13" t="s">
        <v>726</v>
      </c>
      <c r="N142" s="13"/>
      <c r="O142" s="13"/>
      <c r="P142" s="13"/>
      <c r="Q142" s="13"/>
      <c r="R142" s="27"/>
      <c r="S142" s="27"/>
      <c r="T142" s="13"/>
      <c r="U142" s="13"/>
      <c r="V142" s="13"/>
      <c r="W142" s="13"/>
      <c r="X142" s="13"/>
      <c r="Y142" s="13"/>
      <c r="Z142" s="13"/>
      <c r="AA142" s="13"/>
      <c r="AB142" s="13"/>
      <c r="AC142" s="13"/>
      <c r="AD142" s="13"/>
      <c r="AE142" s="13"/>
      <c r="AF142" s="13"/>
      <c r="AG142" s="13"/>
      <c r="AH142" s="13"/>
      <c r="AI142" s="15"/>
      <c r="AJ142" s="15"/>
    </row>
    <row r="143" spans="4:36">
      <c r="D143" s="12"/>
      <c r="E143" s="13"/>
      <c r="F143" s="12"/>
      <c r="G143" s="13"/>
      <c r="H143" s="13"/>
      <c r="I143" s="13"/>
      <c r="J143" s="35"/>
      <c r="K143" s="35"/>
      <c r="L143" s="436" t="s">
        <v>357</v>
      </c>
      <c r="M143" s="436"/>
      <c r="N143" s="13" t="s">
        <v>2</v>
      </c>
      <c r="O143" s="437">
        <f>P57</f>
        <v>3.5</v>
      </c>
      <c r="P143" s="439"/>
      <c r="Q143" s="37" t="s">
        <v>3</v>
      </c>
      <c r="R143" s="13"/>
      <c r="S143" s="31"/>
      <c r="T143" s="13"/>
      <c r="U143" s="13"/>
      <c r="V143" s="13"/>
      <c r="W143" s="13"/>
      <c r="X143"/>
      <c r="Y143" s="13"/>
      <c r="Z143" s="13"/>
      <c r="AA143" s="13"/>
      <c r="AB143" s="13"/>
      <c r="AC143" s="13"/>
      <c r="AD143" s="13"/>
      <c r="AE143" s="13"/>
      <c r="AF143" s="13"/>
      <c r="AG143" s="13"/>
      <c r="AH143" s="13"/>
      <c r="AI143" s="15"/>
      <c r="AJ143" s="15"/>
    </row>
    <row r="144" spans="4:36">
      <c r="D144" s="12"/>
      <c r="E144" s="13"/>
      <c r="F144" s="12"/>
      <c r="G144" s="13"/>
      <c r="H144" s="13"/>
      <c r="I144" s="13"/>
      <c r="J144" s="35"/>
      <c r="K144" s="35"/>
      <c r="L144" s="14"/>
      <c r="M144" s="14"/>
      <c r="N144" s="13"/>
      <c r="O144" s="14"/>
      <c r="P144" s="14"/>
      <c r="Q144" s="37"/>
      <c r="R144" s="13"/>
      <c r="S144" s="31"/>
      <c r="T144" s="13"/>
      <c r="U144" s="13"/>
      <c r="V144" s="13"/>
      <c r="W144" s="13"/>
      <c r="X144"/>
      <c r="Y144" s="13"/>
      <c r="Z144" s="13"/>
      <c r="AA144" s="13"/>
      <c r="AB144" s="13"/>
      <c r="AC144" s="13"/>
      <c r="AD144" s="13"/>
      <c r="AE144" s="13"/>
      <c r="AF144" s="13"/>
      <c r="AG144" s="13"/>
      <c r="AH144" s="13"/>
      <c r="AI144" s="15"/>
      <c r="AJ144" s="15"/>
    </row>
    <row r="145" spans="4:36">
      <c r="D145" s="12"/>
      <c r="E145" s="13"/>
      <c r="F145" s="12"/>
      <c r="G145" s="13"/>
      <c r="H145" s="13"/>
      <c r="I145" s="13"/>
      <c r="J145" s="35"/>
      <c r="K145" s="13" t="s">
        <v>352</v>
      </c>
      <c r="L145" s="13"/>
      <c r="M145" s="13"/>
      <c r="N145" s="13"/>
      <c r="O145" s="13"/>
      <c r="P145" s="13"/>
      <c r="Q145" s="34"/>
      <c r="R145" s="13"/>
      <c r="S145" s="31"/>
      <c r="T145" s="13"/>
      <c r="U145" s="13"/>
      <c r="V145" s="13"/>
      <c r="W145" s="13"/>
      <c r="X145"/>
      <c r="Y145" s="13"/>
      <c r="Z145" s="13"/>
      <c r="AA145" s="13"/>
      <c r="AB145" s="13"/>
      <c r="AC145" s="13"/>
      <c r="AD145" s="13"/>
      <c r="AE145" s="13"/>
      <c r="AF145" s="13"/>
      <c r="AG145" s="13"/>
      <c r="AH145" s="13"/>
      <c r="AI145" s="15"/>
      <c r="AJ145" s="15"/>
    </row>
    <row r="146" spans="4:36">
      <c r="D146" s="12"/>
      <c r="E146" s="13"/>
      <c r="F146" s="12"/>
      <c r="G146" s="13"/>
      <c r="H146" s="13"/>
      <c r="I146" s="13"/>
      <c r="J146" s="35"/>
      <c r="K146" s="35"/>
      <c r="L146" s="17" t="s">
        <v>357</v>
      </c>
      <c r="M146" s="449" t="s">
        <v>2</v>
      </c>
      <c r="N146" s="452">
        <f>O143</f>
        <v>3.5</v>
      </c>
      <c r="O146" s="452"/>
      <c r="P146" s="17" t="s">
        <v>27</v>
      </c>
      <c r="Q146" s="889">
        <v>1000</v>
      </c>
      <c r="R146" s="889"/>
      <c r="S146" s="889"/>
      <c r="T146" s="13"/>
      <c r="U146" s="449" t="s">
        <v>2</v>
      </c>
      <c r="V146" s="554">
        <f>N146*Q146/N147/Q147</f>
        <v>38.932146829810897</v>
      </c>
      <c r="W146" s="555"/>
      <c r="X146"/>
      <c r="Y146" s="13"/>
      <c r="Z146" s="13"/>
      <c r="AA146" s="13"/>
      <c r="AB146" s="13"/>
      <c r="AC146" s="13"/>
      <c r="AD146" s="13"/>
      <c r="AE146" s="13"/>
      <c r="AF146" s="13"/>
      <c r="AG146" s="13"/>
      <c r="AH146" s="13"/>
      <c r="AI146" s="15"/>
      <c r="AJ146" s="15"/>
    </row>
    <row r="147" spans="4:36">
      <c r="D147" s="12"/>
      <c r="E147" s="13"/>
      <c r="F147" s="12"/>
      <c r="G147" s="13"/>
      <c r="H147" s="13"/>
      <c r="I147" s="13"/>
      <c r="J147" s="35"/>
      <c r="K147" s="35"/>
      <c r="L147" s="34" t="s">
        <v>303</v>
      </c>
      <c r="M147" s="449"/>
      <c r="N147" s="853">
        <f>'1.設計条件'!N62</f>
        <v>8.99</v>
      </c>
      <c r="O147" s="853"/>
      <c r="P147" s="13" t="s">
        <v>27</v>
      </c>
      <c r="Q147" s="888">
        <v>10</v>
      </c>
      <c r="R147" s="888"/>
      <c r="S147" s="888"/>
      <c r="T147" s="13"/>
      <c r="U147" s="449"/>
      <c r="V147" s="556"/>
      <c r="W147" s="557"/>
      <c r="X147"/>
      <c r="Y147" s="13"/>
      <c r="Z147" s="13"/>
      <c r="AA147" s="13"/>
      <c r="AB147" s="13"/>
      <c r="AC147" s="13"/>
      <c r="AD147" s="13"/>
      <c r="AE147" s="13"/>
      <c r="AF147" s="13"/>
      <c r="AG147" s="13"/>
      <c r="AH147" s="13"/>
      <c r="AI147" s="15"/>
      <c r="AJ147" s="15"/>
    </row>
    <row r="148" spans="4:36">
      <c r="D148" s="12"/>
      <c r="E148" s="13"/>
      <c r="F148" s="12"/>
      <c r="G148" s="13"/>
      <c r="H148" s="13"/>
      <c r="I148" s="13"/>
      <c r="J148" s="35"/>
      <c r="K148" s="35"/>
      <c r="L148" s="34"/>
      <c r="M148" s="28"/>
      <c r="N148" s="147"/>
      <c r="O148" s="147"/>
      <c r="P148" s="13"/>
      <c r="Q148" s="157"/>
      <c r="R148" s="157"/>
      <c r="S148" s="157"/>
      <c r="T148" s="13"/>
      <c r="U148" s="28"/>
      <c r="V148" s="28"/>
      <c r="W148" s="28"/>
      <c r="X148"/>
      <c r="Y148" s="13"/>
      <c r="Z148" s="13"/>
      <c r="AA148" s="13"/>
      <c r="AB148" s="13"/>
      <c r="AC148" s="13"/>
      <c r="AD148" s="13"/>
      <c r="AE148" s="13"/>
      <c r="AF148" s="13"/>
      <c r="AG148" s="13"/>
      <c r="AH148" s="13"/>
      <c r="AI148" s="15"/>
      <c r="AJ148" s="15"/>
    </row>
    <row r="149" spans="4:36">
      <c r="D149" s="12"/>
      <c r="E149" s="13"/>
      <c r="F149" s="12"/>
      <c r="G149" s="13"/>
      <c r="H149" s="13"/>
      <c r="I149" s="891" t="s">
        <v>356</v>
      </c>
      <c r="J149" s="891"/>
      <c r="K149" s="891"/>
      <c r="L149" s="891"/>
      <c r="M149" s="891"/>
      <c r="N149" s="891"/>
      <c r="O149" s="891"/>
      <c r="P149" s="891"/>
      <c r="Q149" s="891"/>
      <c r="R149" s="891"/>
      <c r="S149" s="157">
        <v>18</v>
      </c>
      <c r="T149" s="13" t="s">
        <v>353</v>
      </c>
      <c r="U149" s="449" t="s">
        <v>354</v>
      </c>
      <c r="V149" s="449"/>
      <c r="W149" s="1" t="s">
        <v>326</v>
      </c>
      <c r="X149">
        <v>92</v>
      </c>
      <c r="Z149" s="13"/>
      <c r="AA149" s="33" t="s">
        <v>355</v>
      </c>
      <c r="AB149" s="13"/>
      <c r="AC149" s="13" t="s">
        <v>416</v>
      </c>
      <c r="AD149" s="13"/>
      <c r="AE149" s="13"/>
      <c r="AF149" s="13"/>
      <c r="AG149" s="13"/>
      <c r="AH149" s="13"/>
      <c r="AI149" s="15"/>
      <c r="AJ149" s="15"/>
    </row>
    <row r="150" spans="4:36" ht="20.25">
      <c r="D150" s="12"/>
      <c r="E150" s="13"/>
      <c r="F150" s="12"/>
      <c r="G150" s="13"/>
      <c r="H150" s="465" t="s">
        <v>727</v>
      </c>
      <c r="I150" s="465"/>
      <c r="J150" s="32" t="s">
        <v>2</v>
      </c>
      <c r="K150" s="148" t="s">
        <v>364</v>
      </c>
      <c r="L150" s="890">
        <v>140</v>
      </c>
      <c r="M150" s="890"/>
      <c r="N150" s="148" t="s">
        <v>263</v>
      </c>
      <c r="O150" s="675">
        <v>0.82</v>
      </c>
      <c r="P150" s="675"/>
      <c r="Q150" s="148" t="s">
        <v>69</v>
      </c>
      <c r="R150" s="436" t="s">
        <v>166</v>
      </c>
      <c r="S150" s="436"/>
      <c r="T150" s="147" t="s">
        <v>70</v>
      </c>
      <c r="U150" s="34" t="s">
        <v>303</v>
      </c>
      <c r="V150" s="13" t="s">
        <v>263</v>
      </c>
      <c r="W150" s="906">
        <v>18</v>
      </c>
      <c r="X150" s="906"/>
      <c r="Y150" s="27" t="s">
        <v>365</v>
      </c>
      <c r="Z150" s="27" t="s">
        <v>27</v>
      </c>
      <c r="AA150" s="449">
        <v>1.5</v>
      </c>
      <c r="AB150" s="449"/>
      <c r="AC150" s="13"/>
      <c r="AD150" s="13"/>
      <c r="AE150" s="13"/>
      <c r="AF150" s="13"/>
      <c r="AG150" s="27"/>
      <c r="AH150" s="27"/>
      <c r="AI150" s="177"/>
      <c r="AJ150" s="15"/>
    </row>
    <row r="151" spans="4:36">
      <c r="D151" s="12"/>
      <c r="E151" s="13"/>
      <c r="F151" s="12"/>
      <c r="G151" s="13"/>
      <c r="H151" s="164"/>
      <c r="I151" s="164"/>
      <c r="J151" s="32" t="s">
        <v>2</v>
      </c>
      <c r="K151" s="148" t="s">
        <v>364</v>
      </c>
      <c r="L151" s="890">
        <v>140</v>
      </c>
      <c r="M151" s="890"/>
      <c r="N151" s="148" t="s">
        <v>263</v>
      </c>
      <c r="O151" s="675">
        <f>O150</f>
        <v>0.82</v>
      </c>
      <c r="P151" s="675"/>
      <c r="Q151" s="148" t="s">
        <v>69</v>
      </c>
      <c r="R151" s="436">
        <f>V146</f>
        <v>38.932146829810897</v>
      </c>
      <c r="S151" s="436"/>
      <c r="T151" s="436"/>
      <c r="U151" s="436"/>
      <c r="V151" s="13" t="s">
        <v>263</v>
      </c>
      <c r="W151" s="906">
        <f>W150</f>
        <v>18</v>
      </c>
      <c r="X151" s="906"/>
      <c r="Y151" s="27" t="s">
        <v>365</v>
      </c>
      <c r="Z151" s="27" t="s">
        <v>27</v>
      </c>
      <c r="AA151" s="449">
        <v>1.5</v>
      </c>
      <c r="AB151" s="449"/>
      <c r="AC151" s="13"/>
      <c r="AD151" s="13"/>
      <c r="AE151" s="13"/>
      <c r="AF151" s="13"/>
      <c r="AG151" s="27"/>
      <c r="AH151" s="27"/>
      <c r="AI151" s="177"/>
      <c r="AJ151" s="15"/>
    </row>
    <row r="152" spans="4:36" ht="20.25">
      <c r="D152" s="12"/>
      <c r="E152" s="13"/>
      <c r="F152" s="12"/>
      <c r="G152" s="13"/>
      <c r="H152" s="13"/>
      <c r="I152" s="148"/>
      <c r="J152" s="32" t="s">
        <v>2</v>
      </c>
      <c r="K152" s="885">
        <f>(L151-O151*(R151-W151))*AA151</f>
        <v>184.2534593993326</v>
      </c>
      <c r="L152" s="886"/>
      <c r="M152" s="887"/>
      <c r="N152" s="163" t="s">
        <v>48</v>
      </c>
      <c r="O152" s="148"/>
      <c r="P152" s="148"/>
      <c r="Q152" s="148"/>
      <c r="R152" s="148"/>
      <c r="S152" s="147"/>
      <c r="T152" s="147"/>
      <c r="U152" s="13"/>
      <c r="V152" s="28"/>
      <c r="W152" s="28"/>
      <c r="X152" s="13"/>
      <c r="Y152" s="27"/>
      <c r="Z152" s="27"/>
      <c r="AA152" s="33"/>
      <c r="AB152"/>
      <c r="AC152" s="13"/>
      <c r="AD152" s="13"/>
      <c r="AE152" s="13"/>
      <c r="AF152" s="13"/>
      <c r="AG152" s="27"/>
      <c r="AH152" s="27"/>
      <c r="AI152" s="177"/>
      <c r="AJ152" s="15"/>
    </row>
    <row r="153" spans="4:36">
      <c r="D153" s="12"/>
      <c r="E153" s="13"/>
      <c r="F153" s="16"/>
      <c r="G153" s="17"/>
      <c r="H153" s="17"/>
      <c r="I153" s="178"/>
      <c r="J153" s="179"/>
      <c r="K153" s="178"/>
      <c r="L153" s="178"/>
      <c r="M153" s="178"/>
      <c r="N153" s="176"/>
      <c r="O153" s="178"/>
      <c r="P153" s="178"/>
      <c r="Q153" s="178"/>
      <c r="R153" s="178"/>
      <c r="S153" s="162"/>
      <c r="T153" s="162"/>
      <c r="U153" s="17"/>
      <c r="V153" s="169"/>
      <c r="W153" s="169"/>
      <c r="X153" s="17"/>
      <c r="Y153" s="152"/>
      <c r="Z153" s="152"/>
      <c r="AA153" s="180"/>
      <c r="AB153" s="25"/>
      <c r="AC153" s="17"/>
      <c r="AD153" s="17"/>
      <c r="AE153" s="17"/>
      <c r="AF153" s="17"/>
      <c r="AG153" s="152"/>
      <c r="AH153" s="152"/>
      <c r="AI153" s="181"/>
      <c r="AJ153" s="15"/>
    </row>
    <row r="154" spans="4:36">
      <c r="D154" s="12"/>
      <c r="E154" s="13"/>
      <c r="F154" s="13"/>
      <c r="G154" s="13"/>
      <c r="H154" s="13"/>
      <c r="I154" s="13"/>
      <c r="J154" s="35"/>
      <c r="K154" s="147"/>
      <c r="L154" s="147"/>
      <c r="M154" s="147"/>
      <c r="N154" s="163"/>
      <c r="O154" s="147"/>
      <c r="P154" s="13"/>
      <c r="Q154" s="157"/>
      <c r="R154" s="157"/>
      <c r="S154" s="157"/>
      <c r="T154" s="13"/>
      <c r="U154" s="28"/>
      <c r="V154" s="28"/>
      <c r="W154" s="28"/>
      <c r="X154"/>
      <c r="Y154" s="13"/>
      <c r="Z154" s="13"/>
      <c r="AA154" s="13"/>
      <c r="AB154" s="13"/>
      <c r="AC154" s="13"/>
      <c r="AD154" s="13"/>
      <c r="AE154" s="13"/>
      <c r="AF154" s="13"/>
      <c r="AG154" s="13"/>
      <c r="AH154" s="13"/>
      <c r="AI154" s="13"/>
      <c r="AJ154" s="15"/>
    </row>
    <row r="155" spans="4:36">
      <c r="D155" s="12"/>
      <c r="E155" s="13"/>
      <c r="F155" s="13"/>
      <c r="G155" s="13"/>
      <c r="H155" s="13"/>
      <c r="I155" s="13"/>
      <c r="J155" s="13"/>
      <c r="K155" s="13"/>
      <c r="L155" s="13"/>
      <c r="M155" s="13"/>
      <c r="N155" s="13"/>
      <c r="O155" s="13"/>
      <c r="P155" s="13"/>
      <c r="Q155" s="13"/>
      <c r="R155" s="13"/>
      <c r="S155" s="13"/>
      <c r="T155" s="13"/>
      <c r="U155" s="13"/>
      <c r="V155" s="13"/>
      <c r="W155" s="13"/>
      <c r="X155"/>
      <c r="Y155" s="13"/>
      <c r="Z155" s="13"/>
      <c r="AA155" s="13"/>
      <c r="AB155" s="13"/>
      <c r="AC155" s="13"/>
      <c r="AD155" s="13"/>
      <c r="AE155" s="13"/>
      <c r="AF155" s="13"/>
      <c r="AG155" s="13"/>
      <c r="AH155" s="13"/>
      <c r="AI155" s="13"/>
      <c r="AJ155" s="15"/>
    </row>
    <row r="156" spans="4:36" ht="20.25">
      <c r="D156" s="12"/>
      <c r="E156" s="13"/>
      <c r="F156" s="9"/>
      <c r="G156" s="10"/>
      <c r="H156" s="467" t="s">
        <v>322</v>
      </c>
      <c r="I156" s="467"/>
      <c r="J156" s="10" t="s">
        <v>333</v>
      </c>
      <c r="K156" s="10"/>
      <c r="L156" s="10"/>
      <c r="M156" s="10"/>
      <c r="N156" s="10"/>
      <c r="O156" s="10"/>
      <c r="P156" s="10"/>
      <c r="Q156" s="10"/>
      <c r="R156" s="10"/>
      <c r="S156" s="10"/>
      <c r="T156" s="10"/>
      <c r="U156" s="10"/>
      <c r="V156" s="10"/>
      <c r="W156" s="10"/>
      <c r="X156" s="3"/>
      <c r="Y156" s="10"/>
      <c r="Z156" s="10"/>
      <c r="AA156" s="10"/>
      <c r="AB156" s="10"/>
      <c r="AC156" s="10"/>
      <c r="AD156" s="10"/>
      <c r="AE156" s="10"/>
      <c r="AF156" s="10"/>
      <c r="AG156" s="10"/>
      <c r="AH156" s="10"/>
      <c r="AI156" s="11"/>
      <c r="AJ156" s="15"/>
    </row>
    <row r="157" spans="4:36">
      <c r="D157" s="12"/>
      <c r="E157" s="13"/>
      <c r="F157" s="12"/>
      <c r="G157" s="13"/>
      <c r="H157" s="13"/>
      <c r="I157" s="13"/>
      <c r="J157" s="13"/>
      <c r="K157" s="13" t="s">
        <v>330</v>
      </c>
      <c r="L157" s="13"/>
      <c r="M157" s="13"/>
      <c r="N157" s="31">
        <v>2</v>
      </c>
      <c r="O157" s="909" t="s">
        <v>334</v>
      </c>
      <c r="P157" s="909"/>
      <c r="Q157" s="13" t="s">
        <v>335</v>
      </c>
      <c r="R157" s="908" t="s">
        <v>285</v>
      </c>
      <c r="S157" s="908"/>
      <c r="T157" s="13"/>
      <c r="U157" s="13"/>
      <c r="V157" s="13"/>
      <c r="W157" s="13"/>
      <c r="X157" s="13"/>
      <c r="Y157" s="13"/>
      <c r="Z157" s="13"/>
      <c r="AA157" s="13"/>
      <c r="AB157" s="13"/>
      <c r="AC157" s="13"/>
      <c r="AD157" s="13"/>
      <c r="AE157" s="13"/>
      <c r="AF157" s="13"/>
      <c r="AG157" s="13"/>
      <c r="AH157" s="13"/>
      <c r="AI157" s="15"/>
      <c r="AJ157" s="15"/>
    </row>
    <row r="158" spans="4:36">
      <c r="D158" s="12"/>
      <c r="E158" s="13"/>
      <c r="F158" s="12"/>
      <c r="G158" s="13"/>
      <c r="H158" s="13"/>
      <c r="I158" s="13"/>
      <c r="J158" s="13"/>
      <c r="K158" s="892" t="s">
        <v>334</v>
      </c>
      <c r="L158" s="892"/>
      <c r="M158" s="13" t="s">
        <v>336</v>
      </c>
      <c r="N158" s="13"/>
      <c r="O158" s="13"/>
      <c r="P158" s="13"/>
      <c r="Q158" s="13"/>
      <c r="R158" s="13"/>
      <c r="S158" s="13"/>
      <c r="T158" s="13"/>
      <c r="U158" s="13"/>
      <c r="V158" s="892" t="s">
        <v>334</v>
      </c>
      <c r="W158" s="892"/>
      <c r="X158" s="13" t="s">
        <v>2</v>
      </c>
      <c r="Y158" s="458">
        <f>'1.設計条件'!N57</f>
        <v>350</v>
      </c>
      <c r="Z158" s="458"/>
      <c r="AA158" s="13" t="s">
        <v>27</v>
      </c>
      <c r="AB158" s="458">
        <f>'1.設計条件'!N59</f>
        <v>19</v>
      </c>
      <c r="AC158" s="458"/>
      <c r="AD158" s="13" t="s">
        <v>2</v>
      </c>
      <c r="AE158" s="471">
        <f>Y158*AB158</f>
        <v>6650</v>
      </c>
      <c r="AF158" s="472"/>
      <c r="AG158" s="907"/>
      <c r="AH158" s="13"/>
      <c r="AI158" s="15"/>
      <c r="AJ158" s="15"/>
    </row>
    <row r="159" spans="4:36">
      <c r="D159" s="12"/>
      <c r="E159" s="13"/>
      <c r="F159" s="12"/>
      <c r="G159" s="13"/>
      <c r="H159" s="13"/>
      <c r="I159" s="13"/>
      <c r="J159" s="13"/>
      <c r="K159" s="892" t="s">
        <v>285</v>
      </c>
      <c r="L159" s="892"/>
      <c r="M159" s="596" t="s">
        <v>349</v>
      </c>
      <c r="N159" s="596"/>
      <c r="O159" s="596"/>
      <c r="P159" s="596"/>
      <c r="Q159" s="596"/>
      <c r="R159" s="596"/>
      <c r="S159" s="892" t="s">
        <v>285</v>
      </c>
      <c r="T159" s="892"/>
      <c r="U159" s="13" t="s">
        <v>2</v>
      </c>
      <c r="V159" s="13" t="s">
        <v>69</v>
      </c>
      <c r="W159" s="458">
        <f>'1.設計条件'!N56</f>
        <v>350</v>
      </c>
      <c r="X159" s="458"/>
      <c r="Y159" s="13" t="s">
        <v>263</v>
      </c>
      <c r="Z159" s="31">
        <v>2</v>
      </c>
      <c r="AA159" s="13" t="s">
        <v>27</v>
      </c>
      <c r="AB159" s="31">
        <f>'1.設計条件'!N59</f>
        <v>19</v>
      </c>
      <c r="AC159" s="13" t="s">
        <v>83</v>
      </c>
      <c r="AD159" s="13" t="s">
        <v>27</v>
      </c>
      <c r="AE159" s="31">
        <f>'1.設計条件'!N58</f>
        <v>12</v>
      </c>
      <c r="AF159" s="31" t="s">
        <v>2</v>
      </c>
      <c r="AG159" s="471">
        <f>(W159-Z159*AB159)*AE159</f>
        <v>3744</v>
      </c>
      <c r="AH159" s="472"/>
      <c r="AI159" s="473"/>
      <c r="AJ159" s="15"/>
    </row>
    <row r="160" spans="4:36">
      <c r="D160" s="12"/>
      <c r="E160" s="13"/>
      <c r="F160" s="12"/>
      <c r="G160" s="13"/>
      <c r="H160" s="13"/>
      <c r="I160" s="13"/>
      <c r="J160" s="13"/>
      <c r="K160" s="156"/>
      <c r="L160" s="156"/>
      <c r="M160" s="57"/>
      <c r="N160" s="57"/>
      <c r="O160" s="57"/>
      <c r="P160" s="57"/>
      <c r="Q160" s="57"/>
      <c r="R160" s="57"/>
      <c r="S160" s="156"/>
      <c r="T160" s="156"/>
      <c r="U160" s="13"/>
      <c r="V160" s="13"/>
      <c r="W160" s="27"/>
      <c r="X160" s="27"/>
      <c r="Y160" s="13"/>
      <c r="Z160" s="31"/>
      <c r="AA160" s="13"/>
      <c r="AB160" s="31"/>
      <c r="AC160" s="13"/>
      <c r="AD160" s="13"/>
      <c r="AE160" s="31"/>
      <c r="AF160" s="31"/>
      <c r="AG160" s="27"/>
      <c r="AH160" s="27"/>
      <c r="AI160" s="177"/>
      <c r="AJ160" s="15"/>
    </row>
    <row r="161" spans="4:36">
      <c r="D161" s="12"/>
      <c r="E161" s="13"/>
      <c r="F161" s="12"/>
      <c r="G161" s="13"/>
      <c r="H161" s="13"/>
      <c r="I161" s="13"/>
      <c r="J161" s="35"/>
      <c r="K161" s="436" t="s">
        <v>359</v>
      </c>
      <c r="L161" s="436"/>
      <c r="M161" s="13" t="s">
        <v>360</v>
      </c>
      <c r="N161" s="13"/>
      <c r="O161" s="13"/>
      <c r="P161" s="13"/>
      <c r="Q161" s="13"/>
      <c r="R161" s="27"/>
      <c r="S161" s="27"/>
      <c r="T161" s="13"/>
      <c r="U161" s="13"/>
      <c r="V161" s="13"/>
      <c r="W161" s="13"/>
      <c r="X161" s="13"/>
      <c r="Y161" s="13"/>
      <c r="Z161" s="13"/>
      <c r="AA161" s="13"/>
      <c r="AB161" s="13"/>
      <c r="AC161" s="13"/>
      <c r="AD161" s="13"/>
      <c r="AE161" s="31"/>
      <c r="AF161" s="31"/>
      <c r="AG161" s="27"/>
      <c r="AH161" s="27"/>
      <c r="AI161" s="177"/>
      <c r="AJ161" s="15"/>
    </row>
    <row r="162" spans="4:36">
      <c r="D162" s="12"/>
      <c r="E162" s="13"/>
      <c r="F162" s="12"/>
      <c r="G162" s="13"/>
      <c r="H162" s="13"/>
      <c r="I162" s="13"/>
      <c r="J162" s="35"/>
      <c r="K162" s="35"/>
      <c r="L162" s="436" t="s">
        <v>359</v>
      </c>
      <c r="M162" s="436"/>
      <c r="N162" s="13" t="s">
        <v>2</v>
      </c>
      <c r="O162" s="437">
        <f>P57</f>
        <v>3.5</v>
      </c>
      <c r="P162" s="439"/>
      <c r="Q162" s="37" t="s">
        <v>3</v>
      </c>
      <c r="R162" s="13"/>
      <c r="S162" s="31" t="s">
        <v>351</v>
      </c>
      <c r="T162" s="13"/>
      <c r="U162" s="13"/>
      <c r="V162" s="13"/>
      <c r="W162" s="13"/>
      <c r="X162"/>
      <c r="Y162" s="13"/>
      <c r="Z162" s="13"/>
      <c r="AA162" s="13"/>
      <c r="AB162" s="13"/>
      <c r="AC162" s="13"/>
      <c r="AD162" s="13"/>
      <c r="AE162" s="31"/>
      <c r="AF162" s="31"/>
      <c r="AG162" s="27"/>
      <c r="AH162" s="27"/>
      <c r="AI162" s="177"/>
      <c r="AJ162" s="15"/>
    </row>
    <row r="163" spans="4:36">
      <c r="D163" s="12"/>
      <c r="E163" s="13"/>
      <c r="F163" s="12"/>
      <c r="G163" s="13"/>
      <c r="H163" s="13"/>
      <c r="I163" s="13"/>
      <c r="J163" s="35"/>
      <c r="K163" s="35"/>
      <c r="L163" s="14"/>
      <c r="M163" s="14"/>
      <c r="N163" s="13"/>
      <c r="O163" s="14"/>
      <c r="P163" s="14"/>
      <c r="Q163" s="37"/>
      <c r="R163" s="13"/>
      <c r="S163" s="31"/>
      <c r="T163" s="13"/>
      <c r="U163" s="13"/>
      <c r="V163" s="13"/>
      <c r="W163" s="13"/>
      <c r="X163"/>
      <c r="Y163" s="13"/>
      <c r="Z163" s="13"/>
      <c r="AA163" s="13"/>
      <c r="AB163" s="13"/>
      <c r="AC163" s="13"/>
      <c r="AD163" s="13"/>
      <c r="AE163" s="31"/>
      <c r="AF163" s="31"/>
      <c r="AG163" s="27"/>
      <c r="AH163" s="27"/>
      <c r="AI163" s="177"/>
      <c r="AJ163" s="15"/>
    </row>
    <row r="164" spans="4:36">
      <c r="D164" s="12"/>
      <c r="E164" s="13"/>
      <c r="F164" s="12"/>
      <c r="G164" s="13"/>
      <c r="H164" s="13"/>
      <c r="I164" s="13"/>
      <c r="J164" s="35"/>
      <c r="K164" s="13" t="s">
        <v>361</v>
      </c>
      <c r="L164" s="13"/>
      <c r="M164" s="13"/>
      <c r="N164" s="13"/>
      <c r="O164" s="13"/>
      <c r="P164" s="13"/>
      <c r="Q164" s="34"/>
      <c r="R164" s="13"/>
      <c r="S164" s="31"/>
      <c r="T164" s="13"/>
      <c r="U164" s="13"/>
      <c r="V164" s="13"/>
      <c r="W164" s="13"/>
      <c r="X164"/>
      <c r="Y164" s="13"/>
      <c r="Z164" s="13"/>
      <c r="AA164" s="13"/>
      <c r="AB164" s="13"/>
      <c r="AC164" s="13"/>
      <c r="AD164" s="13"/>
      <c r="AE164" s="31"/>
      <c r="AF164" s="31"/>
      <c r="AG164" s="27"/>
      <c r="AH164" s="27"/>
      <c r="AI164" s="177"/>
      <c r="AJ164" s="15"/>
    </row>
    <row r="165" spans="4:36" ht="20.25">
      <c r="D165" s="12"/>
      <c r="E165" s="13"/>
      <c r="F165" s="12"/>
      <c r="G165" s="13"/>
      <c r="H165" s="13"/>
      <c r="I165" s="13"/>
      <c r="J165" s="35"/>
      <c r="K165" s="451" t="s">
        <v>358</v>
      </c>
      <c r="L165" s="451"/>
      <c r="M165" s="449" t="s">
        <v>2</v>
      </c>
      <c r="N165" s="452">
        <f>O162</f>
        <v>3.5</v>
      </c>
      <c r="O165" s="452"/>
      <c r="P165" s="17" t="s">
        <v>27</v>
      </c>
      <c r="Q165" s="889">
        <v>1000</v>
      </c>
      <c r="R165" s="889"/>
      <c r="S165" s="889"/>
      <c r="T165" s="13"/>
      <c r="U165" s="449" t="s">
        <v>2</v>
      </c>
      <c r="V165" s="554">
        <f>N165*Q165/P166</f>
        <v>10</v>
      </c>
      <c r="W165" s="555"/>
      <c r="X165"/>
      <c r="Y165" s="13"/>
      <c r="Z165" s="13"/>
      <c r="AA165" s="13"/>
      <c r="AB165" s="13"/>
      <c r="AC165" s="13"/>
      <c r="AD165" s="13"/>
      <c r="AE165" s="31"/>
      <c r="AF165" s="31"/>
      <c r="AG165" s="27"/>
      <c r="AH165" s="27"/>
      <c r="AI165" s="177"/>
      <c r="AJ165" s="15"/>
    </row>
    <row r="166" spans="4:36">
      <c r="D166" s="12"/>
      <c r="E166" s="13"/>
      <c r="F166" s="12"/>
      <c r="G166" s="13"/>
      <c r="H166" s="13"/>
      <c r="I166" s="13"/>
      <c r="J166" s="35"/>
      <c r="K166" s="467" t="s">
        <v>195</v>
      </c>
      <c r="L166" s="467"/>
      <c r="M166" s="449"/>
      <c r="N166" s="13"/>
      <c r="O166" s="13"/>
      <c r="P166" s="888">
        <f>'1.設計条件'!N57</f>
        <v>350</v>
      </c>
      <c r="Q166" s="888"/>
      <c r="R166" s="145"/>
      <c r="S166" s="145"/>
      <c r="T166" s="13"/>
      <c r="U166" s="449"/>
      <c r="V166" s="556"/>
      <c r="W166" s="557"/>
      <c r="X166"/>
      <c r="Y166" s="13"/>
      <c r="Z166" s="13"/>
      <c r="AA166" s="13"/>
      <c r="AB166" s="13"/>
      <c r="AC166" s="13"/>
      <c r="AD166" s="13"/>
      <c r="AE166" s="31"/>
      <c r="AF166" s="31"/>
      <c r="AG166" s="27"/>
      <c r="AH166" s="27"/>
      <c r="AI166" s="177"/>
      <c r="AJ166" s="15"/>
    </row>
    <row r="167" spans="4:36">
      <c r="D167" s="12"/>
      <c r="E167" s="13"/>
      <c r="F167" s="12"/>
      <c r="G167" s="13"/>
      <c r="H167" s="13"/>
      <c r="I167" s="13"/>
      <c r="J167" s="35"/>
      <c r="K167" s="35"/>
      <c r="L167" s="34"/>
      <c r="M167" s="28"/>
      <c r="N167" s="147"/>
      <c r="O167" s="147"/>
      <c r="P167" s="13"/>
      <c r="Q167" s="157"/>
      <c r="R167" s="157"/>
      <c r="S167" s="157"/>
      <c r="T167" s="13"/>
      <c r="U167" s="28"/>
      <c r="V167" s="28"/>
      <c r="W167" s="28"/>
      <c r="X167"/>
      <c r="Y167" s="13"/>
      <c r="Z167" s="13"/>
      <c r="AA167" s="13"/>
      <c r="AB167" s="13"/>
      <c r="AC167" s="13"/>
      <c r="AD167" s="13"/>
      <c r="AE167" s="31"/>
      <c r="AF167" s="31"/>
      <c r="AG167" s="27"/>
      <c r="AH167" s="27"/>
      <c r="AI167" s="177"/>
      <c r="AJ167" s="15"/>
    </row>
    <row r="168" spans="4:36">
      <c r="D168" s="12"/>
      <c r="E168" s="13"/>
      <c r="F168" s="12"/>
      <c r="G168" s="13"/>
      <c r="H168" s="13"/>
      <c r="I168" s="433" t="s">
        <v>362</v>
      </c>
      <c r="J168" s="433"/>
      <c r="K168" s="433"/>
      <c r="L168" s="433"/>
      <c r="M168" s="433"/>
      <c r="N168" s="433"/>
      <c r="O168" s="433"/>
      <c r="P168" s="433"/>
      <c r="Q168" s="433"/>
      <c r="R168" s="433"/>
      <c r="S168" s="380">
        <v>4.5</v>
      </c>
      <c r="T168" s="380"/>
      <c r="U168" s="13" t="s">
        <v>353</v>
      </c>
      <c r="V168" s="449" t="s">
        <v>363</v>
      </c>
      <c r="W168" s="449"/>
      <c r="X168" s="13" t="s">
        <v>326</v>
      </c>
      <c r="Y168" s="458">
        <v>30</v>
      </c>
      <c r="Z168" s="458"/>
      <c r="AA168" s="33" t="s">
        <v>355</v>
      </c>
      <c r="AB168"/>
      <c r="AC168" s="13" t="s">
        <v>416</v>
      </c>
      <c r="AD168" s="13"/>
      <c r="AE168" s="13"/>
      <c r="AF168" s="13"/>
      <c r="AG168" s="27"/>
      <c r="AH168" s="27"/>
      <c r="AI168" s="177"/>
      <c r="AJ168" s="15"/>
    </row>
    <row r="169" spans="4:36">
      <c r="D169" s="12"/>
      <c r="E169" s="13"/>
      <c r="F169" s="12"/>
      <c r="G169" s="13"/>
      <c r="H169" s="465" t="s">
        <v>322</v>
      </c>
      <c r="I169" s="465"/>
      <c r="J169" s="32" t="s">
        <v>2</v>
      </c>
      <c r="K169" s="148" t="s">
        <v>364</v>
      </c>
      <c r="L169" s="890">
        <v>140</v>
      </c>
      <c r="M169" s="890"/>
      <c r="N169" s="148" t="s">
        <v>263</v>
      </c>
      <c r="O169" s="433">
        <v>2.4</v>
      </c>
      <c r="P169" s="433"/>
      <c r="Q169" s="148" t="s">
        <v>69</v>
      </c>
      <c r="R169" s="436" t="s">
        <v>359</v>
      </c>
      <c r="S169" s="436"/>
      <c r="T169" s="147" t="s">
        <v>70</v>
      </c>
      <c r="U169" s="34" t="s">
        <v>195</v>
      </c>
      <c r="V169" s="13" t="s">
        <v>263</v>
      </c>
      <c r="W169" s="449">
        <v>4.5</v>
      </c>
      <c r="X169" s="449"/>
      <c r="Y169" s="27" t="s">
        <v>365</v>
      </c>
      <c r="Z169" s="27" t="s">
        <v>27</v>
      </c>
      <c r="AA169" s="449">
        <v>1.5</v>
      </c>
      <c r="AB169" s="449"/>
      <c r="AC169" s="13"/>
      <c r="AD169" s="13"/>
      <c r="AE169" s="13"/>
      <c r="AF169" s="13"/>
      <c r="AG169" s="27"/>
      <c r="AH169" s="27"/>
      <c r="AI169" s="177"/>
      <c r="AJ169" s="15"/>
    </row>
    <row r="170" spans="4:36">
      <c r="D170" s="12"/>
      <c r="E170" s="13"/>
      <c r="F170" s="12"/>
      <c r="G170" s="13"/>
      <c r="H170" s="164"/>
      <c r="I170" s="164"/>
      <c r="J170" s="32" t="s">
        <v>2</v>
      </c>
      <c r="K170" s="148" t="s">
        <v>364</v>
      </c>
      <c r="L170" s="890">
        <v>140</v>
      </c>
      <c r="M170" s="890"/>
      <c r="N170" s="148" t="s">
        <v>263</v>
      </c>
      <c r="O170" s="433">
        <v>2.4</v>
      </c>
      <c r="P170" s="433"/>
      <c r="Q170" s="148" t="s">
        <v>69</v>
      </c>
      <c r="R170" s="436">
        <f>V165</f>
        <v>10</v>
      </c>
      <c r="S170" s="436"/>
      <c r="T170" s="436"/>
      <c r="U170" s="436"/>
      <c r="V170" s="13" t="s">
        <v>263</v>
      </c>
      <c r="W170" s="449">
        <v>4.5</v>
      </c>
      <c r="X170" s="449"/>
      <c r="Y170" s="27" t="s">
        <v>365</v>
      </c>
      <c r="Z170" s="27" t="s">
        <v>27</v>
      </c>
      <c r="AA170" s="449">
        <v>1.5</v>
      </c>
      <c r="AB170" s="449"/>
      <c r="AC170" s="13"/>
      <c r="AD170" s="13"/>
      <c r="AE170" s="13"/>
      <c r="AF170" s="13"/>
      <c r="AG170" s="27"/>
      <c r="AH170" s="27"/>
      <c r="AI170" s="177"/>
      <c r="AJ170" s="15"/>
    </row>
    <row r="171" spans="4:36" ht="20.25">
      <c r="D171" s="12"/>
      <c r="E171" s="13"/>
      <c r="F171" s="12"/>
      <c r="G171" s="13"/>
      <c r="H171" s="13"/>
      <c r="I171" s="148"/>
      <c r="J171" s="32" t="s">
        <v>2</v>
      </c>
      <c r="K171" s="885">
        <f>(L170-O170*(R170-W170))*AA170</f>
        <v>190.2</v>
      </c>
      <c r="L171" s="886"/>
      <c r="M171" s="887"/>
      <c r="N171" s="163" t="s">
        <v>48</v>
      </c>
      <c r="O171" s="148"/>
      <c r="P171" s="148"/>
      <c r="Q171" s="148"/>
      <c r="R171" s="148"/>
      <c r="S171" s="147"/>
      <c r="T171" s="147"/>
      <c r="U171" s="13"/>
      <c r="V171" s="28"/>
      <c r="W171" s="28"/>
      <c r="X171" s="13"/>
      <c r="Y171" s="27"/>
      <c r="Z171" s="27"/>
      <c r="AA171" s="33"/>
      <c r="AB171"/>
      <c r="AC171" s="13"/>
      <c r="AD171" s="13"/>
      <c r="AE171" s="13"/>
      <c r="AF171" s="13"/>
      <c r="AG171" s="27"/>
      <c r="AH171" s="27"/>
      <c r="AI171" s="177"/>
      <c r="AJ171" s="15"/>
    </row>
    <row r="172" spans="4:36">
      <c r="D172" s="12"/>
      <c r="E172" s="13"/>
      <c r="F172" s="16"/>
      <c r="G172" s="17"/>
      <c r="H172" s="17"/>
      <c r="I172" s="178"/>
      <c r="J172" s="179"/>
      <c r="K172" s="178"/>
      <c r="L172" s="178"/>
      <c r="M172" s="178"/>
      <c r="N172" s="176"/>
      <c r="O172" s="178"/>
      <c r="P172" s="178"/>
      <c r="Q172" s="178"/>
      <c r="R172" s="178"/>
      <c r="S172" s="162"/>
      <c r="T172" s="162"/>
      <c r="U172" s="17"/>
      <c r="V172" s="169"/>
      <c r="W172" s="169"/>
      <c r="X172" s="17"/>
      <c r="Y172" s="152"/>
      <c r="Z172" s="152"/>
      <c r="AA172" s="180"/>
      <c r="AB172" s="25"/>
      <c r="AC172" s="17"/>
      <c r="AD172" s="17"/>
      <c r="AE172" s="17"/>
      <c r="AF172" s="17"/>
      <c r="AG172" s="152"/>
      <c r="AH172" s="152"/>
      <c r="AI172" s="181"/>
      <c r="AJ172" s="15"/>
    </row>
    <row r="173" spans="4:36">
      <c r="D173" s="12"/>
      <c r="E173" s="13"/>
      <c r="F173" s="13"/>
      <c r="G173" s="13"/>
      <c r="H173" s="13"/>
      <c r="I173" s="148"/>
      <c r="J173" s="32"/>
      <c r="K173" s="148"/>
      <c r="L173" s="148"/>
      <c r="M173" s="148"/>
      <c r="N173" s="163"/>
      <c r="O173" s="148"/>
      <c r="P173" s="148"/>
      <c r="Q173" s="148"/>
      <c r="R173" s="148"/>
      <c r="S173" s="147"/>
      <c r="T173" s="147"/>
      <c r="U173" s="13"/>
      <c r="V173" s="28"/>
      <c r="W173" s="28"/>
      <c r="X173" s="13"/>
      <c r="Y173" s="27"/>
      <c r="Z173" s="27"/>
      <c r="AA173" s="33"/>
      <c r="AB173"/>
      <c r="AC173" s="13"/>
      <c r="AD173" s="13"/>
      <c r="AE173" s="13"/>
      <c r="AF173" s="13"/>
      <c r="AG173" s="27"/>
      <c r="AH173" s="27"/>
      <c r="AI173" s="27"/>
      <c r="AJ173" s="15"/>
    </row>
    <row r="174" spans="4:36">
      <c r="D174" s="12"/>
      <c r="E174" s="13"/>
      <c r="F174" s="13"/>
      <c r="G174" s="13"/>
      <c r="H174" s="13"/>
      <c r="I174" s="148"/>
      <c r="J174" s="148"/>
      <c r="K174" s="148"/>
      <c r="L174" s="148"/>
      <c r="M174" s="148"/>
      <c r="N174" s="148"/>
      <c r="O174" s="148"/>
      <c r="P174" s="148"/>
      <c r="Q174" s="148"/>
      <c r="R174" s="148"/>
      <c r="S174" s="147"/>
      <c r="T174" s="147"/>
      <c r="U174" s="13"/>
      <c r="V174" s="28"/>
      <c r="W174" s="28"/>
      <c r="X174" s="13"/>
      <c r="Y174" s="27"/>
      <c r="Z174" s="27"/>
      <c r="AA174" s="33"/>
      <c r="AB174"/>
      <c r="AC174" s="13"/>
      <c r="AD174" s="13"/>
      <c r="AE174" s="13"/>
      <c r="AF174" s="13"/>
      <c r="AG174" s="27"/>
      <c r="AH174" s="27"/>
      <c r="AI174" s="27"/>
      <c r="AJ174" s="15"/>
    </row>
    <row r="175" spans="4:36">
      <c r="D175" s="12"/>
      <c r="E175" s="13"/>
      <c r="F175" s="9"/>
      <c r="G175" s="10"/>
      <c r="H175" s="467" t="s">
        <v>324</v>
      </c>
      <c r="I175" s="467"/>
      <c r="J175" s="10" t="s">
        <v>339</v>
      </c>
      <c r="K175" s="10"/>
      <c r="L175" s="10"/>
      <c r="M175" s="10"/>
      <c r="N175" s="10"/>
      <c r="O175" s="10"/>
      <c r="P175" s="10"/>
      <c r="Q175" s="10"/>
      <c r="R175" s="10"/>
      <c r="S175" s="10"/>
      <c r="T175" s="10"/>
      <c r="U175" s="10"/>
      <c r="V175" s="10"/>
      <c r="W175" s="10"/>
      <c r="X175" s="3"/>
      <c r="Y175" s="10"/>
      <c r="Z175" s="10"/>
      <c r="AA175" s="10"/>
      <c r="AB175" s="10"/>
      <c r="AC175" s="10"/>
      <c r="AD175" s="10"/>
      <c r="AE175" s="10"/>
      <c r="AF175" s="10"/>
      <c r="AG175" s="10"/>
      <c r="AH175" s="10"/>
      <c r="AI175" s="11"/>
      <c r="AJ175" s="15"/>
    </row>
    <row r="176" spans="4:36" ht="20.25">
      <c r="D176" s="12"/>
      <c r="E176" s="13"/>
      <c r="F176" s="12"/>
      <c r="G176" s="13"/>
      <c r="H176" s="13"/>
      <c r="I176" s="13"/>
      <c r="J176" s="360" t="s">
        <v>324</v>
      </c>
      <c r="K176" s="360"/>
      <c r="L176" s="13" t="s">
        <v>2</v>
      </c>
      <c r="M176" s="374">
        <v>210</v>
      </c>
      <c r="N176" s="376"/>
      <c r="O176" s="13" t="s">
        <v>48</v>
      </c>
      <c r="P176" s="13"/>
      <c r="Q176" s="13"/>
      <c r="R176" s="13" t="s">
        <v>340</v>
      </c>
      <c r="S176" s="13"/>
      <c r="T176" s="13"/>
      <c r="U176" s="13"/>
      <c r="V176" s="13"/>
      <c r="W176" s="13"/>
      <c r="X176"/>
      <c r="Y176" s="13"/>
      <c r="Z176" s="13"/>
      <c r="AA176" s="13"/>
      <c r="AB176" s="13"/>
      <c r="AC176" s="13"/>
      <c r="AD176" s="13"/>
      <c r="AE176" s="13"/>
      <c r="AF176" s="13"/>
      <c r="AG176" s="13"/>
      <c r="AH176" s="13"/>
      <c r="AI176" s="15"/>
      <c r="AJ176" s="15"/>
    </row>
    <row r="177" spans="4:36">
      <c r="D177" s="12"/>
      <c r="E177" s="13"/>
      <c r="F177" s="16"/>
      <c r="G177" s="17"/>
      <c r="H177" s="17"/>
      <c r="I177" s="17"/>
      <c r="J177" s="151"/>
      <c r="K177" s="151"/>
      <c r="L177" s="17"/>
      <c r="M177" s="182"/>
      <c r="N177" s="182"/>
      <c r="O177" s="17"/>
      <c r="P177" s="17"/>
      <c r="Q177" s="17"/>
      <c r="R177" s="17"/>
      <c r="S177" s="17"/>
      <c r="T177" s="17"/>
      <c r="U177" s="17"/>
      <c r="V177" s="17"/>
      <c r="W177" s="17"/>
      <c r="X177" s="25"/>
      <c r="Y177" s="17"/>
      <c r="Z177" s="17"/>
      <c r="AA177" s="17"/>
      <c r="AB177" s="17"/>
      <c r="AC177" s="17"/>
      <c r="AD177" s="17"/>
      <c r="AE177" s="17"/>
      <c r="AF177" s="17"/>
      <c r="AG177" s="17"/>
      <c r="AH177" s="17"/>
      <c r="AI177" s="19"/>
      <c r="AJ177" s="15"/>
    </row>
    <row r="178" spans="4:36">
      <c r="D178" s="12"/>
      <c r="E178" s="13"/>
      <c r="F178" s="13"/>
      <c r="G178" s="13"/>
      <c r="H178" s="13"/>
      <c r="I178" s="13"/>
      <c r="J178" s="35"/>
      <c r="K178" s="35"/>
      <c r="L178" s="13"/>
      <c r="M178" s="146"/>
      <c r="N178" s="146"/>
      <c r="O178" s="13"/>
      <c r="P178" s="13"/>
      <c r="Q178" s="13"/>
      <c r="R178" s="13"/>
      <c r="S178" s="13"/>
      <c r="T178" s="13"/>
      <c r="U178" s="13"/>
      <c r="V178" s="13"/>
      <c r="W178" s="13"/>
      <c r="X178"/>
      <c r="Y178" s="13"/>
      <c r="Z178" s="13"/>
      <c r="AA178" s="13"/>
      <c r="AB178" s="13"/>
      <c r="AC178" s="13"/>
      <c r="AD178" s="13"/>
      <c r="AE178" s="13"/>
      <c r="AF178" s="13"/>
      <c r="AG178" s="13"/>
      <c r="AH178" s="13"/>
      <c r="AI178" s="13"/>
      <c r="AJ178" s="15"/>
    </row>
    <row r="179" spans="4:36">
      <c r="D179" s="12"/>
      <c r="E179" s="13"/>
      <c r="F179" s="13"/>
      <c r="G179" s="13"/>
      <c r="H179" s="13"/>
      <c r="I179" s="13"/>
      <c r="J179" s="13"/>
      <c r="K179" s="13"/>
      <c r="L179" s="13"/>
      <c r="M179" s="13"/>
      <c r="N179" s="13"/>
      <c r="O179" s="13"/>
      <c r="P179" s="13"/>
      <c r="Q179" s="13"/>
      <c r="R179" s="13"/>
      <c r="S179" s="13"/>
      <c r="T179" s="13"/>
      <c r="U179" s="13"/>
      <c r="V179" s="13"/>
      <c r="W179" s="13"/>
      <c r="X179"/>
      <c r="Y179" s="13"/>
      <c r="Z179" s="13"/>
      <c r="AA179" s="13"/>
      <c r="AB179" s="13"/>
      <c r="AC179" s="13"/>
      <c r="AD179" s="13"/>
      <c r="AE179" s="13"/>
      <c r="AF179" s="13"/>
      <c r="AG179" s="13"/>
      <c r="AH179" s="13"/>
      <c r="AI179" s="13"/>
      <c r="AJ179" s="15"/>
    </row>
    <row r="180" spans="4:36">
      <c r="D180" s="12"/>
      <c r="E180" s="13"/>
      <c r="F180" s="9"/>
      <c r="G180" s="10"/>
      <c r="H180" s="467" t="s">
        <v>366</v>
      </c>
      <c r="I180" s="467"/>
      <c r="J180" s="10" t="s">
        <v>367</v>
      </c>
      <c r="K180" s="10"/>
      <c r="L180" s="10"/>
      <c r="M180" s="10"/>
      <c r="N180" s="10"/>
      <c r="O180" s="10"/>
      <c r="P180" s="10"/>
      <c r="Q180" s="10"/>
      <c r="R180" s="10"/>
      <c r="S180" s="10"/>
      <c r="T180" s="10"/>
      <c r="U180" s="10"/>
      <c r="V180" s="10"/>
      <c r="W180" s="10"/>
      <c r="X180" s="3"/>
      <c r="Y180" s="10"/>
      <c r="Z180" s="10"/>
      <c r="AA180" s="10"/>
      <c r="AB180" s="10"/>
      <c r="AC180" s="10"/>
      <c r="AD180" s="10"/>
      <c r="AE180" s="10"/>
      <c r="AF180" s="10"/>
      <c r="AG180" s="10"/>
      <c r="AH180" s="10"/>
      <c r="AI180" s="11"/>
      <c r="AJ180" s="15"/>
    </row>
    <row r="181" spans="4:36" ht="20.25">
      <c r="D181" s="12"/>
      <c r="E181" s="13"/>
      <c r="F181" s="12"/>
      <c r="G181" s="13"/>
      <c r="H181" s="13"/>
      <c r="I181" s="13"/>
      <c r="J181" s="360" t="s">
        <v>366</v>
      </c>
      <c r="K181" s="360"/>
      <c r="L181" s="13" t="s">
        <v>2</v>
      </c>
      <c r="M181" s="374">
        <v>210</v>
      </c>
      <c r="N181" s="376"/>
      <c r="O181" s="13" t="s">
        <v>48</v>
      </c>
      <c r="P181" s="13"/>
      <c r="Q181" s="13"/>
      <c r="R181" s="13" t="s">
        <v>340</v>
      </c>
      <c r="S181" s="13"/>
      <c r="T181" s="13"/>
      <c r="U181" s="13"/>
      <c r="V181" s="13"/>
      <c r="W181" s="13"/>
      <c r="X181"/>
      <c r="Y181" s="13"/>
      <c r="Z181" s="13"/>
      <c r="AA181" s="13"/>
      <c r="AB181" s="13"/>
      <c r="AC181" s="13"/>
      <c r="AD181" s="13"/>
      <c r="AE181" s="13"/>
      <c r="AF181" s="13"/>
      <c r="AG181" s="13"/>
      <c r="AH181" s="13"/>
      <c r="AI181" s="15"/>
      <c r="AJ181" s="15"/>
    </row>
    <row r="182" spans="4:36">
      <c r="D182" s="12"/>
      <c r="E182" s="13"/>
      <c r="F182" s="16"/>
      <c r="G182" s="17"/>
      <c r="H182" s="17"/>
      <c r="I182" s="17"/>
      <c r="J182" s="17"/>
      <c r="K182" s="17" t="s">
        <v>330</v>
      </c>
      <c r="L182" s="17"/>
      <c r="M182" s="17"/>
      <c r="N182" s="123" t="s">
        <v>331</v>
      </c>
      <c r="O182" s="17" t="s">
        <v>326</v>
      </c>
      <c r="P182" s="451">
        <v>13.1</v>
      </c>
      <c r="Q182" s="451"/>
      <c r="R182" s="123" t="s">
        <v>332</v>
      </c>
      <c r="S182" s="17" t="s">
        <v>315</v>
      </c>
      <c r="T182" s="17"/>
      <c r="U182" s="17"/>
      <c r="V182" s="17"/>
      <c r="W182" s="17"/>
      <c r="X182" s="25"/>
      <c r="Y182" s="17"/>
      <c r="Z182" s="17"/>
      <c r="AA182" s="17"/>
      <c r="AB182" s="17"/>
      <c r="AC182" s="17"/>
      <c r="AD182" s="17"/>
      <c r="AE182" s="17"/>
      <c r="AF182" s="17"/>
      <c r="AG182" s="17"/>
      <c r="AH182" s="17"/>
      <c r="AI182" s="19"/>
      <c r="AJ182" s="15"/>
    </row>
    <row r="183" spans="4:36">
      <c r="D183" s="12"/>
      <c r="E183" s="13"/>
      <c r="F183" s="13"/>
      <c r="G183" s="13"/>
      <c r="H183" s="13"/>
      <c r="I183" s="13"/>
      <c r="J183" s="13"/>
      <c r="K183" s="13"/>
      <c r="L183" s="13"/>
      <c r="M183" s="13"/>
      <c r="N183" s="34"/>
      <c r="O183" s="13"/>
      <c r="P183" s="14"/>
      <c r="Q183" s="14"/>
      <c r="R183" s="34"/>
      <c r="S183" s="13"/>
      <c r="T183" s="13"/>
      <c r="U183" s="13"/>
      <c r="V183" s="13"/>
      <c r="W183" s="13"/>
      <c r="X183"/>
      <c r="Y183" s="13"/>
      <c r="Z183" s="13"/>
      <c r="AA183" s="13"/>
      <c r="AB183" s="13"/>
      <c r="AC183" s="13"/>
      <c r="AD183" s="13"/>
      <c r="AE183" s="13"/>
      <c r="AF183" s="13"/>
      <c r="AG183" s="13"/>
      <c r="AH183" s="13"/>
      <c r="AI183" s="13"/>
      <c r="AJ183" s="15"/>
    </row>
    <row r="184" spans="4:36">
      <c r="D184" s="12"/>
      <c r="E184" s="13"/>
      <c r="F184" s="13"/>
      <c r="G184" s="13"/>
      <c r="H184" s="13"/>
      <c r="I184" s="13"/>
      <c r="J184" s="13"/>
      <c r="K184" s="13"/>
      <c r="L184" s="13"/>
      <c r="M184" s="13"/>
      <c r="N184" s="34"/>
      <c r="O184" s="13"/>
      <c r="P184" s="14"/>
      <c r="Q184" s="14"/>
      <c r="R184" s="34"/>
      <c r="S184" s="13"/>
      <c r="T184" s="13"/>
      <c r="U184" s="13"/>
      <c r="V184" s="13"/>
      <c r="W184" s="13"/>
      <c r="X184"/>
      <c r="Y184" s="13"/>
      <c r="Z184" s="13"/>
      <c r="AA184" s="13"/>
      <c r="AB184" s="13"/>
      <c r="AC184" s="13"/>
      <c r="AD184" s="13"/>
      <c r="AE184" s="13"/>
      <c r="AF184" s="13"/>
      <c r="AG184" s="13"/>
      <c r="AH184" s="13"/>
      <c r="AI184" s="13"/>
      <c r="AJ184" s="15"/>
    </row>
    <row r="185" spans="4:36" ht="20.25">
      <c r="D185" s="12"/>
      <c r="E185" s="13"/>
      <c r="F185" s="856" t="s">
        <v>321</v>
      </c>
      <c r="G185" s="857"/>
      <c r="H185" s="858" t="s">
        <v>341</v>
      </c>
      <c r="I185" s="858"/>
      <c r="J185" s="10" t="s">
        <v>417</v>
      </c>
      <c r="K185" s="10"/>
      <c r="L185" s="10"/>
      <c r="M185" s="10"/>
      <c r="N185" s="10"/>
      <c r="O185" s="10"/>
      <c r="P185" s="10"/>
      <c r="Q185" s="10"/>
      <c r="R185" s="10"/>
      <c r="S185" s="10"/>
      <c r="T185" s="10"/>
      <c r="U185" s="10"/>
      <c r="V185" s="10"/>
      <c r="W185" s="10"/>
      <c r="X185" s="3"/>
      <c r="Y185" s="10"/>
      <c r="Z185" s="10"/>
      <c r="AA185" s="10"/>
      <c r="AB185" s="10"/>
      <c r="AC185" s="10"/>
      <c r="AD185" s="10"/>
      <c r="AE185" s="10"/>
      <c r="AF185" s="10"/>
      <c r="AG185" s="10"/>
      <c r="AH185" s="10"/>
      <c r="AI185" s="11"/>
      <c r="AJ185" s="15"/>
    </row>
    <row r="186" spans="4:36">
      <c r="D186" s="12"/>
      <c r="E186" s="13"/>
      <c r="F186" s="12"/>
      <c r="G186" s="13"/>
      <c r="H186" s="13"/>
      <c r="I186" s="13"/>
      <c r="J186" s="465" t="s">
        <v>321</v>
      </c>
      <c r="K186" s="465"/>
      <c r="L186" s="449" t="s">
        <v>2</v>
      </c>
      <c r="M186" s="867">
        <v>1200000</v>
      </c>
      <c r="N186" s="867"/>
      <c r="O186" s="867"/>
      <c r="P186" s="867"/>
      <c r="Q186" s="867"/>
      <c r="R186" s="13"/>
      <c r="S186" s="449" t="s">
        <v>2</v>
      </c>
      <c r="T186" s="867">
        <v>1200000</v>
      </c>
      <c r="U186" s="867"/>
      <c r="V186" s="867"/>
      <c r="W186" s="867"/>
      <c r="X186" s="867"/>
      <c r="Y186" s="17"/>
      <c r="Z186" s="17"/>
      <c r="AA186" s="17"/>
      <c r="AB186" s="17"/>
      <c r="AC186" s="13"/>
      <c r="AD186" s="449" t="s">
        <v>2</v>
      </c>
      <c r="AE186" s="617">
        <f>T186</f>
        <v>1200000</v>
      </c>
      <c r="AF186" s="617"/>
      <c r="AG186" s="617"/>
      <c r="AH186" s="617"/>
      <c r="AI186" s="15"/>
      <c r="AJ186" s="15"/>
    </row>
    <row r="187" spans="4:36" ht="20.25">
      <c r="D187" s="12"/>
      <c r="E187" s="13"/>
      <c r="F187" s="12"/>
      <c r="G187" s="13"/>
      <c r="H187" s="13"/>
      <c r="I187" s="13"/>
      <c r="J187" s="465"/>
      <c r="K187" s="465"/>
      <c r="L187" s="449"/>
      <c r="M187" s="13" t="s">
        <v>69</v>
      </c>
      <c r="N187" s="13" t="s">
        <v>343</v>
      </c>
      <c r="O187" s="13" t="s">
        <v>70</v>
      </c>
      <c r="P187" s="34" t="s">
        <v>302</v>
      </c>
      <c r="Q187" s="13" t="s">
        <v>344</v>
      </c>
      <c r="R187" s="13"/>
      <c r="S187" s="449"/>
      <c r="T187" s="13" t="s">
        <v>69</v>
      </c>
      <c r="U187" s="458">
        <f>V197</f>
        <v>3500</v>
      </c>
      <c r="V187" s="458"/>
      <c r="W187" s="458"/>
      <c r="X187" s="13" t="s">
        <v>70</v>
      </c>
      <c r="Y187" s="436">
        <f>V200</f>
        <v>151</v>
      </c>
      <c r="Z187" s="436"/>
      <c r="AA187" s="13"/>
      <c r="AB187" s="13" t="s">
        <v>344</v>
      </c>
      <c r="AC187" s="13"/>
      <c r="AD187" s="449"/>
      <c r="AE187" s="436">
        <f>(U187/Y187)^2</f>
        <v>537.25713784483128</v>
      </c>
      <c r="AF187" s="436"/>
      <c r="AG187" s="436"/>
      <c r="AH187" s="436"/>
      <c r="AI187" s="15"/>
      <c r="AJ187" s="15"/>
    </row>
    <row r="188" spans="4:36">
      <c r="D188" s="12"/>
      <c r="E188" s="13"/>
      <c r="F188" s="12"/>
      <c r="G188" s="13"/>
      <c r="H188" s="13"/>
      <c r="I188" s="13"/>
      <c r="J188" s="36"/>
      <c r="K188" s="36"/>
      <c r="L188" s="28"/>
      <c r="M188" s="13"/>
      <c r="N188" s="13"/>
      <c r="O188" s="13"/>
      <c r="P188" s="34"/>
      <c r="Q188" s="13"/>
      <c r="R188" s="13"/>
      <c r="S188" s="28"/>
      <c r="T188" s="13"/>
      <c r="U188" s="27"/>
      <c r="V188" s="27"/>
      <c r="W188" s="27"/>
      <c r="X188" s="13"/>
      <c r="Y188" s="14"/>
      <c r="Z188" s="14"/>
      <c r="AA188" s="13"/>
      <c r="AB188" s="13"/>
      <c r="AC188" s="13"/>
      <c r="AD188" s="28"/>
      <c r="AE188" s="14"/>
      <c r="AF188" s="14"/>
      <c r="AG188" s="14"/>
      <c r="AH188" s="14"/>
      <c r="AI188" s="15"/>
      <c r="AJ188" s="15"/>
    </row>
    <row r="189" spans="4:36">
      <c r="D189" s="12"/>
      <c r="E189" s="13"/>
      <c r="F189" s="12"/>
      <c r="G189" s="13"/>
      <c r="H189" s="13"/>
      <c r="I189" s="13"/>
      <c r="J189" s="36"/>
      <c r="K189" s="36"/>
      <c r="L189" s="28" t="s">
        <v>2</v>
      </c>
      <c r="M189" s="462">
        <f>AE186/AE187</f>
        <v>2233.5673469387757</v>
      </c>
      <c r="N189" s="463"/>
      <c r="O189" s="464"/>
      <c r="P189" s="34"/>
      <c r="Q189" s="13"/>
      <c r="R189" s="13"/>
      <c r="S189" s="13"/>
      <c r="T189" s="28"/>
      <c r="U189" s="13"/>
      <c r="V189" s="27"/>
      <c r="W189" s="27"/>
      <c r="X189" s="27"/>
      <c r="Y189" s="13"/>
      <c r="Z189" s="14"/>
      <c r="AA189" s="14"/>
      <c r="AB189" s="13"/>
      <c r="AC189" s="31"/>
      <c r="AD189" s="13"/>
      <c r="AE189" s="13"/>
      <c r="AF189" s="13"/>
      <c r="AG189" s="13"/>
      <c r="AH189" s="13"/>
      <c r="AI189" s="15"/>
      <c r="AJ189" s="15"/>
    </row>
    <row r="190" spans="4:36">
      <c r="D190" s="12"/>
      <c r="E190" s="13"/>
      <c r="F190" s="12"/>
      <c r="G190" s="13"/>
      <c r="H190" s="13"/>
      <c r="I190" s="13"/>
      <c r="J190" s="13"/>
      <c r="K190" s="13"/>
      <c r="L190" s="13"/>
      <c r="M190" s="13"/>
      <c r="N190" s="13"/>
      <c r="O190" s="13"/>
      <c r="P190" s="13"/>
      <c r="Q190" s="13"/>
      <c r="R190" s="13"/>
      <c r="S190" s="13"/>
      <c r="T190" s="13"/>
      <c r="U190" s="13"/>
      <c r="V190" s="13"/>
      <c r="W190" s="13"/>
      <c r="X190"/>
      <c r="Y190" s="13"/>
      <c r="Z190" s="13"/>
      <c r="AA190" s="13"/>
      <c r="AB190" s="13"/>
      <c r="AC190" s="13"/>
      <c r="AD190" s="13"/>
      <c r="AE190" s="13"/>
      <c r="AF190" s="13"/>
      <c r="AG190" s="13"/>
      <c r="AH190" s="13"/>
      <c r="AI190" s="15"/>
      <c r="AJ190" s="15"/>
    </row>
    <row r="191" spans="4:36">
      <c r="D191" s="12"/>
      <c r="E191" s="13"/>
      <c r="F191" s="12"/>
      <c r="G191" s="13"/>
      <c r="H191" s="13"/>
      <c r="I191" s="13"/>
      <c r="J191" s="465" t="s">
        <v>325</v>
      </c>
      <c r="K191" s="465"/>
      <c r="L191" s="449" t="s">
        <v>2</v>
      </c>
      <c r="M191" s="867">
        <v>1200000</v>
      </c>
      <c r="N191" s="867"/>
      <c r="O191" s="867"/>
      <c r="P191" s="867"/>
      <c r="Q191" s="867"/>
      <c r="R191" s="13"/>
      <c r="S191" s="449" t="s">
        <v>2</v>
      </c>
      <c r="T191" s="867">
        <v>1200000</v>
      </c>
      <c r="U191" s="867"/>
      <c r="V191" s="867"/>
      <c r="W191" s="867"/>
      <c r="X191" s="867"/>
      <c r="Y191" s="17"/>
      <c r="Z191" s="17"/>
      <c r="AA191" s="17"/>
      <c r="AB191" s="17"/>
      <c r="AC191" s="13"/>
      <c r="AD191" s="449" t="s">
        <v>2</v>
      </c>
      <c r="AE191" s="617">
        <f>T191</f>
        <v>1200000</v>
      </c>
      <c r="AF191" s="617"/>
      <c r="AG191" s="617"/>
      <c r="AH191" s="617"/>
      <c r="AI191" s="15"/>
      <c r="AJ191" s="15"/>
    </row>
    <row r="192" spans="4:36" ht="20.25">
      <c r="D192" s="12"/>
      <c r="E192" s="13"/>
      <c r="F192" s="12"/>
      <c r="G192" s="13"/>
      <c r="H192" s="13"/>
      <c r="I192" s="13"/>
      <c r="J192" s="465"/>
      <c r="K192" s="465"/>
      <c r="L192" s="449"/>
      <c r="M192" s="13" t="s">
        <v>69</v>
      </c>
      <c r="N192" s="13" t="s">
        <v>343</v>
      </c>
      <c r="O192" s="13" t="s">
        <v>70</v>
      </c>
      <c r="P192" s="34" t="s">
        <v>303</v>
      </c>
      <c r="Q192" s="13" t="s">
        <v>344</v>
      </c>
      <c r="R192" s="13"/>
      <c r="S192" s="449"/>
      <c r="T192" s="13" t="s">
        <v>69</v>
      </c>
      <c r="U192" s="458">
        <f>V197</f>
        <v>3500</v>
      </c>
      <c r="V192" s="458"/>
      <c r="W192" s="458"/>
      <c r="X192" s="13" t="s">
        <v>70</v>
      </c>
      <c r="Y192" s="436">
        <f>V201</f>
        <v>89.9</v>
      </c>
      <c r="Z192" s="436"/>
      <c r="AA192" s="13"/>
      <c r="AB192" s="13" t="s">
        <v>344</v>
      </c>
      <c r="AC192" s="13"/>
      <c r="AD192" s="449"/>
      <c r="AE192" s="436">
        <f>(U192/Y192)^2</f>
        <v>1515.7120567779546</v>
      </c>
      <c r="AF192" s="436"/>
      <c r="AG192" s="436"/>
      <c r="AH192" s="436"/>
      <c r="AI192" s="15"/>
      <c r="AJ192" s="15"/>
    </row>
    <row r="193" spans="4:36">
      <c r="D193" s="12"/>
      <c r="E193" s="13"/>
      <c r="F193" s="12"/>
      <c r="G193" s="13"/>
      <c r="H193" s="13"/>
      <c r="I193" s="13"/>
      <c r="J193" s="36"/>
      <c r="K193" s="36"/>
      <c r="L193" s="28"/>
      <c r="M193" s="13"/>
      <c r="N193" s="13"/>
      <c r="O193" s="13"/>
      <c r="P193" s="34"/>
      <c r="Q193" s="13"/>
      <c r="R193" s="13"/>
      <c r="S193" s="28"/>
      <c r="T193" s="13"/>
      <c r="U193" s="27"/>
      <c r="V193" s="27"/>
      <c r="W193" s="27"/>
      <c r="X193" s="13"/>
      <c r="Y193" s="14"/>
      <c r="Z193" s="14"/>
      <c r="AA193" s="13"/>
      <c r="AB193" s="13"/>
      <c r="AC193" s="13"/>
      <c r="AD193" s="28"/>
      <c r="AE193" s="14"/>
      <c r="AF193" s="14"/>
      <c r="AG193" s="14"/>
      <c r="AH193" s="14"/>
      <c r="AI193" s="15"/>
      <c r="AJ193" s="15"/>
    </row>
    <row r="194" spans="4:36">
      <c r="D194" s="12"/>
      <c r="E194" s="13"/>
      <c r="F194" s="12"/>
      <c r="G194" s="13"/>
      <c r="H194" s="13"/>
      <c r="I194" s="13"/>
      <c r="J194" s="36"/>
      <c r="K194" s="36"/>
      <c r="L194" s="28" t="s">
        <v>2</v>
      </c>
      <c r="M194" s="462">
        <f>AE191/AE192</f>
        <v>791.70710204081661</v>
      </c>
      <c r="N194" s="463"/>
      <c r="O194" s="464"/>
      <c r="P194" s="34"/>
      <c r="Q194" s="13"/>
      <c r="R194" s="13"/>
      <c r="S194" s="13"/>
      <c r="T194" s="28"/>
      <c r="U194" s="13"/>
      <c r="V194" s="27"/>
      <c r="W194" s="27"/>
      <c r="X194" s="27"/>
      <c r="Y194" s="13"/>
      <c r="Z194" s="14"/>
      <c r="AA194" s="14"/>
      <c r="AB194" s="13"/>
      <c r="AC194" s="31"/>
      <c r="AD194" s="13"/>
      <c r="AE194" s="13"/>
      <c r="AF194" s="13"/>
      <c r="AG194" s="13"/>
      <c r="AH194" s="13"/>
      <c r="AI194" s="15"/>
      <c r="AJ194" s="15"/>
    </row>
    <row r="195" spans="4:36">
      <c r="D195" s="12"/>
      <c r="E195" s="13"/>
      <c r="F195" s="12"/>
      <c r="G195" s="13"/>
      <c r="H195" s="13"/>
      <c r="I195" s="13"/>
      <c r="J195" s="13"/>
      <c r="K195" s="13"/>
      <c r="L195" s="13"/>
      <c r="M195" s="13"/>
      <c r="N195" s="13"/>
      <c r="O195" s="13"/>
      <c r="P195" s="13"/>
      <c r="Q195" s="13"/>
      <c r="R195" s="13"/>
      <c r="S195" s="13"/>
      <c r="T195" s="13"/>
      <c r="U195" s="13"/>
      <c r="V195" s="13"/>
      <c r="W195" s="13"/>
      <c r="X195"/>
      <c r="Y195" s="13"/>
      <c r="Z195" s="13"/>
      <c r="AA195" s="13"/>
      <c r="AB195" s="13"/>
      <c r="AC195" s="13"/>
      <c r="AD195" s="13"/>
      <c r="AE195" s="13"/>
      <c r="AF195" s="13"/>
      <c r="AG195" s="13"/>
      <c r="AH195" s="13"/>
      <c r="AI195" s="15"/>
      <c r="AJ195" s="15"/>
    </row>
    <row r="196" spans="4:36">
      <c r="D196" s="12"/>
      <c r="E196" s="13"/>
      <c r="F196" s="12"/>
      <c r="G196" s="13"/>
      <c r="H196" s="13"/>
      <c r="I196" s="13"/>
      <c r="J196" s="13"/>
      <c r="K196" s="13"/>
      <c r="L196" s="13" t="s">
        <v>343</v>
      </c>
      <c r="M196" s="13" t="s">
        <v>346</v>
      </c>
      <c r="N196" s="13"/>
      <c r="O196" s="13"/>
      <c r="P196" s="13"/>
      <c r="Q196" s="13"/>
      <c r="R196" s="13"/>
      <c r="S196" s="13"/>
      <c r="T196" s="13"/>
      <c r="U196" s="13"/>
      <c r="V196" s="13"/>
      <c r="W196" s="13"/>
      <c r="X196"/>
      <c r="Y196" s="13"/>
      <c r="Z196" s="13"/>
      <c r="AA196" s="13"/>
      <c r="AB196" s="13"/>
      <c r="AC196" s="13"/>
      <c r="AD196" s="13"/>
      <c r="AE196" s="13"/>
      <c r="AF196" s="13"/>
      <c r="AG196" s="13"/>
      <c r="AH196" s="13"/>
      <c r="AI196" s="15"/>
      <c r="AJ196" s="15"/>
    </row>
    <row r="197" spans="4:36">
      <c r="D197" s="12"/>
      <c r="E197" s="13"/>
      <c r="F197" s="12"/>
      <c r="G197" s="13"/>
      <c r="H197" s="13"/>
      <c r="I197" s="13"/>
      <c r="J197" s="13"/>
      <c r="K197" s="13"/>
      <c r="L197" s="13"/>
      <c r="M197" s="13" t="s">
        <v>343</v>
      </c>
      <c r="N197" s="13" t="s">
        <v>2</v>
      </c>
      <c r="O197" s="448">
        <f>P57</f>
        <v>3.5</v>
      </c>
      <c r="P197" s="448"/>
      <c r="Q197" s="13" t="s">
        <v>27</v>
      </c>
      <c r="R197" s="869">
        <v>1000</v>
      </c>
      <c r="S197" s="869"/>
      <c r="T197" s="13"/>
      <c r="U197" s="13" t="s">
        <v>2</v>
      </c>
      <c r="V197" s="471">
        <f>O197*R197</f>
        <v>3500</v>
      </c>
      <c r="W197" s="472"/>
      <c r="X197" s="473"/>
      <c r="Y197" s="13"/>
      <c r="Z197" s="13"/>
      <c r="AA197" s="13"/>
      <c r="AB197" s="13"/>
      <c r="AC197" s="13"/>
      <c r="AD197" s="13"/>
      <c r="AE197" s="13"/>
      <c r="AF197" s="13"/>
      <c r="AG197" s="13"/>
      <c r="AH197" s="13"/>
      <c r="AI197" s="15"/>
      <c r="AJ197" s="15"/>
    </row>
    <row r="198" spans="4:36">
      <c r="D198" s="12"/>
      <c r="E198" s="13"/>
      <c r="F198" s="12"/>
      <c r="G198" s="13"/>
      <c r="H198" s="13"/>
      <c r="I198" s="13"/>
      <c r="J198" s="13"/>
      <c r="K198" s="13"/>
      <c r="L198" s="13"/>
      <c r="M198" s="13"/>
      <c r="N198" s="13"/>
      <c r="O198" s="14"/>
      <c r="P198" s="14"/>
      <c r="Q198" s="13"/>
      <c r="R198" s="158"/>
      <c r="S198" s="158"/>
      <c r="T198" s="13"/>
      <c r="U198" s="13"/>
      <c r="V198" s="27"/>
      <c r="W198" s="27"/>
      <c r="X198" s="27"/>
      <c r="Y198" s="13"/>
      <c r="Z198" s="13"/>
      <c r="AA198" s="13"/>
      <c r="AB198" s="13"/>
      <c r="AC198" s="13"/>
      <c r="AD198" s="13"/>
      <c r="AE198" s="13"/>
      <c r="AF198" s="13"/>
      <c r="AG198" s="13"/>
      <c r="AH198" s="13"/>
      <c r="AI198" s="15"/>
      <c r="AJ198" s="15"/>
    </row>
    <row r="199" spans="4:36">
      <c r="D199" s="12"/>
      <c r="E199" s="13"/>
      <c r="F199" s="12"/>
      <c r="G199" s="13"/>
      <c r="H199" s="13"/>
      <c r="I199" s="13"/>
      <c r="J199" s="13"/>
      <c r="K199" s="34" t="s">
        <v>302</v>
      </c>
      <c r="L199" s="34" t="s">
        <v>303</v>
      </c>
      <c r="M199" s="13" t="s">
        <v>345</v>
      </c>
      <c r="N199" s="13"/>
      <c r="O199" s="13"/>
      <c r="P199" s="13"/>
      <c r="Q199" s="13"/>
      <c r="R199" s="13"/>
      <c r="S199" s="13"/>
      <c r="T199" s="13"/>
      <c r="U199" s="13"/>
      <c r="V199" s="13"/>
      <c r="W199" s="13"/>
      <c r="X199"/>
      <c r="Y199" s="13"/>
      <c r="Z199" s="13"/>
      <c r="AA199" s="13"/>
      <c r="AB199" s="13"/>
      <c r="AC199" s="13"/>
      <c r="AD199" s="13"/>
      <c r="AE199" s="13"/>
      <c r="AF199" s="13"/>
      <c r="AG199" s="13"/>
      <c r="AH199" s="13"/>
      <c r="AI199" s="15"/>
      <c r="AJ199" s="15"/>
    </row>
    <row r="200" spans="4:36">
      <c r="D200" s="12"/>
      <c r="E200" s="13"/>
      <c r="F200" s="12"/>
      <c r="G200" s="13"/>
      <c r="H200" s="13"/>
      <c r="I200" s="13"/>
      <c r="J200" s="13"/>
      <c r="K200" s="13"/>
      <c r="L200" s="13"/>
      <c r="M200" s="34" t="s">
        <v>302</v>
      </c>
      <c r="N200" s="13" t="s">
        <v>2</v>
      </c>
      <c r="O200" s="448">
        <f>'1.設計条件'!N61</f>
        <v>15.1</v>
      </c>
      <c r="P200" s="448"/>
      <c r="Q200" s="13" t="s">
        <v>27</v>
      </c>
      <c r="R200" s="869">
        <v>10</v>
      </c>
      <c r="S200" s="869"/>
      <c r="T200" s="13"/>
      <c r="U200" s="13" t="s">
        <v>2</v>
      </c>
      <c r="V200" s="462">
        <f>O200*R200</f>
        <v>151</v>
      </c>
      <c r="W200" s="463"/>
      <c r="X200" s="464"/>
      <c r="Y200" s="13"/>
      <c r="Z200" s="13"/>
      <c r="AA200" s="13"/>
      <c r="AB200" s="13"/>
      <c r="AC200" s="13"/>
      <c r="AD200" s="13"/>
      <c r="AE200" s="13"/>
      <c r="AF200" s="13"/>
      <c r="AG200" s="13"/>
      <c r="AH200" s="13"/>
      <c r="AI200" s="15"/>
      <c r="AJ200" s="15"/>
    </row>
    <row r="201" spans="4:36">
      <c r="D201" s="12"/>
      <c r="E201" s="13"/>
      <c r="F201" s="12"/>
      <c r="G201" s="13"/>
      <c r="H201" s="13"/>
      <c r="I201" s="13"/>
      <c r="J201" s="13"/>
      <c r="K201" s="13"/>
      <c r="L201" s="13"/>
      <c r="M201" s="34" t="s">
        <v>303</v>
      </c>
      <c r="N201" s="13" t="s">
        <v>2</v>
      </c>
      <c r="O201" s="448">
        <f>'1.設計条件'!N62</f>
        <v>8.99</v>
      </c>
      <c r="P201" s="448"/>
      <c r="Q201" s="13" t="s">
        <v>27</v>
      </c>
      <c r="R201" s="869">
        <v>10</v>
      </c>
      <c r="S201" s="869"/>
      <c r="T201" s="13"/>
      <c r="U201" s="13" t="s">
        <v>2</v>
      </c>
      <c r="V201" s="462">
        <f>O201*R201</f>
        <v>89.9</v>
      </c>
      <c r="W201" s="463"/>
      <c r="X201" s="464"/>
      <c r="Y201" s="13"/>
      <c r="Z201" s="13"/>
      <c r="AA201" s="13"/>
      <c r="AB201" s="13"/>
      <c r="AC201" s="13"/>
      <c r="AD201" s="13"/>
      <c r="AE201" s="13"/>
      <c r="AF201" s="13"/>
      <c r="AG201" s="13"/>
      <c r="AH201" s="13"/>
      <c r="AI201" s="15"/>
      <c r="AJ201" s="15"/>
    </row>
    <row r="202" spans="4:36">
      <c r="D202" s="12"/>
      <c r="E202" s="13"/>
      <c r="F202" s="16"/>
      <c r="G202" s="17"/>
      <c r="H202" s="17"/>
      <c r="I202" s="17"/>
      <c r="J202" s="17"/>
      <c r="K202" s="17"/>
      <c r="L202" s="17"/>
      <c r="M202" s="123"/>
      <c r="N202" s="17"/>
      <c r="O202" s="150"/>
      <c r="P202" s="150"/>
      <c r="Q202" s="17"/>
      <c r="R202" s="159"/>
      <c r="S202" s="159"/>
      <c r="T202" s="17"/>
      <c r="U202" s="17"/>
      <c r="V202" s="18"/>
      <c r="W202" s="18"/>
      <c r="X202" s="18"/>
      <c r="Y202" s="17"/>
      <c r="Z202" s="17"/>
      <c r="AA202" s="17"/>
      <c r="AB202" s="17"/>
      <c r="AC202" s="17"/>
      <c r="AD202" s="17"/>
      <c r="AE202" s="17"/>
      <c r="AF202" s="17"/>
      <c r="AG202" s="17"/>
      <c r="AH202" s="17"/>
      <c r="AI202" s="19"/>
      <c r="AJ202" s="15"/>
    </row>
    <row r="203" spans="4:36">
      <c r="D203" s="12"/>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5"/>
    </row>
    <row r="204" spans="4:36">
      <c r="D204" s="12"/>
      <c r="E204" s="13" t="s">
        <v>67</v>
      </c>
      <c r="F204" s="13"/>
      <c r="G204" s="13"/>
      <c r="H204" s="13"/>
      <c r="I204" s="13"/>
      <c r="J204" s="13"/>
      <c r="K204" s="13"/>
      <c r="L204" s="13"/>
      <c r="M204" s="13"/>
      <c r="N204" s="13"/>
      <c r="O204" s="13"/>
      <c r="P204" s="13"/>
      <c r="Q204" s="13"/>
      <c r="R204" s="13"/>
      <c r="S204" s="13"/>
      <c r="T204" s="13"/>
      <c r="U204" s="13"/>
      <c r="V204" s="13"/>
      <c r="AG204" s="13"/>
      <c r="AH204" s="13"/>
      <c r="AI204" s="13"/>
      <c r="AJ204" s="15"/>
    </row>
    <row r="205" spans="4:36">
      <c r="D205" s="12"/>
      <c r="E205" s="13" t="s">
        <v>383</v>
      </c>
      <c r="G205" s="13"/>
      <c r="H205" s="13"/>
      <c r="I205" s="13"/>
      <c r="J205" s="13"/>
      <c r="K205" s="13"/>
      <c r="L205" s="13"/>
      <c r="M205" s="13"/>
      <c r="N205" s="13"/>
      <c r="O205" s="13"/>
      <c r="P205" s="13"/>
      <c r="Q205" s="13"/>
      <c r="R205" s="13"/>
      <c r="S205" s="13"/>
      <c r="T205" s="13"/>
      <c r="U205" s="13"/>
      <c r="V205" s="13"/>
      <c r="AG205" s="13"/>
      <c r="AH205" s="13"/>
      <c r="AI205" s="13"/>
      <c r="AJ205" s="15"/>
    </row>
    <row r="206" spans="4:36">
      <c r="D206" s="12"/>
      <c r="E206" s="13"/>
      <c r="F206" s="13"/>
      <c r="G206" s="466" t="s">
        <v>318</v>
      </c>
      <c r="H206" s="466"/>
      <c r="I206" s="449" t="s">
        <v>68</v>
      </c>
      <c r="J206" s="17"/>
      <c r="K206" s="17"/>
      <c r="L206" s="17"/>
      <c r="M206" s="17"/>
      <c r="N206" s="466" t="s">
        <v>317</v>
      </c>
      <c r="O206" s="466"/>
      <c r="P206" s="17"/>
      <c r="Q206" s="17"/>
      <c r="R206" s="17"/>
      <c r="S206" s="17"/>
      <c r="T206" s="17"/>
      <c r="V206" s="449" t="s">
        <v>68</v>
      </c>
      <c r="W206" s="17"/>
      <c r="X206" s="17"/>
      <c r="Y206" s="17"/>
      <c r="Z206" s="17"/>
      <c r="AA206" s="466" t="s">
        <v>323</v>
      </c>
      <c r="AB206" s="466"/>
      <c r="AC206" s="17"/>
      <c r="AD206" s="17"/>
      <c r="AE206" s="17"/>
      <c r="AF206" s="17"/>
      <c r="AG206" s="13"/>
      <c r="AH206" s="13"/>
      <c r="AI206" s="13"/>
      <c r="AJ206" s="15"/>
    </row>
    <row r="207" spans="4:36">
      <c r="D207" s="12"/>
      <c r="E207" s="13"/>
      <c r="F207" s="13"/>
      <c r="G207" s="360" t="s">
        <v>319</v>
      </c>
      <c r="H207" s="360"/>
      <c r="I207" s="449"/>
      <c r="J207" s="360" t="s">
        <v>322</v>
      </c>
      <c r="K207" s="360"/>
      <c r="L207" s="41" t="s">
        <v>320</v>
      </c>
      <c r="M207" s="13" t="s">
        <v>263</v>
      </c>
      <c r="N207" s="360" t="s">
        <v>318</v>
      </c>
      <c r="O207" s="360"/>
      <c r="P207" s="13" t="s">
        <v>70</v>
      </c>
      <c r="Q207" s="360" t="s">
        <v>321</v>
      </c>
      <c r="R207" s="360"/>
      <c r="S207" s="360"/>
      <c r="T207" s="360"/>
      <c r="U207" s="13" t="s">
        <v>83</v>
      </c>
      <c r="V207" s="449"/>
      <c r="W207" s="360" t="s">
        <v>324</v>
      </c>
      <c r="X207" s="360"/>
      <c r="Y207" s="41" t="s">
        <v>320</v>
      </c>
      <c r="Z207" s="13" t="s">
        <v>263</v>
      </c>
      <c r="AA207" s="360" t="s">
        <v>318</v>
      </c>
      <c r="AB207" s="360"/>
      <c r="AC207" s="13" t="s">
        <v>70</v>
      </c>
      <c r="AD207" s="360" t="s">
        <v>325</v>
      </c>
      <c r="AE207" s="360"/>
      <c r="AF207" s="13" t="s">
        <v>83</v>
      </c>
      <c r="AG207" s="13"/>
      <c r="AH207" s="13"/>
      <c r="AI207" s="13"/>
      <c r="AJ207" s="15"/>
    </row>
    <row r="208" spans="4:36">
      <c r="D208" s="12"/>
      <c r="E208" s="13"/>
      <c r="F208" s="13"/>
      <c r="G208" s="35"/>
      <c r="H208" s="35"/>
      <c r="I208" s="28"/>
      <c r="J208" s="35"/>
      <c r="K208" s="35"/>
      <c r="L208" s="41"/>
      <c r="M208" s="13"/>
      <c r="N208" s="35"/>
      <c r="O208" s="35"/>
      <c r="P208" s="13"/>
      <c r="Q208" s="35"/>
      <c r="R208" s="35"/>
      <c r="S208" s="13"/>
      <c r="T208" s="28"/>
      <c r="U208" s="35"/>
      <c r="V208" s="35"/>
      <c r="W208" s="41"/>
      <c r="X208" s="13"/>
      <c r="Y208" s="35"/>
      <c r="Z208" s="35"/>
      <c r="AA208" s="13"/>
      <c r="AB208" s="35"/>
      <c r="AC208" s="35"/>
      <c r="AD208" s="13"/>
      <c r="AE208" s="28"/>
      <c r="AF208" s="149"/>
      <c r="AG208" s="13"/>
      <c r="AH208" s="13"/>
      <c r="AI208" s="13"/>
      <c r="AJ208" s="15"/>
    </row>
    <row r="209" spans="4:36">
      <c r="D209" s="12"/>
      <c r="E209" s="13"/>
      <c r="F209" s="449" t="s">
        <v>2</v>
      </c>
      <c r="G209" s="457">
        <f>W119</f>
        <v>37.169777102301055</v>
      </c>
      <c r="H209" s="457"/>
      <c r="I209" s="449" t="s">
        <v>68</v>
      </c>
      <c r="J209" s="17"/>
      <c r="K209" s="17"/>
      <c r="L209" s="17"/>
      <c r="M209" s="17"/>
      <c r="N209" s="457">
        <f>K128</f>
        <v>93.134966600078229</v>
      </c>
      <c r="O209" s="457"/>
      <c r="P209" s="17"/>
      <c r="Q209" s="17"/>
      <c r="R209" s="17"/>
      <c r="S209" s="17"/>
      <c r="T209" s="17"/>
      <c r="V209" s="449" t="s">
        <v>68</v>
      </c>
      <c r="W209" s="17"/>
      <c r="X209" s="17"/>
      <c r="Y209" s="17"/>
      <c r="Z209" s="17"/>
      <c r="AA209" s="457">
        <f>K131</f>
        <v>0</v>
      </c>
      <c r="AB209" s="457"/>
      <c r="AC209" s="17"/>
      <c r="AD209" s="17"/>
      <c r="AE209" s="17"/>
      <c r="AF209" s="17"/>
      <c r="AG209" s="13"/>
      <c r="AH209" s="13"/>
      <c r="AI209" s="13"/>
      <c r="AJ209" s="15"/>
    </row>
    <row r="210" spans="4:36">
      <c r="D210" s="12"/>
      <c r="E210" s="13"/>
      <c r="F210" s="449"/>
      <c r="G210" s="380">
        <f>K152</f>
        <v>184.2534593993326</v>
      </c>
      <c r="H210" s="380"/>
      <c r="I210" s="449"/>
      <c r="J210" s="433">
        <f>K171</f>
        <v>190.2</v>
      </c>
      <c r="K210" s="433"/>
      <c r="L210" s="41" t="s">
        <v>320</v>
      </c>
      <c r="M210" s="13" t="s">
        <v>263</v>
      </c>
      <c r="N210" s="380">
        <f>W119</f>
        <v>37.169777102301055</v>
      </c>
      <c r="O210" s="380"/>
      <c r="P210" s="13" t="s">
        <v>70</v>
      </c>
      <c r="Q210" s="433">
        <f>M189</f>
        <v>2233.5673469387757</v>
      </c>
      <c r="R210" s="433"/>
      <c r="S210" s="433"/>
      <c r="T210" s="433"/>
      <c r="U210" s="13" t="s">
        <v>83</v>
      </c>
      <c r="V210" s="449"/>
      <c r="W210" s="433">
        <f>M176</f>
        <v>210</v>
      </c>
      <c r="X210" s="433"/>
      <c r="Y210" s="41" t="s">
        <v>320</v>
      </c>
      <c r="Z210" s="13" t="s">
        <v>263</v>
      </c>
      <c r="AA210" s="380">
        <f>W119</f>
        <v>37.169777102301055</v>
      </c>
      <c r="AB210" s="380"/>
      <c r="AC210" s="13" t="s">
        <v>70</v>
      </c>
      <c r="AD210" s="380">
        <f>M194</f>
        <v>791.70710204081661</v>
      </c>
      <c r="AE210" s="380"/>
      <c r="AF210" s="13" t="s">
        <v>83</v>
      </c>
      <c r="AG210" s="13"/>
      <c r="AH210" s="13"/>
      <c r="AI210" s="13"/>
      <c r="AJ210" s="15"/>
    </row>
    <row r="211" spans="4:36">
      <c r="D211" s="12"/>
      <c r="E211" s="13"/>
      <c r="F211" s="28"/>
      <c r="G211" s="35"/>
      <c r="H211" s="35"/>
      <c r="I211" s="28"/>
      <c r="J211" s="35"/>
      <c r="K211" s="35"/>
      <c r="L211" s="41"/>
      <c r="M211" s="13"/>
      <c r="N211" s="35"/>
      <c r="O211" s="35"/>
      <c r="P211" s="13"/>
      <c r="Q211" s="35"/>
      <c r="R211" s="35"/>
      <c r="S211" s="13"/>
      <c r="T211" s="28"/>
      <c r="U211" s="35"/>
      <c r="V211" s="35"/>
      <c r="W211" s="41"/>
      <c r="X211" s="13"/>
      <c r="Y211" s="35"/>
      <c r="Z211" s="35"/>
      <c r="AA211" s="13"/>
      <c r="AB211" s="35"/>
      <c r="AC211" s="35"/>
      <c r="AD211" s="13"/>
      <c r="AE211" s="28"/>
      <c r="AF211" s="149"/>
      <c r="AG211" s="13"/>
      <c r="AH211" s="13"/>
      <c r="AI211" s="13"/>
      <c r="AJ211" s="15"/>
    </row>
    <row r="212" spans="4:36">
      <c r="D212" s="12"/>
      <c r="E212" s="13"/>
      <c r="F212" s="13" t="s">
        <v>2</v>
      </c>
      <c r="G212" s="853">
        <f>G209/G210</f>
        <v>0.20173177330550404</v>
      </c>
      <c r="H212" s="853"/>
      <c r="I212" s="28" t="s">
        <v>68</v>
      </c>
      <c r="J212" s="853">
        <f>N209/(J210*(1-N210/Q210))</f>
        <v>0.49795528717104004</v>
      </c>
      <c r="K212" s="853"/>
      <c r="L212" s="853"/>
      <c r="M212" s="853"/>
      <c r="N212" s="853"/>
      <c r="O212" s="853"/>
      <c r="P212" s="853"/>
      <c r="Q212" s="853"/>
      <c r="R212" s="853"/>
      <c r="S212" s="853"/>
      <c r="T212" s="28" t="s">
        <v>68</v>
      </c>
      <c r="U212" s="853">
        <f>AA209/(W210*(1-AA210/AD210))</f>
        <v>0</v>
      </c>
      <c r="V212" s="853"/>
      <c r="W212" s="853"/>
      <c r="X212" s="853"/>
      <c r="Y212" s="853"/>
      <c r="Z212" s="853"/>
      <c r="AA212" s="853"/>
      <c r="AB212" s="853"/>
      <c r="AC212" s="853"/>
      <c r="AD212" s="853"/>
      <c r="AE212" s="28"/>
      <c r="AF212" s="149"/>
      <c r="AG212" s="13"/>
      <c r="AH212" s="13"/>
      <c r="AI212" s="13"/>
      <c r="AJ212" s="15"/>
    </row>
    <row r="213" spans="4:36">
      <c r="D213" s="12"/>
      <c r="E213" s="13"/>
      <c r="F213" s="13"/>
      <c r="G213" s="165"/>
      <c r="H213" s="165"/>
      <c r="I213" s="28"/>
      <c r="J213" s="165"/>
      <c r="K213" s="165"/>
      <c r="L213" s="165"/>
      <c r="M213" s="165"/>
      <c r="N213" s="165"/>
      <c r="O213" s="165"/>
      <c r="P213" s="165"/>
      <c r="Q213" s="165"/>
      <c r="R213" s="165"/>
      <c r="S213" s="165"/>
      <c r="T213" s="28"/>
      <c r="U213" s="165"/>
      <c r="V213" s="165"/>
      <c r="W213" s="165"/>
      <c r="X213" s="165"/>
      <c r="Y213" s="165"/>
      <c r="Z213" s="165"/>
      <c r="AA213" s="165"/>
      <c r="AB213" s="165"/>
      <c r="AC213" s="165"/>
      <c r="AD213" s="165"/>
      <c r="AE213" s="28"/>
      <c r="AF213" s="149"/>
      <c r="AG213" s="13"/>
      <c r="AH213" s="13"/>
      <c r="AI213" s="13"/>
      <c r="AJ213" s="15"/>
    </row>
    <row r="214" spans="4:36">
      <c r="D214" s="12"/>
      <c r="E214" s="13"/>
      <c r="F214" s="13" t="s">
        <v>2</v>
      </c>
      <c r="G214" s="854">
        <f>G212+J212+U212</f>
        <v>0.69968706047654405</v>
      </c>
      <c r="H214" s="855"/>
      <c r="I214" s="28"/>
      <c r="J214" s="13" t="str">
        <f>IF(G214&lt;=K214, "≦","&gt;")</f>
        <v>≦</v>
      </c>
      <c r="K214" s="31">
        <v>1</v>
      </c>
      <c r="L214" s="165"/>
      <c r="M214" s="462" t="str">
        <f>IF(J214="≦","OK","NG")</f>
        <v>OK</v>
      </c>
      <c r="N214" s="463"/>
      <c r="O214" s="464"/>
      <c r="P214" s="34"/>
      <c r="Q214" s="13"/>
      <c r="R214" s="13"/>
      <c r="S214" s="13"/>
      <c r="T214" s="31"/>
      <c r="AC214" s="165"/>
      <c r="AD214" s="165"/>
      <c r="AE214" s="28"/>
      <c r="AF214" s="149"/>
      <c r="AG214" s="13"/>
      <c r="AH214" s="13"/>
      <c r="AI214" s="13"/>
      <c r="AJ214" s="15"/>
    </row>
    <row r="215" spans="4:36">
      <c r="D215" s="12"/>
      <c r="E215" s="13"/>
      <c r="F215" s="13"/>
      <c r="G215" s="13"/>
      <c r="H215" s="13"/>
      <c r="I215" s="13"/>
      <c r="J215" s="13"/>
      <c r="K215" s="13"/>
      <c r="L215" s="13"/>
      <c r="M215" s="13"/>
      <c r="N215" s="13"/>
      <c r="O215" s="13"/>
      <c r="P215" s="13"/>
      <c r="Q215" s="13"/>
      <c r="R215" s="13"/>
      <c r="S215" s="13"/>
      <c r="T215" s="13"/>
      <c r="AC215" s="13"/>
      <c r="AD215" s="13"/>
      <c r="AE215" s="13"/>
      <c r="AF215" s="13"/>
      <c r="AG215" s="13"/>
      <c r="AH215" s="13"/>
      <c r="AI215" s="13"/>
      <c r="AJ215" s="15"/>
    </row>
    <row r="216" spans="4:36">
      <c r="D216" s="12"/>
      <c r="E216" s="13" t="s">
        <v>384</v>
      </c>
      <c r="F216" s="13"/>
      <c r="G216" s="13"/>
      <c r="H216" s="13"/>
      <c r="I216" s="13"/>
      <c r="J216" s="13"/>
      <c r="K216" s="13"/>
      <c r="L216" s="13"/>
      <c r="M216" s="13"/>
      <c r="N216" s="13"/>
      <c r="O216" s="13"/>
      <c r="P216" s="13"/>
      <c r="Q216" s="13"/>
      <c r="R216" s="13"/>
      <c r="S216" s="13"/>
      <c r="T216" s="13"/>
      <c r="AC216" s="13"/>
      <c r="AD216" s="13"/>
      <c r="AE216" s="13"/>
      <c r="AF216" s="13"/>
      <c r="AG216" s="13"/>
      <c r="AH216" s="13"/>
      <c r="AI216" s="13"/>
      <c r="AJ216" s="15"/>
    </row>
    <row r="217" spans="4:36">
      <c r="D217" s="12"/>
      <c r="E217" s="13"/>
      <c r="F217" s="13"/>
      <c r="G217" s="465" t="s">
        <v>318</v>
      </c>
      <c r="H217" s="465"/>
      <c r="I217" s="449" t="s">
        <v>68</v>
      </c>
      <c r="J217" s="17"/>
      <c r="K217" s="17"/>
      <c r="L217" s="17"/>
      <c r="M217" s="466" t="s">
        <v>317</v>
      </c>
      <c r="N217" s="466"/>
      <c r="O217" s="17"/>
      <c r="P217" s="17"/>
      <c r="Q217" s="17"/>
      <c r="R217" s="17"/>
      <c r="S217" s="17"/>
      <c r="T217" s="449" t="s">
        <v>68</v>
      </c>
      <c r="U217" s="17"/>
      <c r="V217" s="17"/>
      <c r="W217" s="17"/>
      <c r="X217" s="466" t="s">
        <v>323</v>
      </c>
      <c r="Y217" s="466"/>
      <c r="Z217" s="17"/>
      <c r="AA217" s="17"/>
      <c r="AB217" s="17"/>
      <c r="AJ217" s="15"/>
    </row>
    <row r="218" spans="4:36">
      <c r="D218" s="12"/>
      <c r="E218" s="13"/>
      <c r="F218" s="13"/>
      <c r="G218" s="465"/>
      <c r="H218" s="465"/>
      <c r="I218" s="449"/>
      <c r="J218" s="13" t="s">
        <v>320</v>
      </c>
      <c r="K218" s="13" t="s">
        <v>263</v>
      </c>
      <c r="L218" s="360" t="s">
        <v>318</v>
      </c>
      <c r="M218" s="360"/>
      <c r="N218" s="13" t="s">
        <v>70</v>
      </c>
      <c r="O218" s="360" t="s">
        <v>321</v>
      </c>
      <c r="P218" s="360"/>
      <c r="Q218" s="360"/>
      <c r="R218" s="360"/>
      <c r="S218" s="13" t="s">
        <v>83</v>
      </c>
      <c r="T218" s="449"/>
      <c r="U218" s="13" t="s">
        <v>320</v>
      </c>
      <c r="V218" s="13" t="s">
        <v>263</v>
      </c>
      <c r="W218" s="360" t="s">
        <v>318</v>
      </c>
      <c r="X218" s="360"/>
      <c r="Y218" s="13" t="s">
        <v>70</v>
      </c>
      <c r="Z218" s="360" t="s">
        <v>325</v>
      </c>
      <c r="AA218" s="360"/>
      <c r="AB218" s="13" t="s">
        <v>83</v>
      </c>
      <c r="AJ218" s="15"/>
    </row>
    <row r="219" spans="4:36">
      <c r="D219" s="12"/>
      <c r="E219" s="13"/>
      <c r="F219" s="13"/>
      <c r="G219" s="13"/>
      <c r="H219" s="13"/>
      <c r="I219" s="13"/>
      <c r="J219" s="13"/>
      <c r="K219" s="13"/>
      <c r="L219" s="13"/>
      <c r="M219" s="13"/>
      <c r="N219" s="13"/>
      <c r="O219" s="13"/>
      <c r="P219" s="13"/>
      <c r="Q219" s="13"/>
      <c r="R219" s="13"/>
      <c r="S219" s="13"/>
      <c r="T219" s="13"/>
      <c r="U219" s="13"/>
      <c r="V219" s="13"/>
      <c r="W219" s="13"/>
      <c r="X219"/>
      <c r="Y219" s="13"/>
      <c r="Z219" s="13"/>
      <c r="AA219" s="13"/>
      <c r="AB219" s="13"/>
      <c r="AC219" s="13"/>
      <c r="AD219" s="13"/>
      <c r="AE219" s="13"/>
      <c r="AF219" s="13"/>
      <c r="AG219" s="13"/>
      <c r="AH219" s="13"/>
      <c r="AI219" s="13"/>
      <c r="AJ219" s="15"/>
    </row>
    <row r="220" spans="4:36">
      <c r="D220" s="12"/>
      <c r="E220" s="13"/>
      <c r="F220" s="449" t="s">
        <v>2</v>
      </c>
      <c r="G220" s="456">
        <f>W119</f>
        <v>37.169777102301055</v>
      </c>
      <c r="H220" s="456"/>
      <c r="I220" s="449" t="s">
        <v>68</v>
      </c>
      <c r="J220" s="17"/>
      <c r="K220" s="17"/>
      <c r="L220" s="17"/>
      <c r="M220" s="457">
        <f>K128</f>
        <v>93.134966600078229</v>
      </c>
      <c r="N220" s="457"/>
      <c r="O220" s="17"/>
      <c r="P220" s="17"/>
      <c r="Q220" s="17"/>
      <c r="R220" s="17"/>
      <c r="S220" s="17"/>
      <c r="T220" s="449" t="s">
        <v>68</v>
      </c>
      <c r="U220" s="17"/>
      <c r="V220" s="17"/>
      <c r="W220" s="17"/>
      <c r="X220" s="457">
        <f>K131</f>
        <v>0</v>
      </c>
      <c r="Y220" s="457"/>
      <c r="Z220" s="17"/>
      <c r="AA220" s="17"/>
      <c r="AB220" s="17"/>
      <c r="AC220" s="313"/>
      <c r="AD220" s="13"/>
      <c r="AE220" s="13"/>
      <c r="AF220" s="13"/>
      <c r="AG220" s="13"/>
      <c r="AH220" s="13"/>
      <c r="AI220" s="13"/>
      <c r="AJ220" s="15"/>
    </row>
    <row r="221" spans="4:36">
      <c r="D221" s="12"/>
      <c r="E221" s="13"/>
      <c r="F221" s="449"/>
      <c r="G221" s="456"/>
      <c r="H221" s="456"/>
      <c r="I221" s="449"/>
      <c r="J221" s="13" t="s">
        <v>320</v>
      </c>
      <c r="K221" s="13" t="s">
        <v>263</v>
      </c>
      <c r="L221" s="380">
        <f>W119</f>
        <v>37.169777102301055</v>
      </c>
      <c r="M221" s="380"/>
      <c r="N221" s="13" t="s">
        <v>70</v>
      </c>
      <c r="O221" s="433">
        <f>M189</f>
        <v>2233.5673469387757</v>
      </c>
      <c r="P221" s="433"/>
      <c r="Q221" s="433"/>
      <c r="R221" s="433"/>
      <c r="S221" s="13" t="s">
        <v>83</v>
      </c>
      <c r="T221" s="449"/>
      <c r="U221" s="13" t="s">
        <v>320</v>
      </c>
      <c r="V221" s="13" t="s">
        <v>263</v>
      </c>
      <c r="W221" s="380">
        <f>W119</f>
        <v>37.169777102301055</v>
      </c>
      <c r="X221" s="380"/>
      <c r="Y221" s="13" t="s">
        <v>70</v>
      </c>
      <c r="Z221" s="380">
        <f>M194</f>
        <v>791.70710204081661</v>
      </c>
      <c r="AA221" s="380"/>
      <c r="AB221" s="13" t="s">
        <v>83</v>
      </c>
      <c r="AC221" s="313"/>
      <c r="AD221" s="13"/>
      <c r="AE221" s="13"/>
      <c r="AF221" s="13"/>
      <c r="AG221" s="13"/>
      <c r="AH221" s="13"/>
      <c r="AI221" s="13"/>
      <c r="AJ221" s="15"/>
    </row>
    <row r="222" spans="4:36">
      <c r="D222" s="12"/>
      <c r="E222" s="13"/>
      <c r="F222" s="13"/>
      <c r="G222" s="13"/>
      <c r="H222" s="13"/>
      <c r="I222" s="13"/>
      <c r="J222" s="13"/>
      <c r="K222" s="13"/>
      <c r="L222" s="13"/>
      <c r="M222" s="13"/>
      <c r="N222" s="13"/>
      <c r="O222" s="13"/>
      <c r="P222" s="13"/>
      <c r="Q222" s="13"/>
      <c r="R222" s="13"/>
      <c r="S222" s="13"/>
      <c r="T222" s="13"/>
      <c r="U222" s="13"/>
      <c r="V222" s="13"/>
      <c r="W222" s="13"/>
      <c r="X222"/>
      <c r="Y222" s="13"/>
      <c r="Z222" s="13"/>
      <c r="AA222" s="13"/>
      <c r="AB222" s="13"/>
      <c r="AC222" s="13"/>
      <c r="AD222" s="13"/>
      <c r="AE222" s="13"/>
      <c r="AF222" s="13"/>
      <c r="AG222" s="13"/>
      <c r="AH222" s="13"/>
      <c r="AI222" s="13"/>
      <c r="AJ222" s="15"/>
    </row>
    <row r="223" spans="4:36">
      <c r="D223" s="12"/>
      <c r="E223" s="13"/>
      <c r="F223" s="13" t="s">
        <v>2</v>
      </c>
      <c r="G223" s="436">
        <f>G220</f>
        <v>37.169777102301055</v>
      </c>
      <c r="H223" s="436"/>
      <c r="I223" s="13" t="s">
        <v>68</v>
      </c>
      <c r="J223" s="436">
        <f>M220/(1-L221/O221)</f>
        <v>94.711095619931811</v>
      </c>
      <c r="K223" s="436"/>
      <c r="L223" s="436"/>
      <c r="M223" s="436"/>
      <c r="N223" s="436"/>
      <c r="O223" s="436"/>
      <c r="P223" s="436"/>
      <c r="Q223" s="436"/>
      <c r="R223" s="13" t="s">
        <v>68</v>
      </c>
      <c r="S223" s="436">
        <f>X220/(1-W221/Z221)</f>
        <v>0</v>
      </c>
      <c r="T223" s="436"/>
      <c r="U223" s="436"/>
      <c r="V223" s="436"/>
      <c r="W223" s="436"/>
      <c r="X223" s="436"/>
      <c r="Y223" s="436"/>
      <c r="Z223" s="436"/>
      <c r="AA223" s="13"/>
      <c r="AB223" s="13"/>
      <c r="AC223" s="13"/>
      <c r="AD223" s="13"/>
      <c r="AE223" s="13"/>
      <c r="AF223" s="13"/>
      <c r="AG223" s="13"/>
      <c r="AH223" s="13"/>
      <c r="AI223" s="13"/>
      <c r="AJ223" s="15"/>
    </row>
    <row r="224" spans="4:36">
      <c r="D224" s="12"/>
      <c r="E224" s="13"/>
      <c r="F224" s="13"/>
      <c r="G224" s="13"/>
      <c r="H224" s="13"/>
      <c r="I224" s="13"/>
      <c r="J224" s="13"/>
      <c r="K224" s="13"/>
      <c r="L224" s="13"/>
      <c r="M224" s="13"/>
      <c r="N224" s="13"/>
      <c r="O224" s="13"/>
      <c r="P224" s="13"/>
      <c r="Q224" s="13"/>
      <c r="R224" s="13"/>
      <c r="S224" s="13"/>
      <c r="T224" s="13"/>
      <c r="U224" s="13"/>
      <c r="V224" s="13"/>
      <c r="W224" s="13"/>
      <c r="X224"/>
      <c r="Y224" s="13"/>
      <c r="Z224" s="13"/>
      <c r="AA224" s="13"/>
      <c r="AB224" s="13"/>
      <c r="AC224" s="13"/>
      <c r="AD224" s="13"/>
      <c r="AE224" s="13"/>
      <c r="AF224" s="13"/>
      <c r="AG224" s="13"/>
      <c r="AH224" s="13"/>
      <c r="AI224" s="13"/>
      <c r="AJ224" s="15"/>
    </row>
    <row r="225" spans="3:36" ht="20.25">
      <c r="D225" s="12"/>
      <c r="E225" s="13"/>
      <c r="F225" s="13" t="s">
        <v>2</v>
      </c>
      <c r="G225" s="849">
        <f>G223+J223+S223</f>
        <v>131.88087272223288</v>
      </c>
      <c r="H225" s="850"/>
      <c r="I225" s="851"/>
      <c r="J225" s="13"/>
      <c r="K225" s="13" t="str">
        <f>IF(G225&lt;=O225, "≦","&gt;")</f>
        <v>≦</v>
      </c>
      <c r="L225" s="465" t="s">
        <v>327</v>
      </c>
      <c r="M225" s="465"/>
      <c r="N225" s="13" t="s">
        <v>2</v>
      </c>
      <c r="O225" s="436">
        <f>M181</f>
        <v>210</v>
      </c>
      <c r="P225" s="436"/>
      <c r="Q225" s="436"/>
      <c r="R225" s="462" t="str">
        <f>IF(K225="≦","OK","NG")</f>
        <v>OK</v>
      </c>
      <c r="S225" s="463"/>
      <c r="T225" s="464"/>
      <c r="U225" s="13"/>
      <c r="V225" s="13"/>
      <c r="W225" s="13"/>
      <c r="X225" s="13"/>
      <c r="Y225" s="13"/>
      <c r="Z225" s="13"/>
      <c r="AA225" s="13"/>
      <c r="AB225" s="13"/>
      <c r="AC225" s="13"/>
      <c r="AD225" s="13"/>
      <c r="AE225" s="13"/>
      <c r="AF225" s="13"/>
      <c r="AG225" s="13"/>
      <c r="AH225" s="13"/>
      <c r="AI225" s="13"/>
      <c r="AJ225" s="15"/>
    </row>
    <row r="226" spans="3:36">
      <c r="D226" s="12"/>
      <c r="E226" s="13"/>
      <c r="F226" s="13"/>
      <c r="G226" s="147"/>
      <c r="H226" s="147"/>
      <c r="I226" s="147"/>
      <c r="J226" s="13"/>
      <c r="K226" s="13"/>
      <c r="L226" s="36"/>
      <c r="M226" s="36"/>
      <c r="N226" s="13"/>
      <c r="O226" s="14"/>
      <c r="P226" s="14"/>
      <c r="Q226" s="14"/>
      <c r="R226" s="14"/>
      <c r="S226" s="14"/>
      <c r="T226" s="14"/>
      <c r="U226" s="13"/>
      <c r="V226" s="13"/>
      <c r="W226" s="13"/>
      <c r="X226" s="13"/>
      <c r="Y226" s="13"/>
      <c r="Z226" s="13"/>
      <c r="AA226" s="13"/>
      <c r="AB226" s="13"/>
      <c r="AC226" s="13"/>
      <c r="AD226" s="13"/>
      <c r="AE226" s="13"/>
      <c r="AF226" s="13"/>
      <c r="AG226" s="13"/>
      <c r="AH226" s="13"/>
      <c r="AI226" s="13"/>
      <c r="AJ226" s="15"/>
    </row>
    <row r="227" spans="3:36">
      <c r="D227" s="12"/>
      <c r="E227" s="13"/>
      <c r="F227" s="13"/>
      <c r="G227" s="147"/>
      <c r="H227" s="147"/>
      <c r="I227" s="147"/>
      <c r="J227" s="13"/>
      <c r="K227" s="13"/>
      <c r="L227" s="36"/>
      <c r="M227" s="36"/>
      <c r="N227" s="13"/>
      <c r="O227" s="14"/>
      <c r="P227" s="14"/>
      <c r="Q227" s="14"/>
      <c r="R227" s="14"/>
      <c r="S227" s="14"/>
      <c r="T227" s="14"/>
      <c r="U227" s="13"/>
      <c r="V227" s="13"/>
      <c r="W227" s="13"/>
      <c r="X227" s="13"/>
      <c r="Y227" s="13"/>
      <c r="Z227" s="13"/>
      <c r="AA227" s="13"/>
      <c r="AB227" s="13"/>
      <c r="AC227" s="13"/>
      <c r="AD227" s="13"/>
      <c r="AE227" s="13"/>
      <c r="AF227" s="13"/>
      <c r="AG227" s="13"/>
      <c r="AH227" s="13"/>
      <c r="AI227" s="13"/>
      <c r="AJ227" s="15"/>
    </row>
    <row r="228" spans="3:36">
      <c r="D228" s="12" t="s">
        <v>730</v>
      </c>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5"/>
    </row>
    <row r="229" spans="3:36">
      <c r="D229" s="12"/>
      <c r="E229" s="13" t="s">
        <v>731</v>
      </c>
      <c r="G229" s="13"/>
      <c r="H229" s="13"/>
      <c r="I229" s="13"/>
      <c r="J229" s="13"/>
      <c r="K229" s="13"/>
      <c r="L229" s="13"/>
      <c r="M229" s="13"/>
      <c r="N229" s="13"/>
      <c r="O229" s="13"/>
      <c r="W229" s="13"/>
      <c r="X229" s="13"/>
      <c r="Y229" s="13"/>
      <c r="Z229" s="13"/>
      <c r="AA229" s="13"/>
      <c r="AB229" s="13"/>
      <c r="AC229" s="13"/>
      <c r="AD229" s="13"/>
      <c r="AE229" s="13"/>
      <c r="AF229" s="13"/>
      <c r="AG229" s="13"/>
      <c r="AH229" s="13"/>
      <c r="AI229" s="13"/>
      <c r="AJ229" s="15"/>
    </row>
    <row r="230" spans="3:36">
      <c r="D230" s="12"/>
      <c r="E230" s="13"/>
      <c r="G230" s="852" t="s">
        <v>284</v>
      </c>
      <c r="H230" s="465"/>
      <c r="I230" s="449" t="s">
        <v>2</v>
      </c>
      <c r="J230" s="466" t="s">
        <v>716</v>
      </c>
      <c r="K230" s="466"/>
      <c r="L230" s="144"/>
      <c r="M230" s="449" t="s">
        <v>2</v>
      </c>
      <c r="N230" s="17"/>
      <c r="O230" s="17"/>
      <c r="P230" s="452">
        <f>AD85</f>
        <v>212.87992365732168</v>
      </c>
      <c r="Q230" s="452"/>
      <c r="R230" s="452"/>
      <c r="S230" s="17" t="s">
        <v>27</v>
      </c>
      <c r="T230" s="617">
        <v>1000</v>
      </c>
      <c r="U230" s="617"/>
      <c r="V230" s="617"/>
      <c r="W230" s="17"/>
      <c r="X230" s="17"/>
      <c r="Y230" s="17"/>
      <c r="Z230" s="13"/>
      <c r="AA230" s="13"/>
      <c r="AB230" s="13"/>
      <c r="AC230" s="13"/>
      <c r="AD230" s="13"/>
      <c r="AE230" s="13"/>
      <c r="AF230" s="13"/>
      <c r="AG230" s="13"/>
      <c r="AH230" s="13"/>
      <c r="AI230" s="13"/>
      <c r="AJ230" s="15"/>
    </row>
    <row r="231" spans="3:36">
      <c r="D231" s="12"/>
      <c r="E231" s="13"/>
      <c r="G231" s="465"/>
      <c r="H231" s="465"/>
      <c r="I231" s="449"/>
      <c r="J231" s="467" t="s">
        <v>285</v>
      </c>
      <c r="K231" s="467"/>
      <c r="L231" s="145"/>
      <c r="M231" s="449"/>
      <c r="N231" s="1" t="s">
        <v>69</v>
      </c>
      <c r="O231" s="458">
        <f>'1.設計条件'!N56</f>
        <v>350</v>
      </c>
      <c r="P231" s="458"/>
      <c r="Q231" s="31" t="s">
        <v>263</v>
      </c>
      <c r="R231" s="31">
        <v>2</v>
      </c>
      <c r="S231" s="31" t="s">
        <v>27</v>
      </c>
      <c r="T231" s="458">
        <f>'1.設計条件'!N59</f>
        <v>19</v>
      </c>
      <c r="U231" s="458"/>
      <c r="V231" s="13" t="s">
        <v>83</v>
      </c>
      <c r="W231" s="13" t="s">
        <v>27</v>
      </c>
      <c r="X231" s="458">
        <f>'1.設計条件'!N58</f>
        <v>12</v>
      </c>
      <c r="Y231" s="458"/>
      <c r="AG231" s="13"/>
      <c r="AH231" s="13"/>
      <c r="AI231" s="13"/>
      <c r="AJ231" s="15"/>
    </row>
    <row r="232" spans="3:36">
      <c r="D232" s="12"/>
      <c r="E232" s="13"/>
      <c r="G232" s="36"/>
      <c r="H232" s="36"/>
      <c r="I232" s="28"/>
      <c r="J232" s="35"/>
      <c r="K232" s="35"/>
      <c r="L232" s="145"/>
      <c r="M232" s="28"/>
      <c r="N232" s="27"/>
      <c r="O232" s="27"/>
      <c r="P232" s="27"/>
      <c r="Q232" s="13"/>
      <c r="R232" s="27"/>
      <c r="S232" s="27"/>
      <c r="T232" s="13"/>
      <c r="U232" s="13"/>
      <c r="V232" s="13"/>
      <c r="W232" s="13"/>
      <c r="X232" s="13"/>
      <c r="Y232" s="13"/>
      <c r="Z232" s="13"/>
      <c r="AA232" s="13"/>
      <c r="AB232" s="13"/>
      <c r="AC232" s="13"/>
      <c r="AD232" s="13"/>
      <c r="AE232" s="13"/>
      <c r="AF232" s="13"/>
      <c r="AG232" s="13"/>
      <c r="AH232" s="13"/>
      <c r="AI232" s="13"/>
      <c r="AJ232" s="15"/>
    </row>
    <row r="233" spans="3:36" ht="20.25">
      <c r="D233" s="12"/>
      <c r="E233" s="13"/>
      <c r="F233" s="13"/>
      <c r="G233" s="13"/>
      <c r="H233" s="13"/>
      <c r="I233" s="13" t="s">
        <v>2</v>
      </c>
      <c r="J233" s="462">
        <f>P230*T230/(O231-R231*T231)/X231</f>
        <v>56.858953968301734</v>
      </c>
      <c r="K233" s="463"/>
      <c r="L233" s="464"/>
      <c r="M233" s="13" t="s">
        <v>48</v>
      </c>
      <c r="N233" s="13"/>
      <c r="O233" s="13"/>
      <c r="P233" s="13"/>
      <c r="Q233" s="13" t="str">
        <f>IF(J233&lt;=U233, "≦","&gt;")</f>
        <v>≦</v>
      </c>
      <c r="R233" s="359" t="s">
        <v>296</v>
      </c>
      <c r="S233" s="360"/>
      <c r="T233" s="13" t="s">
        <v>2</v>
      </c>
      <c r="U233" s="436">
        <f>'1.設計条件'!N65</f>
        <v>120</v>
      </c>
      <c r="V233" s="436"/>
      <c r="W233" s="436"/>
      <c r="X233" s="13" t="s">
        <v>48</v>
      </c>
      <c r="Y233" s="13"/>
      <c r="Z233" s="13"/>
      <c r="AA233" s="13"/>
      <c r="AB233" s="462" t="str">
        <f>IF(Q233="≦","OK","NG")</f>
        <v>OK</v>
      </c>
      <c r="AC233" s="463"/>
      <c r="AD233" s="464"/>
      <c r="AE233" s="13"/>
      <c r="AF233" s="13"/>
      <c r="AG233" s="13"/>
      <c r="AH233" s="13"/>
      <c r="AI233" s="13"/>
      <c r="AJ233" s="15"/>
    </row>
    <row r="234" spans="3:36">
      <c r="D234" s="12"/>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5"/>
    </row>
    <row r="235" spans="3:36">
      <c r="D235" s="16"/>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17"/>
      <c r="AC235" s="17"/>
      <c r="AD235" s="17"/>
      <c r="AE235" s="17"/>
      <c r="AF235" s="17"/>
      <c r="AG235" s="17"/>
      <c r="AH235" s="17"/>
      <c r="AI235" s="17"/>
      <c r="AJ235" s="19"/>
    </row>
    <row r="237" spans="3:36">
      <c r="C237" s="1" t="s">
        <v>732</v>
      </c>
      <c r="X237" t="s">
        <v>297</v>
      </c>
    </row>
    <row r="238" spans="3:36">
      <c r="D238" s="9" t="s">
        <v>729</v>
      </c>
      <c r="E238" s="10"/>
      <c r="F238" s="10"/>
      <c r="G238" s="10"/>
      <c r="H238" s="10"/>
      <c r="I238" s="10"/>
      <c r="J238" s="10"/>
      <c r="K238" s="10"/>
      <c r="L238" s="10"/>
      <c r="M238" s="10"/>
      <c r="N238" s="10"/>
      <c r="O238" s="10"/>
      <c r="P238" s="10"/>
      <c r="Q238" s="10"/>
      <c r="R238" s="10"/>
      <c r="S238" s="10"/>
      <c r="T238" s="10"/>
      <c r="U238" s="10"/>
      <c r="V238" s="10"/>
      <c r="W238" s="10"/>
      <c r="X238" s="3" t="s">
        <v>316</v>
      </c>
      <c r="Y238" s="10"/>
      <c r="Z238" s="10"/>
      <c r="AA238" s="10"/>
      <c r="AB238" s="10"/>
      <c r="AC238" s="10"/>
      <c r="AD238" s="10"/>
      <c r="AE238" s="10"/>
      <c r="AF238" s="10"/>
      <c r="AG238" s="10"/>
      <c r="AH238" s="10"/>
      <c r="AI238" s="10"/>
      <c r="AJ238" s="11"/>
    </row>
    <row r="239" spans="3:36">
      <c r="D239" s="12"/>
      <c r="E239" s="13"/>
      <c r="F239" s="13"/>
      <c r="G239" s="13"/>
      <c r="H239" s="13"/>
      <c r="I239" s="13"/>
      <c r="J239" s="13"/>
      <c r="K239" s="13"/>
      <c r="L239" s="13"/>
      <c r="M239" s="13"/>
      <c r="N239" s="13"/>
      <c r="O239" s="13"/>
      <c r="P239" s="13"/>
      <c r="Q239" s="13"/>
      <c r="R239" s="13"/>
      <c r="S239" s="13"/>
      <c r="T239" s="13"/>
      <c r="U239" s="13"/>
      <c r="V239" s="13"/>
      <c r="W239" s="13"/>
      <c r="Y239" s="13"/>
      <c r="Z239" s="13"/>
      <c r="AA239" s="13"/>
      <c r="AB239" s="13"/>
      <c r="AC239" s="13"/>
      <c r="AD239" s="13"/>
      <c r="AE239" s="13"/>
      <c r="AF239" s="13"/>
      <c r="AG239" s="13"/>
      <c r="AH239" s="13"/>
      <c r="AI239" s="13"/>
      <c r="AJ239" s="15"/>
    </row>
    <row r="240" spans="3:36">
      <c r="D240" s="12"/>
      <c r="E240" s="1" t="s">
        <v>399</v>
      </c>
      <c r="AJ240" s="15"/>
    </row>
    <row r="241" spans="4:36">
      <c r="D241" s="12"/>
      <c r="E241" s="13"/>
      <c r="F241" s="13" t="s">
        <v>42</v>
      </c>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5"/>
    </row>
    <row r="242" spans="4:36" ht="20.25">
      <c r="D242" s="12"/>
      <c r="E242" s="13"/>
      <c r="F242" s="9"/>
      <c r="G242" s="10"/>
      <c r="H242" s="467" t="s">
        <v>318</v>
      </c>
      <c r="I242" s="467"/>
      <c r="J242" s="10" t="s">
        <v>328</v>
      </c>
      <c r="K242" s="10"/>
      <c r="L242" s="10"/>
      <c r="M242" s="10"/>
      <c r="N242" s="10"/>
      <c r="O242" s="10"/>
      <c r="P242" s="10"/>
      <c r="Q242" s="10"/>
      <c r="R242" s="10"/>
      <c r="S242" s="10"/>
      <c r="T242" s="10"/>
      <c r="U242" s="10"/>
      <c r="V242" s="10"/>
      <c r="W242" s="10"/>
      <c r="X242" s="3"/>
      <c r="Y242" s="10"/>
      <c r="Z242" s="10"/>
      <c r="AA242" s="10"/>
      <c r="AB242" s="10"/>
      <c r="AC242" s="10"/>
      <c r="AD242" s="10"/>
      <c r="AE242" s="10"/>
      <c r="AF242" s="10"/>
      <c r="AG242" s="10"/>
      <c r="AH242" s="10"/>
      <c r="AI242" s="11"/>
      <c r="AJ242" s="15"/>
    </row>
    <row r="243" spans="4:36">
      <c r="D243" s="12"/>
      <c r="E243" s="13"/>
      <c r="F243" s="12"/>
      <c r="G243" s="13"/>
      <c r="H243" s="865" t="s">
        <v>318</v>
      </c>
      <c r="I243" s="865"/>
      <c r="J243" s="449" t="s">
        <v>2</v>
      </c>
      <c r="K243" s="161" t="s">
        <v>310</v>
      </c>
      <c r="L243" s="34"/>
      <c r="M243" s="13"/>
      <c r="N243" s="449" t="s">
        <v>2</v>
      </c>
      <c r="O243" s="451">
        <f>J92</f>
        <v>702.28863548598247</v>
      </c>
      <c r="P243" s="451"/>
      <c r="Q243" s="451"/>
      <c r="R243" s="17" t="s">
        <v>27</v>
      </c>
      <c r="S243" s="617">
        <v>1000</v>
      </c>
      <c r="T243" s="617"/>
      <c r="U243" s="13"/>
      <c r="V243" s="449" t="s">
        <v>2</v>
      </c>
      <c r="W243" s="554">
        <f>O243*S243/O244/S244</f>
        <v>45.338194673078277</v>
      </c>
      <c r="X243" s="555"/>
      <c r="Y243" s="13"/>
      <c r="Z243" s="13"/>
      <c r="AA243" s="13"/>
      <c r="AB243" s="13"/>
      <c r="AC243" s="13"/>
      <c r="AD243" s="13"/>
      <c r="AE243" s="13"/>
      <c r="AF243" s="13"/>
      <c r="AG243" s="13"/>
      <c r="AH243" s="13"/>
      <c r="AI243" s="15"/>
      <c r="AJ243" s="15"/>
    </row>
    <row r="244" spans="4:36">
      <c r="D244" s="12"/>
      <c r="E244" s="13"/>
      <c r="F244" s="12"/>
      <c r="G244" s="13"/>
      <c r="H244" s="865"/>
      <c r="I244" s="865"/>
      <c r="J244" s="449"/>
      <c r="K244" s="35" t="s">
        <v>240</v>
      </c>
      <c r="L244" s="13"/>
      <c r="M244" s="13"/>
      <c r="N244" s="449"/>
      <c r="O244" s="475">
        <f>'1.設計条件'!Q60</f>
        <v>154.9</v>
      </c>
      <c r="P244" s="475"/>
      <c r="Q244" s="475"/>
      <c r="R244" s="13" t="s">
        <v>27</v>
      </c>
      <c r="S244" s="458">
        <v>100</v>
      </c>
      <c r="T244" s="458"/>
      <c r="U244" s="13"/>
      <c r="V244" s="449"/>
      <c r="W244" s="556"/>
      <c r="X244" s="557"/>
      <c r="Y244" s="13"/>
      <c r="Z244" s="13"/>
      <c r="AA244" s="13"/>
      <c r="AB244" s="13"/>
      <c r="AC244" s="13"/>
      <c r="AD244" s="13"/>
      <c r="AE244" s="13"/>
      <c r="AF244" s="13"/>
      <c r="AG244" s="13"/>
      <c r="AH244" s="13"/>
      <c r="AI244" s="15"/>
      <c r="AJ244" s="15"/>
    </row>
    <row r="245" spans="4:36">
      <c r="D245" s="12"/>
      <c r="E245" s="13"/>
      <c r="F245" s="16"/>
      <c r="G245" s="17"/>
      <c r="H245" s="168"/>
      <c r="I245" s="168"/>
      <c r="J245" s="169"/>
      <c r="K245" s="151"/>
      <c r="L245" s="17"/>
      <c r="M245" s="17"/>
      <c r="N245" s="169"/>
      <c r="O245" s="150"/>
      <c r="P245" s="150"/>
      <c r="Q245" s="150"/>
      <c r="R245" s="17"/>
      <c r="S245" s="152"/>
      <c r="T245" s="152"/>
      <c r="U245" s="17"/>
      <c r="V245" s="169"/>
      <c r="W245" s="169"/>
      <c r="X245" s="169"/>
      <c r="Y245" s="17"/>
      <c r="Z245" s="17"/>
      <c r="AA245" s="17"/>
      <c r="AB245" s="17"/>
      <c r="AC245" s="17"/>
      <c r="AD245" s="17"/>
      <c r="AE245" s="17"/>
      <c r="AF245" s="17"/>
      <c r="AG245" s="17"/>
      <c r="AH245" s="17"/>
      <c r="AI245" s="19"/>
      <c r="AJ245" s="15"/>
    </row>
    <row r="246" spans="4:36">
      <c r="D246" s="12"/>
      <c r="E246" s="13"/>
      <c r="F246" s="13"/>
      <c r="G246" s="13"/>
      <c r="H246" s="160"/>
      <c r="I246" s="160"/>
      <c r="J246" s="28"/>
      <c r="K246" s="35"/>
      <c r="L246" s="13"/>
      <c r="M246" s="13"/>
      <c r="N246" s="28"/>
      <c r="O246" s="24"/>
      <c r="P246" s="24"/>
      <c r="Q246" s="24"/>
      <c r="R246" s="13"/>
      <c r="S246" s="27"/>
      <c r="T246" s="27"/>
      <c r="U246" s="13"/>
      <c r="V246" s="28"/>
      <c r="W246" s="28"/>
      <c r="X246" s="28"/>
      <c r="Y246" s="13"/>
      <c r="Z246" s="13"/>
      <c r="AA246" s="13"/>
      <c r="AB246" s="13"/>
      <c r="AC246" s="13"/>
      <c r="AD246" s="13"/>
      <c r="AE246" s="13"/>
      <c r="AF246" s="13"/>
      <c r="AG246" s="13"/>
      <c r="AH246" s="13"/>
      <c r="AI246" s="13"/>
      <c r="AJ246" s="15"/>
    </row>
    <row r="247" spans="4:36">
      <c r="D247" s="12"/>
      <c r="E247" s="13"/>
      <c r="F247" s="13"/>
      <c r="G247" s="13"/>
      <c r="H247" s="35"/>
      <c r="I247" s="35"/>
      <c r="J247" s="160"/>
      <c r="K247" s="160"/>
      <c r="L247" s="28"/>
      <c r="M247" s="35"/>
      <c r="N247" s="13"/>
      <c r="O247" s="13"/>
      <c r="P247" s="28"/>
      <c r="Q247" s="24"/>
      <c r="R247" s="24"/>
      <c r="S247" s="24"/>
      <c r="T247" s="13"/>
      <c r="U247" s="27"/>
      <c r="V247" s="27"/>
      <c r="W247" s="13"/>
      <c r="X247" s="28"/>
      <c r="Y247" s="28"/>
      <c r="Z247" s="28"/>
      <c r="AA247" s="13"/>
      <c r="AB247" s="13"/>
      <c r="AC247" s="13"/>
      <c r="AD247" s="13"/>
      <c r="AE247" s="13"/>
      <c r="AF247" s="13"/>
      <c r="AG247" s="13"/>
      <c r="AH247" s="13"/>
      <c r="AI247" s="13"/>
      <c r="AJ247" s="15"/>
    </row>
    <row r="248" spans="4:36">
      <c r="D248" s="12"/>
      <c r="E248" s="13"/>
      <c r="F248" s="856" t="s">
        <v>317</v>
      </c>
      <c r="G248" s="857"/>
      <c r="H248" s="858" t="s">
        <v>342</v>
      </c>
      <c r="I248" s="858"/>
      <c r="J248" s="862" t="s">
        <v>370</v>
      </c>
      <c r="K248" s="862"/>
      <c r="L248" s="862"/>
      <c r="M248" s="862"/>
      <c r="N248" s="862"/>
      <c r="O248" s="862"/>
      <c r="P248" s="862"/>
      <c r="Q248" s="862"/>
      <c r="R248" s="862"/>
      <c r="S248" s="862"/>
      <c r="T248" s="862"/>
      <c r="U248" s="862"/>
      <c r="V248" s="862"/>
      <c r="W248" s="862"/>
      <c r="X248" s="862"/>
      <c r="Y248" s="862"/>
      <c r="Z248" s="862"/>
      <c r="AA248" s="862"/>
      <c r="AB248" s="862"/>
      <c r="AC248" s="862"/>
      <c r="AD248" s="862"/>
      <c r="AE248" s="862"/>
      <c r="AF248" s="862"/>
      <c r="AG248" s="862"/>
      <c r="AH248" s="862"/>
      <c r="AI248" s="863"/>
      <c r="AJ248" s="170"/>
    </row>
    <row r="249" spans="4:36">
      <c r="D249" s="12"/>
      <c r="E249" s="13"/>
      <c r="F249" s="171"/>
      <c r="G249" s="153"/>
      <c r="H249" s="155"/>
      <c r="I249" s="155"/>
      <c r="J249" s="596" t="s">
        <v>415</v>
      </c>
      <c r="K249" s="596"/>
      <c r="L249" s="596"/>
      <c r="M249" s="596"/>
      <c r="N249" s="596"/>
      <c r="O249" s="596"/>
      <c r="P249" s="596"/>
      <c r="Q249" s="596"/>
      <c r="R249" s="596"/>
      <c r="S249" s="596"/>
      <c r="T249" s="596"/>
      <c r="U249" s="596"/>
      <c r="V249" s="596"/>
      <c r="W249" s="596"/>
      <c r="X249" s="596"/>
      <c r="Y249" s="596"/>
      <c r="Z249" s="596"/>
      <c r="AA249" s="596"/>
      <c r="AB249" s="596"/>
      <c r="AC249" s="596"/>
      <c r="AD249" s="596"/>
      <c r="AE249" s="596"/>
      <c r="AF249" s="596"/>
      <c r="AG249" s="596"/>
      <c r="AH249" s="596"/>
      <c r="AI249" s="864"/>
      <c r="AJ249" s="170"/>
    </row>
    <row r="250" spans="4:36">
      <c r="D250" s="12"/>
      <c r="E250" s="13"/>
      <c r="F250" s="171"/>
      <c r="G250" s="153"/>
      <c r="H250" s="865" t="s">
        <v>317</v>
      </c>
      <c r="I250" s="865"/>
      <c r="J250" s="449" t="s">
        <v>2</v>
      </c>
      <c r="K250" s="866" t="s">
        <v>269</v>
      </c>
      <c r="L250" s="866"/>
      <c r="M250" s="57"/>
      <c r="N250" s="449" t="s">
        <v>2</v>
      </c>
      <c r="O250" s="770">
        <f>AD95</f>
        <v>241.62627802511736</v>
      </c>
      <c r="P250" s="770"/>
      <c r="Q250" s="770"/>
      <c r="R250" s="17" t="s">
        <v>27</v>
      </c>
      <c r="S250" s="867">
        <v>1000000</v>
      </c>
      <c r="T250" s="867"/>
      <c r="U250" s="867"/>
      <c r="V250" s="13"/>
      <c r="W250" s="13"/>
      <c r="X250" s="13"/>
      <c r="Y250" s="13"/>
      <c r="Z250" s="13"/>
      <c r="AA250" s="57"/>
      <c r="AB250" s="57"/>
      <c r="AC250" s="57"/>
      <c r="AD250" s="57"/>
      <c r="AE250" s="57"/>
      <c r="AF250" s="57"/>
      <c r="AG250" s="57"/>
      <c r="AH250" s="57"/>
      <c r="AI250" s="154"/>
      <c r="AJ250" s="154"/>
    </row>
    <row r="251" spans="4:36">
      <c r="D251" s="12"/>
      <c r="E251" s="13"/>
      <c r="F251" s="171"/>
      <c r="G251" s="153"/>
      <c r="H251" s="865"/>
      <c r="I251" s="865"/>
      <c r="J251" s="449"/>
      <c r="K251" s="360" t="s">
        <v>59</v>
      </c>
      <c r="L251" s="360"/>
      <c r="M251" s="57"/>
      <c r="N251" s="449"/>
      <c r="O251" s="868">
        <f>'1.設計条件'!Q63</f>
        <v>2000</v>
      </c>
      <c r="P251" s="868"/>
      <c r="Q251" s="868"/>
      <c r="R251" s="13" t="s">
        <v>27</v>
      </c>
      <c r="S251" s="458">
        <v>1000</v>
      </c>
      <c r="T251" s="458"/>
      <c r="U251" s="57"/>
      <c r="V251" s="13"/>
      <c r="W251" s="13"/>
      <c r="X251" s="13"/>
      <c r="Y251" s="13"/>
      <c r="Z251" s="13"/>
      <c r="AA251" s="57"/>
      <c r="AB251" s="57"/>
      <c r="AC251" s="57"/>
      <c r="AD251" s="57"/>
      <c r="AE251" s="57"/>
      <c r="AF251" s="57"/>
      <c r="AG251" s="57"/>
      <c r="AH251" s="57"/>
      <c r="AI251" s="154"/>
      <c r="AJ251" s="154"/>
    </row>
    <row r="252" spans="4:36">
      <c r="D252" s="12"/>
      <c r="E252" s="13"/>
      <c r="F252" s="171"/>
      <c r="G252" s="153"/>
      <c r="H252" s="160"/>
      <c r="I252" s="160"/>
      <c r="J252" s="449" t="s">
        <v>2</v>
      </c>
      <c r="K252" s="554">
        <f>O250*S250/O251/S251</f>
        <v>120.81313901255868</v>
      </c>
      <c r="L252" s="555"/>
      <c r="M252" s="57"/>
      <c r="N252" s="28"/>
      <c r="O252" s="158"/>
      <c r="P252" s="158"/>
      <c r="Q252" s="158"/>
      <c r="R252" s="13"/>
      <c r="S252" s="27"/>
      <c r="T252" s="27"/>
      <c r="U252" s="57"/>
      <c r="V252" s="28"/>
      <c r="W252" s="28"/>
      <c r="X252" s="28"/>
      <c r="Y252" s="13"/>
      <c r="Z252" s="13"/>
      <c r="AA252" s="57"/>
      <c r="AB252" s="57"/>
      <c r="AC252" s="57"/>
      <c r="AD252" s="57"/>
      <c r="AE252" s="57"/>
      <c r="AF252" s="57"/>
      <c r="AG252" s="57"/>
      <c r="AH252" s="57"/>
      <c r="AI252" s="154"/>
      <c r="AJ252" s="154"/>
    </row>
    <row r="253" spans="4:36">
      <c r="D253" s="12"/>
      <c r="E253" s="13"/>
      <c r="F253" s="171"/>
      <c r="G253" s="153"/>
      <c r="H253" s="160"/>
      <c r="I253" s="160"/>
      <c r="J253" s="449"/>
      <c r="K253" s="556"/>
      <c r="L253" s="557"/>
      <c r="M253" s="57"/>
      <c r="N253" s="28"/>
      <c r="O253" s="158"/>
      <c r="P253" s="158"/>
      <c r="Q253" s="158"/>
      <c r="R253" s="13"/>
      <c r="S253" s="27"/>
      <c r="T253" s="27"/>
      <c r="U253" s="57"/>
      <c r="V253" s="28"/>
      <c r="W253" s="28"/>
      <c r="X253" s="28"/>
      <c r="Y253" s="13"/>
      <c r="Z253" s="13"/>
      <c r="AA253" s="57"/>
      <c r="AB253" s="57"/>
      <c r="AC253" s="57"/>
      <c r="AD253" s="57"/>
      <c r="AE253" s="57"/>
      <c r="AF253" s="57"/>
      <c r="AG253" s="57"/>
      <c r="AH253" s="57"/>
      <c r="AI253" s="154"/>
      <c r="AJ253" s="154"/>
    </row>
    <row r="254" spans="4:36">
      <c r="D254" s="12"/>
      <c r="E254" s="13"/>
      <c r="F254" s="171"/>
      <c r="G254" s="153"/>
      <c r="H254" s="160"/>
      <c r="I254" s="160"/>
      <c r="J254" s="28"/>
      <c r="K254" s="35"/>
      <c r="L254" s="35"/>
      <c r="M254" s="57"/>
      <c r="N254" s="28"/>
      <c r="O254" s="158"/>
      <c r="P254" s="158"/>
      <c r="Q254" s="158"/>
      <c r="R254" s="13"/>
      <c r="S254" s="27"/>
      <c r="T254" s="27"/>
      <c r="U254" s="57"/>
      <c r="V254" s="28"/>
      <c r="W254" s="28"/>
      <c r="X254" s="28"/>
      <c r="Y254" s="13"/>
      <c r="Z254" s="13"/>
      <c r="AA254" s="57"/>
      <c r="AB254" s="57"/>
      <c r="AC254" s="57"/>
      <c r="AD254" s="57"/>
      <c r="AE254" s="57"/>
      <c r="AF254" s="57"/>
      <c r="AG254" s="57"/>
      <c r="AH254" s="57"/>
      <c r="AI254" s="154"/>
      <c r="AJ254" s="154"/>
    </row>
    <row r="255" spans="4:36">
      <c r="D255" s="12"/>
      <c r="E255" s="13"/>
      <c r="F255" s="171"/>
      <c r="G255" s="153"/>
      <c r="H255" s="859" t="s">
        <v>323</v>
      </c>
      <c r="I255" s="859"/>
      <c r="J255" s="57" t="s">
        <v>2</v>
      </c>
      <c r="K255" s="860">
        <v>0</v>
      </c>
      <c r="L255" s="861"/>
      <c r="M255" s="57"/>
      <c r="N255" s="28"/>
      <c r="O255" s="158"/>
      <c r="P255" s="158"/>
      <c r="Q255" s="158"/>
      <c r="R255" s="13"/>
      <c r="S255" s="27"/>
      <c r="T255" s="27"/>
      <c r="U255" s="57"/>
      <c r="V255" s="28"/>
      <c r="W255" s="28"/>
      <c r="X255" s="28"/>
      <c r="Y255" s="13"/>
      <c r="Z255" s="13"/>
      <c r="AA255" s="57"/>
      <c r="AB255" s="57"/>
      <c r="AC255" s="57"/>
      <c r="AD255" s="57"/>
      <c r="AE255" s="57"/>
      <c r="AF255" s="57"/>
      <c r="AG255" s="57"/>
      <c r="AH255" s="57"/>
      <c r="AI255" s="154"/>
      <c r="AJ255" s="154"/>
    </row>
    <row r="256" spans="4:36">
      <c r="D256" s="12"/>
      <c r="E256" s="13"/>
      <c r="F256" s="172"/>
      <c r="G256" s="173"/>
      <c r="H256" s="174"/>
      <c r="I256" s="174"/>
      <c r="J256" s="106"/>
      <c r="K256" s="106"/>
      <c r="L256" s="106"/>
      <c r="M256" s="106"/>
      <c r="N256" s="106"/>
      <c r="O256" s="106"/>
      <c r="P256" s="106"/>
      <c r="Q256" s="106"/>
      <c r="R256" s="106"/>
      <c r="S256" s="106"/>
      <c r="T256" s="106"/>
      <c r="U256" s="106"/>
      <c r="V256" s="106"/>
      <c r="W256" s="106"/>
      <c r="X256" s="106"/>
      <c r="Y256" s="106"/>
      <c r="Z256" s="106"/>
      <c r="AA256" s="106"/>
      <c r="AB256" s="106"/>
      <c r="AC256" s="106"/>
      <c r="AD256" s="106"/>
      <c r="AE256" s="106"/>
      <c r="AF256" s="106"/>
      <c r="AG256" s="106"/>
      <c r="AH256" s="106"/>
      <c r="AI256" s="175"/>
      <c r="AJ256" s="154"/>
    </row>
    <row r="257" spans="4:36">
      <c r="D257" s="12"/>
      <c r="E257" s="13"/>
      <c r="F257" s="153"/>
      <c r="G257" s="153"/>
      <c r="H257" s="155"/>
      <c r="I257" s="155"/>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7"/>
      <c r="AI257" s="57"/>
      <c r="AJ257" s="154"/>
    </row>
    <row r="258" spans="4:36">
      <c r="D258" s="12"/>
      <c r="E258" s="13"/>
      <c r="F258" s="153"/>
      <c r="G258" s="153"/>
      <c r="M258" s="13"/>
      <c r="N258" s="13"/>
      <c r="O258" s="57"/>
      <c r="P258" s="57"/>
      <c r="Q258" s="13"/>
      <c r="R258" s="13"/>
      <c r="S258" s="13"/>
      <c r="T258" s="13"/>
      <c r="U258" s="13"/>
      <c r="V258" s="57"/>
      <c r="W258" s="57"/>
      <c r="X258" s="57"/>
      <c r="Y258" s="57"/>
      <c r="Z258" s="57"/>
      <c r="AA258" s="57"/>
      <c r="AB258" s="57"/>
      <c r="AC258" s="57"/>
      <c r="AD258" s="57"/>
      <c r="AE258" s="57"/>
      <c r="AF258" s="57"/>
      <c r="AG258" s="57"/>
      <c r="AH258" s="57"/>
      <c r="AI258" s="57"/>
      <c r="AJ258" s="154"/>
    </row>
    <row r="259" spans="4:36" ht="20.25">
      <c r="D259" s="12"/>
      <c r="E259" s="13"/>
      <c r="F259" s="9"/>
      <c r="G259" s="10"/>
      <c r="H259" s="467" t="s">
        <v>319</v>
      </c>
      <c r="I259" s="467"/>
      <c r="J259" s="10" t="s">
        <v>329</v>
      </c>
      <c r="K259" s="10"/>
      <c r="L259" s="10"/>
      <c r="M259" s="10"/>
      <c r="N259" s="10"/>
      <c r="O259" s="10"/>
      <c r="P259" s="10"/>
      <c r="Q259" s="10"/>
      <c r="R259" s="10"/>
      <c r="S259" s="10"/>
      <c r="T259" s="10"/>
      <c r="U259" s="10"/>
      <c r="V259" s="10"/>
      <c r="W259" s="10"/>
      <c r="X259" s="3"/>
      <c r="Y259" s="10"/>
      <c r="Z259" s="10"/>
      <c r="AA259" s="10"/>
      <c r="AB259" s="10"/>
      <c r="AC259" s="10"/>
      <c r="AD259" s="10"/>
      <c r="AE259" s="10"/>
      <c r="AF259" s="10"/>
      <c r="AG259" s="10"/>
      <c r="AH259" s="10"/>
      <c r="AI259" s="11"/>
      <c r="AJ259" s="15"/>
    </row>
    <row r="260" spans="4:36">
      <c r="D260" s="12"/>
      <c r="E260" s="13"/>
      <c r="F260" s="12"/>
      <c r="G260" s="13"/>
      <c r="H260" s="13"/>
      <c r="I260" s="13"/>
      <c r="J260" s="13"/>
      <c r="K260" s="13" t="s">
        <v>330</v>
      </c>
      <c r="L260" s="13"/>
      <c r="M260" s="13"/>
      <c r="N260" s="34" t="s">
        <v>331</v>
      </c>
      <c r="O260" s="13" t="s">
        <v>326</v>
      </c>
      <c r="P260" s="436">
        <v>13.1</v>
      </c>
      <c r="Q260" s="436"/>
      <c r="R260" s="34" t="s">
        <v>332</v>
      </c>
      <c r="S260" s="13" t="s">
        <v>315</v>
      </c>
      <c r="T260" s="13"/>
      <c r="U260" s="13"/>
      <c r="V260" s="13"/>
      <c r="W260" s="13"/>
      <c r="X260"/>
      <c r="Y260" s="13"/>
      <c r="Z260" s="13"/>
      <c r="AA260" s="13"/>
      <c r="AB260" s="13"/>
      <c r="AC260" s="13"/>
      <c r="AD260" s="13"/>
      <c r="AE260" s="13"/>
      <c r="AF260" s="13"/>
      <c r="AG260" s="13"/>
      <c r="AH260" s="13"/>
      <c r="AI260" s="15"/>
      <c r="AJ260" s="15"/>
    </row>
    <row r="261" spans="4:36">
      <c r="D261" s="12"/>
      <c r="E261" s="13"/>
      <c r="F261" s="12"/>
      <c r="G261" s="13"/>
      <c r="H261" s="13"/>
      <c r="I261" s="13"/>
      <c r="J261" s="13"/>
      <c r="K261" s="34" t="s">
        <v>331</v>
      </c>
      <c r="L261" s="596" t="s">
        <v>724</v>
      </c>
      <c r="M261" s="596"/>
      <c r="N261" s="596"/>
      <c r="O261" s="596"/>
      <c r="P261" s="596"/>
      <c r="Q261" s="596"/>
      <c r="R261" s="596"/>
      <c r="S261" s="596"/>
      <c r="T261" s="13"/>
      <c r="U261" s="13"/>
      <c r="V261" s="13"/>
      <c r="W261" s="13"/>
      <c r="X261" s="13"/>
      <c r="Y261" s="13"/>
      <c r="Z261" s="13"/>
      <c r="AA261" s="13"/>
      <c r="AB261" s="13"/>
      <c r="AC261" s="13"/>
      <c r="AD261" s="13"/>
      <c r="AE261" s="13"/>
      <c r="AF261" s="13"/>
      <c r="AG261" s="13"/>
      <c r="AH261" s="13"/>
      <c r="AI261" s="15"/>
      <c r="AJ261" s="15"/>
    </row>
    <row r="262" spans="4:36">
      <c r="D262" s="12"/>
      <c r="E262" s="13"/>
      <c r="F262" s="12"/>
      <c r="G262" s="13"/>
      <c r="H262" s="13"/>
      <c r="I262" s="13"/>
      <c r="J262" s="13"/>
      <c r="K262" s="13"/>
      <c r="L262" s="34" t="s">
        <v>331</v>
      </c>
      <c r="M262" s="13" t="s">
        <v>2</v>
      </c>
      <c r="N262" s="13" t="s">
        <v>69</v>
      </c>
      <c r="O262" s="888">
        <f>'1.設計条件'!Q57</f>
        <v>350</v>
      </c>
      <c r="P262" s="888"/>
      <c r="Q262" s="13" t="s">
        <v>263</v>
      </c>
      <c r="R262" s="458">
        <f>'1.設計条件'!Q58</f>
        <v>12</v>
      </c>
      <c r="S262" s="458"/>
      <c r="T262" s="13" t="s">
        <v>176</v>
      </c>
      <c r="U262" s="31">
        <v>2</v>
      </c>
      <c r="V262" s="13"/>
      <c r="W262" s="13" t="s">
        <v>2</v>
      </c>
      <c r="X262" s="471">
        <f>(O262-R262)/U262</f>
        <v>169</v>
      </c>
      <c r="Y262" s="473"/>
      <c r="Z262" s="13" t="s">
        <v>290</v>
      </c>
      <c r="AA262" s="13"/>
      <c r="AB262" s="13"/>
      <c r="AC262" s="13"/>
      <c r="AD262" s="13"/>
      <c r="AE262" s="13"/>
      <c r="AF262" s="13"/>
      <c r="AG262" s="13"/>
      <c r="AH262" s="13"/>
      <c r="AI262" s="15"/>
      <c r="AJ262" s="15"/>
    </row>
    <row r="263" spans="4:36">
      <c r="D263" s="12"/>
      <c r="E263" s="13"/>
      <c r="F263" s="12"/>
      <c r="G263" s="13"/>
      <c r="H263" s="13"/>
      <c r="I263" s="13"/>
      <c r="J263" s="34"/>
      <c r="K263" s="34" t="s">
        <v>332</v>
      </c>
      <c r="L263" s="13" t="s">
        <v>725</v>
      </c>
      <c r="M263" s="27"/>
      <c r="N263" s="27"/>
      <c r="O263" s="13"/>
      <c r="P263" s="34"/>
      <c r="Q263" s="13"/>
      <c r="R263" s="13"/>
      <c r="S263" s="31"/>
      <c r="T263" s="13"/>
      <c r="U263" s="13"/>
      <c r="V263" s="13"/>
      <c r="W263" s="13"/>
      <c r="X263" s="13"/>
      <c r="Y263" s="13"/>
      <c r="Z263" s="13"/>
      <c r="AA263" s="13"/>
      <c r="AB263" s="13"/>
      <c r="AC263" s="13"/>
      <c r="AD263" s="13"/>
      <c r="AE263" s="13"/>
      <c r="AF263" s="13"/>
      <c r="AG263" s="13"/>
      <c r="AH263" s="13"/>
      <c r="AI263" s="15"/>
      <c r="AJ263" s="15"/>
    </row>
    <row r="264" spans="4:36">
      <c r="D264" s="12"/>
      <c r="E264" s="13"/>
      <c r="F264" s="12"/>
      <c r="G264" s="13"/>
      <c r="H264" s="13"/>
      <c r="I264" s="13"/>
      <c r="J264" s="35"/>
      <c r="K264" s="13"/>
      <c r="L264" s="34" t="s">
        <v>332</v>
      </c>
      <c r="M264" s="13" t="s">
        <v>2</v>
      </c>
      <c r="N264" s="471">
        <f>'1.設計条件'!Q59</f>
        <v>19</v>
      </c>
      <c r="O264" s="473"/>
      <c r="P264" s="13" t="s">
        <v>290</v>
      </c>
      <c r="Q264" s="13"/>
      <c r="R264" s="13"/>
      <c r="S264" s="13"/>
      <c r="T264" s="13"/>
      <c r="U264" s="13"/>
      <c r="V264" s="13"/>
      <c r="W264" s="13"/>
      <c r="X264" s="13"/>
      <c r="Y264" s="13"/>
      <c r="Z264" s="13"/>
      <c r="AA264" s="13"/>
      <c r="AB264" s="13"/>
      <c r="AC264" s="13"/>
      <c r="AD264" s="13"/>
      <c r="AE264" s="13"/>
      <c r="AF264" s="13"/>
      <c r="AG264" s="13"/>
      <c r="AH264" s="13"/>
      <c r="AI264" s="15"/>
      <c r="AJ264" s="15"/>
    </row>
    <row r="265" spans="4:36">
      <c r="D265" s="12"/>
      <c r="E265" s="13"/>
      <c r="F265" s="12"/>
      <c r="G265" s="13"/>
      <c r="H265" s="13"/>
      <c r="I265" s="13"/>
      <c r="J265" s="35"/>
      <c r="K265" s="13"/>
      <c r="L265" s="34"/>
      <c r="M265" s="13"/>
      <c r="N265" s="27"/>
      <c r="O265" s="27"/>
      <c r="P265" s="13"/>
      <c r="Q265" s="13"/>
      <c r="R265" s="13"/>
      <c r="S265" s="13"/>
      <c r="T265" s="13"/>
      <c r="U265" s="13"/>
      <c r="V265" s="13"/>
      <c r="W265" s="13"/>
      <c r="X265" s="13"/>
      <c r="Y265" s="13"/>
      <c r="Z265" s="13"/>
      <c r="AA265" s="13"/>
      <c r="AB265" s="13"/>
      <c r="AC265" s="13"/>
      <c r="AD265" s="13"/>
      <c r="AE265" s="13"/>
      <c r="AF265" s="13"/>
      <c r="AG265" s="13"/>
      <c r="AH265" s="13"/>
      <c r="AI265" s="15"/>
      <c r="AJ265" s="15"/>
    </row>
    <row r="266" spans="4:36">
      <c r="D266" s="12"/>
      <c r="E266" s="13"/>
      <c r="F266" s="12"/>
      <c r="G266" s="13"/>
      <c r="H266" s="13"/>
      <c r="I266" s="13"/>
      <c r="J266" s="35"/>
      <c r="K266" s="436" t="s">
        <v>357</v>
      </c>
      <c r="L266" s="436"/>
      <c r="M266" s="13" t="s">
        <v>726</v>
      </c>
      <c r="N266" s="13"/>
      <c r="O266" s="13"/>
      <c r="P266" s="13"/>
      <c r="Q266" s="13"/>
      <c r="R266" s="27"/>
      <c r="S266" s="27"/>
      <c r="T266" s="13"/>
      <c r="U266" s="13"/>
      <c r="V266" s="13"/>
      <c r="W266" s="13"/>
      <c r="X266" s="13"/>
      <c r="Y266" s="13"/>
      <c r="Z266" s="13"/>
      <c r="AA266" s="13"/>
      <c r="AB266" s="13"/>
      <c r="AC266" s="13"/>
      <c r="AD266" s="13"/>
      <c r="AE266" s="13"/>
      <c r="AF266" s="13"/>
      <c r="AG266" s="13"/>
      <c r="AH266" s="13"/>
      <c r="AI266" s="15"/>
      <c r="AJ266" s="15"/>
    </row>
    <row r="267" spans="4:36">
      <c r="D267" s="12"/>
      <c r="E267" s="13"/>
      <c r="F267" s="12"/>
      <c r="G267" s="13"/>
      <c r="H267" s="13"/>
      <c r="I267" s="13"/>
      <c r="J267" s="35"/>
      <c r="K267" s="35"/>
      <c r="L267" s="436" t="s">
        <v>357</v>
      </c>
      <c r="M267" s="436"/>
      <c r="N267" s="13" t="s">
        <v>2</v>
      </c>
      <c r="O267" s="437">
        <f>P57</f>
        <v>3.5</v>
      </c>
      <c r="P267" s="439"/>
      <c r="Q267" s="37" t="s">
        <v>3</v>
      </c>
      <c r="R267" s="13"/>
      <c r="S267" s="31"/>
      <c r="T267" s="13"/>
      <c r="U267" s="13"/>
      <c r="V267" s="13"/>
      <c r="W267" s="13"/>
      <c r="X267"/>
      <c r="Y267" s="13"/>
      <c r="Z267" s="13"/>
      <c r="AA267" s="13"/>
      <c r="AB267" s="13"/>
      <c r="AC267" s="13"/>
      <c r="AD267" s="13"/>
      <c r="AE267" s="13"/>
      <c r="AF267" s="13"/>
      <c r="AG267" s="13"/>
      <c r="AH267" s="13"/>
      <c r="AI267" s="15"/>
      <c r="AJ267" s="15"/>
    </row>
    <row r="268" spans="4:36">
      <c r="D268" s="12"/>
      <c r="E268" s="13"/>
      <c r="F268" s="12"/>
      <c r="G268" s="13"/>
      <c r="H268" s="13"/>
      <c r="I268" s="13"/>
      <c r="J268" s="35"/>
      <c r="K268" s="35"/>
      <c r="L268" s="14"/>
      <c r="M268" s="14"/>
      <c r="N268" s="13"/>
      <c r="O268" s="14"/>
      <c r="P268" s="14"/>
      <c r="Q268" s="37"/>
      <c r="R268" s="13"/>
      <c r="S268" s="31"/>
      <c r="T268" s="13"/>
      <c r="U268" s="13"/>
      <c r="V268" s="13"/>
      <c r="W268" s="13"/>
      <c r="X268"/>
      <c r="Y268" s="13"/>
      <c r="Z268" s="13"/>
      <c r="AA268" s="13"/>
      <c r="AB268" s="13"/>
      <c r="AC268" s="13"/>
      <c r="AD268" s="13"/>
      <c r="AE268" s="13"/>
      <c r="AF268" s="13"/>
      <c r="AG268" s="13"/>
      <c r="AH268" s="13"/>
      <c r="AI268" s="15"/>
      <c r="AJ268" s="15"/>
    </row>
    <row r="269" spans="4:36">
      <c r="D269" s="12"/>
      <c r="E269" s="13"/>
      <c r="F269" s="12"/>
      <c r="G269" s="13"/>
      <c r="H269" s="13"/>
      <c r="I269" s="13"/>
      <c r="J269" s="35"/>
      <c r="K269" s="13" t="s">
        <v>352</v>
      </c>
      <c r="L269" s="13"/>
      <c r="M269" s="13"/>
      <c r="N269" s="13"/>
      <c r="O269" s="13"/>
      <c r="P269" s="13"/>
      <c r="Q269" s="34"/>
      <c r="R269" s="13"/>
      <c r="S269" s="31"/>
      <c r="T269" s="13"/>
      <c r="U269" s="13"/>
      <c r="V269" s="13"/>
      <c r="W269" s="13"/>
      <c r="X269"/>
      <c r="Y269" s="13"/>
      <c r="Z269" s="13"/>
      <c r="AA269" s="13"/>
      <c r="AB269" s="13"/>
      <c r="AC269" s="13"/>
      <c r="AD269" s="13"/>
      <c r="AE269" s="13"/>
      <c r="AF269" s="13"/>
      <c r="AG269" s="13"/>
      <c r="AH269" s="13"/>
      <c r="AI269" s="15"/>
      <c r="AJ269" s="15"/>
    </row>
    <row r="270" spans="4:36">
      <c r="D270" s="12"/>
      <c r="E270" s="13"/>
      <c r="F270" s="12"/>
      <c r="G270" s="13"/>
      <c r="H270" s="13"/>
      <c r="I270" s="13"/>
      <c r="J270" s="35"/>
      <c r="K270" s="35"/>
      <c r="L270" s="17" t="s">
        <v>357</v>
      </c>
      <c r="M270" s="449" t="s">
        <v>2</v>
      </c>
      <c r="N270" s="452">
        <f>O267</f>
        <v>3.5</v>
      </c>
      <c r="O270" s="452"/>
      <c r="P270" s="17" t="s">
        <v>27</v>
      </c>
      <c r="Q270" s="889">
        <v>1000</v>
      </c>
      <c r="R270" s="889"/>
      <c r="S270" s="889"/>
      <c r="T270" s="13"/>
      <c r="U270" s="449" t="s">
        <v>2</v>
      </c>
      <c r="V270" s="554">
        <f>N270*Q270/N271/Q271</f>
        <v>38.932146829810897</v>
      </c>
      <c r="W270" s="555"/>
      <c r="X270"/>
      <c r="Y270" s="13"/>
      <c r="Z270" s="13"/>
      <c r="AA270" s="13"/>
      <c r="AB270" s="13"/>
      <c r="AC270" s="13"/>
      <c r="AD270" s="13"/>
      <c r="AE270" s="13"/>
      <c r="AF270" s="13"/>
      <c r="AG270" s="13"/>
      <c r="AH270" s="13"/>
      <c r="AI270" s="15"/>
      <c r="AJ270" s="15"/>
    </row>
    <row r="271" spans="4:36">
      <c r="D271" s="12"/>
      <c r="E271" s="13"/>
      <c r="F271" s="12"/>
      <c r="G271" s="13"/>
      <c r="H271" s="13"/>
      <c r="I271" s="13"/>
      <c r="J271" s="35"/>
      <c r="K271" s="35"/>
      <c r="L271" s="34" t="s">
        <v>303</v>
      </c>
      <c r="M271" s="449"/>
      <c r="N271" s="853">
        <f>'1.設計条件'!Q62</f>
        <v>8.99</v>
      </c>
      <c r="O271" s="853"/>
      <c r="P271" s="13" t="s">
        <v>27</v>
      </c>
      <c r="Q271" s="888">
        <v>10</v>
      </c>
      <c r="R271" s="888"/>
      <c r="S271" s="888"/>
      <c r="T271" s="13"/>
      <c r="U271" s="449"/>
      <c r="V271" s="556"/>
      <c r="W271" s="557"/>
      <c r="X271"/>
      <c r="Y271" s="13"/>
      <c r="Z271" s="13"/>
      <c r="AA271" s="13"/>
      <c r="AB271" s="13"/>
      <c r="AC271" s="13"/>
      <c r="AD271" s="13"/>
      <c r="AE271" s="13"/>
      <c r="AF271" s="13"/>
      <c r="AG271" s="13"/>
      <c r="AH271" s="13"/>
      <c r="AI271" s="15"/>
      <c r="AJ271" s="15"/>
    </row>
    <row r="272" spans="4:36">
      <c r="D272" s="12"/>
      <c r="E272" s="13"/>
      <c r="F272" s="12"/>
      <c r="G272" s="13"/>
      <c r="H272" s="13"/>
      <c r="I272" s="13"/>
      <c r="J272" s="35"/>
      <c r="K272" s="35"/>
      <c r="L272" s="34"/>
      <c r="M272" s="28"/>
      <c r="N272" s="147"/>
      <c r="O272" s="147"/>
      <c r="P272" s="13"/>
      <c r="Q272" s="157"/>
      <c r="R272" s="157"/>
      <c r="S272" s="157"/>
      <c r="T272" s="13"/>
      <c r="U272" s="28"/>
      <c r="V272" s="28"/>
      <c r="W272" s="28"/>
      <c r="X272"/>
      <c r="Y272" s="13"/>
      <c r="Z272" s="13"/>
      <c r="AA272" s="13"/>
      <c r="AB272" s="13"/>
      <c r="AC272" s="13"/>
      <c r="AD272" s="13"/>
      <c r="AE272" s="13"/>
      <c r="AF272" s="13"/>
      <c r="AG272" s="13"/>
      <c r="AH272" s="13"/>
      <c r="AI272" s="15"/>
      <c r="AJ272" s="15"/>
    </row>
    <row r="273" spans="4:36">
      <c r="D273" s="12"/>
      <c r="E273" s="13"/>
      <c r="F273" s="12"/>
      <c r="G273" s="13"/>
      <c r="H273" s="13"/>
      <c r="I273" s="891" t="s">
        <v>356</v>
      </c>
      <c r="J273" s="891"/>
      <c r="K273" s="891"/>
      <c r="L273" s="891"/>
      <c r="M273" s="891"/>
      <c r="N273" s="891"/>
      <c r="O273" s="891"/>
      <c r="P273" s="891"/>
      <c r="Q273" s="891"/>
      <c r="R273" s="891"/>
      <c r="S273" s="157">
        <v>18</v>
      </c>
      <c r="T273" s="13" t="s">
        <v>353</v>
      </c>
      <c r="U273" s="449" t="s">
        <v>354</v>
      </c>
      <c r="V273" s="449"/>
      <c r="W273" s="1" t="s">
        <v>326</v>
      </c>
      <c r="X273">
        <v>92</v>
      </c>
      <c r="Z273" s="13"/>
      <c r="AA273" s="33" t="s">
        <v>355</v>
      </c>
      <c r="AB273" s="13"/>
      <c r="AC273" s="13" t="s">
        <v>416</v>
      </c>
      <c r="AD273" s="13"/>
      <c r="AE273" s="13"/>
      <c r="AF273" s="13"/>
      <c r="AG273" s="13"/>
      <c r="AH273" s="13"/>
      <c r="AI273" s="15"/>
      <c r="AJ273" s="15"/>
    </row>
    <row r="274" spans="4:36" ht="20.25">
      <c r="D274" s="12"/>
      <c r="E274" s="13"/>
      <c r="F274" s="12"/>
      <c r="G274" s="13"/>
      <c r="H274" s="465" t="s">
        <v>727</v>
      </c>
      <c r="I274" s="465"/>
      <c r="J274" s="32" t="s">
        <v>2</v>
      </c>
      <c r="K274" s="148" t="s">
        <v>364</v>
      </c>
      <c r="L274" s="890">
        <v>140</v>
      </c>
      <c r="M274" s="890"/>
      <c r="N274" s="148" t="s">
        <v>263</v>
      </c>
      <c r="O274" s="675">
        <v>0.82</v>
      </c>
      <c r="P274" s="675"/>
      <c r="Q274" s="148" t="s">
        <v>69</v>
      </c>
      <c r="R274" s="436" t="s">
        <v>166</v>
      </c>
      <c r="S274" s="436"/>
      <c r="T274" s="147" t="s">
        <v>70</v>
      </c>
      <c r="U274" s="34" t="s">
        <v>303</v>
      </c>
      <c r="V274" s="13" t="s">
        <v>263</v>
      </c>
      <c r="W274" s="906">
        <v>18</v>
      </c>
      <c r="X274" s="906"/>
      <c r="Y274" s="27" t="s">
        <v>365</v>
      </c>
      <c r="Z274" s="27" t="s">
        <v>27</v>
      </c>
      <c r="AA274" s="449">
        <v>1.5</v>
      </c>
      <c r="AB274" s="449"/>
      <c r="AC274" s="13"/>
      <c r="AD274" s="13"/>
      <c r="AE274" s="13"/>
      <c r="AF274" s="13"/>
      <c r="AG274" s="27"/>
      <c r="AH274" s="27"/>
      <c r="AI274" s="177"/>
      <c r="AJ274" s="15"/>
    </row>
    <row r="275" spans="4:36">
      <c r="D275" s="12"/>
      <c r="E275" s="13"/>
      <c r="F275" s="12"/>
      <c r="G275" s="13"/>
      <c r="H275" s="164"/>
      <c r="I275" s="164"/>
      <c r="J275" s="32" t="s">
        <v>2</v>
      </c>
      <c r="K275" s="148" t="s">
        <v>364</v>
      </c>
      <c r="L275" s="890">
        <v>140</v>
      </c>
      <c r="M275" s="890"/>
      <c r="N275" s="148" t="s">
        <v>263</v>
      </c>
      <c r="O275" s="675">
        <f>O274</f>
        <v>0.82</v>
      </c>
      <c r="P275" s="675"/>
      <c r="Q275" s="148" t="s">
        <v>69</v>
      </c>
      <c r="R275" s="436">
        <f>V270</f>
        <v>38.932146829810897</v>
      </c>
      <c r="S275" s="436"/>
      <c r="T275" s="436"/>
      <c r="U275" s="436"/>
      <c r="V275" s="13" t="s">
        <v>263</v>
      </c>
      <c r="W275" s="906">
        <f>W274</f>
        <v>18</v>
      </c>
      <c r="X275" s="906"/>
      <c r="Y275" s="27" t="s">
        <v>365</v>
      </c>
      <c r="Z275" s="27" t="s">
        <v>27</v>
      </c>
      <c r="AA275" s="449">
        <v>1.5</v>
      </c>
      <c r="AB275" s="449"/>
      <c r="AC275" s="13"/>
      <c r="AD275" s="13"/>
      <c r="AE275" s="13"/>
      <c r="AF275" s="13"/>
      <c r="AG275" s="27"/>
      <c r="AH275" s="27"/>
      <c r="AI275" s="177"/>
      <c r="AJ275" s="15"/>
    </row>
    <row r="276" spans="4:36" ht="20.25">
      <c r="D276" s="12"/>
      <c r="E276" s="13"/>
      <c r="F276" s="12"/>
      <c r="G276" s="13"/>
      <c r="H276" s="13"/>
      <c r="I276" s="148"/>
      <c r="J276" s="32" t="s">
        <v>2</v>
      </c>
      <c r="K276" s="885">
        <f>(L275-O275*(R275-W275))*AA275</f>
        <v>184.2534593993326</v>
      </c>
      <c r="L276" s="886"/>
      <c r="M276" s="887"/>
      <c r="N276" s="163" t="s">
        <v>48</v>
      </c>
      <c r="O276" s="148"/>
      <c r="P276" s="148"/>
      <c r="Q276" s="148"/>
      <c r="R276" s="148"/>
      <c r="S276" s="147"/>
      <c r="T276" s="147"/>
      <c r="U276" s="13"/>
      <c r="V276" s="28"/>
      <c r="W276" s="28"/>
      <c r="X276" s="13"/>
      <c r="Y276" s="27"/>
      <c r="Z276" s="27"/>
      <c r="AA276" s="33"/>
      <c r="AB276"/>
      <c r="AC276" s="13"/>
      <c r="AD276" s="13"/>
      <c r="AE276" s="13"/>
      <c r="AF276" s="13"/>
      <c r="AG276" s="27"/>
      <c r="AH276" s="27"/>
      <c r="AI276" s="177"/>
      <c r="AJ276" s="15"/>
    </row>
    <row r="277" spans="4:36">
      <c r="D277" s="12"/>
      <c r="E277" s="13"/>
      <c r="F277" s="16"/>
      <c r="G277" s="17"/>
      <c r="H277" s="17"/>
      <c r="I277" s="178"/>
      <c r="J277" s="179"/>
      <c r="K277" s="178"/>
      <c r="L277" s="178"/>
      <c r="M277" s="178"/>
      <c r="N277" s="176"/>
      <c r="O277" s="178"/>
      <c r="P277" s="178"/>
      <c r="Q277" s="178"/>
      <c r="R277" s="178"/>
      <c r="S277" s="162"/>
      <c r="T277" s="162"/>
      <c r="U277" s="17"/>
      <c r="V277" s="169"/>
      <c r="W277" s="169"/>
      <c r="X277" s="17"/>
      <c r="Y277" s="152"/>
      <c r="Z277" s="152"/>
      <c r="AA277" s="180"/>
      <c r="AB277" s="25"/>
      <c r="AC277" s="17"/>
      <c r="AD277" s="17"/>
      <c r="AE277" s="17"/>
      <c r="AF277" s="17"/>
      <c r="AG277" s="152"/>
      <c r="AH277" s="152"/>
      <c r="AI277" s="181"/>
      <c r="AJ277" s="15"/>
    </row>
    <row r="278" spans="4:36">
      <c r="D278" s="12"/>
      <c r="E278" s="13"/>
      <c r="F278" s="13"/>
      <c r="G278" s="13"/>
      <c r="H278" s="13"/>
      <c r="I278" s="13"/>
      <c r="J278" s="35"/>
      <c r="K278" s="147"/>
      <c r="L278" s="147"/>
      <c r="M278" s="147"/>
      <c r="N278" s="163"/>
      <c r="O278" s="147"/>
      <c r="P278" s="13"/>
      <c r="Q278" s="157"/>
      <c r="R278" s="157"/>
      <c r="S278" s="157"/>
      <c r="T278" s="13"/>
      <c r="U278" s="28"/>
      <c r="V278" s="28"/>
      <c r="W278" s="28"/>
      <c r="X278"/>
      <c r="Y278" s="13"/>
      <c r="Z278" s="13"/>
      <c r="AA278" s="13"/>
      <c r="AB278" s="13"/>
      <c r="AC278" s="13"/>
      <c r="AD278" s="13"/>
      <c r="AE278" s="13"/>
      <c r="AF278" s="13"/>
      <c r="AG278" s="13"/>
      <c r="AH278" s="13"/>
      <c r="AI278" s="13"/>
      <c r="AJ278" s="15"/>
    </row>
    <row r="279" spans="4:36">
      <c r="D279" s="12"/>
      <c r="E279" s="13"/>
      <c r="F279" s="13"/>
      <c r="G279" s="13"/>
      <c r="H279" s="13"/>
      <c r="I279" s="13"/>
      <c r="J279" s="13"/>
      <c r="K279" s="13"/>
      <c r="L279" s="13"/>
      <c r="M279" s="13"/>
      <c r="N279" s="13"/>
      <c r="O279" s="13"/>
      <c r="P279" s="13"/>
      <c r="Q279" s="13"/>
      <c r="R279" s="13"/>
      <c r="S279" s="13"/>
      <c r="T279" s="13"/>
      <c r="U279" s="13"/>
      <c r="V279" s="13"/>
      <c r="W279" s="13"/>
      <c r="X279"/>
      <c r="Y279" s="13"/>
      <c r="Z279" s="13"/>
      <c r="AA279" s="13"/>
      <c r="AB279" s="13"/>
      <c r="AC279" s="13"/>
      <c r="AD279" s="13"/>
      <c r="AE279" s="13"/>
      <c r="AF279" s="13"/>
      <c r="AG279" s="13"/>
      <c r="AH279" s="13"/>
      <c r="AI279" s="13"/>
      <c r="AJ279" s="15"/>
    </row>
    <row r="280" spans="4:36" ht="20.25">
      <c r="D280" s="12"/>
      <c r="E280" s="13"/>
      <c r="F280" s="9"/>
      <c r="G280" s="10"/>
      <c r="H280" s="467" t="s">
        <v>322</v>
      </c>
      <c r="I280" s="467"/>
      <c r="J280" s="10" t="s">
        <v>333</v>
      </c>
      <c r="K280" s="10"/>
      <c r="L280" s="10"/>
      <c r="M280" s="10"/>
      <c r="N280" s="10"/>
      <c r="O280" s="10"/>
      <c r="P280" s="10"/>
      <c r="Q280" s="10"/>
      <c r="R280" s="10"/>
      <c r="S280" s="10"/>
      <c r="T280" s="10"/>
      <c r="U280" s="10"/>
      <c r="V280" s="10"/>
      <c r="W280" s="10"/>
      <c r="X280" s="3"/>
      <c r="Y280" s="10"/>
      <c r="Z280" s="10"/>
      <c r="AA280" s="10"/>
      <c r="AB280" s="10"/>
      <c r="AC280" s="10"/>
      <c r="AD280" s="10"/>
      <c r="AE280" s="10"/>
      <c r="AF280" s="10"/>
      <c r="AG280" s="10"/>
      <c r="AH280" s="10"/>
      <c r="AI280" s="11"/>
      <c r="AJ280" s="15"/>
    </row>
    <row r="281" spans="4:36">
      <c r="D281" s="12"/>
      <c r="E281" s="13"/>
      <c r="F281" s="12"/>
      <c r="G281" s="13"/>
      <c r="H281" s="13"/>
      <c r="I281" s="13"/>
      <c r="J281" s="13"/>
      <c r="K281" s="13" t="s">
        <v>330</v>
      </c>
      <c r="L281" s="13"/>
      <c r="M281" s="13"/>
      <c r="N281" s="31">
        <v>2</v>
      </c>
      <c r="O281" s="909" t="s">
        <v>334</v>
      </c>
      <c r="P281" s="909"/>
      <c r="Q281" s="13" t="s">
        <v>335</v>
      </c>
      <c r="R281" s="908" t="s">
        <v>285</v>
      </c>
      <c r="S281" s="908"/>
      <c r="T281" s="13"/>
      <c r="U281" s="13"/>
      <c r="V281" s="13"/>
      <c r="W281" s="13"/>
      <c r="X281" s="13"/>
      <c r="Y281" s="13"/>
      <c r="Z281" s="13"/>
      <c r="AA281" s="13"/>
      <c r="AB281" s="13"/>
      <c r="AC281" s="13"/>
      <c r="AD281" s="13"/>
      <c r="AE281" s="13"/>
      <c r="AF281" s="13"/>
      <c r="AG281" s="13"/>
      <c r="AH281" s="13"/>
      <c r="AI281" s="15"/>
      <c r="AJ281" s="15"/>
    </row>
    <row r="282" spans="4:36">
      <c r="D282" s="12"/>
      <c r="E282" s="13"/>
      <c r="F282" s="12"/>
      <c r="G282" s="13"/>
      <c r="H282" s="13"/>
      <c r="I282" s="13"/>
      <c r="J282" s="13"/>
      <c r="K282" s="892" t="s">
        <v>334</v>
      </c>
      <c r="L282" s="892"/>
      <c r="M282" s="13" t="s">
        <v>336</v>
      </c>
      <c r="N282" s="13"/>
      <c r="O282" s="13"/>
      <c r="P282" s="13"/>
      <c r="Q282" s="13"/>
      <c r="R282" s="13"/>
      <c r="S282" s="13"/>
      <c r="T282" s="13"/>
      <c r="U282" s="13"/>
      <c r="V282" s="892" t="s">
        <v>334</v>
      </c>
      <c r="W282" s="892"/>
      <c r="X282" s="13" t="s">
        <v>2</v>
      </c>
      <c r="Y282" s="458">
        <f>'1.設計条件'!Q57</f>
        <v>350</v>
      </c>
      <c r="Z282" s="458"/>
      <c r="AA282" s="13" t="s">
        <v>27</v>
      </c>
      <c r="AB282" s="458">
        <f>'1.設計条件'!Q59</f>
        <v>19</v>
      </c>
      <c r="AC282" s="458"/>
      <c r="AD282" s="13" t="s">
        <v>2</v>
      </c>
      <c r="AE282" s="471">
        <f>Y282*AB282</f>
        <v>6650</v>
      </c>
      <c r="AF282" s="472"/>
      <c r="AG282" s="907"/>
      <c r="AH282" s="13"/>
      <c r="AI282" s="15"/>
      <c r="AJ282" s="15"/>
    </row>
    <row r="283" spans="4:36">
      <c r="D283" s="12"/>
      <c r="E283" s="13"/>
      <c r="F283" s="12"/>
      <c r="G283" s="13"/>
      <c r="H283" s="13"/>
      <c r="I283" s="13"/>
      <c r="J283" s="13"/>
      <c r="K283" s="892" t="s">
        <v>285</v>
      </c>
      <c r="L283" s="892"/>
      <c r="M283" s="596" t="s">
        <v>349</v>
      </c>
      <c r="N283" s="596"/>
      <c r="O283" s="596"/>
      <c r="P283" s="596"/>
      <c r="Q283" s="596"/>
      <c r="R283" s="596"/>
      <c r="S283" s="892" t="s">
        <v>285</v>
      </c>
      <c r="T283" s="892"/>
      <c r="U283" s="13" t="s">
        <v>2</v>
      </c>
      <c r="V283" s="13" t="s">
        <v>69</v>
      </c>
      <c r="W283" s="458">
        <f>'1.設計条件'!Q56</f>
        <v>350</v>
      </c>
      <c r="X283" s="458"/>
      <c r="Y283" s="13" t="s">
        <v>263</v>
      </c>
      <c r="Z283" s="31">
        <v>2</v>
      </c>
      <c r="AA283" s="13" t="s">
        <v>27</v>
      </c>
      <c r="AB283" s="31">
        <f>'1.設計条件'!Q59</f>
        <v>19</v>
      </c>
      <c r="AC283" s="13" t="s">
        <v>83</v>
      </c>
      <c r="AD283" s="13" t="s">
        <v>27</v>
      </c>
      <c r="AE283" s="31">
        <f>'1.設計条件'!Q58</f>
        <v>12</v>
      </c>
      <c r="AF283" s="31" t="s">
        <v>2</v>
      </c>
      <c r="AG283" s="471">
        <f>(W283-Z283*AB283)*AE283</f>
        <v>3744</v>
      </c>
      <c r="AH283" s="472"/>
      <c r="AI283" s="473"/>
      <c r="AJ283" s="15"/>
    </row>
    <row r="284" spans="4:36">
      <c r="D284" s="12"/>
      <c r="E284" s="13"/>
      <c r="F284" s="12"/>
      <c r="G284" s="13"/>
      <c r="H284" s="13"/>
      <c r="I284" s="13"/>
      <c r="J284" s="13"/>
      <c r="K284" s="156"/>
      <c r="L284" s="156"/>
      <c r="M284" s="57"/>
      <c r="N284" s="57"/>
      <c r="O284" s="57"/>
      <c r="P284" s="57"/>
      <c r="Q284" s="57"/>
      <c r="R284" s="57"/>
      <c r="S284" s="156"/>
      <c r="T284" s="156"/>
      <c r="U284" s="13"/>
      <c r="V284" s="13"/>
      <c r="W284" s="27"/>
      <c r="X284" s="27"/>
      <c r="Y284" s="13"/>
      <c r="Z284" s="31"/>
      <c r="AA284" s="13"/>
      <c r="AB284" s="31"/>
      <c r="AC284" s="13"/>
      <c r="AD284" s="13"/>
      <c r="AE284" s="31"/>
      <c r="AF284" s="31"/>
      <c r="AG284" s="27"/>
      <c r="AH284" s="27"/>
      <c r="AI284" s="177"/>
      <c r="AJ284" s="15"/>
    </row>
    <row r="285" spans="4:36">
      <c r="D285" s="12"/>
      <c r="E285" s="13"/>
      <c r="F285" s="12"/>
      <c r="G285" s="13"/>
      <c r="H285" s="13"/>
      <c r="I285" s="13"/>
      <c r="J285" s="35"/>
      <c r="K285" s="436" t="s">
        <v>359</v>
      </c>
      <c r="L285" s="436"/>
      <c r="M285" s="13" t="s">
        <v>360</v>
      </c>
      <c r="N285" s="13"/>
      <c r="O285" s="13"/>
      <c r="P285" s="13"/>
      <c r="Q285" s="13"/>
      <c r="R285" s="27"/>
      <c r="S285" s="27"/>
      <c r="T285" s="13"/>
      <c r="U285" s="13"/>
      <c r="V285" s="13"/>
      <c r="W285" s="13"/>
      <c r="X285" s="13"/>
      <c r="Y285" s="13"/>
      <c r="Z285" s="13"/>
      <c r="AA285" s="13"/>
      <c r="AB285" s="13"/>
      <c r="AC285" s="13"/>
      <c r="AD285" s="13"/>
      <c r="AE285" s="31"/>
      <c r="AF285" s="31"/>
      <c r="AG285" s="27"/>
      <c r="AH285" s="27"/>
      <c r="AI285" s="177"/>
      <c r="AJ285" s="15"/>
    </row>
    <row r="286" spans="4:36">
      <c r="D286" s="12"/>
      <c r="E286" s="13"/>
      <c r="F286" s="12"/>
      <c r="G286" s="13"/>
      <c r="H286" s="13"/>
      <c r="I286" s="13"/>
      <c r="J286" s="35"/>
      <c r="K286" s="35"/>
      <c r="L286" s="436" t="s">
        <v>359</v>
      </c>
      <c r="M286" s="436"/>
      <c r="N286" s="13" t="s">
        <v>2</v>
      </c>
      <c r="O286" s="437">
        <f>P57</f>
        <v>3.5</v>
      </c>
      <c r="P286" s="439"/>
      <c r="Q286" s="37" t="s">
        <v>3</v>
      </c>
      <c r="R286" s="13"/>
      <c r="S286" s="31" t="s">
        <v>351</v>
      </c>
      <c r="T286" s="13"/>
      <c r="U286" s="13"/>
      <c r="V286" s="13"/>
      <c r="W286" s="13"/>
      <c r="X286"/>
      <c r="Y286" s="13"/>
      <c r="Z286" s="13"/>
      <c r="AA286" s="13"/>
      <c r="AB286" s="13"/>
      <c r="AC286" s="13"/>
      <c r="AD286" s="13"/>
      <c r="AE286" s="31"/>
      <c r="AF286" s="31"/>
      <c r="AG286" s="27"/>
      <c r="AH286" s="27"/>
      <c r="AI286" s="177"/>
      <c r="AJ286" s="15"/>
    </row>
    <row r="287" spans="4:36">
      <c r="D287" s="12"/>
      <c r="E287" s="13"/>
      <c r="F287" s="12"/>
      <c r="G287" s="13"/>
      <c r="H287" s="13"/>
      <c r="I287" s="13"/>
      <c r="J287" s="35"/>
      <c r="K287" s="35"/>
      <c r="L287" s="14"/>
      <c r="M287" s="14"/>
      <c r="N287" s="13"/>
      <c r="O287" s="14"/>
      <c r="P287" s="14"/>
      <c r="Q287" s="37"/>
      <c r="R287" s="13"/>
      <c r="S287" s="31"/>
      <c r="T287" s="13"/>
      <c r="U287" s="13"/>
      <c r="V287" s="13"/>
      <c r="W287" s="13"/>
      <c r="X287"/>
      <c r="Y287" s="13"/>
      <c r="Z287" s="13"/>
      <c r="AA287" s="13"/>
      <c r="AB287" s="13"/>
      <c r="AC287" s="13"/>
      <c r="AD287" s="13"/>
      <c r="AE287" s="31"/>
      <c r="AF287" s="31"/>
      <c r="AG287" s="27"/>
      <c r="AH287" s="27"/>
      <c r="AI287" s="177"/>
      <c r="AJ287" s="15"/>
    </row>
    <row r="288" spans="4:36">
      <c r="D288" s="12"/>
      <c r="E288" s="13"/>
      <c r="F288" s="12"/>
      <c r="G288" s="13"/>
      <c r="H288" s="13"/>
      <c r="I288" s="13"/>
      <c r="J288" s="35"/>
      <c r="K288" s="13" t="s">
        <v>361</v>
      </c>
      <c r="L288" s="13"/>
      <c r="M288" s="13"/>
      <c r="N288" s="13"/>
      <c r="O288" s="13"/>
      <c r="P288" s="13"/>
      <c r="Q288" s="34"/>
      <c r="R288" s="13"/>
      <c r="S288" s="31"/>
      <c r="T288" s="13"/>
      <c r="U288" s="13"/>
      <c r="V288" s="13"/>
      <c r="W288" s="13"/>
      <c r="X288"/>
      <c r="Y288" s="13"/>
      <c r="Z288" s="13"/>
      <c r="AA288" s="13"/>
      <c r="AB288" s="13"/>
      <c r="AC288" s="13"/>
      <c r="AD288" s="13"/>
      <c r="AE288" s="31"/>
      <c r="AF288" s="31"/>
      <c r="AG288" s="27"/>
      <c r="AH288" s="27"/>
      <c r="AI288" s="177"/>
      <c r="AJ288" s="15"/>
    </row>
    <row r="289" spans="4:36" ht="20.25">
      <c r="D289" s="12"/>
      <c r="E289" s="13"/>
      <c r="F289" s="12"/>
      <c r="G289" s="13"/>
      <c r="H289" s="13"/>
      <c r="I289" s="13"/>
      <c r="J289" s="35"/>
      <c r="K289" s="451" t="s">
        <v>358</v>
      </c>
      <c r="L289" s="451"/>
      <c r="M289" s="449" t="s">
        <v>2</v>
      </c>
      <c r="N289" s="452">
        <f>O286</f>
        <v>3.5</v>
      </c>
      <c r="O289" s="452"/>
      <c r="P289" s="17" t="s">
        <v>27</v>
      </c>
      <c r="Q289" s="889">
        <v>1000</v>
      </c>
      <c r="R289" s="889"/>
      <c r="S289" s="889"/>
      <c r="T289" s="13"/>
      <c r="U289" s="449" t="s">
        <v>2</v>
      </c>
      <c r="V289" s="554">
        <f>N289*Q289/P290</f>
        <v>10</v>
      </c>
      <c r="W289" s="555"/>
      <c r="X289"/>
      <c r="Y289" s="13"/>
      <c r="Z289" s="13"/>
      <c r="AA289" s="13"/>
      <c r="AB289" s="13"/>
      <c r="AC289" s="13"/>
      <c r="AD289" s="13"/>
      <c r="AE289" s="31"/>
      <c r="AF289" s="31"/>
      <c r="AG289" s="27"/>
      <c r="AH289" s="27"/>
      <c r="AI289" s="177"/>
      <c r="AJ289" s="15"/>
    </row>
    <row r="290" spans="4:36">
      <c r="D290" s="12"/>
      <c r="E290" s="13"/>
      <c r="F290" s="12"/>
      <c r="G290" s="13"/>
      <c r="H290" s="13"/>
      <c r="I290" s="13"/>
      <c r="J290" s="35"/>
      <c r="K290" s="467" t="s">
        <v>195</v>
      </c>
      <c r="L290" s="467"/>
      <c r="M290" s="449"/>
      <c r="N290" s="13"/>
      <c r="O290" s="13"/>
      <c r="P290" s="888">
        <f>'1.設計条件'!Q57</f>
        <v>350</v>
      </c>
      <c r="Q290" s="888"/>
      <c r="R290" s="145"/>
      <c r="S290" s="145"/>
      <c r="T290" s="13"/>
      <c r="U290" s="449"/>
      <c r="V290" s="556"/>
      <c r="W290" s="557"/>
      <c r="X290"/>
      <c r="Y290" s="13"/>
      <c r="Z290" s="13"/>
      <c r="AA290" s="13"/>
      <c r="AB290" s="13"/>
      <c r="AC290" s="13"/>
      <c r="AD290" s="13"/>
      <c r="AE290" s="31"/>
      <c r="AF290" s="31"/>
      <c r="AG290" s="27"/>
      <c r="AH290" s="27"/>
      <c r="AI290" s="177"/>
      <c r="AJ290" s="15"/>
    </row>
    <row r="291" spans="4:36">
      <c r="D291" s="12"/>
      <c r="E291" s="13"/>
      <c r="F291" s="12"/>
      <c r="G291" s="13"/>
      <c r="H291" s="13"/>
      <c r="I291" s="13"/>
      <c r="J291" s="35"/>
      <c r="K291" s="35"/>
      <c r="L291" s="34"/>
      <c r="M291" s="28"/>
      <c r="N291" s="147"/>
      <c r="O291" s="147"/>
      <c r="P291" s="13"/>
      <c r="Q291" s="157"/>
      <c r="R291" s="157"/>
      <c r="S291" s="157"/>
      <c r="T291" s="13"/>
      <c r="U291" s="28"/>
      <c r="V291" s="28"/>
      <c r="W291" s="28"/>
      <c r="X291"/>
      <c r="Y291" s="13"/>
      <c r="Z291" s="13"/>
      <c r="AA291" s="13"/>
      <c r="AB291" s="13"/>
      <c r="AC291" s="13"/>
      <c r="AD291" s="13"/>
      <c r="AE291" s="31"/>
      <c r="AF291" s="31"/>
      <c r="AG291" s="27"/>
      <c r="AH291" s="27"/>
      <c r="AI291" s="177"/>
      <c r="AJ291" s="15"/>
    </row>
    <row r="292" spans="4:36">
      <c r="D292" s="12"/>
      <c r="E292" s="13"/>
      <c r="F292" s="12"/>
      <c r="G292" s="13"/>
      <c r="H292" s="13"/>
      <c r="I292" s="433" t="s">
        <v>362</v>
      </c>
      <c r="J292" s="433"/>
      <c r="K292" s="433"/>
      <c r="L292" s="433"/>
      <c r="M292" s="433"/>
      <c r="N292" s="433"/>
      <c r="O292" s="433"/>
      <c r="P292" s="433"/>
      <c r="Q292" s="433"/>
      <c r="R292" s="433"/>
      <c r="S292" s="380">
        <v>4.5</v>
      </c>
      <c r="T292" s="380"/>
      <c r="U292" s="13" t="s">
        <v>353</v>
      </c>
      <c r="V292" s="449" t="s">
        <v>363</v>
      </c>
      <c r="W292" s="449"/>
      <c r="X292" s="13" t="s">
        <v>326</v>
      </c>
      <c r="Y292" s="458">
        <v>30</v>
      </c>
      <c r="Z292" s="458"/>
      <c r="AA292" s="33" t="s">
        <v>355</v>
      </c>
      <c r="AB292"/>
      <c r="AC292" s="13" t="s">
        <v>416</v>
      </c>
      <c r="AD292" s="13"/>
      <c r="AE292" s="13"/>
      <c r="AF292" s="13"/>
      <c r="AG292" s="27"/>
      <c r="AH292" s="27"/>
      <c r="AI292" s="177"/>
      <c r="AJ292" s="15"/>
    </row>
    <row r="293" spans="4:36">
      <c r="D293" s="12"/>
      <c r="E293" s="13"/>
      <c r="F293" s="12"/>
      <c r="G293" s="13"/>
      <c r="H293" s="465" t="s">
        <v>322</v>
      </c>
      <c r="I293" s="465"/>
      <c r="J293" s="32" t="s">
        <v>2</v>
      </c>
      <c r="K293" s="148" t="s">
        <v>364</v>
      </c>
      <c r="L293" s="890">
        <v>140</v>
      </c>
      <c r="M293" s="890"/>
      <c r="N293" s="148" t="s">
        <v>263</v>
      </c>
      <c r="O293" s="433">
        <v>2.4</v>
      </c>
      <c r="P293" s="433"/>
      <c r="Q293" s="148" t="s">
        <v>69</v>
      </c>
      <c r="R293" s="436" t="s">
        <v>359</v>
      </c>
      <c r="S293" s="436"/>
      <c r="T293" s="147" t="s">
        <v>70</v>
      </c>
      <c r="U293" s="34" t="s">
        <v>195</v>
      </c>
      <c r="V293" s="13" t="s">
        <v>263</v>
      </c>
      <c r="W293" s="449">
        <v>4.5</v>
      </c>
      <c r="X293" s="449"/>
      <c r="Y293" s="27" t="s">
        <v>365</v>
      </c>
      <c r="Z293" s="27" t="s">
        <v>27</v>
      </c>
      <c r="AA293" s="449">
        <v>1.5</v>
      </c>
      <c r="AB293" s="449"/>
      <c r="AC293" s="13"/>
      <c r="AD293" s="13"/>
      <c r="AE293" s="13"/>
      <c r="AF293" s="13"/>
      <c r="AG293" s="27"/>
      <c r="AH293" s="27"/>
      <c r="AI293" s="177"/>
      <c r="AJ293" s="15"/>
    </row>
    <row r="294" spans="4:36">
      <c r="D294" s="12"/>
      <c r="E294" s="13"/>
      <c r="F294" s="12"/>
      <c r="G294" s="13"/>
      <c r="H294" s="164"/>
      <c r="I294" s="164"/>
      <c r="J294" s="32" t="s">
        <v>2</v>
      </c>
      <c r="K294" s="148" t="s">
        <v>364</v>
      </c>
      <c r="L294" s="890">
        <v>140</v>
      </c>
      <c r="M294" s="890"/>
      <c r="N294" s="148" t="s">
        <v>263</v>
      </c>
      <c r="O294" s="433">
        <v>2.4</v>
      </c>
      <c r="P294" s="433"/>
      <c r="Q294" s="148" t="s">
        <v>69</v>
      </c>
      <c r="R294" s="436">
        <f>V289</f>
        <v>10</v>
      </c>
      <c r="S294" s="436"/>
      <c r="T294" s="436"/>
      <c r="U294" s="436"/>
      <c r="V294" s="13" t="s">
        <v>263</v>
      </c>
      <c r="W294" s="449">
        <v>4.5</v>
      </c>
      <c r="X294" s="449"/>
      <c r="Y294" s="27" t="s">
        <v>365</v>
      </c>
      <c r="Z294" s="27" t="s">
        <v>27</v>
      </c>
      <c r="AA294" s="449">
        <v>1.5</v>
      </c>
      <c r="AB294" s="449"/>
      <c r="AC294" s="13"/>
      <c r="AD294" s="13"/>
      <c r="AE294" s="13"/>
      <c r="AF294" s="13"/>
      <c r="AG294" s="27"/>
      <c r="AH294" s="27"/>
      <c r="AI294" s="177"/>
      <c r="AJ294" s="15"/>
    </row>
    <row r="295" spans="4:36" ht="20.25">
      <c r="D295" s="12"/>
      <c r="E295" s="13"/>
      <c r="F295" s="12"/>
      <c r="G295" s="13"/>
      <c r="H295" s="13"/>
      <c r="I295" s="148"/>
      <c r="J295" s="32" t="s">
        <v>2</v>
      </c>
      <c r="K295" s="885">
        <f>(L294-O294*(R294-W294))*AA294</f>
        <v>190.2</v>
      </c>
      <c r="L295" s="886"/>
      <c r="M295" s="887"/>
      <c r="N295" s="163" t="s">
        <v>48</v>
      </c>
      <c r="O295" s="148"/>
      <c r="P295" s="148"/>
      <c r="Q295" s="148"/>
      <c r="R295" s="148"/>
      <c r="S295" s="147"/>
      <c r="T295" s="147"/>
      <c r="U295" s="13"/>
      <c r="V295" s="28"/>
      <c r="W295" s="28"/>
      <c r="X295" s="13"/>
      <c r="Y295" s="27"/>
      <c r="Z295" s="27"/>
      <c r="AA295" s="33"/>
      <c r="AB295"/>
      <c r="AC295" s="13"/>
      <c r="AD295" s="13"/>
      <c r="AE295" s="13"/>
      <c r="AF295" s="13"/>
      <c r="AG295" s="27"/>
      <c r="AH295" s="27"/>
      <c r="AI295" s="177"/>
      <c r="AJ295" s="15"/>
    </row>
    <row r="296" spans="4:36">
      <c r="D296" s="12"/>
      <c r="E296" s="13"/>
      <c r="F296" s="16"/>
      <c r="G296" s="17"/>
      <c r="H296" s="17"/>
      <c r="I296" s="178"/>
      <c r="J296" s="179"/>
      <c r="K296" s="178"/>
      <c r="L296" s="178"/>
      <c r="M296" s="178"/>
      <c r="N296" s="176"/>
      <c r="O296" s="178"/>
      <c r="P296" s="178"/>
      <c r="Q296" s="178"/>
      <c r="R296" s="178"/>
      <c r="S296" s="162"/>
      <c r="T296" s="162"/>
      <c r="U296" s="17"/>
      <c r="V296" s="169"/>
      <c r="W296" s="169"/>
      <c r="X296" s="17"/>
      <c r="Y296" s="152"/>
      <c r="Z296" s="152"/>
      <c r="AA296" s="180"/>
      <c r="AB296" s="25"/>
      <c r="AC296" s="17"/>
      <c r="AD296" s="17"/>
      <c r="AE296" s="17"/>
      <c r="AF296" s="17"/>
      <c r="AG296" s="152"/>
      <c r="AH296" s="152"/>
      <c r="AI296" s="181"/>
      <c r="AJ296" s="15"/>
    </row>
    <row r="297" spans="4:36">
      <c r="D297" s="12"/>
      <c r="E297" s="13"/>
      <c r="F297" s="13"/>
      <c r="G297" s="13"/>
      <c r="H297" s="13"/>
      <c r="I297" s="148"/>
      <c r="J297" s="32"/>
      <c r="K297" s="148"/>
      <c r="L297" s="148"/>
      <c r="M297" s="148"/>
      <c r="N297" s="163"/>
      <c r="O297" s="148"/>
      <c r="P297" s="148"/>
      <c r="Q297" s="148"/>
      <c r="R297" s="148"/>
      <c r="S297" s="147"/>
      <c r="T297" s="147"/>
      <c r="U297" s="13"/>
      <c r="V297" s="28"/>
      <c r="W297" s="28"/>
      <c r="X297" s="13"/>
      <c r="Y297" s="27"/>
      <c r="Z297" s="27"/>
      <c r="AA297" s="33"/>
      <c r="AB297"/>
      <c r="AC297" s="13"/>
      <c r="AD297" s="13"/>
      <c r="AE297" s="13"/>
      <c r="AF297" s="13"/>
      <c r="AG297" s="27"/>
      <c r="AH297" s="27"/>
      <c r="AI297" s="27"/>
      <c r="AJ297" s="15"/>
    </row>
    <row r="298" spans="4:36">
      <c r="D298" s="12"/>
      <c r="E298" s="13"/>
      <c r="F298" s="13"/>
      <c r="G298" s="13"/>
      <c r="H298" s="13"/>
      <c r="I298" s="148"/>
      <c r="J298" s="148"/>
      <c r="K298" s="148"/>
      <c r="L298" s="148"/>
      <c r="M298" s="148"/>
      <c r="N298" s="148"/>
      <c r="O298" s="148"/>
      <c r="P298" s="148"/>
      <c r="Q298" s="148"/>
      <c r="R298" s="148"/>
      <c r="S298" s="147"/>
      <c r="T298" s="147"/>
      <c r="U298" s="13"/>
      <c r="V298" s="28"/>
      <c r="W298" s="28"/>
      <c r="X298" s="13"/>
      <c r="Y298" s="27"/>
      <c r="Z298" s="27"/>
      <c r="AA298" s="33"/>
      <c r="AB298"/>
      <c r="AC298" s="13"/>
      <c r="AD298" s="13"/>
      <c r="AE298" s="13"/>
      <c r="AF298" s="13"/>
      <c r="AG298" s="27"/>
      <c r="AH298" s="27"/>
      <c r="AI298" s="27"/>
      <c r="AJ298" s="15"/>
    </row>
    <row r="299" spans="4:36">
      <c r="D299" s="12"/>
      <c r="E299" s="13"/>
      <c r="F299" s="9"/>
      <c r="G299" s="10"/>
      <c r="H299" s="467" t="s">
        <v>324</v>
      </c>
      <c r="I299" s="467"/>
      <c r="J299" s="10" t="s">
        <v>339</v>
      </c>
      <c r="K299" s="10"/>
      <c r="L299" s="10"/>
      <c r="M299" s="10"/>
      <c r="N299" s="10"/>
      <c r="O299" s="10"/>
      <c r="P299" s="10"/>
      <c r="Q299" s="10"/>
      <c r="R299" s="10"/>
      <c r="S299" s="10"/>
      <c r="T299" s="10"/>
      <c r="U299" s="10"/>
      <c r="V299" s="10"/>
      <c r="W299" s="10"/>
      <c r="X299" s="3"/>
      <c r="Y299" s="10"/>
      <c r="Z299" s="10"/>
      <c r="AA299" s="10"/>
      <c r="AB299" s="10"/>
      <c r="AC299" s="10"/>
      <c r="AD299" s="10"/>
      <c r="AE299" s="10"/>
      <c r="AF299" s="10"/>
      <c r="AG299" s="10"/>
      <c r="AH299" s="10"/>
      <c r="AI299" s="11"/>
      <c r="AJ299" s="15"/>
    </row>
    <row r="300" spans="4:36" ht="20.25">
      <c r="D300" s="12"/>
      <c r="E300" s="13"/>
      <c r="F300" s="12"/>
      <c r="G300" s="13"/>
      <c r="H300" s="13"/>
      <c r="I300" s="13"/>
      <c r="J300" s="360" t="s">
        <v>324</v>
      </c>
      <c r="K300" s="360"/>
      <c r="L300" s="13" t="s">
        <v>2</v>
      </c>
      <c r="M300" s="374">
        <v>210</v>
      </c>
      <c r="N300" s="376"/>
      <c r="O300" s="13" t="s">
        <v>48</v>
      </c>
      <c r="P300" s="13"/>
      <c r="Q300" s="13"/>
      <c r="R300" s="13" t="s">
        <v>340</v>
      </c>
      <c r="S300" s="13"/>
      <c r="T300" s="13"/>
      <c r="U300" s="13"/>
      <c r="V300" s="13"/>
      <c r="W300" s="13"/>
      <c r="X300"/>
      <c r="Y300" s="13"/>
      <c r="Z300" s="13"/>
      <c r="AA300" s="13"/>
      <c r="AB300" s="13"/>
      <c r="AC300" s="13"/>
      <c r="AD300" s="13"/>
      <c r="AE300" s="13"/>
      <c r="AF300" s="13"/>
      <c r="AG300" s="13"/>
      <c r="AH300" s="13"/>
      <c r="AI300" s="15"/>
      <c r="AJ300" s="15"/>
    </row>
    <row r="301" spans="4:36">
      <c r="D301" s="12"/>
      <c r="E301" s="13"/>
      <c r="F301" s="16"/>
      <c r="G301" s="17"/>
      <c r="H301" s="17"/>
      <c r="I301" s="17"/>
      <c r="J301" s="151"/>
      <c r="K301" s="151"/>
      <c r="L301" s="17"/>
      <c r="M301" s="182"/>
      <c r="N301" s="182"/>
      <c r="O301" s="17"/>
      <c r="P301" s="17"/>
      <c r="Q301" s="17"/>
      <c r="R301" s="17"/>
      <c r="S301" s="17"/>
      <c r="T301" s="17"/>
      <c r="U301" s="17"/>
      <c r="V301" s="17"/>
      <c r="W301" s="17"/>
      <c r="X301" s="25"/>
      <c r="Y301" s="17"/>
      <c r="Z301" s="17"/>
      <c r="AA301" s="17"/>
      <c r="AB301" s="17"/>
      <c r="AC301" s="17"/>
      <c r="AD301" s="17"/>
      <c r="AE301" s="17"/>
      <c r="AF301" s="17"/>
      <c r="AG301" s="17"/>
      <c r="AH301" s="17"/>
      <c r="AI301" s="19"/>
      <c r="AJ301" s="15"/>
    </row>
    <row r="302" spans="4:36">
      <c r="D302" s="12"/>
      <c r="E302" s="13"/>
      <c r="F302" s="13"/>
      <c r="G302" s="13"/>
      <c r="H302" s="13"/>
      <c r="I302" s="13"/>
      <c r="J302" s="35"/>
      <c r="K302" s="35"/>
      <c r="L302" s="13"/>
      <c r="M302" s="146"/>
      <c r="N302" s="146"/>
      <c r="O302" s="13"/>
      <c r="P302" s="13"/>
      <c r="Q302" s="13"/>
      <c r="R302" s="13"/>
      <c r="S302" s="13"/>
      <c r="T302" s="13"/>
      <c r="U302" s="13"/>
      <c r="V302" s="13"/>
      <c r="W302" s="13"/>
      <c r="X302"/>
      <c r="Y302" s="13"/>
      <c r="Z302" s="13"/>
      <c r="AA302" s="13"/>
      <c r="AB302" s="13"/>
      <c r="AC302" s="13"/>
      <c r="AD302" s="13"/>
      <c r="AE302" s="13"/>
      <c r="AF302" s="13"/>
      <c r="AG302" s="13"/>
      <c r="AH302" s="13"/>
      <c r="AI302" s="13"/>
      <c r="AJ302" s="15"/>
    </row>
    <row r="303" spans="4:36">
      <c r="D303" s="12"/>
      <c r="E303" s="13"/>
      <c r="F303" s="13"/>
      <c r="G303" s="13"/>
      <c r="H303" s="13"/>
      <c r="I303" s="13"/>
      <c r="J303" s="13"/>
      <c r="K303" s="13"/>
      <c r="L303" s="13"/>
      <c r="M303" s="13"/>
      <c r="N303" s="13"/>
      <c r="O303" s="13"/>
      <c r="P303" s="13"/>
      <c r="Q303" s="13"/>
      <c r="R303" s="13"/>
      <c r="S303" s="13"/>
      <c r="T303" s="13"/>
      <c r="U303" s="13"/>
      <c r="V303" s="13"/>
      <c r="W303" s="13"/>
      <c r="X303"/>
      <c r="Y303" s="13"/>
      <c r="Z303" s="13"/>
      <c r="AA303" s="13"/>
      <c r="AB303" s="13"/>
      <c r="AC303" s="13"/>
      <c r="AD303" s="13"/>
      <c r="AE303" s="13"/>
      <c r="AF303" s="13"/>
      <c r="AG303" s="13"/>
      <c r="AH303" s="13"/>
      <c r="AI303" s="13"/>
      <c r="AJ303" s="15"/>
    </row>
    <row r="304" spans="4:36">
      <c r="D304" s="12"/>
      <c r="E304" s="13"/>
      <c r="F304" s="9"/>
      <c r="G304" s="10"/>
      <c r="H304" s="467" t="s">
        <v>366</v>
      </c>
      <c r="I304" s="467"/>
      <c r="J304" s="10" t="s">
        <v>367</v>
      </c>
      <c r="K304" s="10"/>
      <c r="L304" s="10"/>
      <c r="M304" s="10"/>
      <c r="N304" s="10"/>
      <c r="O304" s="10"/>
      <c r="P304" s="10"/>
      <c r="Q304" s="10"/>
      <c r="R304" s="10"/>
      <c r="S304" s="10"/>
      <c r="T304" s="10"/>
      <c r="U304" s="10"/>
      <c r="V304" s="10"/>
      <c r="W304" s="10"/>
      <c r="X304" s="3"/>
      <c r="Y304" s="10"/>
      <c r="Z304" s="10"/>
      <c r="AA304" s="10"/>
      <c r="AB304" s="10"/>
      <c r="AC304" s="10"/>
      <c r="AD304" s="10"/>
      <c r="AE304" s="10"/>
      <c r="AF304" s="10"/>
      <c r="AG304" s="10"/>
      <c r="AH304" s="10"/>
      <c r="AI304" s="11"/>
      <c r="AJ304" s="15"/>
    </row>
    <row r="305" spans="4:36" ht="20.25">
      <c r="D305" s="12"/>
      <c r="E305" s="13"/>
      <c r="F305" s="12"/>
      <c r="G305" s="13"/>
      <c r="H305" s="13"/>
      <c r="I305" s="13"/>
      <c r="J305" s="360" t="s">
        <v>366</v>
      </c>
      <c r="K305" s="360"/>
      <c r="L305" s="13" t="s">
        <v>2</v>
      </c>
      <c r="M305" s="374">
        <v>210</v>
      </c>
      <c r="N305" s="376"/>
      <c r="O305" s="13" t="s">
        <v>48</v>
      </c>
      <c r="P305" s="13"/>
      <c r="Q305" s="13"/>
      <c r="R305" s="13" t="s">
        <v>340</v>
      </c>
      <c r="S305" s="13"/>
      <c r="T305" s="13"/>
      <c r="U305" s="13"/>
      <c r="V305" s="13"/>
      <c r="W305" s="13"/>
      <c r="X305"/>
      <c r="Y305" s="13"/>
      <c r="Z305" s="13"/>
      <c r="AA305" s="13"/>
      <c r="AB305" s="13"/>
      <c r="AC305" s="13"/>
      <c r="AD305" s="13"/>
      <c r="AE305" s="13"/>
      <c r="AF305" s="13"/>
      <c r="AG305" s="13"/>
      <c r="AH305" s="13"/>
      <c r="AI305" s="15"/>
      <c r="AJ305" s="15"/>
    </row>
    <row r="306" spans="4:36">
      <c r="D306" s="12"/>
      <c r="E306" s="13"/>
      <c r="F306" s="16"/>
      <c r="G306" s="17"/>
      <c r="H306" s="17"/>
      <c r="I306" s="17"/>
      <c r="J306" s="17"/>
      <c r="K306" s="17" t="s">
        <v>330</v>
      </c>
      <c r="L306" s="17"/>
      <c r="M306" s="17"/>
      <c r="N306" s="123" t="s">
        <v>331</v>
      </c>
      <c r="O306" s="17" t="s">
        <v>326</v>
      </c>
      <c r="P306" s="451">
        <v>13.1</v>
      </c>
      <c r="Q306" s="451"/>
      <c r="R306" s="123" t="s">
        <v>332</v>
      </c>
      <c r="S306" s="17" t="s">
        <v>315</v>
      </c>
      <c r="T306" s="17"/>
      <c r="U306" s="17"/>
      <c r="V306" s="17"/>
      <c r="W306" s="17"/>
      <c r="X306" s="25"/>
      <c r="Y306" s="17"/>
      <c r="Z306" s="17"/>
      <c r="AA306" s="17"/>
      <c r="AB306" s="17"/>
      <c r="AC306" s="17"/>
      <c r="AD306" s="17"/>
      <c r="AE306" s="17"/>
      <c r="AF306" s="17"/>
      <c r="AG306" s="17"/>
      <c r="AH306" s="17"/>
      <c r="AI306" s="19"/>
      <c r="AJ306" s="15"/>
    </row>
    <row r="307" spans="4:36">
      <c r="D307" s="12"/>
      <c r="E307" s="13"/>
      <c r="F307" s="13"/>
      <c r="G307" s="13"/>
      <c r="H307" s="13"/>
      <c r="I307" s="13"/>
      <c r="J307" s="13"/>
      <c r="K307" s="13"/>
      <c r="L307" s="13"/>
      <c r="M307" s="13"/>
      <c r="N307" s="34"/>
      <c r="O307" s="13"/>
      <c r="P307" s="14"/>
      <c r="Q307" s="14"/>
      <c r="R307" s="34"/>
      <c r="S307" s="13"/>
      <c r="T307" s="13"/>
      <c r="U307" s="13"/>
      <c r="V307" s="13"/>
      <c r="W307" s="13"/>
      <c r="X307"/>
      <c r="Y307" s="13"/>
      <c r="Z307" s="13"/>
      <c r="AA307" s="13"/>
      <c r="AB307" s="13"/>
      <c r="AC307" s="13"/>
      <c r="AD307" s="13"/>
      <c r="AE307" s="13"/>
      <c r="AF307" s="13"/>
      <c r="AG307" s="13"/>
      <c r="AH307" s="13"/>
      <c r="AI307" s="13"/>
      <c r="AJ307" s="15"/>
    </row>
    <row r="308" spans="4:36">
      <c r="D308" s="12"/>
      <c r="E308" s="13"/>
      <c r="F308" s="13"/>
      <c r="G308" s="13"/>
      <c r="H308" s="13"/>
      <c r="I308" s="13"/>
      <c r="J308" s="13"/>
      <c r="K308" s="13"/>
      <c r="L308" s="13"/>
      <c r="M308" s="13"/>
      <c r="N308" s="34"/>
      <c r="O308" s="13"/>
      <c r="P308" s="14"/>
      <c r="Q308" s="14"/>
      <c r="R308" s="34"/>
      <c r="S308" s="13"/>
      <c r="T308" s="13"/>
      <c r="U308" s="13"/>
      <c r="V308" s="13"/>
      <c r="W308" s="13"/>
      <c r="X308"/>
      <c r="Y308" s="13"/>
      <c r="Z308" s="13"/>
      <c r="AA308" s="13"/>
      <c r="AB308" s="13"/>
      <c r="AC308" s="13"/>
      <c r="AD308" s="13"/>
      <c r="AE308" s="13"/>
      <c r="AF308" s="13"/>
      <c r="AG308" s="13"/>
      <c r="AH308" s="13"/>
      <c r="AI308" s="13"/>
      <c r="AJ308" s="15"/>
    </row>
    <row r="309" spans="4:36" ht="20.25">
      <c r="D309" s="12"/>
      <c r="E309" s="13"/>
      <c r="F309" s="856" t="s">
        <v>321</v>
      </c>
      <c r="G309" s="857"/>
      <c r="H309" s="858" t="s">
        <v>341</v>
      </c>
      <c r="I309" s="858"/>
      <c r="J309" s="10" t="s">
        <v>417</v>
      </c>
      <c r="K309" s="10"/>
      <c r="L309" s="10"/>
      <c r="M309" s="10"/>
      <c r="N309" s="10"/>
      <c r="O309" s="10"/>
      <c r="P309" s="10"/>
      <c r="Q309" s="10"/>
      <c r="R309" s="10"/>
      <c r="S309" s="10"/>
      <c r="T309" s="10"/>
      <c r="U309" s="10"/>
      <c r="V309" s="10"/>
      <c r="W309" s="10"/>
      <c r="X309" s="3"/>
      <c r="Y309" s="10"/>
      <c r="Z309" s="10"/>
      <c r="AA309" s="10"/>
      <c r="AB309" s="10"/>
      <c r="AC309" s="10"/>
      <c r="AD309" s="10"/>
      <c r="AE309" s="10"/>
      <c r="AF309" s="10"/>
      <c r="AG309" s="10"/>
      <c r="AH309" s="10"/>
      <c r="AI309" s="11"/>
      <c r="AJ309" s="15"/>
    </row>
    <row r="310" spans="4:36">
      <c r="D310" s="12"/>
      <c r="E310" s="13"/>
      <c r="F310" s="12"/>
      <c r="G310" s="13"/>
      <c r="H310" s="13"/>
      <c r="I310" s="13"/>
      <c r="J310" s="465" t="s">
        <v>321</v>
      </c>
      <c r="K310" s="465"/>
      <c r="L310" s="449" t="s">
        <v>2</v>
      </c>
      <c r="M310" s="867">
        <v>1200000</v>
      </c>
      <c r="N310" s="867"/>
      <c r="O310" s="867"/>
      <c r="P310" s="867"/>
      <c r="Q310" s="867"/>
      <c r="R310" s="13"/>
      <c r="S310" s="449" t="s">
        <v>2</v>
      </c>
      <c r="T310" s="867">
        <v>1200000</v>
      </c>
      <c r="U310" s="867"/>
      <c r="V310" s="867"/>
      <c r="W310" s="867"/>
      <c r="X310" s="867"/>
      <c r="Y310" s="17"/>
      <c r="Z310" s="17"/>
      <c r="AA310" s="17"/>
      <c r="AB310" s="17"/>
      <c r="AC310" s="13"/>
      <c r="AD310" s="449" t="s">
        <v>2</v>
      </c>
      <c r="AE310" s="617">
        <f>T310</f>
        <v>1200000</v>
      </c>
      <c r="AF310" s="617"/>
      <c r="AG310" s="617"/>
      <c r="AH310" s="617"/>
      <c r="AI310" s="15"/>
      <c r="AJ310" s="15"/>
    </row>
    <row r="311" spans="4:36" ht="20.25">
      <c r="D311" s="12"/>
      <c r="E311" s="13"/>
      <c r="F311" s="12"/>
      <c r="G311" s="13"/>
      <c r="H311" s="13"/>
      <c r="I311" s="13"/>
      <c r="J311" s="465"/>
      <c r="K311" s="465"/>
      <c r="L311" s="449"/>
      <c r="M311" s="13" t="s">
        <v>69</v>
      </c>
      <c r="N311" s="13" t="s">
        <v>343</v>
      </c>
      <c r="O311" s="13" t="s">
        <v>70</v>
      </c>
      <c r="P311" s="34" t="s">
        <v>302</v>
      </c>
      <c r="Q311" s="13" t="s">
        <v>344</v>
      </c>
      <c r="R311" s="13"/>
      <c r="S311" s="449"/>
      <c r="T311" s="13" t="s">
        <v>69</v>
      </c>
      <c r="U311" s="458">
        <f>V321</f>
        <v>3500</v>
      </c>
      <c r="V311" s="458"/>
      <c r="W311" s="458"/>
      <c r="X311" s="13" t="s">
        <v>70</v>
      </c>
      <c r="Y311" s="436">
        <f>V324</f>
        <v>151</v>
      </c>
      <c r="Z311" s="436"/>
      <c r="AA311" s="13"/>
      <c r="AB311" s="13" t="s">
        <v>344</v>
      </c>
      <c r="AC311" s="13"/>
      <c r="AD311" s="449"/>
      <c r="AE311" s="436">
        <f>(U311/Y311)^2</f>
        <v>537.25713784483128</v>
      </c>
      <c r="AF311" s="436"/>
      <c r="AG311" s="436"/>
      <c r="AH311" s="436"/>
      <c r="AI311" s="15"/>
      <c r="AJ311" s="15"/>
    </row>
    <row r="312" spans="4:36">
      <c r="D312" s="12"/>
      <c r="E312" s="13"/>
      <c r="F312" s="12"/>
      <c r="G312" s="13"/>
      <c r="H312" s="13"/>
      <c r="I312" s="13"/>
      <c r="J312" s="36"/>
      <c r="K312" s="36"/>
      <c r="L312" s="28"/>
      <c r="M312" s="13"/>
      <c r="N312" s="13"/>
      <c r="O312" s="13"/>
      <c r="P312" s="34"/>
      <c r="Q312" s="13"/>
      <c r="R312" s="13"/>
      <c r="S312" s="28"/>
      <c r="T312" s="13"/>
      <c r="U312" s="27"/>
      <c r="V312" s="27"/>
      <c r="W312" s="27"/>
      <c r="X312" s="13"/>
      <c r="Y312" s="14"/>
      <c r="Z312" s="14"/>
      <c r="AA312" s="13"/>
      <c r="AB312" s="13"/>
      <c r="AC312" s="13"/>
      <c r="AD312" s="28"/>
      <c r="AE312" s="14"/>
      <c r="AF312" s="14"/>
      <c r="AG312" s="14"/>
      <c r="AH312" s="14"/>
      <c r="AI312" s="15"/>
      <c r="AJ312" s="15"/>
    </row>
    <row r="313" spans="4:36">
      <c r="D313" s="12"/>
      <c r="E313" s="13"/>
      <c r="F313" s="12"/>
      <c r="G313" s="13"/>
      <c r="H313" s="13"/>
      <c r="I313" s="13"/>
      <c r="J313" s="36"/>
      <c r="K313" s="36"/>
      <c r="L313" s="28" t="s">
        <v>2</v>
      </c>
      <c r="M313" s="462">
        <f>AE310/AE311</f>
        <v>2233.5673469387757</v>
      </c>
      <c r="N313" s="463"/>
      <c r="O313" s="464"/>
      <c r="P313" s="34"/>
      <c r="Q313" s="13"/>
      <c r="R313" s="13"/>
      <c r="S313" s="13"/>
      <c r="T313" s="28"/>
      <c r="U313" s="13"/>
      <c r="V313" s="27"/>
      <c r="W313" s="27"/>
      <c r="X313" s="27"/>
      <c r="Y313" s="13"/>
      <c r="Z313" s="14"/>
      <c r="AA313" s="14"/>
      <c r="AB313" s="13"/>
      <c r="AC313" s="31"/>
      <c r="AD313" s="13"/>
      <c r="AE313" s="13"/>
      <c r="AF313" s="13"/>
      <c r="AG313" s="13"/>
      <c r="AH313" s="13"/>
      <c r="AI313" s="15"/>
      <c r="AJ313" s="15"/>
    </row>
    <row r="314" spans="4:36">
      <c r="D314" s="12"/>
      <c r="E314" s="13"/>
      <c r="F314" s="12"/>
      <c r="G314" s="13"/>
      <c r="H314" s="13"/>
      <c r="I314" s="13"/>
      <c r="J314" s="13"/>
      <c r="K314" s="13"/>
      <c r="L314" s="13"/>
      <c r="M314" s="13"/>
      <c r="N314" s="13"/>
      <c r="O314" s="13"/>
      <c r="P314" s="13"/>
      <c r="Q314" s="13"/>
      <c r="R314" s="13"/>
      <c r="S314" s="13"/>
      <c r="T314" s="13"/>
      <c r="U314" s="13"/>
      <c r="V314" s="13"/>
      <c r="W314" s="13"/>
      <c r="X314"/>
      <c r="Y314" s="13"/>
      <c r="Z314" s="13"/>
      <c r="AA314" s="13"/>
      <c r="AB314" s="13"/>
      <c r="AC314" s="13"/>
      <c r="AD314" s="13"/>
      <c r="AE314" s="13"/>
      <c r="AF314" s="13"/>
      <c r="AG314" s="13"/>
      <c r="AH314" s="13"/>
      <c r="AI314" s="15"/>
      <c r="AJ314" s="15"/>
    </row>
    <row r="315" spans="4:36">
      <c r="D315" s="12"/>
      <c r="E315" s="13"/>
      <c r="F315" s="12"/>
      <c r="G315" s="13"/>
      <c r="H315" s="13"/>
      <c r="I315" s="13"/>
      <c r="J315" s="465" t="s">
        <v>325</v>
      </c>
      <c r="K315" s="465"/>
      <c r="L315" s="449" t="s">
        <v>2</v>
      </c>
      <c r="M315" s="867">
        <v>1200000</v>
      </c>
      <c r="N315" s="867"/>
      <c r="O315" s="867"/>
      <c r="P315" s="867"/>
      <c r="Q315" s="867"/>
      <c r="R315" s="13"/>
      <c r="S315" s="449" t="s">
        <v>2</v>
      </c>
      <c r="T315" s="867">
        <v>1200000</v>
      </c>
      <c r="U315" s="867"/>
      <c r="V315" s="867"/>
      <c r="W315" s="867"/>
      <c r="X315" s="867"/>
      <c r="Y315" s="17"/>
      <c r="Z315" s="17"/>
      <c r="AA315" s="17"/>
      <c r="AB315" s="17"/>
      <c r="AC315" s="13"/>
      <c r="AD315" s="449" t="s">
        <v>2</v>
      </c>
      <c r="AE315" s="617">
        <f>T315</f>
        <v>1200000</v>
      </c>
      <c r="AF315" s="617"/>
      <c r="AG315" s="617"/>
      <c r="AH315" s="617"/>
      <c r="AI315" s="15"/>
      <c r="AJ315" s="15"/>
    </row>
    <row r="316" spans="4:36" ht="20.25">
      <c r="D316" s="12"/>
      <c r="E316" s="13"/>
      <c r="F316" s="12"/>
      <c r="G316" s="13"/>
      <c r="H316" s="13"/>
      <c r="I316" s="13"/>
      <c r="J316" s="465"/>
      <c r="K316" s="465"/>
      <c r="L316" s="449"/>
      <c r="M316" s="13" t="s">
        <v>69</v>
      </c>
      <c r="N316" s="13" t="s">
        <v>343</v>
      </c>
      <c r="O316" s="13" t="s">
        <v>70</v>
      </c>
      <c r="P316" s="34" t="s">
        <v>303</v>
      </c>
      <c r="Q316" s="13" t="s">
        <v>344</v>
      </c>
      <c r="R316" s="13"/>
      <c r="S316" s="449"/>
      <c r="T316" s="13" t="s">
        <v>69</v>
      </c>
      <c r="U316" s="458">
        <f>V321</f>
        <v>3500</v>
      </c>
      <c r="V316" s="458"/>
      <c r="W316" s="458"/>
      <c r="X316" s="13" t="s">
        <v>70</v>
      </c>
      <c r="Y316" s="436">
        <f>V325</f>
        <v>89.9</v>
      </c>
      <c r="Z316" s="436"/>
      <c r="AA316" s="13"/>
      <c r="AB316" s="13" t="s">
        <v>344</v>
      </c>
      <c r="AC316" s="13"/>
      <c r="AD316" s="449"/>
      <c r="AE316" s="436">
        <f>(U316/Y316)^2</f>
        <v>1515.7120567779546</v>
      </c>
      <c r="AF316" s="436"/>
      <c r="AG316" s="436"/>
      <c r="AH316" s="436"/>
      <c r="AI316" s="15"/>
      <c r="AJ316" s="15"/>
    </row>
    <row r="317" spans="4:36">
      <c r="D317" s="12"/>
      <c r="E317" s="13"/>
      <c r="F317" s="12"/>
      <c r="G317" s="13"/>
      <c r="H317" s="13"/>
      <c r="I317" s="13"/>
      <c r="J317" s="36"/>
      <c r="K317" s="36"/>
      <c r="L317" s="28"/>
      <c r="M317" s="13"/>
      <c r="N317" s="13"/>
      <c r="O317" s="13"/>
      <c r="P317" s="34"/>
      <c r="Q317" s="13"/>
      <c r="R317" s="13"/>
      <c r="S317" s="28"/>
      <c r="T317" s="13"/>
      <c r="U317" s="27"/>
      <c r="V317" s="27"/>
      <c r="W317" s="27"/>
      <c r="X317" s="13"/>
      <c r="Y317" s="14"/>
      <c r="Z317" s="14"/>
      <c r="AA317" s="13"/>
      <c r="AB317" s="13"/>
      <c r="AC317" s="13"/>
      <c r="AD317" s="28"/>
      <c r="AE317" s="14"/>
      <c r="AF317" s="14"/>
      <c r="AG317" s="14"/>
      <c r="AH317" s="14"/>
      <c r="AI317" s="15"/>
      <c r="AJ317" s="15"/>
    </row>
    <row r="318" spans="4:36">
      <c r="D318" s="12"/>
      <c r="E318" s="13"/>
      <c r="F318" s="12"/>
      <c r="G318" s="13"/>
      <c r="H318" s="13"/>
      <c r="I318" s="13"/>
      <c r="J318" s="36"/>
      <c r="K318" s="36"/>
      <c r="L318" s="28" t="s">
        <v>2</v>
      </c>
      <c r="M318" s="462">
        <f>AE315/AE316</f>
        <v>791.70710204081661</v>
      </c>
      <c r="N318" s="463"/>
      <c r="O318" s="464"/>
      <c r="P318" s="34"/>
      <c r="Q318" s="13"/>
      <c r="R318" s="13"/>
      <c r="S318" s="13"/>
      <c r="T318" s="28"/>
      <c r="U318" s="13"/>
      <c r="V318" s="27"/>
      <c r="W318" s="27"/>
      <c r="X318" s="27"/>
      <c r="Y318" s="13"/>
      <c r="Z318" s="14"/>
      <c r="AA318" s="14"/>
      <c r="AB318" s="13"/>
      <c r="AC318" s="31"/>
      <c r="AD318" s="13"/>
      <c r="AE318" s="13"/>
      <c r="AF318" s="13"/>
      <c r="AG318" s="13"/>
      <c r="AH318" s="13"/>
      <c r="AI318" s="15"/>
      <c r="AJ318" s="15"/>
    </row>
    <row r="319" spans="4:36">
      <c r="D319" s="12"/>
      <c r="E319" s="13"/>
      <c r="F319" s="12"/>
      <c r="G319" s="13"/>
      <c r="H319" s="13"/>
      <c r="I319" s="13"/>
      <c r="J319" s="13"/>
      <c r="K319" s="13"/>
      <c r="L319" s="13"/>
      <c r="M319" s="13"/>
      <c r="N319" s="13"/>
      <c r="O319" s="13"/>
      <c r="P319" s="13"/>
      <c r="Q319" s="13"/>
      <c r="R319" s="13"/>
      <c r="S319" s="13"/>
      <c r="T319" s="13"/>
      <c r="U319" s="13"/>
      <c r="V319" s="13"/>
      <c r="W319" s="13"/>
      <c r="X319"/>
      <c r="Y319" s="13"/>
      <c r="Z319" s="13"/>
      <c r="AA319" s="13"/>
      <c r="AB319" s="13"/>
      <c r="AC319" s="13"/>
      <c r="AD319" s="13"/>
      <c r="AE319" s="13"/>
      <c r="AF319" s="13"/>
      <c r="AG319" s="13"/>
      <c r="AH319" s="13"/>
      <c r="AI319" s="15"/>
      <c r="AJ319" s="15"/>
    </row>
    <row r="320" spans="4:36">
      <c r="D320" s="12"/>
      <c r="E320" s="13"/>
      <c r="F320" s="12"/>
      <c r="G320" s="13"/>
      <c r="H320" s="13"/>
      <c r="I320" s="13"/>
      <c r="J320" s="13"/>
      <c r="K320" s="13"/>
      <c r="L320" s="13" t="s">
        <v>343</v>
      </c>
      <c r="M320" s="13" t="s">
        <v>346</v>
      </c>
      <c r="N320" s="13"/>
      <c r="O320" s="13"/>
      <c r="P320" s="13"/>
      <c r="Q320" s="13"/>
      <c r="R320" s="13"/>
      <c r="S320" s="13"/>
      <c r="T320" s="13"/>
      <c r="U320" s="13"/>
      <c r="V320" s="13"/>
      <c r="W320" s="13"/>
      <c r="X320"/>
      <c r="Y320" s="13"/>
      <c r="Z320" s="13"/>
      <c r="AA320" s="13"/>
      <c r="AB320" s="13"/>
      <c r="AC320" s="13"/>
      <c r="AD320" s="13"/>
      <c r="AE320" s="13"/>
      <c r="AF320" s="13"/>
      <c r="AG320" s="13"/>
      <c r="AH320" s="13"/>
      <c r="AI320" s="15"/>
      <c r="AJ320" s="15"/>
    </row>
    <row r="321" spans="4:36">
      <c r="D321" s="12"/>
      <c r="E321" s="13"/>
      <c r="F321" s="12"/>
      <c r="G321" s="13"/>
      <c r="H321" s="13"/>
      <c r="I321" s="13"/>
      <c r="J321" s="13"/>
      <c r="K321" s="13"/>
      <c r="L321" s="13"/>
      <c r="M321" s="13" t="s">
        <v>343</v>
      </c>
      <c r="N321" s="13" t="s">
        <v>2</v>
      </c>
      <c r="O321" s="448">
        <f>P57</f>
        <v>3.5</v>
      </c>
      <c r="P321" s="448"/>
      <c r="Q321" s="13" t="s">
        <v>27</v>
      </c>
      <c r="R321" s="869">
        <v>1000</v>
      </c>
      <c r="S321" s="869"/>
      <c r="T321" s="13"/>
      <c r="U321" s="13" t="s">
        <v>2</v>
      </c>
      <c r="V321" s="471">
        <f>O321*R321</f>
        <v>3500</v>
      </c>
      <c r="W321" s="472"/>
      <c r="X321" s="473"/>
      <c r="Y321" s="13"/>
      <c r="Z321" s="13"/>
      <c r="AA321" s="13"/>
      <c r="AB321" s="13"/>
      <c r="AC321" s="13"/>
      <c r="AD321" s="13"/>
      <c r="AE321" s="13"/>
      <c r="AF321" s="13"/>
      <c r="AG321" s="13"/>
      <c r="AH321" s="13"/>
      <c r="AI321" s="15"/>
      <c r="AJ321" s="15"/>
    </row>
    <row r="322" spans="4:36">
      <c r="D322" s="12"/>
      <c r="E322" s="13"/>
      <c r="F322" s="12"/>
      <c r="G322" s="13"/>
      <c r="H322" s="13"/>
      <c r="I322" s="13"/>
      <c r="J322" s="13"/>
      <c r="K322" s="13"/>
      <c r="L322" s="13"/>
      <c r="M322" s="13"/>
      <c r="N322" s="13"/>
      <c r="O322" s="14"/>
      <c r="P322" s="14"/>
      <c r="Q322" s="13"/>
      <c r="R322" s="158"/>
      <c r="S322" s="158"/>
      <c r="T322" s="13"/>
      <c r="U322" s="13"/>
      <c r="V322" s="27"/>
      <c r="W322" s="27"/>
      <c r="X322" s="27"/>
      <c r="Y322" s="13"/>
      <c r="Z322" s="13"/>
      <c r="AA322" s="13"/>
      <c r="AB322" s="13"/>
      <c r="AC322" s="13"/>
      <c r="AD322" s="13"/>
      <c r="AE322" s="13"/>
      <c r="AF322" s="13"/>
      <c r="AG322" s="13"/>
      <c r="AH322" s="13"/>
      <c r="AI322" s="15"/>
      <c r="AJ322" s="15"/>
    </row>
    <row r="323" spans="4:36">
      <c r="D323" s="12"/>
      <c r="E323" s="13"/>
      <c r="F323" s="12"/>
      <c r="G323" s="13"/>
      <c r="H323" s="13"/>
      <c r="I323" s="13"/>
      <c r="J323" s="13"/>
      <c r="K323" s="34" t="s">
        <v>302</v>
      </c>
      <c r="L323" s="34" t="s">
        <v>303</v>
      </c>
      <c r="M323" s="13" t="s">
        <v>345</v>
      </c>
      <c r="N323" s="13"/>
      <c r="O323" s="13"/>
      <c r="P323" s="13"/>
      <c r="Q323" s="13"/>
      <c r="R323" s="13"/>
      <c r="S323" s="13"/>
      <c r="T323" s="13"/>
      <c r="U323" s="13"/>
      <c r="V323" s="13"/>
      <c r="W323" s="13"/>
      <c r="X323"/>
      <c r="Y323" s="13"/>
      <c r="Z323" s="13"/>
      <c r="AA323" s="13"/>
      <c r="AB323" s="13"/>
      <c r="AC323" s="13"/>
      <c r="AD323" s="13"/>
      <c r="AE323" s="13"/>
      <c r="AF323" s="13"/>
      <c r="AG323" s="13"/>
      <c r="AH323" s="13"/>
      <c r="AI323" s="15"/>
      <c r="AJ323" s="15"/>
    </row>
    <row r="324" spans="4:36">
      <c r="D324" s="12"/>
      <c r="E324" s="13"/>
      <c r="F324" s="12"/>
      <c r="G324" s="13"/>
      <c r="H324" s="13"/>
      <c r="I324" s="13"/>
      <c r="J324" s="13"/>
      <c r="K324" s="13"/>
      <c r="L324" s="13"/>
      <c r="M324" s="34" t="s">
        <v>302</v>
      </c>
      <c r="N324" s="13" t="s">
        <v>2</v>
      </c>
      <c r="O324" s="448">
        <f>'1.設計条件'!Q61</f>
        <v>15.1</v>
      </c>
      <c r="P324" s="448"/>
      <c r="Q324" s="13" t="s">
        <v>27</v>
      </c>
      <c r="R324" s="869">
        <v>10</v>
      </c>
      <c r="S324" s="869"/>
      <c r="T324" s="13"/>
      <c r="U324" s="13" t="s">
        <v>2</v>
      </c>
      <c r="V324" s="462">
        <f>O324*R324</f>
        <v>151</v>
      </c>
      <c r="W324" s="463"/>
      <c r="X324" s="464"/>
      <c r="Y324" s="13"/>
      <c r="Z324" s="13"/>
      <c r="AA324" s="13"/>
      <c r="AB324" s="13"/>
      <c r="AC324" s="13"/>
      <c r="AD324" s="13"/>
      <c r="AE324" s="13"/>
      <c r="AF324" s="13"/>
      <c r="AG324" s="13"/>
      <c r="AH324" s="13"/>
      <c r="AI324" s="15"/>
      <c r="AJ324" s="15"/>
    </row>
    <row r="325" spans="4:36">
      <c r="D325" s="12"/>
      <c r="E325" s="13"/>
      <c r="F325" s="12"/>
      <c r="G325" s="13"/>
      <c r="H325" s="13"/>
      <c r="I325" s="13"/>
      <c r="J325" s="13"/>
      <c r="K325" s="13"/>
      <c r="L325" s="13"/>
      <c r="M325" s="34" t="s">
        <v>303</v>
      </c>
      <c r="N325" s="13" t="s">
        <v>2</v>
      </c>
      <c r="O325" s="448">
        <f>'1.設計条件'!Q62</f>
        <v>8.99</v>
      </c>
      <c r="P325" s="448"/>
      <c r="Q325" s="13" t="s">
        <v>27</v>
      </c>
      <c r="R325" s="869">
        <v>10</v>
      </c>
      <c r="S325" s="869"/>
      <c r="T325" s="13"/>
      <c r="U325" s="13" t="s">
        <v>2</v>
      </c>
      <c r="V325" s="462">
        <f>O325*R325</f>
        <v>89.9</v>
      </c>
      <c r="W325" s="463"/>
      <c r="X325" s="464"/>
      <c r="Y325" s="13"/>
      <c r="Z325" s="13"/>
      <c r="AA325" s="13"/>
      <c r="AB325" s="13"/>
      <c r="AC325" s="13"/>
      <c r="AD325" s="13"/>
      <c r="AE325" s="13"/>
      <c r="AF325" s="13"/>
      <c r="AG325" s="13"/>
      <c r="AH325" s="13"/>
      <c r="AI325" s="15"/>
      <c r="AJ325" s="15"/>
    </row>
    <row r="326" spans="4:36">
      <c r="D326" s="12"/>
      <c r="E326" s="13"/>
      <c r="F326" s="16"/>
      <c r="G326" s="17"/>
      <c r="H326" s="17"/>
      <c r="I326" s="17"/>
      <c r="J326" s="17"/>
      <c r="K326" s="17"/>
      <c r="L326" s="17"/>
      <c r="M326" s="17"/>
      <c r="N326" s="17"/>
      <c r="O326" s="17"/>
      <c r="P326" s="17"/>
      <c r="Q326" s="17"/>
      <c r="R326" s="17"/>
      <c r="S326" s="17"/>
      <c r="T326" s="17"/>
      <c r="U326" s="17"/>
      <c r="V326" s="17"/>
      <c r="W326" s="17"/>
      <c r="X326" s="25"/>
      <c r="Y326" s="17"/>
      <c r="Z326" s="17"/>
      <c r="AA326" s="17"/>
      <c r="AB326" s="17"/>
      <c r="AC326" s="17"/>
      <c r="AD326" s="17"/>
      <c r="AE326" s="17"/>
      <c r="AF326" s="17"/>
      <c r="AG326" s="17"/>
      <c r="AH326" s="17"/>
      <c r="AI326" s="19"/>
      <c r="AJ326" s="15"/>
    </row>
    <row r="327" spans="4:36">
      <c r="D327" s="12"/>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5"/>
    </row>
    <row r="328" spans="4:36">
      <c r="D328" s="12"/>
      <c r="E328" s="13" t="s">
        <v>67</v>
      </c>
      <c r="F328" s="13"/>
      <c r="G328" s="13"/>
      <c r="H328" s="13"/>
      <c r="I328" s="13"/>
      <c r="J328" s="13"/>
      <c r="K328" s="13"/>
      <c r="L328" s="13"/>
      <c r="M328" s="13"/>
      <c r="N328" s="13"/>
      <c r="O328" s="13"/>
      <c r="P328" s="13"/>
      <c r="Q328" s="13"/>
      <c r="R328" s="13"/>
      <c r="S328" s="13"/>
      <c r="T328" s="13"/>
      <c r="U328" s="13"/>
      <c r="V328" s="13"/>
      <c r="AG328" s="13"/>
      <c r="AH328" s="13"/>
      <c r="AI328" s="13"/>
      <c r="AJ328" s="15"/>
    </row>
    <row r="329" spans="4:36">
      <c r="D329" s="12"/>
      <c r="E329" s="13" t="s">
        <v>383</v>
      </c>
      <c r="G329" s="13"/>
      <c r="H329" s="13"/>
      <c r="I329" s="13"/>
      <c r="J329" s="13"/>
      <c r="K329" s="13"/>
      <c r="L329" s="13"/>
      <c r="M329" s="13"/>
      <c r="N329" s="13"/>
      <c r="O329" s="13"/>
      <c r="P329" s="13"/>
      <c r="Q329" s="13"/>
      <c r="R329" s="13"/>
      <c r="S329" s="13"/>
      <c r="T329" s="13"/>
      <c r="U329" s="13"/>
      <c r="V329" s="13"/>
      <c r="AG329" s="13"/>
      <c r="AH329" s="13"/>
      <c r="AI329" s="13"/>
      <c r="AJ329" s="15"/>
    </row>
    <row r="330" spans="4:36">
      <c r="D330" s="12"/>
      <c r="E330" s="13"/>
      <c r="F330" s="13"/>
      <c r="G330" s="466" t="s">
        <v>318</v>
      </c>
      <c r="H330" s="466"/>
      <c r="I330" s="449" t="s">
        <v>68</v>
      </c>
      <c r="J330" s="17"/>
      <c r="K330" s="17"/>
      <c r="L330" s="17"/>
      <c r="M330" s="17"/>
      <c r="N330" s="466" t="s">
        <v>317</v>
      </c>
      <c r="O330" s="466"/>
      <c r="P330" s="17"/>
      <c r="Q330" s="17"/>
      <c r="R330" s="17"/>
      <c r="S330" s="17"/>
      <c r="T330" s="17"/>
      <c r="V330" s="449" t="s">
        <v>68</v>
      </c>
      <c r="W330" s="17"/>
      <c r="X330" s="17"/>
      <c r="Y330" s="17"/>
      <c r="Z330" s="17"/>
      <c r="AA330" s="466" t="s">
        <v>323</v>
      </c>
      <c r="AB330" s="466"/>
      <c r="AC330" s="17"/>
      <c r="AD330" s="17"/>
      <c r="AE330" s="17"/>
      <c r="AF330" s="17"/>
      <c r="AG330" s="13"/>
      <c r="AH330" s="13"/>
      <c r="AI330" s="13"/>
      <c r="AJ330" s="15"/>
    </row>
    <row r="331" spans="4:36">
      <c r="D331" s="12"/>
      <c r="E331" s="13"/>
      <c r="F331" s="13"/>
      <c r="G331" s="360" t="s">
        <v>319</v>
      </c>
      <c r="H331" s="360"/>
      <c r="I331" s="449"/>
      <c r="J331" s="360" t="s">
        <v>322</v>
      </c>
      <c r="K331" s="360"/>
      <c r="L331" s="41" t="s">
        <v>320</v>
      </c>
      <c r="M331" s="13" t="s">
        <v>263</v>
      </c>
      <c r="N331" s="360" t="s">
        <v>318</v>
      </c>
      <c r="O331" s="360"/>
      <c r="P331" s="13" t="s">
        <v>70</v>
      </c>
      <c r="Q331" s="360" t="s">
        <v>321</v>
      </c>
      <c r="R331" s="360"/>
      <c r="S331" s="360"/>
      <c r="T331" s="360"/>
      <c r="U331" s="13" t="s">
        <v>83</v>
      </c>
      <c r="V331" s="449"/>
      <c r="W331" s="360" t="s">
        <v>324</v>
      </c>
      <c r="X331" s="360"/>
      <c r="Y331" s="41" t="s">
        <v>320</v>
      </c>
      <c r="Z331" s="13" t="s">
        <v>263</v>
      </c>
      <c r="AA331" s="360" t="s">
        <v>318</v>
      </c>
      <c r="AB331" s="360"/>
      <c r="AC331" s="13" t="s">
        <v>70</v>
      </c>
      <c r="AD331" s="360" t="s">
        <v>325</v>
      </c>
      <c r="AE331" s="360"/>
      <c r="AF331" s="13" t="s">
        <v>83</v>
      </c>
      <c r="AG331" s="13"/>
      <c r="AH331" s="13"/>
      <c r="AI331" s="13"/>
      <c r="AJ331" s="15"/>
    </row>
    <row r="332" spans="4:36">
      <c r="D332" s="12"/>
      <c r="E332" s="13"/>
      <c r="F332" s="13"/>
      <c r="G332" s="35"/>
      <c r="H332" s="35"/>
      <c r="I332" s="28"/>
      <c r="J332" s="35"/>
      <c r="K332" s="35"/>
      <c r="L332" s="41"/>
      <c r="M332" s="13"/>
      <c r="N332" s="35"/>
      <c r="O332" s="35"/>
      <c r="P332" s="13"/>
      <c r="Q332" s="35"/>
      <c r="R332" s="35"/>
      <c r="S332" s="13"/>
      <c r="T332" s="28"/>
      <c r="U332" s="35"/>
      <c r="V332" s="35"/>
      <c r="W332" s="41"/>
      <c r="X332" s="13"/>
      <c r="Y332" s="35"/>
      <c r="Z332" s="35"/>
      <c r="AA332" s="13"/>
      <c r="AB332" s="35"/>
      <c r="AC332" s="35"/>
      <c r="AD332" s="13"/>
      <c r="AE332" s="28"/>
      <c r="AF332" s="149"/>
      <c r="AG332" s="13"/>
      <c r="AH332" s="13"/>
      <c r="AI332" s="13"/>
      <c r="AJ332" s="15"/>
    </row>
    <row r="333" spans="4:36">
      <c r="D333" s="12"/>
      <c r="E333" s="13"/>
      <c r="F333" s="449" t="s">
        <v>2</v>
      </c>
      <c r="G333" s="457">
        <f>W243</f>
        <v>45.338194673078277</v>
      </c>
      <c r="H333" s="457"/>
      <c r="I333" s="449" t="s">
        <v>68</v>
      </c>
      <c r="J333" s="17"/>
      <c r="K333" s="17"/>
      <c r="L333" s="17"/>
      <c r="M333" s="17"/>
      <c r="N333" s="457">
        <f>K252</f>
        <v>120.81313901255868</v>
      </c>
      <c r="O333" s="457"/>
      <c r="P333" s="17"/>
      <c r="Q333" s="17"/>
      <c r="R333" s="17"/>
      <c r="S333" s="17"/>
      <c r="T333" s="17"/>
      <c r="V333" s="449" t="s">
        <v>68</v>
      </c>
      <c r="W333" s="17"/>
      <c r="X333" s="17"/>
      <c r="Y333" s="17"/>
      <c r="Z333" s="17"/>
      <c r="AA333" s="457">
        <f>K255</f>
        <v>0</v>
      </c>
      <c r="AB333" s="457"/>
      <c r="AC333" s="17"/>
      <c r="AD333" s="17"/>
      <c r="AE333" s="17"/>
      <c r="AF333" s="17"/>
      <c r="AG333" s="13"/>
      <c r="AH333" s="13"/>
      <c r="AI333" s="13"/>
      <c r="AJ333" s="15"/>
    </row>
    <row r="334" spans="4:36">
      <c r="D334" s="12"/>
      <c r="E334" s="13"/>
      <c r="F334" s="449"/>
      <c r="G334" s="380">
        <f>K276</f>
        <v>184.2534593993326</v>
      </c>
      <c r="H334" s="380"/>
      <c r="I334" s="449"/>
      <c r="J334" s="433">
        <f>K295</f>
        <v>190.2</v>
      </c>
      <c r="K334" s="433"/>
      <c r="L334" s="41" t="s">
        <v>320</v>
      </c>
      <c r="M334" s="13" t="s">
        <v>263</v>
      </c>
      <c r="N334" s="380">
        <f>W243</f>
        <v>45.338194673078277</v>
      </c>
      <c r="O334" s="380"/>
      <c r="P334" s="13" t="s">
        <v>70</v>
      </c>
      <c r="Q334" s="433">
        <f>M313</f>
        <v>2233.5673469387757</v>
      </c>
      <c r="R334" s="433"/>
      <c r="S334" s="433"/>
      <c r="T334" s="433"/>
      <c r="U334" s="13" t="s">
        <v>83</v>
      </c>
      <c r="V334" s="449"/>
      <c r="W334" s="433">
        <f>M300</f>
        <v>210</v>
      </c>
      <c r="X334" s="433"/>
      <c r="Y334" s="41" t="s">
        <v>320</v>
      </c>
      <c r="Z334" s="13" t="s">
        <v>263</v>
      </c>
      <c r="AA334" s="380">
        <f>W243</f>
        <v>45.338194673078277</v>
      </c>
      <c r="AB334" s="380"/>
      <c r="AC334" s="13" t="s">
        <v>70</v>
      </c>
      <c r="AD334" s="380">
        <f>M318</f>
        <v>791.70710204081661</v>
      </c>
      <c r="AE334" s="380"/>
      <c r="AF334" s="13" t="s">
        <v>83</v>
      </c>
      <c r="AG334" s="13"/>
      <c r="AH334" s="13"/>
      <c r="AI334" s="13"/>
      <c r="AJ334" s="15"/>
    </row>
    <row r="335" spans="4:36">
      <c r="D335" s="12"/>
      <c r="E335" s="13"/>
      <c r="F335" s="28"/>
      <c r="G335" s="35"/>
      <c r="H335" s="35"/>
      <c r="I335" s="28"/>
      <c r="J335" s="35"/>
      <c r="K335" s="35"/>
      <c r="L335" s="41"/>
      <c r="M335" s="13"/>
      <c r="N335" s="35"/>
      <c r="O335" s="35"/>
      <c r="P335" s="13"/>
      <c r="Q335" s="35"/>
      <c r="R335" s="35"/>
      <c r="S335" s="13"/>
      <c r="T335" s="28"/>
      <c r="U335" s="35"/>
      <c r="V335" s="35"/>
      <c r="W335" s="41"/>
      <c r="X335" s="13"/>
      <c r="Y335" s="35"/>
      <c r="Z335" s="35"/>
      <c r="AA335" s="13"/>
      <c r="AB335" s="35"/>
      <c r="AC335" s="35"/>
      <c r="AD335" s="13"/>
      <c r="AE335" s="28"/>
      <c r="AF335" s="149"/>
      <c r="AG335" s="13"/>
      <c r="AH335" s="13"/>
      <c r="AI335" s="13"/>
      <c r="AJ335" s="15"/>
    </row>
    <row r="336" spans="4:36">
      <c r="D336" s="12"/>
      <c r="E336" s="13"/>
      <c r="F336" s="13" t="s">
        <v>2</v>
      </c>
      <c r="G336" s="853">
        <f>G333/G334</f>
        <v>0.24606427917761256</v>
      </c>
      <c r="H336" s="853"/>
      <c r="I336" s="28" t="s">
        <v>68</v>
      </c>
      <c r="J336" s="853">
        <f>N333/(J334*(1-N334/Q334))</f>
        <v>0.648350586831279</v>
      </c>
      <c r="K336" s="853"/>
      <c r="L336" s="853"/>
      <c r="M336" s="853"/>
      <c r="N336" s="853"/>
      <c r="O336" s="853"/>
      <c r="P336" s="853"/>
      <c r="Q336" s="853"/>
      <c r="R336" s="853"/>
      <c r="S336" s="853"/>
      <c r="T336" s="28" t="s">
        <v>68</v>
      </c>
      <c r="U336" s="853">
        <f>AA333/(W334*(1-AA334/AD334))</f>
        <v>0</v>
      </c>
      <c r="V336" s="853"/>
      <c r="W336" s="853"/>
      <c r="X336" s="853"/>
      <c r="Y336" s="853"/>
      <c r="Z336" s="853"/>
      <c r="AA336" s="853"/>
      <c r="AB336" s="853"/>
      <c r="AC336" s="853"/>
      <c r="AD336" s="853"/>
      <c r="AE336" s="28"/>
      <c r="AF336" s="149"/>
      <c r="AG336" s="13"/>
      <c r="AH336" s="13"/>
      <c r="AI336" s="13"/>
      <c r="AJ336" s="15"/>
    </row>
    <row r="337" spans="4:36">
      <c r="D337" s="12"/>
      <c r="E337" s="13"/>
      <c r="F337" s="13"/>
      <c r="G337" s="165"/>
      <c r="H337" s="165"/>
      <c r="I337" s="28"/>
      <c r="J337" s="165"/>
      <c r="K337" s="165"/>
      <c r="L337" s="165"/>
      <c r="M337" s="165"/>
      <c r="N337" s="165"/>
      <c r="O337" s="165"/>
      <c r="P337" s="165"/>
      <c r="Q337" s="165"/>
      <c r="R337" s="165"/>
      <c r="S337" s="165"/>
      <c r="T337" s="28"/>
      <c r="U337" s="165"/>
      <c r="V337" s="165"/>
      <c r="W337" s="165"/>
      <c r="X337" s="165"/>
      <c r="Y337" s="165"/>
      <c r="Z337" s="165"/>
      <c r="AA337" s="165"/>
      <c r="AB337" s="165"/>
      <c r="AC337" s="165"/>
      <c r="AD337" s="165"/>
      <c r="AE337" s="28"/>
      <c r="AF337" s="149"/>
      <c r="AG337" s="13"/>
      <c r="AH337" s="13"/>
      <c r="AI337" s="13"/>
      <c r="AJ337" s="15"/>
    </row>
    <row r="338" spans="4:36">
      <c r="D338" s="12"/>
      <c r="E338" s="13"/>
      <c r="F338" s="13" t="s">
        <v>2</v>
      </c>
      <c r="G338" s="854">
        <f>G336+J336+U336</f>
        <v>0.89441486600889153</v>
      </c>
      <c r="H338" s="855"/>
      <c r="I338" s="28"/>
      <c r="J338" s="13" t="str">
        <f>IF(G338&lt;=K338, "≦","&gt;")</f>
        <v>≦</v>
      </c>
      <c r="K338" s="31">
        <v>1</v>
      </c>
      <c r="L338" s="165"/>
      <c r="M338" s="462" t="str">
        <f>IF(J338="≦","OK","NG")</f>
        <v>OK</v>
      </c>
      <c r="N338" s="463"/>
      <c r="O338" s="464"/>
      <c r="P338" s="34"/>
      <c r="Q338" s="13"/>
      <c r="R338" s="13"/>
      <c r="S338" s="13"/>
      <c r="T338" s="31"/>
      <c r="AC338" s="165"/>
      <c r="AD338" s="165"/>
      <c r="AE338" s="28"/>
      <c r="AF338" s="149"/>
      <c r="AG338" s="13"/>
      <c r="AH338" s="13"/>
      <c r="AI338" s="13"/>
      <c r="AJ338" s="15"/>
    </row>
    <row r="339" spans="4:36">
      <c r="D339" s="12"/>
      <c r="E339" s="13"/>
      <c r="F339" s="13"/>
      <c r="G339" s="13"/>
      <c r="H339" s="13"/>
      <c r="I339" s="13"/>
      <c r="J339" s="13"/>
      <c r="K339" s="13"/>
      <c r="L339" s="13"/>
      <c r="M339" s="13"/>
      <c r="N339" s="13"/>
      <c r="O339" s="13"/>
      <c r="P339" s="13"/>
      <c r="Q339" s="13"/>
      <c r="R339" s="13"/>
      <c r="S339" s="13"/>
      <c r="T339" s="13"/>
      <c r="AC339" s="13"/>
      <c r="AD339" s="13"/>
      <c r="AE339" s="13"/>
      <c r="AF339" s="13"/>
      <c r="AG339" s="13"/>
      <c r="AH339" s="13"/>
      <c r="AI339" s="13"/>
      <c r="AJ339" s="15"/>
    </row>
    <row r="340" spans="4:36">
      <c r="D340" s="12"/>
      <c r="E340" s="13" t="s">
        <v>384</v>
      </c>
      <c r="F340" s="13"/>
      <c r="G340" s="13"/>
      <c r="H340" s="13"/>
      <c r="I340" s="13"/>
      <c r="J340" s="13"/>
      <c r="K340" s="13"/>
      <c r="L340" s="13"/>
      <c r="M340" s="13"/>
      <c r="N340" s="13"/>
      <c r="O340" s="13"/>
      <c r="P340" s="13"/>
      <c r="Q340" s="13"/>
      <c r="R340" s="13"/>
      <c r="S340" s="13"/>
      <c r="T340" s="13"/>
      <c r="AC340" s="13"/>
      <c r="AD340" s="13"/>
      <c r="AE340" s="13"/>
      <c r="AF340" s="13"/>
      <c r="AG340" s="13"/>
      <c r="AH340" s="13"/>
      <c r="AI340" s="13"/>
      <c r="AJ340" s="15"/>
    </row>
    <row r="341" spans="4:36">
      <c r="D341" s="12"/>
      <c r="E341" s="13"/>
      <c r="F341" s="13"/>
      <c r="G341" s="465" t="s">
        <v>318</v>
      </c>
      <c r="H341" s="465"/>
      <c r="I341" s="449" t="s">
        <v>68</v>
      </c>
      <c r="J341" s="17"/>
      <c r="K341" s="17"/>
      <c r="L341" s="17"/>
      <c r="M341" s="466" t="s">
        <v>317</v>
      </c>
      <c r="N341" s="466"/>
      <c r="O341" s="17"/>
      <c r="P341" s="17"/>
      <c r="Q341" s="17"/>
      <c r="R341" s="17"/>
      <c r="S341" s="17"/>
      <c r="T341" s="449" t="s">
        <v>68</v>
      </c>
      <c r="U341" s="17"/>
      <c r="V341" s="17"/>
      <c r="W341" s="17"/>
      <c r="X341" s="466" t="s">
        <v>323</v>
      </c>
      <c r="Y341" s="466"/>
      <c r="Z341" s="17"/>
      <c r="AA341" s="17"/>
      <c r="AB341" s="17"/>
      <c r="AJ341" s="15"/>
    </row>
    <row r="342" spans="4:36">
      <c r="D342" s="12"/>
      <c r="E342" s="13"/>
      <c r="F342" s="13"/>
      <c r="G342" s="465"/>
      <c r="H342" s="465"/>
      <c r="I342" s="449"/>
      <c r="J342" s="13" t="s">
        <v>320</v>
      </c>
      <c r="K342" s="13" t="s">
        <v>263</v>
      </c>
      <c r="L342" s="360" t="s">
        <v>318</v>
      </c>
      <c r="M342" s="360"/>
      <c r="N342" s="13" t="s">
        <v>70</v>
      </c>
      <c r="O342" s="360" t="s">
        <v>321</v>
      </c>
      <c r="P342" s="360"/>
      <c r="Q342" s="360"/>
      <c r="R342" s="360"/>
      <c r="S342" s="13" t="s">
        <v>83</v>
      </c>
      <c r="T342" s="449"/>
      <c r="U342" s="13" t="s">
        <v>320</v>
      </c>
      <c r="V342" s="13" t="s">
        <v>263</v>
      </c>
      <c r="W342" s="360" t="s">
        <v>318</v>
      </c>
      <c r="X342" s="360"/>
      <c r="Y342" s="13" t="s">
        <v>70</v>
      </c>
      <c r="Z342" s="360" t="s">
        <v>325</v>
      </c>
      <c r="AA342" s="360"/>
      <c r="AB342" s="13" t="s">
        <v>83</v>
      </c>
      <c r="AJ342" s="15"/>
    </row>
    <row r="343" spans="4:36">
      <c r="D343" s="12"/>
      <c r="E343" s="13"/>
      <c r="F343" s="13"/>
      <c r="G343" s="13"/>
      <c r="H343" s="13"/>
      <c r="I343" s="13"/>
      <c r="J343" s="13"/>
      <c r="K343" s="13"/>
      <c r="L343" s="13"/>
      <c r="M343" s="13"/>
      <c r="N343" s="13"/>
      <c r="O343" s="13"/>
      <c r="P343" s="13"/>
      <c r="Q343" s="13"/>
      <c r="R343" s="13"/>
      <c r="S343" s="13"/>
      <c r="T343" s="13"/>
      <c r="U343" s="13"/>
      <c r="V343" s="13"/>
      <c r="W343" s="13"/>
      <c r="X343"/>
      <c r="Y343" s="13"/>
      <c r="Z343" s="13"/>
      <c r="AA343" s="13"/>
      <c r="AB343" s="13"/>
      <c r="AC343" s="13"/>
      <c r="AD343" s="13"/>
      <c r="AE343" s="13"/>
      <c r="AF343" s="13"/>
      <c r="AG343" s="13"/>
      <c r="AH343" s="13"/>
      <c r="AI343" s="13"/>
      <c r="AJ343" s="15"/>
    </row>
    <row r="344" spans="4:36">
      <c r="D344" s="12"/>
      <c r="E344" s="13"/>
      <c r="F344" s="449" t="s">
        <v>2</v>
      </c>
      <c r="G344" s="456">
        <f>W243</f>
        <v>45.338194673078277</v>
      </c>
      <c r="H344" s="456"/>
      <c r="I344" s="449" t="s">
        <v>68</v>
      </c>
      <c r="J344" s="17"/>
      <c r="K344" s="17"/>
      <c r="L344" s="17"/>
      <c r="M344" s="457">
        <f>K252</f>
        <v>120.81313901255868</v>
      </c>
      <c r="N344" s="457"/>
      <c r="O344" s="17"/>
      <c r="P344" s="17"/>
      <c r="Q344" s="17"/>
      <c r="R344" s="17"/>
      <c r="S344" s="17"/>
      <c r="T344" s="449" t="s">
        <v>68</v>
      </c>
      <c r="U344" s="17"/>
      <c r="V344" s="17"/>
      <c r="W344" s="17"/>
      <c r="X344" s="457">
        <f>K255</f>
        <v>0</v>
      </c>
      <c r="Y344" s="457"/>
      <c r="Z344" s="17"/>
      <c r="AA344" s="17"/>
      <c r="AB344" s="17"/>
      <c r="AC344" s="313"/>
      <c r="AD344" s="13"/>
      <c r="AE344" s="13"/>
      <c r="AF344" s="13"/>
      <c r="AG344" s="13"/>
      <c r="AH344" s="13"/>
      <c r="AI344" s="13"/>
      <c r="AJ344" s="15"/>
    </row>
    <row r="345" spans="4:36">
      <c r="D345" s="12"/>
      <c r="E345" s="13"/>
      <c r="F345" s="449"/>
      <c r="G345" s="456"/>
      <c r="H345" s="456"/>
      <c r="I345" s="449"/>
      <c r="J345" s="13" t="s">
        <v>320</v>
      </c>
      <c r="K345" s="13" t="s">
        <v>263</v>
      </c>
      <c r="L345" s="380">
        <f>W243</f>
        <v>45.338194673078277</v>
      </c>
      <c r="M345" s="380"/>
      <c r="N345" s="13" t="s">
        <v>70</v>
      </c>
      <c r="O345" s="433">
        <f>M313</f>
        <v>2233.5673469387757</v>
      </c>
      <c r="P345" s="433"/>
      <c r="Q345" s="433"/>
      <c r="R345" s="433"/>
      <c r="S345" s="13" t="s">
        <v>83</v>
      </c>
      <c r="T345" s="449"/>
      <c r="U345" s="13" t="s">
        <v>320</v>
      </c>
      <c r="V345" s="13" t="s">
        <v>263</v>
      </c>
      <c r="W345" s="380">
        <f>W243</f>
        <v>45.338194673078277</v>
      </c>
      <c r="X345" s="380"/>
      <c r="Y345" s="13" t="s">
        <v>70</v>
      </c>
      <c r="Z345" s="380">
        <f>M318</f>
        <v>791.70710204081661</v>
      </c>
      <c r="AA345" s="380"/>
      <c r="AB345" s="13" t="s">
        <v>83</v>
      </c>
      <c r="AC345" s="313"/>
      <c r="AD345" s="13"/>
      <c r="AE345" s="13"/>
      <c r="AF345" s="13"/>
      <c r="AG345" s="13"/>
      <c r="AH345" s="13"/>
      <c r="AI345" s="13"/>
      <c r="AJ345" s="15"/>
    </row>
    <row r="346" spans="4:36">
      <c r="D346" s="12"/>
      <c r="E346" s="13"/>
      <c r="F346" s="13"/>
      <c r="G346" s="13"/>
      <c r="H346" s="13"/>
      <c r="I346" s="13"/>
      <c r="J346" s="13"/>
      <c r="K346" s="13"/>
      <c r="L346" s="13"/>
      <c r="M346" s="13"/>
      <c r="N346" s="13"/>
      <c r="O346" s="13"/>
      <c r="P346" s="13"/>
      <c r="Q346" s="13"/>
      <c r="R346" s="13"/>
      <c r="S346" s="13"/>
      <c r="T346" s="13"/>
      <c r="U346" s="13"/>
      <c r="V346" s="13"/>
      <c r="W346" s="13"/>
      <c r="X346"/>
      <c r="Y346" s="13"/>
      <c r="Z346" s="13"/>
      <c r="AA346" s="13"/>
      <c r="AB346" s="13"/>
      <c r="AC346" s="13"/>
      <c r="AD346" s="13"/>
      <c r="AE346" s="13"/>
      <c r="AF346" s="13"/>
      <c r="AG346" s="13"/>
      <c r="AH346" s="13"/>
      <c r="AI346" s="13"/>
      <c r="AJ346" s="15"/>
    </row>
    <row r="347" spans="4:36">
      <c r="D347" s="12"/>
      <c r="E347" s="13"/>
      <c r="F347" s="13" t="s">
        <v>2</v>
      </c>
      <c r="G347" s="436">
        <f>G344</f>
        <v>45.338194673078277</v>
      </c>
      <c r="H347" s="436"/>
      <c r="I347" s="13" t="s">
        <v>68</v>
      </c>
      <c r="J347" s="436">
        <f>M344/(1-L345/O345)</f>
        <v>123.31628161530926</v>
      </c>
      <c r="K347" s="436"/>
      <c r="L347" s="436"/>
      <c r="M347" s="436"/>
      <c r="N347" s="436"/>
      <c r="O347" s="436"/>
      <c r="P347" s="436"/>
      <c r="Q347" s="436"/>
      <c r="R347" s="13" t="s">
        <v>68</v>
      </c>
      <c r="S347" s="436">
        <f>X344/(1-W345/Z345)</f>
        <v>0</v>
      </c>
      <c r="T347" s="436"/>
      <c r="U347" s="436"/>
      <c r="V347" s="436"/>
      <c r="W347" s="436"/>
      <c r="X347" s="436"/>
      <c r="Y347" s="436"/>
      <c r="Z347" s="436"/>
      <c r="AA347" s="13"/>
      <c r="AB347" s="13"/>
      <c r="AC347" s="13"/>
      <c r="AD347" s="13"/>
      <c r="AE347" s="13"/>
      <c r="AF347" s="13"/>
      <c r="AG347" s="13"/>
      <c r="AH347" s="13"/>
      <c r="AI347" s="13"/>
      <c r="AJ347" s="15"/>
    </row>
    <row r="348" spans="4:36">
      <c r="D348" s="12"/>
      <c r="E348" s="13"/>
      <c r="F348" s="13"/>
      <c r="G348" s="13"/>
      <c r="H348" s="13"/>
      <c r="I348" s="13"/>
      <c r="J348" s="13"/>
      <c r="K348" s="13"/>
      <c r="L348" s="13"/>
      <c r="M348" s="13"/>
      <c r="N348" s="13"/>
      <c r="O348" s="13"/>
      <c r="P348" s="13"/>
      <c r="Q348" s="13"/>
      <c r="R348" s="13"/>
      <c r="S348" s="13"/>
      <c r="T348" s="13"/>
      <c r="U348" s="13"/>
      <c r="V348" s="13"/>
      <c r="W348" s="13"/>
      <c r="X348"/>
      <c r="Y348" s="13"/>
      <c r="Z348" s="13"/>
      <c r="AA348" s="13"/>
      <c r="AB348" s="13"/>
      <c r="AC348" s="13"/>
      <c r="AD348" s="13"/>
      <c r="AE348" s="13"/>
      <c r="AF348" s="13"/>
      <c r="AG348" s="13"/>
      <c r="AH348" s="13"/>
      <c r="AI348" s="13"/>
      <c r="AJ348" s="15"/>
    </row>
    <row r="349" spans="4:36" ht="20.25">
      <c r="D349" s="12"/>
      <c r="E349" s="13"/>
      <c r="F349" s="13" t="s">
        <v>2</v>
      </c>
      <c r="G349" s="849">
        <f>G347+J347+S347</f>
        <v>168.65447628838754</v>
      </c>
      <c r="H349" s="850"/>
      <c r="I349" s="851"/>
      <c r="J349" s="13"/>
      <c r="K349" s="13" t="str">
        <f>IF(G349&lt;=O349, "≦","&gt;")</f>
        <v>≦</v>
      </c>
      <c r="L349" s="465" t="s">
        <v>327</v>
      </c>
      <c r="M349" s="465"/>
      <c r="N349" s="13" t="s">
        <v>2</v>
      </c>
      <c r="O349" s="436">
        <f>M305</f>
        <v>210</v>
      </c>
      <c r="P349" s="436"/>
      <c r="Q349" s="436"/>
      <c r="R349" s="462" t="str">
        <f>IF(K349="≦","OK","NG")</f>
        <v>OK</v>
      </c>
      <c r="S349" s="463"/>
      <c r="T349" s="464"/>
      <c r="U349" s="13"/>
      <c r="V349" s="13"/>
      <c r="W349" s="13"/>
      <c r="X349" s="13"/>
      <c r="Y349" s="13"/>
      <c r="Z349" s="13"/>
      <c r="AA349" s="13"/>
      <c r="AB349" s="13"/>
      <c r="AC349" s="13"/>
      <c r="AD349" s="13"/>
      <c r="AE349" s="13"/>
      <c r="AF349" s="13"/>
      <c r="AG349" s="13"/>
      <c r="AH349" s="13"/>
      <c r="AI349" s="13"/>
      <c r="AJ349" s="15"/>
    </row>
    <row r="350" spans="4:36">
      <c r="D350" s="12"/>
      <c r="E350" s="13"/>
      <c r="F350" s="13"/>
      <c r="G350" s="147"/>
      <c r="H350" s="147"/>
      <c r="I350" s="147"/>
      <c r="J350" s="13"/>
      <c r="K350" s="13"/>
      <c r="L350" s="36"/>
      <c r="M350" s="36"/>
      <c r="N350" s="13"/>
      <c r="O350" s="14"/>
      <c r="P350" s="14"/>
      <c r="Q350" s="14"/>
      <c r="R350" s="14"/>
      <c r="S350" s="14"/>
      <c r="T350" s="14"/>
      <c r="U350" s="13"/>
      <c r="V350" s="13"/>
      <c r="W350" s="13"/>
      <c r="X350" s="13"/>
      <c r="Y350" s="13"/>
      <c r="Z350" s="13"/>
      <c r="AA350" s="13"/>
      <c r="AB350" s="13"/>
      <c r="AC350" s="13"/>
      <c r="AD350" s="13"/>
      <c r="AE350" s="13"/>
      <c r="AF350" s="13"/>
      <c r="AG350" s="13"/>
      <c r="AH350" s="13"/>
      <c r="AI350" s="13"/>
      <c r="AJ350" s="15"/>
    </row>
    <row r="351" spans="4:36">
      <c r="D351" s="12"/>
      <c r="E351" s="13"/>
      <c r="F351" s="13"/>
      <c r="G351" s="147"/>
      <c r="H351" s="147"/>
      <c r="I351" s="147"/>
      <c r="J351" s="13"/>
      <c r="K351" s="13"/>
      <c r="L351" s="36"/>
      <c r="M351" s="36"/>
      <c r="N351" s="13"/>
      <c r="O351" s="14"/>
      <c r="P351" s="14"/>
      <c r="Q351" s="14"/>
      <c r="R351" s="14"/>
      <c r="S351" s="14"/>
      <c r="T351" s="14"/>
      <c r="U351" s="13"/>
      <c r="V351" s="13"/>
      <c r="W351" s="13"/>
      <c r="X351" s="13"/>
      <c r="Y351" s="13"/>
      <c r="Z351" s="13"/>
      <c r="AA351" s="13"/>
      <c r="AB351" s="13"/>
      <c r="AC351" s="13"/>
      <c r="AD351" s="13"/>
      <c r="AE351" s="13"/>
      <c r="AF351" s="13"/>
      <c r="AG351" s="13"/>
      <c r="AH351" s="13"/>
      <c r="AI351" s="13"/>
      <c r="AJ351" s="15"/>
    </row>
    <row r="352" spans="4:36" s="234" customFormat="1">
      <c r="D352" s="314" t="s">
        <v>730</v>
      </c>
      <c r="E352" s="117"/>
      <c r="F352" s="117"/>
      <c r="G352" s="117"/>
      <c r="H352" s="117"/>
      <c r="I352" s="117"/>
      <c r="J352" s="117"/>
      <c r="K352" s="117"/>
      <c r="L352" s="117"/>
      <c r="M352" s="117"/>
      <c r="N352" s="117"/>
      <c r="O352" s="117"/>
      <c r="P352" s="117"/>
      <c r="Q352" s="117"/>
      <c r="R352" s="117"/>
      <c r="S352" s="117"/>
      <c r="T352" s="117"/>
      <c r="U352" s="117"/>
      <c r="V352" s="117"/>
      <c r="W352" s="117"/>
      <c r="X352" s="117"/>
      <c r="Y352" s="117"/>
      <c r="Z352" s="117"/>
      <c r="AA352" s="117"/>
      <c r="AB352" s="117"/>
      <c r="AC352" s="117"/>
      <c r="AD352" s="117"/>
      <c r="AE352" s="117"/>
      <c r="AF352" s="117"/>
      <c r="AG352" s="117"/>
      <c r="AH352" s="117"/>
      <c r="AI352" s="117"/>
      <c r="AJ352" s="315"/>
    </row>
    <row r="353" spans="2:36">
      <c r="D353" s="12"/>
      <c r="E353" s="13" t="s">
        <v>731</v>
      </c>
      <c r="G353" s="13"/>
      <c r="H353" s="13"/>
      <c r="I353" s="13"/>
      <c r="J353" s="13"/>
      <c r="K353" s="13"/>
      <c r="L353" s="13"/>
      <c r="M353" s="13"/>
      <c r="N353" s="13"/>
      <c r="O353" s="13"/>
      <c r="W353" s="13"/>
      <c r="X353" s="13"/>
      <c r="Y353" s="13"/>
      <c r="Z353" s="13"/>
      <c r="AA353" s="13"/>
      <c r="AB353" s="13"/>
      <c r="AC353" s="13"/>
      <c r="AD353" s="13"/>
      <c r="AE353" s="13"/>
      <c r="AF353" s="13"/>
      <c r="AG353" s="13"/>
      <c r="AH353" s="13"/>
      <c r="AI353" s="13"/>
      <c r="AJ353" s="15"/>
    </row>
    <row r="354" spans="2:36">
      <c r="D354" s="12"/>
      <c r="E354" s="13"/>
      <c r="G354" s="852" t="s">
        <v>284</v>
      </c>
      <c r="H354" s="465"/>
      <c r="I354" s="449" t="s">
        <v>2</v>
      </c>
      <c r="J354" s="466" t="s">
        <v>718</v>
      </c>
      <c r="K354" s="466"/>
      <c r="L354" s="144"/>
      <c r="M354" s="449" t="s">
        <v>2</v>
      </c>
      <c r="N354" s="17"/>
      <c r="O354" s="17"/>
      <c r="P354" s="452">
        <f>AD99</f>
        <v>276.14431774299123</v>
      </c>
      <c r="Q354" s="452"/>
      <c r="R354" s="452"/>
      <c r="S354" s="17" t="s">
        <v>27</v>
      </c>
      <c r="T354" s="617">
        <v>1000</v>
      </c>
      <c r="U354" s="617"/>
      <c r="V354" s="617"/>
      <c r="W354" s="17"/>
      <c r="X354" s="17"/>
      <c r="Y354" s="17"/>
      <c r="Z354" s="13"/>
      <c r="AA354" s="13"/>
      <c r="AB354" s="13"/>
      <c r="AC354" s="13"/>
      <c r="AD354" s="13"/>
      <c r="AE354" s="13"/>
      <c r="AF354" s="13"/>
      <c r="AG354" s="13"/>
      <c r="AH354" s="13"/>
      <c r="AI354" s="13"/>
      <c r="AJ354" s="15"/>
    </row>
    <row r="355" spans="2:36">
      <c r="D355" s="12"/>
      <c r="E355" s="13"/>
      <c r="G355" s="465"/>
      <c r="H355" s="465"/>
      <c r="I355" s="449"/>
      <c r="J355" s="467" t="s">
        <v>285</v>
      </c>
      <c r="K355" s="467"/>
      <c r="L355" s="145"/>
      <c r="M355" s="449"/>
      <c r="N355" s="1" t="s">
        <v>69</v>
      </c>
      <c r="O355" s="458">
        <f>'1.設計条件'!Q56</f>
        <v>350</v>
      </c>
      <c r="P355" s="458"/>
      <c r="Q355" s="31" t="s">
        <v>263</v>
      </c>
      <c r="R355" s="31">
        <v>2</v>
      </c>
      <c r="S355" s="31" t="s">
        <v>27</v>
      </c>
      <c r="T355" s="458">
        <f>'1.設計条件'!Q59</f>
        <v>19</v>
      </c>
      <c r="U355" s="458"/>
      <c r="V355" s="13" t="s">
        <v>83</v>
      </c>
      <c r="W355" s="13" t="s">
        <v>27</v>
      </c>
      <c r="X355" s="458">
        <f>'1.設計条件'!Q58</f>
        <v>12</v>
      </c>
      <c r="Y355" s="458"/>
      <c r="AG355" s="13"/>
      <c r="AH355" s="13"/>
      <c r="AI355" s="13"/>
      <c r="AJ355" s="15"/>
    </row>
    <row r="356" spans="2:36">
      <c r="D356" s="12"/>
      <c r="E356" s="13"/>
      <c r="G356" s="36"/>
      <c r="H356" s="36"/>
      <c r="I356" s="28"/>
      <c r="J356" s="35"/>
      <c r="K356" s="35"/>
      <c r="L356" s="145"/>
      <c r="M356" s="28"/>
      <c r="N356" s="27"/>
      <c r="O356" s="27"/>
      <c r="P356" s="27"/>
      <c r="Q356" s="13"/>
      <c r="R356" s="27"/>
      <c r="S356" s="27"/>
      <c r="T356" s="13"/>
      <c r="U356" s="13"/>
      <c r="V356" s="13"/>
      <c r="W356" s="13"/>
      <c r="X356" s="13"/>
      <c r="Y356" s="13"/>
      <c r="Z356" s="13"/>
      <c r="AA356" s="13"/>
      <c r="AB356" s="13"/>
      <c r="AC356" s="13"/>
      <c r="AD356" s="13"/>
      <c r="AE356" s="13"/>
      <c r="AF356" s="13"/>
      <c r="AG356" s="13"/>
      <c r="AH356" s="13"/>
      <c r="AI356" s="13"/>
      <c r="AJ356" s="15"/>
    </row>
    <row r="357" spans="2:36" ht="20.25">
      <c r="D357" s="12"/>
      <c r="E357" s="13"/>
      <c r="F357" s="13"/>
      <c r="G357" s="13"/>
      <c r="H357" s="13"/>
      <c r="I357" s="13" t="s">
        <v>2</v>
      </c>
      <c r="J357" s="462">
        <f>P354*T354/(O355-R355*T355)/X355</f>
        <v>73.756495123662191</v>
      </c>
      <c r="K357" s="463"/>
      <c r="L357" s="464"/>
      <c r="M357" s="13" t="s">
        <v>48</v>
      </c>
      <c r="N357" s="13"/>
      <c r="O357" s="13"/>
      <c r="P357" s="13"/>
      <c r="Q357" s="13" t="str">
        <f>IF(J357&lt;=U357, "≦","&gt;")</f>
        <v>≦</v>
      </c>
      <c r="R357" s="359" t="s">
        <v>296</v>
      </c>
      <c r="S357" s="360"/>
      <c r="T357" s="13" t="s">
        <v>2</v>
      </c>
      <c r="U357" s="436">
        <f>'1.設計条件'!N65</f>
        <v>120</v>
      </c>
      <c r="V357" s="436"/>
      <c r="W357" s="436"/>
      <c r="X357" s="13" t="s">
        <v>48</v>
      </c>
      <c r="Y357" s="13"/>
      <c r="Z357" s="13"/>
      <c r="AA357" s="13"/>
      <c r="AB357" s="462" t="str">
        <f>IF(Q357="≦","OK","NG")</f>
        <v>OK</v>
      </c>
      <c r="AC357" s="463"/>
      <c r="AD357" s="464"/>
      <c r="AE357" s="13"/>
      <c r="AF357" s="13"/>
      <c r="AG357" s="13"/>
      <c r="AH357" s="13"/>
      <c r="AI357" s="13"/>
      <c r="AJ357" s="15"/>
    </row>
    <row r="358" spans="2:36">
      <c r="D358" s="12"/>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5"/>
    </row>
    <row r="359" spans="2:36">
      <c r="D359" s="16"/>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9"/>
    </row>
    <row r="361" spans="2:36">
      <c r="B361" s="234"/>
      <c r="C361" s="234"/>
      <c r="D361" s="234"/>
    </row>
  </sheetData>
  <sheetProtection sheet="1" objects="1" scenarios="1"/>
  <mergeCells count="641">
    <mergeCell ref="R321:S321"/>
    <mergeCell ref="V321:X321"/>
    <mergeCell ref="O324:P324"/>
    <mergeCell ref="R324:S324"/>
    <mergeCell ref="V324:X324"/>
    <mergeCell ref="O325:P325"/>
    <mergeCell ref="R325:S325"/>
    <mergeCell ref="V325:X325"/>
    <mergeCell ref="AD310:AD311"/>
    <mergeCell ref="M318:O318"/>
    <mergeCell ref="O321:P321"/>
    <mergeCell ref="AE310:AH310"/>
    <mergeCell ref="U311:W311"/>
    <mergeCell ref="Y311:Z311"/>
    <mergeCell ref="AE311:AH311"/>
    <mergeCell ref="M313:O313"/>
    <mergeCell ref="J315:K316"/>
    <mergeCell ref="L315:L316"/>
    <mergeCell ref="M315:Q315"/>
    <mergeCell ref="S315:S316"/>
    <mergeCell ref="T315:X315"/>
    <mergeCell ref="AD315:AD316"/>
    <mergeCell ref="AE315:AH315"/>
    <mergeCell ref="U316:W316"/>
    <mergeCell ref="Y316:Z316"/>
    <mergeCell ref="AE316:AH316"/>
    <mergeCell ref="AA293:AB293"/>
    <mergeCell ref="L294:M294"/>
    <mergeCell ref="O294:P294"/>
    <mergeCell ref="R294:U294"/>
    <mergeCell ref="W294:X294"/>
    <mergeCell ref="AA294:AB294"/>
    <mergeCell ref="K295:M295"/>
    <mergeCell ref="J310:K311"/>
    <mergeCell ref="L310:L311"/>
    <mergeCell ref="M310:Q310"/>
    <mergeCell ref="S310:S311"/>
    <mergeCell ref="T310:X310"/>
    <mergeCell ref="I292:R292"/>
    <mergeCell ref="S292:T292"/>
    <mergeCell ref="V292:W292"/>
    <mergeCell ref="Y292:Z292"/>
    <mergeCell ref="H293:I293"/>
    <mergeCell ref="L293:M293"/>
    <mergeCell ref="O293:P293"/>
    <mergeCell ref="R293:S293"/>
    <mergeCell ref="W293:X293"/>
    <mergeCell ref="K285:L285"/>
    <mergeCell ref="L286:M286"/>
    <mergeCell ref="O286:P286"/>
    <mergeCell ref="K289:L289"/>
    <mergeCell ref="M289:M290"/>
    <mergeCell ref="N289:O289"/>
    <mergeCell ref="Q289:S289"/>
    <mergeCell ref="U289:U290"/>
    <mergeCell ref="V289:W290"/>
    <mergeCell ref="K290:L290"/>
    <mergeCell ref="P290:Q290"/>
    <mergeCell ref="K282:L282"/>
    <mergeCell ref="V282:W282"/>
    <mergeCell ref="Y282:Z282"/>
    <mergeCell ref="AB282:AC282"/>
    <mergeCell ref="AE282:AG282"/>
    <mergeCell ref="K283:L283"/>
    <mergeCell ref="M283:R283"/>
    <mergeCell ref="S283:T283"/>
    <mergeCell ref="W283:X283"/>
    <mergeCell ref="AG283:AI283"/>
    <mergeCell ref="AA274:AB274"/>
    <mergeCell ref="L275:M275"/>
    <mergeCell ref="O275:P275"/>
    <mergeCell ref="R275:U275"/>
    <mergeCell ref="W275:X275"/>
    <mergeCell ref="AA275:AB275"/>
    <mergeCell ref="K276:M276"/>
    <mergeCell ref="O281:P281"/>
    <mergeCell ref="R281:S281"/>
    <mergeCell ref="N270:O270"/>
    <mergeCell ref="Q270:S270"/>
    <mergeCell ref="U270:U271"/>
    <mergeCell ref="V270:W271"/>
    <mergeCell ref="N271:O271"/>
    <mergeCell ref="Q271:S271"/>
    <mergeCell ref="I273:R273"/>
    <mergeCell ref="U273:V273"/>
    <mergeCell ref="H274:I274"/>
    <mergeCell ref="L274:M274"/>
    <mergeCell ref="O274:P274"/>
    <mergeCell ref="R274:S274"/>
    <mergeCell ref="W274:X274"/>
    <mergeCell ref="O262:P262"/>
    <mergeCell ref="R262:S262"/>
    <mergeCell ref="X262:Y262"/>
    <mergeCell ref="N264:O264"/>
    <mergeCell ref="K266:L266"/>
    <mergeCell ref="Y158:Z158"/>
    <mergeCell ref="X220:Y220"/>
    <mergeCell ref="O197:P197"/>
    <mergeCell ref="R197:S197"/>
    <mergeCell ref="T220:T221"/>
    <mergeCell ref="L221:M221"/>
    <mergeCell ref="X217:Y217"/>
    <mergeCell ref="W218:X218"/>
    <mergeCell ref="Z218:AA218"/>
    <mergeCell ref="M220:N220"/>
    <mergeCell ref="X231:Y231"/>
    <mergeCell ref="J233:L233"/>
    <mergeCell ref="R233:S233"/>
    <mergeCell ref="U233:W233"/>
    <mergeCell ref="O225:Q225"/>
    <mergeCell ref="R225:T225"/>
    <mergeCell ref="L225:M225"/>
    <mergeCell ref="L162:M162"/>
    <mergeCell ref="Y168:Z168"/>
    <mergeCell ref="G217:H218"/>
    <mergeCell ref="I217:I218"/>
    <mergeCell ref="M217:N217"/>
    <mergeCell ref="L218:M218"/>
    <mergeCell ref="V206:V207"/>
    <mergeCell ref="AD207:AE207"/>
    <mergeCell ref="T217:T218"/>
    <mergeCell ref="G223:H223"/>
    <mergeCell ref="J223:Q223"/>
    <mergeCell ref="S223:Z223"/>
    <mergeCell ref="G209:H209"/>
    <mergeCell ref="W207:X207"/>
    <mergeCell ref="AA207:AB207"/>
    <mergeCell ref="AA206:AB206"/>
    <mergeCell ref="J124:AI124"/>
    <mergeCell ref="J125:AI125"/>
    <mergeCell ref="S191:S192"/>
    <mergeCell ref="T191:X191"/>
    <mergeCell ref="AD191:AD192"/>
    <mergeCell ref="AE191:AH191"/>
    <mergeCell ref="U192:W192"/>
    <mergeCell ref="Y192:Z192"/>
    <mergeCell ref="AE192:AH192"/>
    <mergeCell ref="J126:J127"/>
    <mergeCell ref="K126:L126"/>
    <mergeCell ref="K127:L127"/>
    <mergeCell ref="AA150:AB150"/>
    <mergeCell ref="W151:X151"/>
    <mergeCell ref="AA151:AB151"/>
    <mergeCell ref="W150:X150"/>
    <mergeCell ref="AB158:AC158"/>
    <mergeCell ref="AE158:AG158"/>
    <mergeCell ref="W159:X159"/>
    <mergeCell ref="AG159:AI159"/>
    <mergeCell ref="R157:S157"/>
    <mergeCell ref="O157:P157"/>
    <mergeCell ref="AA169:AB169"/>
    <mergeCell ref="O170:P170"/>
    <mergeCell ref="H118:I118"/>
    <mergeCell ref="F124:G124"/>
    <mergeCell ref="H124:I124"/>
    <mergeCell ref="H135:I135"/>
    <mergeCell ref="N209:O209"/>
    <mergeCell ref="V209:V210"/>
    <mergeCell ref="R200:S200"/>
    <mergeCell ref="V200:X200"/>
    <mergeCell ref="G207:H207"/>
    <mergeCell ref="G206:H206"/>
    <mergeCell ref="I206:I207"/>
    <mergeCell ref="J207:K207"/>
    <mergeCell ref="N206:O206"/>
    <mergeCell ref="N207:O207"/>
    <mergeCell ref="N126:N127"/>
    <mergeCell ref="N119:N120"/>
    <mergeCell ref="O143:P143"/>
    <mergeCell ref="O138:P138"/>
    <mergeCell ref="S119:T119"/>
    <mergeCell ref="S120:T120"/>
    <mergeCell ref="R138:S138"/>
    <mergeCell ref="X138:Y138"/>
    <mergeCell ref="P136:Q136"/>
    <mergeCell ref="H126:I127"/>
    <mergeCell ref="U110:V110"/>
    <mergeCell ref="Q90:R90"/>
    <mergeCell ref="W77:X77"/>
    <mergeCell ref="W91:X91"/>
    <mergeCell ref="O119:Q119"/>
    <mergeCell ref="O120:Q120"/>
    <mergeCell ref="N140:O140"/>
    <mergeCell ref="S100:X100"/>
    <mergeCell ref="W81:X81"/>
    <mergeCell ref="S81:U81"/>
    <mergeCell ref="N81:N82"/>
    <mergeCell ref="O81:P81"/>
    <mergeCell ref="O82:P82"/>
    <mergeCell ref="S85:U85"/>
    <mergeCell ref="N85:O85"/>
    <mergeCell ref="N86:O86"/>
    <mergeCell ref="N99:O99"/>
    <mergeCell ref="N100:O100"/>
    <mergeCell ref="V119:V120"/>
    <mergeCell ref="W119:X120"/>
    <mergeCell ref="O126:Q126"/>
    <mergeCell ref="O127:Q127"/>
    <mergeCell ref="S127:T127"/>
    <mergeCell ref="S126:U126"/>
    <mergeCell ref="AG99:AG100"/>
    <mergeCell ref="AG81:AI82"/>
    <mergeCell ref="H31:I31"/>
    <mergeCell ref="G81:H82"/>
    <mergeCell ref="S82:X82"/>
    <mergeCell ref="X50:Y50"/>
    <mergeCell ref="AC50:AE50"/>
    <mergeCell ref="P51:R51"/>
    <mergeCell ref="P55:Q55"/>
    <mergeCell ref="S55:T55"/>
    <mergeCell ref="P56:Q56"/>
    <mergeCell ref="S56:T56"/>
    <mergeCell ref="P57:Q57"/>
    <mergeCell ref="E59:AJ60"/>
    <mergeCell ref="G76:H76"/>
    <mergeCell ref="K76:L76"/>
    <mergeCell ref="N76:O76"/>
    <mergeCell ref="O62:P62"/>
    <mergeCell ref="R62:T62"/>
    <mergeCell ref="F62:N62"/>
    <mergeCell ref="Q72:R72"/>
    <mergeCell ref="Z81:Z82"/>
    <mergeCell ref="AG85:AG86"/>
    <mergeCell ref="AC85:AC86"/>
    <mergeCell ref="W85:X85"/>
    <mergeCell ref="G85:H86"/>
    <mergeCell ref="I85:I86"/>
    <mergeCell ref="R85:R86"/>
    <mergeCell ref="S86:X86"/>
    <mergeCell ref="T37:U37"/>
    <mergeCell ref="H40:I40"/>
    <mergeCell ref="K40:M40"/>
    <mergeCell ref="M48:N48"/>
    <mergeCell ref="P48:R48"/>
    <mergeCell ref="F49:L49"/>
    <mergeCell ref="M49:N49"/>
    <mergeCell ref="P49:R49"/>
    <mergeCell ref="M52:N52"/>
    <mergeCell ref="P52:R52"/>
    <mergeCell ref="M55:N55"/>
    <mergeCell ref="F50:L50"/>
    <mergeCell ref="M50:N50"/>
    <mergeCell ref="P50:Q50"/>
    <mergeCell ref="T50:U50"/>
    <mergeCell ref="H68:I69"/>
    <mergeCell ref="J68:J69"/>
    <mergeCell ref="L68:M69"/>
    <mergeCell ref="N68:N69"/>
    <mergeCell ref="T25:U25"/>
    <mergeCell ref="O25:P25"/>
    <mergeCell ref="I81:I82"/>
    <mergeCell ref="N72:O72"/>
    <mergeCell ref="G34:U34"/>
    <mergeCell ref="G35:U35"/>
    <mergeCell ref="H24:I24"/>
    <mergeCell ref="K24:L24"/>
    <mergeCell ref="O24:P24"/>
    <mergeCell ref="T24:U24"/>
    <mergeCell ref="H26:I26"/>
    <mergeCell ref="K26:L26"/>
    <mergeCell ref="R81:R82"/>
    <mergeCell ref="T26:U26"/>
    <mergeCell ref="H27:I27"/>
    <mergeCell ref="K27:L27"/>
    <mergeCell ref="O27:P27"/>
    <mergeCell ref="T27:U27"/>
    <mergeCell ref="G33:U33"/>
    <mergeCell ref="H36:I36"/>
    <mergeCell ref="K36:L36"/>
    <mergeCell ref="O36:P36"/>
    <mergeCell ref="T36:U36"/>
    <mergeCell ref="F52:L52"/>
    <mergeCell ref="D5:AJ6"/>
    <mergeCell ref="E14:F15"/>
    <mergeCell ref="G14:H14"/>
    <mergeCell ref="I14:J15"/>
    <mergeCell ref="N14:P14"/>
    <mergeCell ref="K14:M14"/>
    <mergeCell ref="E12:F13"/>
    <mergeCell ref="G12:H12"/>
    <mergeCell ref="I12:J13"/>
    <mergeCell ref="N12:P12"/>
    <mergeCell ref="K12:M12"/>
    <mergeCell ref="G13:H13"/>
    <mergeCell ref="N15:P15"/>
    <mergeCell ref="G15:H15"/>
    <mergeCell ref="E10:F11"/>
    <mergeCell ref="G10:H10"/>
    <mergeCell ref="I10:J11"/>
    <mergeCell ref="K10:M10"/>
    <mergeCell ref="K15:M15"/>
    <mergeCell ref="N13:P13"/>
    <mergeCell ref="K7:P7"/>
    <mergeCell ref="I8:J8"/>
    <mergeCell ref="K8:P8"/>
    <mergeCell ref="I9:J9"/>
    <mergeCell ref="K9:P9"/>
    <mergeCell ref="I7:J7"/>
    <mergeCell ref="I18:J19"/>
    <mergeCell ref="I16:J17"/>
    <mergeCell ref="J82:M82"/>
    <mergeCell ref="K31:M31"/>
    <mergeCell ref="H25:I25"/>
    <mergeCell ref="K25:L25"/>
    <mergeCell ref="G21:U21"/>
    <mergeCell ref="G22:U22"/>
    <mergeCell ref="G23:U23"/>
    <mergeCell ref="N10:P10"/>
    <mergeCell ref="G11:H11"/>
    <mergeCell ref="K11:M11"/>
    <mergeCell ref="N11:P11"/>
    <mergeCell ref="K13:M13"/>
    <mergeCell ref="G19:H19"/>
    <mergeCell ref="K19:M19"/>
    <mergeCell ref="G17:H17"/>
    <mergeCell ref="G18:H18"/>
    <mergeCell ref="N17:P17"/>
    <mergeCell ref="N18:P18"/>
    <mergeCell ref="K17:M17"/>
    <mergeCell ref="K18:M18"/>
    <mergeCell ref="F220:F221"/>
    <mergeCell ref="F209:F210"/>
    <mergeCell ref="L170:M170"/>
    <mergeCell ref="M146:M147"/>
    <mergeCell ref="N146:O146"/>
    <mergeCell ref="N147:O147"/>
    <mergeCell ref="Q146:S146"/>
    <mergeCell ref="Q147:S147"/>
    <mergeCell ref="E16:F19"/>
    <mergeCell ref="G16:H16"/>
    <mergeCell ref="N16:P16"/>
    <mergeCell ref="K16:M16"/>
    <mergeCell ref="N19:P19"/>
    <mergeCell ref="G210:H210"/>
    <mergeCell ref="J210:K210"/>
    <mergeCell ref="N210:O210"/>
    <mergeCell ref="H175:I175"/>
    <mergeCell ref="J176:K176"/>
    <mergeCell ref="M176:N176"/>
    <mergeCell ref="M159:R159"/>
    <mergeCell ref="O162:P162"/>
    <mergeCell ref="M165:M166"/>
    <mergeCell ref="M194:O194"/>
    <mergeCell ref="O200:P200"/>
    <mergeCell ref="H185:I185"/>
    <mergeCell ref="Y187:Z187"/>
    <mergeCell ref="F185:G185"/>
    <mergeCell ref="K128:L129"/>
    <mergeCell ref="H131:I131"/>
    <mergeCell ref="K131:L131"/>
    <mergeCell ref="L143:M143"/>
    <mergeCell ref="K142:L142"/>
    <mergeCell ref="J128:J129"/>
    <mergeCell ref="L137:S137"/>
    <mergeCell ref="I149:R149"/>
    <mergeCell ref="L151:M151"/>
    <mergeCell ref="O151:P151"/>
    <mergeCell ref="R151:U151"/>
    <mergeCell ref="K152:M152"/>
    <mergeCell ref="H150:I150"/>
    <mergeCell ref="L150:M150"/>
    <mergeCell ref="O150:P150"/>
    <mergeCell ref="R150:S150"/>
    <mergeCell ref="S159:T159"/>
    <mergeCell ref="K158:L158"/>
    <mergeCell ref="K159:L159"/>
    <mergeCell ref="V158:W158"/>
    <mergeCell ref="H156:I156"/>
    <mergeCell ref="AA170:AB170"/>
    <mergeCell ref="R170:U170"/>
    <mergeCell ref="K171:M171"/>
    <mergeCell ref="J212:S212"/>
    <mergeCell ref="U212:AD212"/>
    <mergeCell ref="AD210:AE210"/>
    <mergeCell ref="U165:U166"/>
    <mergeCell ref="V165:W166"/>
    <mergeCell ref="P166:Q166"/>
    <mergeCell ref="K165:L165"/>
    <mergeCell ref="K166:L166"/>
    <mergeCell ref="W169:X169"/>
    <mergeCell ref="V168:W168"/>
    <mergeCell ref="S168:T168"/>
    <mergeCell ref="N165:O165"/>
    <mergeCell ref="Q165:S165"/>
    <mergeCell ref="I168:R168"/>
    <mergeCell ref="H169:I169"/>
    <mergeCell ref="L169:M169"/>
    <mergeCell ref="O169:P169"/>
    <mergeCell ref="R169:S169"/>
    <mergeCell ref="AD186:AD187"/>
    <mergeCell ref="AE186:AH186"/>
    <mergeCell ref="AE187:AH187"/>
    <mergeCell ref="AF109:AF110"/>
    <mergeCell ref="AG109:AG110"/>
    <mergeCell ref="G114:H115"/>
    <mergeCell ref="I114:I115"/>
    <mergeCell ref="M114:N114"/>
    <mergeCell ref="R114:R115"/>
    <mergeCell ref="V114:W114"/>
    <mergeCell ref="L115:M115"/>
    <mergeCell ref="O115:P115"/>
    <mergeCell ref="U115:V115"/>
    <mergeCell ref="X115:Y115"/>
    <mergeCell ref="Y109:Z109"/>
    <mergeCell ref="Y110:Z110"/>
    <mergeCell ref="AB110:AC110"/>
    <mergeCell ref="G109:H109"/>
    <mergeCell ref="I109:I110"/>
    <mergeCell ref="N109:O109"/>
    <mergeCell ref="T109:T110"/>
    <mergeCell ref="G110:H110"/>
    <mergeCell ref="J110:K110"/>
    <mergeCell ref="N110:O110"/>
    <mergeCell ref="Q110:R110"/>
    <mergeCell ref="AD114:AE115"/>
    <mergeCell ref="AC114:AC115"/>
    <mergeCell ref="O26:P26"/>
    <mergeCell ref="O63:P63"/>
    <mergeCell ref="R63:S63"/>
    <mergeCell ref="Z63:AA63"/>
    <mergeCell ref="R64:S64"/>
    <mergeCell ref="AC64:AE64"/>
    <mergeCell ref="F63:N63"/>
    <mergeCell ref="R65:T65"/>
    <mergeCell ref="T28:U28"/>
    <mergeCell ref="E45:AJ46"/>
    <mergeCell ref="V63:W63"/>
    <mergeCell ref="W64:Y64"/>
    <mergeCell ref="O68:P69"/>
    <mergeCell ref="R68:R69"/>
    <mergeCell ref="T68:U69"/>
    <mergeCell ref="AG95:AI96"/>
    <mergeCell ref="J96:M96"/>
    <mergeCell ref="S96:X96"/>
    <mergeCell ref="V68:V69"/>
    <mergeCell ref="W68:X69"/>
    <mergeCell ref="H70:I70"/>
    <mergeCell ref="K70:L70"/>
    <mergeCell ref="O77:P77"/>
    <mergeCell ref="R77:T77"/>
    <mergeCell ref="K77:M77"/>
    <mergeCell ref="Q76:R76"/>
    <mergeCell ref="Z95:Z96"/>
    <mergeCell ref="S95:U95"/>
    <mergeCell ref="O95:P95"/>
    <mergeCell ref="O96:P96"/>
    <mergeCell ref="AD81:AF82"/>
    <mergeCell ref="AC81:AC82"/>
    <mergeCell ref="Z85:Z86"/>
    <mergeCell ref="AD85:AF86"/>
    <mergeCell ref="J78:L78"/>
    <mergeCell ref="G90:H90"/>
    <mergeCell ref="W99:X99"/>
    <mergeCell ref="AD99:AF100"/>
    <mergeCell ref="N95:N96"/>
    <mergeCell ref="AC99:AC100"/>
    <mergeCell ref="Z99:Z100"/>
    <mergeCell ref="S99:U99"/>
    <mergeCell ref="M99:M100"/>
    <mergeCell ref="G95:H96"/>
    <mergeCell ref="I95:I96"/>
    <mergeCell ref="R95:R96"/>
    <mergeCell ref="W95:X95"/>
    <mergeCell ref="AC95:AC96"/>
    <mergeCell ref="AD95:AF96"/>
    <mergeCell ref="J100:L100"/>
    <mergeCell ref="J86:L86"/>
    <mergeCell ref="M85:M86"/>
    <mergeCell ref="H119:I120"/>
    <mergeCell ref="J119:J120"/>
    <mergeCell ref="G230:H231"/>
    <mergeCell ref="I230:I231"/>
    <mergeCell ref="J230:K230"/>
    <mergeCell ref="M230:M231"/>
    <mergeCell ref="P230:R230"/>
    <mergeCell ref="K161:L161"/>
    <mergeCell ref="K90:L90"/>
    <mergeCell ref="N90:O90"/>
    <mergeCell ref="K91:M91"/>
    <mergeCell ref="G99:H100"/>
    <mergeCell ref="I99:I100"/>
    <mergeCell ref="R99:R100"/>
    <mergeCell ref="O91:P91"/>
    <mergeCell ref="R91:T91"/>
    <mergeCell ref="J92:L92"/>
    <mergeCell ref="J181:K181"/>
    <mergeCell ref="M181:N181"/>
    <mergeCell ref="P182:Q182"/>
    <mergeCell ref="H180:I180"/>
    <mergeCell ref="L186:L187"/>
    <mergeCell ref="O231:P231"/>
    <mergeCell ref="T231:U231"/>
    <mergeCell ref="V197:X197"/>
    <mergeCell ref="S186:S187"/>
    <mergeCell ref="T186:X186"/>
    <mergeCell ref="U187:W187"/>
    <mergeCell ref="W170:X170"/>
    <mergeCell ref="M214:O214"/>
    <mergeCell ref="J186:K187"/>
    <mergeCell ref="M186:Q186"/>
    <mergeCell ref="J191:K192"/>
    <mergeCell ref="L191:L192"/>
    <mergeCell ref="M191:Q191"/>
    <mergeCell ref="M189:O189"/>
    <mergeCell ref="U146:U147"/>
    <mergeCell ref="V146:W147"/>
    <mergeCell ref="U149:V149"/>
    <mergeCell ref="G220:H221"/>
    <mergeCell ref="I220:I221"/>
    <mergeCell ref="AB233:AD233"/>
    <mergeCell ref="O218:R218"/>
    <mergeCell ref="O221:R221"/>
    <mergeCell ref="Q207:T207"/>
    <mergeCell ref="Q210:T210"/>
    <mergeCell ref="AA209:AB209"/>
    <mergeCell ref="W210:X210"/>
    <mergeCell ref="AA210:AB210"/>
    <mergeCell ref="I209:I210"/>
    <mergeCell ref="G212:H212"/>
    <mergeCell ref="G214:H214"/>
    <mergeCell ref="W221:X221"/>
    <mergeCell ref="Z221:AA221"/>
    <mergeCell ref="G225:I225"/>
    <mergeCell ref="O201:P201"/>
    <mergeCell ref="R201:S201"/>
    <mergeCell ref="V201:X201"/>
    <mergeCell ref="T230:V230"/>
    <mergeCell ref="J231:K231"/>
    <mergeCell ref="H242:I242"/>
    <mergeCell ref="H243:I244"/>
    <mergeCell ref="J243:J244"/>
    <mergeCell ref="N243:N244"/>
    <mergeCell ref="O243:Q243"/>
    <mergeCell ref="S243:T243"/>
    <mergeCell ref="V243:V244"/>
    <mergeCell ref="W243:X244"/>
    <mergeCell ref="O244:Q244"/>
    <mergeCell ref="S244:T244"/>
    <mergeCell ref="H280:I280"/>
    <mergeCell ref="J252:J253"/>
    <mergeCell ref="K252:L253"/>
    <mergeCell ref="H255:I255"/>
    <mergeCell ref="K255:L255"/>
    <mergeCell ref="H259:I259"/>
    <mergeCell ref="F248:G248"/>
    <mergeCell ref="H248:I248"/>
    <mergeCell ref="J248:AI248"/>
    <mergeCell ref="J249:AI249"/>
    <mergeCell ref="H250:I251"/>
    <mergeCell ref="J250:J251"/>
    <mergeCell ref="K250:L250"/>
    <mergeCell ref="N250:N251"/>
    <mergeCell ref="O250:Q250"/>
    <mergeCell ref="S250:U250"/>
    <mergeCell ref="K251:L251"/>
    <mergeCell ref="O251:Q251"/>
    <mergeCell ref="S251:T251"/>
    <mergeCell ref="L267:M267"/>
    <mergeCell ref="O267:P267"/>
    <mergeCell ref="M270:M271"/>
    <mergeCell ref="P260:Q260"/>
    <mergeCell ref="L261:S261"/>
    <mergeCell ref="H304:I304"/>
    <mergeCell ref="J305:K305"/>
    <mergeCell ref="M305:N305"/>
    <mergeCell ref="P306:Q306"/>
    <mergeCell ref="F309:G309"/>
    <mergeCell ref="H309:I309"/>
    <mergeCell ref="H299:I299"/>
    <mergeCell ref="J300:K300"/>
    <mergeCell ref="M300:N300"/>
    <mergeCell ref="G330:H330"/>
    <mergeCell ref="I330:I331"/>
    <mergeCell ref="N330:O330"/>
    <mergeCell ref="V330:V331"/>
    <mergeCell ref="AA330:AB330"/>
    <mergeCell ref="G331:H331"/>
    <mergeCell ref="J331:K331"/>
    <mergeCell ref="N331:O331"/>
    <mergeCell ref="Q331:T331"/>
    <mergeCell ref="W331:X331"/>
    <mergeCell ref="AA331:AB331"/>
    <mergeCell ref="AD331:AE331"/>
    <mergeCell ref="F333:F334"/>
    <mergeCell ref="G333:H333"/>
    <mergeCell ref="I333:I334"/>
    <mergeCell ref="N333:O333"/>
    <mergeCell ref="V333:V334"/>
    <mergeCell ref="AA333:AB333"/>
    <mergeCell ref="G334:H334"/>
    <mergeCell ref="J334:K334"/>
    <mergeCell ref="N334:O334"/>
    <mergeCell ref="Q334:T334"/>
    <mergeCell ref="W334:X334"/>
    <mergeCell ref="AA334:AB334"/>
    <mergeCell ref="AD334:AE334"/>
    <mergeCell ref="G336:H336"/>
    <mergeCell ref="J336:S336"/>
    <mergeCell ref="U336:AD336"/>
    <mergeCell ref="G338:H338"/>
    <mergeCell ref="M338:O338"/>
    <mergeCell ref="G341:H342"/>
    <mergeCell ref="I341:I342"/>
    <mergeCell ref="M341:N341"/>
    <mergeCell ref="T341:T342"/>
    <mergeCell ref="X341:Y341"/>
    <mergeCell ref="L342:M342"/>
    <mergeCell ref="O342:R342"/>
    <mergeCell ref="W342:X342"/>
    <mergeCell ref="Z342:AA342"/>
    <mergeCell ref="F344:F345"/>
    <mergeCell ref="G344:H345"/>
    <mergeCell ref="I344:I345"/>
    <mergeCell ref="M344:N344"/>
    <mergeCell ref="T344:T345"/>
    <mergeCell ref="X344:Y344"/>
    <mergeCell ref="L345:M345"/>
    <mergeCell ref="O345:R345"/>
    <mergeCell ref="W345:X345"/>
    <mergeCell ref="J357:L357"/>
    <mergeCell ref="R357:S357"/>
    <mergeCell ref="U357:W357"/>
    <mergeCell ref="AB357:AD357"/>
    <mergeCell ref="Z345:AA345"/>
    <mergeCell ref="G347:H347"/>
    <mergeCell ref="J347:Q347"/>
    <mergeCell ref="S347:Z347"/>
    <mergeCell ref="G349:I349"/>
    <mergeCell ref="L349:M349"/>
    <mergeCell ref="O349:Q349"/>
    <mergeCell ref="R349:T349"/>
    <mergeCell ref="G354:H355"/>
    <mergeCell ref="I354:I355"/>
    <mergeCell ref="J354:K354"/>
    <mergeCell ref="M354:M355"/>
    <mergeCell ref="P354:R354"/>
    <mergeCell ref="T354:V354"/>
    <mergeCell ref="J355:K355"/>
    <mergeCell ref="O355:P355"/>
    <mergeCell ref="T355:U355"/>
    <mergeCell ref="X355:Y355"/>
  </mergeCells>
  <phoneticPr fontId="3"/>
  <conditionalFormatting sqref="T24:T27 T36">
    <cfRule type="cellIs" dxfId="2" priority="2" operator="greaterThan">
      <formula>#REF!</formula>
    </cfRule>
  </conditionalFormatting>
  <pageMargins left="0.70866141732283472" right="0.70866141732283472" top="0.74803149606299213" bottom="0.74803149606299213" header="0.31496062992125984" footer="0.31496062992125984"/>
  <pageSetup paperSize="9" scale="7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FD4BF-46BB-4F94-9BE8-BFE980A644EB}">
  <dimension ref="B3:AK331"/>
  <sheetViews>
    <sheetView showOutlineSymbols="0" zoomScaleNormal="100" workbookViewId="0"/>
  </sheetViews>
  <sheetFormatPr defaultRowHeight="18.75"/>
  <cols>
    <col min="1" max="35" width="3" style="1" customWidth="1"/>
    <col min="36" max="36" width="1.625" style="1" customWidth="1"/>
    <col min="37" max="16384" width="9" style="1"/>
  </cols>
  <sheetData>
    <row r="3" spans="2:37">
      <c r="B3" s="1" t="s">
        <v>734</v>
      </c>
      <c r="C3" s="116"/>
      <c r="D3" s="116"/>
      <c r="E3" s="116"/>
      <c r="F3" s="116"/>
      <c r="G3" s="116"/>
      <c r="H3" s="116"/>
      <c r="I3" s="116"/>
      <c r="J3" s="116"/>
      <c r="K3" s="116"/>
      <c r="L3" s="116"/>
      <c r="M3" s="116"/>
      <c r="N3" s="116"/>
      <c r="O3" s="116"/>
      <c r="P3" s="116"/>
      <c r="Q3" s="116"/>
      <c r="R3" s="116"/>
      <c r="S3" s="116"/>
      <c r="T3" s="116"/>
      <c r="U3" s="116"/>
      <c r="V3" s="116"/>
      <c r="W3"/>
      <c r="X3" s="116"/>
      <c r="Y3" s="116"/>
      <c r="Z3" s="116"/>
      <c r="AA3" s="116"/>
      <c r="AB3" s="116"/>
      <c r="AC3" s="116"/>
      <c r="AD3" s="116"/>
      <c r="AE3" s="116"/>
      <c r="AF3" s="116"/>
      <c r="AG3" s="116"/>
      <c r="AH3" s="116"/>
      <c r="AI3" s="116"/>
    </row>
    <row r="4" spans="2:37">
      <c r="C4" s="1" t="s">
        <v>735</v>
      </c>
      <c r="D4" s="116"/>
      <c r="E4" s="116"/>
      <c r="F4" s="116"/>
      <c r="G4" s="116"/>
      <c r="H4" s="116"/>
      <c r="I4" s="116"/>
      <c r="J4" s="116"/>
      <c r="K4" s="116"/>
      <c r="L4" s="116"/>
      <c r="M4" s="116"/>
      <c r="N4" s="116"/>
      <c r="O4" s="116"/>
      <c r="P4" s="116"/>
      <c r="Q4" s="116"/>
      <c r="R4" s="116"/>
      <c r="S4" s="116"/>
      <c r="T4" s="116"/>
      <c r="U4" s="116"/>
      <c r="V4" s="116"/>
      <c r="W4"/>
      <c r="X4" s="116"/>
      <c r="Y4" s="116"/>
      <c r="Z4" s="116"/>
      <c r="AA4" s="116"/>
      <c r="AB4" s="116"/>
      <c r="AC4" s="116"/>
      <c r="AD4" s="116"/>
      <c r="AE4" s="116"/>
      <c r="AF4" s="116"/>
      <c r="AG4" s="116"/>
      <c r="AH4" s="116"/>
      <c r="AI4" s="116"/>
    </row>
    <row r="5" spans="2:37" ht="18.75" customHeight="1">
      <c r="D5" s="9"/>
      <c r="E5" s="10" t="s">
        <v>738</v>
      </c>
      <c r="F5" s="10"/>
      <c r="G5" s="10"/>
      <c r="H5" s="10"/>
      <c r="I5" s="10"/>
      <c r="J5" s="10"/>
      <c r="K5" s="10"/>
      <c r="L5" s="10"/>
      <c r="M5" s="10"/>
      <c r="N5" s="10"/>
      <c r="O5" s="10"/>
      <c r="P5" s="10"/>
      <c r="Q5" s="10"/>
      <c r="R5" s="10"/>
      <c r="S5" s="10"/>
      <c r="T5" s="10"/>
      <c r="U5" s="10"/>
      <c r="V5" s="52"/>
      <c r="W5" s="10"/>
      <c r="X5" s="291"/>
      <c r="Y5" s="291"/>
      <c r="Z5" s="291"/>
      <c r="AA5" s="52"/>
      <c r="AB5" s="52"/>
      <c r="AC5" s="52"/>
      <c r="AD5" s="10"/>
      <c r="AE5" s="10"/>
      <c r="AF5" s="10"/>
      <c r="AG5" s="10"/>
      <c r="AH5" s="10"/>
      <c r="AI5" s="10"/>
      <c r="AJ5" s="11"/>
    </row>
    <row r="6" spans="2:37" ht="18.75" customHeight="1">
      <c r="C6" s="13"/>
      <c r="D6" s="12"/>
      <c r="E6" s="167" t="s">
        <v>737</v>
      </c>
      <c r="F6" s="119"/>
      <c r="G6" s="166"/>
      <c r="H6" s="13"/>
      <c r="I6" s="13"/>
      <c r="J6" s="13"/>
      <c r="K6" s="13"/>
      <c r="L6" s="13"/>
      <c r="M6" s="13"/>
      <c r="N6" s="13"/>
      <c r="O6" s="13"/>
      <c r="R6" s="134"/>
      <c r="S6" s="134"/>
      <c r="T6" s="96"/>
      <c r="U6" s="96"/>
      <c r="V6" s="96"/>
      <c r="W6" s="13"/>
      <c r="X6" s="134"/>
      <c r="Y6" s="134"/>
      <c r="Z6" s="134"/>
      <c r="AA6" s="96"/>
      <c r="AB6" s="96"/>
      <c r="AC6" s="96"/>
      <c r="AD6" s="13"/>
      <c r="AE6" s="13"/>
      <c r="AF6" s="13"/>
      <c r="AG6" s="13"/>
      <c r="AH6" s="13"/>
      <c r="AI6" s="13"/>
      <c r="AJ6" s="15"/>
    </row>
    <row r="7" spans="2:37" ht="20.25">
      <c r="D7" s="12"/>
      <c r="E7" s="167"/>
      <c r="F7" s="119"/>
      <c r="G7" s="166"/>
      <c r="H7" s="360" t="s">
        <v>275</v>
      </c>
      <c r="I7" s="360"/>
      <c r="J7" s="13" t="s">
        <v>2</v>
      </c>
      <c r="K7" s="437">
        <f>'5.腹起一般'!K31</f>
        <v>121.64567066132668</v>
      </c>
      <c r="L7" s="438"/>
      <c r="M7" s="439"/>
      <c r="N7" s="13" t="s">
        <v>276</v>
      </c>
      <c r="O7" s="118"/>
      <c r="P7" s="118"/>
      <c r="Q7" s="134"/>
      <c r="R7" s="134"/>
      <c r="S7" s="134"/>
      <c r="T7" s="96"/>
      <c r="U7" s="96"/>
      <c r="V7" s="96"/>
      <c r="W7" s="13"/>
      <c r="X7" s="134"/>
      <c r="Y7" s="134"/>
      <c r="Z7" s="134"/>
      <c r="AA7" s="96"/>
      <c r="AB7" s="96"/>
      <c r="AC7" s="96"/>
      <c r="AD7" s="13"/>
      <c r="AE7" s="13"/>
      <c r="AF7" s="13"/>
      <c r="AG7" s="13"/>
      <c r="AH7" s="13"/>
      <c r="AI7" s="13"/>
      <c r="AJ7" s="15"/>
    </row>
    <row r="8" spans="2:37">
      <c r="D8" s="12"/>
      <c r="E8" s="167" t="s">
        <v>736</v>
      </c>
      <c r="F8" s="119"/>
      <c r="G8" s="166"/>
      <c r="H8" s="13"/>
      <c r="I8" s="13"/>
      <c r="J8" s="13"/>
      <c r="K8" s="13"/>
      <c r="L8" s="13"/>
      <c r="M8" s="13"/>
      <c r="N8" s="13"/>
      <c r="O8" s="13"/>
      <c r="Q8" s="134"/>
      <c r="R8" s="134"/>
      <c r="S8" s="134"/>
      <c r="T8" s="96"/>
      <c r="U8" s="96"/>
      <c r="V8" s="96"/>
      <c r="W8" s="13"/>
      <c r="X8" s="134"/>
      <c r="Y8" s="134"/>
      <c r="Z8" s="134"/>
      <c r="AA8" s="96"/>
      <c r="AB8" s="96"/>
      <c r="AC8" s="96"/>
      <c r="AD8" s="13"/>
      <c r="AE8" s="13"/>
      <c r="AF8" s="13"/>
      <c r="AG8" s="13"/>
      <c r="AH8" s="13"/>
      <c r="AI8" s="13"/>
      <c r="AJ8" s="15"/>
    </row>
    <row r="9" spans="2:37" ht="20.25">
      <c r="D9" s="12"/>
      <c r="E9" s="167"/>
      <c r="F9" s="119"/>
      <c r="G9" s="166"/>
      <c r="H9" s="360" t="s">
        <v>682</v>
      </c>
      <c r="I9" s="360"/>
      <c r="J9" s="13" t="s">
        <v>2</v>
      </c>
      <c r="K9" s="437">
        <f>'5.腹起一般'!K40</f>
        <v>157.79675299599501</v>
      </c>
      <c r="L9" s="438"/>
      <c r="M9" s="439"/>
      <c r="N9" s="13" t="s">
        <v>276</v>
      </c>
      <c r="O9" s="118"/>
      <c r="P9" s="118"/>
      <c r="Q9" s="134"/>
      <c r="R9" s="134"/>
      <c r="S9" s="134"/>
      <c r="T9" s="96"/>
      <c r="U9" s="96"/>
      <c r="V9" s="96"/>
      <c r="W9" s="13"/>
      <c r="X9" s="134"/>
      <c r="Y9" s="134"/>
      <c r="Z9" s="134"/>
      <c r="AA9" s="96"/>
      <c r="AB9" s="96"/>
      <c r="AC9" s="96"/>
      <c r="AD9" s="13"/>
      <c r="AE9" s="13"/>
      <c r="AF9" s="13"/>
      <c r="AG9" s="13"/>
      <c r="AH9" s="13"/>
      <c r="AI9" s="13"/>
      <c r="AJ9" s="15"/>
    </row>
    <row r="10" spans="2:37">
      <c r="D10" s="16"/>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9"/>
    </row>
    <row r="11" spans="2:37">
      <c r="D11" s="117"/>
      <c r="E11" s="117"/>
      <c r="F11" s="117"/>
      <c r="G11" s="117"/>
      <c r="H11" s="117"/>
      <c r="I11" s="117"/>
      <c r="J11" s="117"/>
      <c r="K11" s="117"/>
      <c r="L11" s="117"/>
      <c r="M11" s="117"/>
      <c r="N11" s="117"/>
      <c r="O11" s="117"/>
      <c r="P11" s="117"/>
      <c r="Q11" s="117"/>
      <c r="R11" s="13"/>
      <c r="S11" s="13"/>
      <c r="T11" s="13"/>
      <c r="U11" s="13"/>
      <c r="V11" s="13"/>
      <c r="W11" s="13"/>
      <c r="X11" s="13"/>
      <c r="Y11" s="13"/>
      <c r="Z11" s="13"/>
      <c r="AA11" s="13"/>
      <c r="AB11" s="13"/>
      <c r="AC11" s="13"/>
      <c r="AD11" s="13"/>
      <c r="AE11" s="13"/>
      <c r="AF11" s="13"/>
      <c r="AG11" s="13"/>
      <c r="AH11" s="13"/>
      <c r="AI11" s="13"/>
      <c r="AJ11" s="13"/>
    </row>
    <row r="12" spans="2:37">
      <c r="C12" s="1" t="s">
        <v>739</v>
      </c>
      <c r="X12" t="s">
        <v>700</v>
      </c>
      <c r="AK12" s="13"/>
    </row>
    <row r="13" spans="2:37">
      <c r="C13" s="13"/>
      <c r="D13" s="9" t="s">
        <v>720</v>
      </c>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1"/>
    </row>
    <row r="14" spans="2:37">
      <c r="D14" s="12"/>
      <c r="E14" s="764" t="s">
        <v>740</v>
      </c>
      <c r="F14" s="764"/>
      <c r="G14" s="764"/>
      <c r="H14" s="764"/>
      <c r="I14" s="764"/>
      <c r="J14" s="764"/>
      <c r="K14" s="764"/>
      <c r="L14" s="764"/>
      <c r="M14" s="764"/>
      <c r="N14" s="764"/>
      <c r="O14" s="764"/>
      <c r="P14" s="764"/>
      <c r="Q14" s="764"/>
      <c r="R14" s="764"/>
      <c r="S14" s="764"/>
      <c r="T14" s="764"/>
      <c r="U14" s="764"/>
      <c r="V14" s="764"/>
      <c r="W14" s="764"/>
      <c r="X14" s="764"/>
      <c r="Y14" s="764"/>
      <c r="Z14" s="764"/>
      <c r="AA14" s="764"/>
      <c r="AB14" s="764"/>
      <c r="AC14" s="764"/>
      <c r="AD14" s="764"/>
      <c r="AE14" s="764"/>
      <c r="AF14" s="764"/>
      <c r="AG14" s="764"/>
      <c r="AH14" s="764"/>
      <c r="AI14" s="764"/>
      <c r="AJ14" s="765"/>
    </row>
    <row r="15" spans="2:37">
      <c r="D15" s="143"/>
      <c r="E15" s="764"/>
      <c r="F15" s="764"/>
      <c r="G15" s="764"/>
      <c r="H15" s="764"/>
      <c r="I15" s="764"/>
      <c r="J15" s="764"/>
      <c r="K15" s="764"/>
      <c r="L15" s="764"/>
      <c r="M15" s="764"/>
      <c r="N15" s="764"/>
      <c r="O15" s="764"/>
      <c r="P15" s="764"/>
      <c r="Q15" s="764"/>
      <c r="R15" s="764"/>
      <c r="S15" s="764"/>
      <c r="T15" s="764"/>
      <c r="U15" s="764"/>
      <c r="V15" s="764"/>
      <c r="W15" s="764"/>
      <c r="X15" s="764"/>
      <c r="Y15" s="764"/>
      <c r="Z15" s="764"/>
      <c r="AA15" s="764"/>
      <c r="AB15" s="764"/>
      <c r="AC15" s="764"/>
      <c r="AD15" s="764"/>
      <c r="AE15" s="764"/>
      <c r="AF15" s="764"/>
      <c r="AG15" s="764"/>
      <c r="AH15" s="764"/>
      <c r="AI15" s="764"/>
      <c r="AJ15" s="765"/>
    </row>
    <row r="16" spans="2:37" ht="18.75" customHeight="1">
      <c r="D16" s="143"/>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1"/>
    </row>
    <row r="17" spans="4:36">
      <c r="D17" s="143"/>
      <c r="E17" s="110"/>
      <c r="F17" s="13" t="s">
        <v>741</v>
      </c>
      <c r="G17" s="110"/>
      <c r="H17" s="110"/>
      <c r="I17" s="110"/>
      <c r="J17" s="110"/>
      <c r="K17" s="110"/>
      <c r="L17" s="110"/>
      <c r="M17" s="360" t="s">
        <v>88</v>
      </c>
      <c r="N17" s="360"/>
      <c r="O17" s="110" t="s">
        <v>2</v>
      </c>
      <c r="P17" s="903">
        <f>'1.設計条件'!R12</f>
        <v>7.2</v>
      </c>
      <c r="Q17" s="903"/>
      <c r="R17" s="903"/>
      <c r="S17" s="110" t="s">
        <v>3</v>
      </c>
      <c r="T17" s="110"/>
      <c r="U17" s="110"/>
      <c r="V17" s="110"/>
      <c r="W17" s="110"/>
      <c r="X17" s="110"/>
      <c r="Y17" s="110"/>
      <c r="Z17" s="110"/>
      <c r="AA17" s="110"/>
      <c r="AB17" s="110"/>
      <c r="AC17" s="110"/>
      <c r="AD17" s="110"/>
      <c r="AE17" s="110"/>
      <c r="AF17" s="110"/>
      <c r="AG17" s="110"/>
      <c r="AH17" s="110"/>
      <c r="AI17" s="110"/>
      <c r="AJ17" s="111"/>
    </row>
    <row r="18" spans="4:36">
      <c r="D18" s="143"/>
      <c r="E18" s="110"/>
      <c r="F18" s="596" t="s">
        <v>691</v>
      </c>
      <c r="G18" s="596"/>
      <c r="H18" s="596"/>
      <c r="I18" s="596"/>
      <c r="J18" s="596"/>
      <c r="K18" s="596"/>
      <c r="L18" s="596"/>
      <c r="M18" s="380" t="s">
        <v>743</v>
      </c>
      <c r="N18" s="380"/>
      <c r="O18" s="110" t="s">
        <v>2</v>
      </c>
      <c r="P18" s="872">
        <f>'1.設計条件'!T88</f>
        <v>2</v>
      </c>
      <c r="Q18" s="872"/>
      <c r="R18" s="872"/>
      <c r="S18" s="110" t="s">
        <v>3</v>
      </c>
      <c r="T18" s="110"/>
      <c r="U18" s="110"/>
      <c r="V18" s="110"/>
      <c r="W18" s="110"/>
      <c r="X18" s="110"/>
      <c r="Y18" s="110"/>
      <c r="Z18" s="110"/>
      <c r="AA18" s="110"/>
      <c r="AB18" s="110"/>
      <c r="AC18" s="110"/>
      <c r="AD18" s="110"/>
      <c r="AE18" s="110"/>
      <c r="AF18" s="110"/>
      <c r="AG18" s="110"/>
      <c r="AH18" s="110"/>
      <c r="AI18" s="110"/>
      <c r="AJ18" s="111"/>
    </row>
    <row r="19" spans="4:36">
      <c r="D19" s="143"/>
      <c r="E19" s="110"/>
      <c r="F19" s="596" t="s">
        <v>694</v>
      </c>
      <c r="G19" s="596"/>
      <c r="H19" s="596"/>
      <c r="I19" s="596"/>
      <c r="J19" s="596"/>
      <c r="K19" s="596"/>
      <c r="L19" s="596"/>
      <c r="M19" s="380" t="s">
        <v>744</v>
      </c>
      <c r="N19" s="380"/>
      <c r="O19" s="110" t="s">
        <v>2</v>
      </c>
      <c r="P19" s="360" t="s">
        <v>88</v>
      </c>
      <c r="Q19" s="360"/>
      <c r="R19" s="303" t="s">
        <v>236</v>
      </c>
      <c r="S19" s="305">
        <v>2</v>
      </c>
      <c r="T19" s="380" t="s">
        <v>743</v>
      </c>
      <c r="U19" s="380"/>
      <c r="V19" s="110"/>
      <c r="W19" s="110" t="s">
        <v>2</v>
      </c>
      <c r="X19" s="853">
        <f>P17</f>
        <v>7.2</v>
      </c>
      <c r="Y19" s="853"/>
      <c r="Z19" s="303" t="s">
        <v>236</v>
      </c>
      <c r="AA19" s="305">
        <v>2</v>
      </c>
      <c r="AB19" s="1" t="s">
        <v>27</v>
      </c>
      <c r="AC19" s="853">
        <f>P18</f>
        <v>2</v>
      </c>
      <c r="AD19" s="853"/>
      <c r="AE19" s="853"/>
      <c r="AF19" s="110"/>
      <c r="AG19" s="110"/>
      <c r="AH19" s="110"/>
      <c r="AI19" s="110"/>
      <c r="AJ19" s="111"/>
    </row>
    <row r="20" spans="4:36">
      <c r="D20" s="143"/>
      <c r="E20" s="110"/>
      <c r="F20" s="57"/>
      <c r="G20" s="57"/>
      <c r="H20" s="57"/>
      <c r="I20" s="57"/>
      <c r="J20" s="57"/>
      <c r="K20" s="57"/>
      <c r="L20" s="57"/>
      <c r="M20" s="147"/>
      <c r="N20" s="147"/>
      <c r="O20" s="110" t="s">
        <v>2</v>
      </c>
      <c r="P20" s="872">
        <f>X19-AA19*AC19</f>
        <v>3.2</v>
      </c>
      <c r="Q20" s="872"/>
      <c r="R20" s="872"/>
      <c r="S20" s="110" t="s">
        <v>3</v>
      </c>
      <c r="T20" s="110"/>
      <c r="U20" s="110"/>
      <c r="V20" s="110"/>
      <c r="W20" s="110"/>
      <c r="X20" s="110"/>
      <c r="Y20" s="110"/>
      <c r="Z20" s="110"/>
      <c r="AA20" s="110"/>
      <c r="AB20" s="110"/>
      <c r="AC20" s="110"/>
      <c r="AD20" s="110"/>
      <c r="AE20" s="110"/>
      <c r="AF20" s="110"/>
      <c r="AG20" s="110"/>
      <c r="AH20" s="110"/>
      <c r="AI20" s="110"/>
      <c r="AJ20" s="111"/>
    </row>
    <row r="21" spans="4:36">
      <c r="D21" s="143"/>
      <c r="E21" s="110"/>
      <c r="F21" s="596" t="s">
        <v>692</v>
      </c>
      <c r="G21" s="596"/>
      <c r="H21" s="596"/>
      <c r="I21" s="596"/>
      <c r="J21" s="596"/>
      <c r="K21" s="596"/>
      <c r="L21" s="596"/>
      <c r="M21" s="380" t="s">
        <v>201</v>
      </c>
      <c r="N21" s="380"/>
      <c r="O21" s="110" t="s">
        <v>2</v>
      </c>
      <c r="P21" s="873">
        <f>'1.設計条件'!T89</f>
        <v>45</v>
      </c>
      <c r="Q21" s="873"/>
      <c r="R21" s="873"/>
      <c r="S21" s="110" t="s">
        <v>688</v>
      </c>
      <c r="T21" s="110"/>
      <c r="U21" s="110"/>
      <c r="V21" s="110"/>
      <c r="W21" s="110"/>
      <c r="X21" s="110"/>
      <c r="Y21" s="110"/>
      <c r="Z21" s="110"/>
      <c r="AA21" s="110"/>
      <c r="AB21" s="110"/>
      <c r="AC21" s="110"/>
      <c r="AD21" s="110"/>
      <c r="AE21" s="110"/>
      <c r="AF21" s="110"/>
      <c r="AG21" s="110"/>
      <c r="AH21" s="110"/>
      <c r="AI21" s="110"/>
      <c r="AJ21" s="111"/>
    </row>
    <row r="22" spans="4:36">
      <c r="D22" s="143"/>
      <c r="E22" s="110"/>
      <c r="F22" s="57"/>
      <c r="G22" s="57"/>
      <c r="H22" s="57"/>
      <c r="I22" s="57"/>
      <c r="J22" s="57"/>
      <c r="K22" s="57"/>
      <c r="L22" s="57"/>
      <c r="M22" s="147"/>
      <c r="N22" s="147"/>
      <c r="O22" s="110"/>
      <c r="P22" s="302"/>
      <c r="Q22" s="302"/>
      <c r="R22" s="302"/>
      <c r="S22" s="110"/>
      <c r="T22" s="110"/>
      <c r="U22" s="110"/>
      <c r="V22" s="110"/>
      <c r="W22" s="110"/>
      <c r="X22" s="110"/>
      <c r="Y22" s="110"/>
      <c r="Z22" s="110"/>
      <c r="AA22" s="110"/>
      <c r="AB22" s="110"/>
      <c r="AC22" s="110"/>
      <c r="AD22" s="110"/>
      <c r="AE22" s="110"/>
      <c r="AF22" s="110"/>
      <c r="AG22" s="110"/>
      <c r="AH22" s="110"/>
      <c r="AI22" s="110"/>
      <c r="AJ22" s="111"/>
    </row>
    <row r="23" spans="4:36">
      <c r="D23" s="143"/>
      <c r="E23" s="13" t="s">
        <v>696</v>
      </c>
      <c r="G23" s="57"/>
      <c r="H23" s="57"/>
      <c r="I23" s="57"/>
      <c r="J23" s="57"/>
      <c r="K23" s="57"/>
      <c r="L23" s="57"/>
      <c r="M23" s="147"/>
      <c r="N23" s="147"/>
      <c r="O23" s="110"/>
      <c r="P23" s="302"/>
      <c r="Q23" s="302"/>
      <c r="R23" s="302"/>
      <c r="S23" s="110"/>
      <c r="T23" s="110"/>
      <c r="U23" s="110"/>
      <c r="V23" s="110"/>
      <c r="W23" s="110"/>
      <c r="X23" s="110"/>
      <c r="Y23" s="110"/>
      <c r="Z23" s="110"/>
      <c r="AA23" s="110"/>
      <c r="AB23" s="110"/>
      <c r="AC23" s="110"/>
      <c r="AD23" s="110"/>
      <c r="AE23" s="110"/>
      <c r="AF23" s="110"/>
      <c r="AG23" s="110"/>
      <c r="AH23" s="110"/>
      <c r="AI23" s="110"/>
      <c r="AJ23" s="111"/>
    </row>
    <row r="24" spans="4:36">
      <c r="D24" s="143"/>
      <c r="E24" s="110"/>
      <c r="F24" s="13"/>
      <c r="G24" s="57"/>
      <c r="H24" s="57"/>
      <c r="I24" s="57"/>
      <c r="J24" s="57"/>
      <c r="K24" s="57"/>
      <c r="L24" s="57"/>
      <c r="M24" s="380" t="s">
        <v>343</v>
      </c>
      <c r="N24" s="380"/>
      <c r="O24" s="110" t="s">
        <v>2</v>
      </c>
      <c r="P24" s="380" t="s">
        <v>744</v>
      </c>
      <c r="Q24" s="380"/>
      <c r="R24" s="304" t="s">
        <v>68</v>
      </c>
      <c r="S24" s="380" t="s">
        <v>745</v>
      </c>
      <c r="T24" s="380"/>
      <c r="U24" s="110"/>
      <c r="V24" s="110"/>
      <c r="W24" s="110"/>
      <c r="X24" s="110"/>
      <c r="Y24" s="110"/>
      <c r="Z24" s="110"/>
      <c r="AA24" s="110"/>
      <c r="AB24" s="110"/>
      <c r="AC24" s="110"/>
      <c r="AD24" s="110"/>
      <c r="AE24" s="110"/>
      <c r="AF24" s="110"/>
      <c r="AG24" s="110"/>
      <c r="AH24" s="110"/>
      <c r="AI24" s="110"/>
      <c r="AJ24" s="111"/>
    </row>
    <row r="25" spans="4:36">
      <c r="D25" s="143"/>
      <c r="E25" s="110"/>
      <c r="F25" s="110"/>
      <c r="G25" s="110"/>
      <c r="H25" s="110"/>
      <c r="I25" s="110"/>
      <c r="J25" s="110"/>
      <c r="K25" s="110"/>
      <c r="L25" s="110"/>
      <c r="M25" s="110"/>
      <c r="N25" s="110"/>
      <c r="O25" s="110" t="s">
        <v>2</v>
      </c>
      <c r="P25" s="872">
        <f>P20</f>
        <v>3.2</v>
      </c>
      <c r="Q25" s="872"/>
      <c r="R25" s="110" t="s">
        <v>68</v>
      </c>
      <c r="S25" s="872">
        <f>P18</f>
        <v>2</v>
      </c>
      <c r="T25" s="872"/>
      <c r="U25" s="110"/>
      <c r="V25" s="110"/>
      <c r="W25" s="110"/>
      <c r="X25" s="110"/>
      <c r="Y25" s="110"/>
      <c r="Z25" s="110"/>
      <c r="AA25" s="110"/>
      <c r="AB25" s="110"/>
      <c r="AC25" s="110"/>
      <c r="AD25" s="110"/>
      <c r="AE25" s="110"/>
      <c r="AF25" s="110"/>
      <c r="AG25" s="110"/>
      <c r="AH25" s="110"/>
      <c r="AI25" s="110"/>
      <c r="AJ25" s="111"/>
    </row>
    <row r="26" spans="4:36">
      <c r="D26" s="143"/>
      <c r="E26" s="110"/>
      <c r="F26" s="110"/>
      <c r="G26" s="110"/>
      <c r="H26" s="110"/>
      <c r="I26" s="110"/>
      <c r="J26" s="110"/>
      <c r="K26" s="110"/>
      <c r="L26" s="110"/>
      <c r="M26" s="110"/>
      <c r="N26" s="110"/>
      <c r="O26" s="110" t="s">
        <v>2</v>
      </c>
      <c r="P26" s="874">
        <f>P25+S25</f>
        <v>5.2</v>
      </c>
      <c r="Q26" s="876"/>
      <c r="R26" s="110" t="s">
        <v>3</v>
      </c>
      <c r="S26" s="110"/>
      <c r="T26" s="110"/>
      <c r="U26" s="110"/>
      <c r="V26" s="110"/>
      <c r="W26" s="110"/>
      <c r="X26" s="110"/>
      <c r="Y26" s="110"/>
      <c r="Z26" s="110"/>
      <c r="AA26" s="110"/>
      <c r="AB26" s="110"/>
      <c r="AC26" s="110"/>
      <c r="AD26" s="110"/>
      <c r="AE26" s="110"/>
      <c r="AF26" s="110"/>
      <c r="AG26" s="110"/>
      <c r="AH26" s="110"/>
      <c r="AI26" s="110"/>
      <c r="AJ26" s="111"/>
    </row>
    <row r="27" spans="4:36">
      <c r="D27" s="143"/>
      <c r="E27" s="110"/>
      <c r="F27" s="110"/>
      <c r="G27" s="110"/>
      <c r="H27" s="110"/>
      <c r="I27" s="110"/>
      <c r="J27" s="110"/>
      <c r="K27" s="110"/>
      <c r="L27" s="110"/>
      <c r="M27" s="110"/>
      <c r="N27" s="110"/>
      <c r="O27" s="110"/>
      <c r="P27" s="303"/>
      <c r="Q27" s="303"/>
      <c r="R27" s="110"/>
      <c r="S27" s="110"/>
      <c r="T27" s="110"/>
      <c r="U27" s="110"/>
      <c r="V27" s="110"/>
      <c r="W27" s="110"/>
      <c r="X27" s="110"/>
      <c r="Y27" s="110"/>
      <c r="Z27" s="110"/>
      <c r="AA27" s="110"/>
      <c r="AB27" s="110"/>
      <c r="AC27" s="110"/>
      <c r="AD27" s="110"/>
      <c r="AE27" s="110"/>
      <c r="AF27" s="110"/>
      <c r="AG27" s="110"/>
      <c r="AH27" s="110"/>
      <c r="AI27" s="110"/>
      <c r="AJ27" s="111"/>
    </row>
    <row r="28" spans="4:36">
      <c r="D28" s="143"/>
      <c r="E28" s="764" t="s">
        <v>746</v>
      </c>
      <c r="F28" s="764"/>
      <c r="G28" s="764"/>
      <c r="H28" s="764"/>
      <c r="I28" s="764"/>
      <c r="J28" s="764"/>
      <c r="K28" s="764"/>
      <c r="L28" s="764"/>
      <c r="M28" s="764"/>
      <c r="N28" s="764"/>
      <c r="O28" s="764"/>
      <c r="P28" s="764"/>
      <c r="Q28" s="764"/>
      <c r="R28" s="764"/>
      <c r="S28" s="764"/>
      <c r="T28" s="764"/>
      <c r="U28" s="764"/>
      <c r="V28" s="764"/>
      <c r="W28" s="764"/>
      <c r="X28" s="764"/>
      <c r="Y28" s="764"/>
      <c r="Z28" s="764"/>
      <c r="AA28" s="764"/>
      <c r="AB28" s="764"/>
      <c r="AC28" s="764"/>
      <c r="AD28" s="764"/>
      <c r="AE28" s="764"/>
      <c r="AF28" s="764"/>
      <c r="AG28" s="764"/>
      <c r="AH28" s="764"/>
      <c r="AI28" s="764"/>
      <c r="AJ28" s="765"/>
    </row>
    <row r="29" spans="4:36">
      <c r="D29" s="143"/>
      <c r="E29" s="764"/>
      <c r="F29" s="764"/>
      <c r="G29" s="764"/>
      <c r="H29" s="764"/>
      <c r="I29" s="764"/>
      <c r="J29" s="764"/>
      <c r="K29" s="764"/>
      <c r="L29" s="764"/>
      <c r="M29" s="764"/>
      <c r="N29" s="764"/>
      <c r="O29" s="764"/>
      <c r="P29" s="764"/>
      <c r="Q29" s="764"/>
      <c r="R29" s="764"/>
      <c r="S29" s="764"/>
      <c r="T29" s="764"/>
      <c r="U29" s="764"/>
      <c r="V29" s="764"/>
      <c r="W29" s="764"/>
      <c r="X29" s="764"/>
      <c r="Y29" s="764"/>
      <c r="Z29" s="764"/>
      <c r="AA29" s="764"/>
      <c r="AB29" s="764"/>
      <c r="AC29" s="764"/>
      <c r="AD29" s="764"/>
      <c r="AE29" s="764"/>
      <c r="AF29" s="764"/>
      <c r="AG29" s="764"/>
      <c r="AH29" s="764"/>
      <c r="AI29" s="764"/>
      <c r="AJ29" s="765"/>
    </row>
    <row r="30" spans="4:36">
      <c r="D30" s="143"/>
      <c r="E30" s="110"/>
      <c r="F30" s="596" t="s">
        <v>833</v>
      </c>
      <c r="G30" s="596"/>
      <c r="H30" s="596"/>
      <c r="I30" s="596"/>
      <c r="J30" s="596"/>
      <c r="K30" s="596"/>
      <c r="L30" s="596"/>
      <c r="M30" s="596"/>
      <c r="N30" s="596"/>
      <c r="O30" s="380" t="s">
        <v>747</v>
      </c>
      <c r="P30" s="380"/>
      <c r="Q30" s="110" t="s">
        <v>2</v>
      </c>
      <c r="R30" s="872">
        <f>'1.設計条件'!T88</f>
        <v>2</v>
      </c>
      <c r="S30" s="872"/>
      <c r="T30" s="872"/>
      <c r="U30" s="110" t="s">
        <v>3</v>
      </c>
      <c r="V30" s="110"/>
      <c r="W30" s="110"/>
      <c r="X30" s="110"/>
      <c r="Y30" s="110"/>
      <c r="Z30" s="110"/>
      <c r="AA30" s="110"/>
      <c r="AB30" s="110"/>
      <c r="AC30" s="110"/>
      <c r="AD30" s="110"/>
      <c r="AE30" s="110"/>
      <c r="AF30" s="110"/>
      <c r="AG30" s="110"/>
      <c r="AH30" s="110"/>
      <c r="AI30" s="110"/>
      <c r="AJ30" s="111"/>
    </row>
    <row r="31" spans="4:36">
      <c r="D31" s="143"/>
      <c r="E31" s="110"/>
      <c r="F31" s="596" t="s">
        <v>834</v>
      </c>
      <c r="G31" s="596"/>
      <c r="H31" s="596"/>
      <c r="I31" s="596"/>
      <c r="J31" s="596"/>
      <c r="K31" s="596"/>
      <c r="L31" s="596"/>
      <c r="M31" s="596"/>
      <c r="N31" s="596"/>
      <c r="O31" s="380" t="s">
        <v>748</v>
      </c>
      <c r="P31" s="380"/>
      <c r="Q31" s="110" t="s">
        <v>2</v>
      </c>
      <c r="R31" s="360" t="s">
        <v>241</v>
      </c>
      <c r="S31" s="360"/>
      <c r="T31" s="303" t="s">
        <v>236</v>
      </c>
      <c r="U31" s="380" t="s">
        <v>686</v>
      </c>
      <c r="V31" s="380"/>
      <c r="W31" s="303" t="s">
        <v>236</v>
      </c>
      <c r="X31" s="380" t="s">
        <v>747</v>
      </c>
      <c r="Y31" s="380"/>
      <c r="AH31" s="110"/>
      <c r="AI31" s="110"/>
      <c r="AJ31" s="111"/>
    </row>
    <row r="32" spans="4:36">
      <c r="D32" s="143"/>
      <c r="E32" s="110"/>
      <c r="F32" s="57"/>
      <c r="G32" s="57"/>
      <c r="H32" s="57"/>
      <c r="I32" s="57"/>
      <c r="J32" s="57"/>
      <c r="K32" s="57"/>
      <c r="L32" s="57"/>
      <c r="M32" s="57"/>
      <c r="N32" s="57"/>
      <c r="O32" s="147"/>
      <c r="P32" s="147"/>
      <c r="Q32" s="110" t="s">
        <v>2</v>
      </c>
      <c r="R32" s="853">
        <f>'1.設計条件'!Q71</f>
        <v>5</v>
      </c>
      <c r="S32" s="853"/>
      <c r="T32" s="303" t="s">
        <v>236</v>
      </c>
      <c r="U32" s="872">
        <f>'1.設計条件'!T87</f>
        <v>1.5</v>
      </c>
      <c r="V32" s="872"/>
      <c r="W32" s="303" t="s">
        <v>236</v>
      </c>
      <c r="X32" s="872">
        <f>R30</f>
        <v>2</v>
      </c>
      <c r="Y32" s="872"/>
      <c r="Z32" s="165"/>
      <c r="AA32" s="165"/>
      <c r="AB32" s="303"/>
      <c r="AC32" s="305"/>
      <c r="AE32" s="316"/>
      <c r="AF32" s="316"/>
      <c r="AG32" s="316"/>
      <c r="AH32" s="110"/>
      <c r="AI32" s="110"/>
      <c r="AJ32" s="111"/>
    </row>
    <row r="33" spans="4:36">
      <c r="D33" s="143"/>
      <c r="E33" s="110"/>
      <c r="F33" s="110"/>
      <c r="G33" s="110"/>
      <c r="H33" s="110"/>
      <c r="I33" s="110"/>
      <c r="J33" s="110"/>
      <c r="K33" s="110"/>
      <c r="L33" s="110"/>
      <c r="M33" s="110"/>
      <c r="N33" s="110"/>
      <c r="O33" s="110"/>
      <c r="P33" s="110"/>
      <c r="Q33" s="110" t="s">
        <v>2</v>
      </c>
      <c r="R33" s="872">
        <f>R32-U32-X32</f>
        <v>1.5</v>
      </c>
      <c r="S33" s="872"/>
      <c r="T33" s="872"/>
      <c r="U33" s="110" t="s">
        <v>3</v>
      </c>
      <c r="V33" s="110"/>
      <c r="W33" s="110"/>
      <c r="X33" s="110"/>
      <c r="Y33" s="110"/>
      <c r="Z33" s="110"/>
      <c r="AA33" s="110"/>
      <c r="AB33" s="110"/>
      <c r="AC33" s="110"/>
      <c r="AD33" s="110"/>
      <c r="AE33" s="110"/>
      <c r="AF33" s="110"/>
      <c r="AG33" s="110"/>
      <c r="AH33" s="110"/>
      <c r="AI33" s="110"/>
      <c r="AJ33" s="111"/>
    </row>
    <row r="34" spans="4:36">
      <c r="D34" s="143"/>
      <c r="E34" s="110"/>
      <c r="F34" s="13" t="s">
        <v>708</v>
      </c>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1"/>
    </row>
    <row r="35" spans="4:36">
      <c r="D35" s="143"/>
      <c r="E35" s="110"/>
      <c r="F35" s="110"/>
      <c r="G35" s="110"/>
      <c r="H35" s="465" t="s">
        <v>195</v>
      </c>
      <c r="I35" s="465"/>
      <c r="J35" s="878" t="s">
        <v>2</v>
      </c>
      <c r="K35" s="309">
        <v>1</v>
      </c>
      <c r="L35" s="878" t="s">
        <v>748</v>
      </c>
      <c r="M35" s="878"/>
      <c r="N35" s="878" t="s">
        <v>68</v>
      </c>
      <c r="O35" s="878" t="s">
        <v>745</v>
      </c>
      <c r="P35" s="878"/>
      <c r="Q35" s="110"/>
      <c r="R35" s="878" t="s">
        <v>2</v>
      </c>
      <c r="S35" s="309">
        <v>1</v>
      </c>
      <c r="T35" s="879">
        <f>R33</f>
        <v>1.5</v>
      </c>
      <c r="U35" s="879"/>
      <c r="V35" s="878" t="s">
        <v>68</v>
      </c>
      <c r="W35" s="879">
        <f>P18</f>
        <v>2</v>
      </c>
      <c r="X35" s="879"/>
      <c r="Y35" s="110"/>
      <c r="Z35" s="110"/>
      <c r="AA35" s="110"/>
      <c r="AB35" s="110"/>
      <c r="AC35" s="110"/>
      <c r="AD35" s="110"/>
      <c r="AE35" s="110"/>
      <c r="AF35" s="110"/>
      <c r="AG35" s="110"/>
      <c r="AH35" s="110"/>
      <c r="AI35" s="110"/>
      <c r="AJ35" s="111"/>
    </row>
    <row r="36" spans="4:36">
      <c r="D36" s="143"/>
      <c r="E36" s="110"/>
      <c r="F36" s="110"/>
      <c r="G36" s="110"/>
      <c r="H36" s="465"/>
      <c r="I36" s="465"/>
      <c r="J36" s="878"/>
      <c r="K36" s="302">
        <v>2</v>
      </c>
      <c r="L36" s="878"/>
      <c r="M36" s="878"/>
      <c r="N36" s="878"/>
      <c r="O36" s="878"/>
      <c r="P36" s="878"/>
      <c r="Q36" s="110"/>
      <c r="R36" s="878"/>
      <c r="S36" s="302">
        <v>2</v>
      </c>
      <c r="T36" s="879"/>
      <c r="U36" s="879"/>
      <c r="V36" s="878"/>
      <c r="W36" s="879"/>
      <c r="X36" s="879"/>
      <c r="Y36" s="110"/>
      <c r="Z36" s="110"/>
      <c r="AA36" s="110"/>
      <c r="AB36" s="110"/>
      <c r="AC36" s="110"/>
      <c r="AD36" s="110"/>
      <c r="AE36" s="110"/>
      <c r="AF36" s="110"/>
      <c r="AG36" s="110"/>
      <c r="AH36" s="110"/>
      <c r="AI36" s="110"/>
      <c r="AJ36" s="111"/>
    </row>
    <row r="37" spans="4:36">
      <c r="D37" s="143"/>
      <c r="E37" s="110"/>
      <c r="F37" s="110"/>
      <c r="G37" s="110"/>
      <c r="H37" s="110"/>
      <c r="I37" s="110"/>
      <c r="J37" s="878" t="s">
        <v>2</v>
      </c>
      <c r="K37" s="879">
        <f>S35/S36*T35+W35</f>
        <v>2.75</v>
      </c>
      <c r="L37" s="879"/>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1"/>
    </row>
    <row r="38" spans="4:36">
      <c r="D38" s="143"/>
      <c r="E38" s="110"/>
      <c r="F38" s="110"/>
      <c r="G38" s="110"/>
      <c r="H38" s="110"/>
      <c r="I38" s="110"/>
      <c r="J38" s="878"/>
      <c r="K38" s="879"/>
      <c r="L38" s="879"/>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1"/>
    </row>
    <row r="39" spans="4:36">
      <c r="D39" s="143"/>
      <c r="E39" s="110"/>
      <c r="F39" s="110"/>
      <c r="G39" s="110"/>
      <c r="H39" s="110"/>
      <c r="I39" s="110"/>
      <c r="J39" s="119"/>
      <c r="K39" s="310"/>
      <c r="L39" s="3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1"/>
    </row>
    <row r="40" spans="4:36">
      <c r="D40" s="12"/>
      <c r="E40" s="13" t="s">
        <v>314</v>
      </c>
      <c r="F40" s="13"/>
      <c r="G40" s="13"/>
      <c r="H40" s="13"/>
      <c r="I40" s="13"/>
      <c r="J40" s="13"/>
      <c r="K40" s="13"/>
      <c r="L40" s="13"/>
      <c r="M40" s="13"/>
      <c r="N40" s="360" t="s">
        <v>307</v>
      </c>
      <c r="O40" s="360"/>
      <c r="P40" s="13" t="s">
        <v>2</v>
      </c>
      <c r="Q40" s="374">
        <v>150</v>
      </c>
      <c r="R40" s="376"/>
      <c r="S40" s="13" t="s">
        <v>257</v>
      </c>
      <c r="T40" s="13"/>
      <c r="U40" s="13"/>
      <c r="V40" s="32" t="s">
        <v>315</v>
      </c>
      <c r="W40" s="13"/>
      <c r="X40" s="13"/>
      <c r="Y40" s="13"/>
      <c r="Z40" s="13"/>
      <c r="AA40" s="13"/>
      <c r="AB40" s="13"/>
      <c r="AC40" s="13"/>
      <c r="AD40" s="13"/>
      <c r="AE40" s="13"/>
      <c r="AF40" s="13"/>
      <c r="AG40" s="13"/>
      <c r="AH40" s="13"/>
      <c r="AI40" s="13"/>
      <c r="AJ40" s="15"/>
    </row>
    <row r="41" spans="4:36">
      <c r="D41" s="12"/>
      <c r="E41" s="13"/>
      <c r="F41" s="13"/>
      <c r="G41" s="13"/>
      <c r="H41" s="13"/>
      <c r="I41" s="13"/>
      <c r="J41" s="13"/>
      <c r="K41" s="13"/>
      <c r="L41" s="13"/>
      <c r="M41" s="13"/>
      <c r="N41" s="35"/>
      <c r="O41" s="35"/>
      <c r="P41" s="35"/>
      <c r="Q41" s="35"/>
      <c r="R41" s="35"/>
      <c r="S41" s="35"/>
      <c r="T41" s="35"/>
      <c r="U41" s="13"/>
      <c r="V41" s="32"/>
      <c r="W41" s="13"/>
      <c r="X41" s="13"/>
      <c r="Y41" s="13"/>
      <c r="Z41" s="13"/>
      <c r="AA41" s="13"/>
      <c r="AB41" s="13"/>
      <c r="AC41" s="13"/>
      <c r="AD41" s="13"/>
      <c r="AE41" s="13"/>
      <c r="AF41" s="13"/>
      <c r="AG41" s="13"/>
      <c r="AH41" s="13"/>
      <c r="AI41" s="13"/>
      <c r="AJ41" s="15"/>
    </row>
    <row r="42" spans="4:36">
      <c r="D42" s="311" t="s">
        <v>721</v>
      </c>
      <c r="E42" s="167"/>
      <c r="F42" s="110"/>
      <c r="G42" s="110"/>
      <c r="H42" s="110"/>
      <c r="I42" s="110"/>
      <c r="J42" s="110"/>
      <c r="K42" s="110"/>
      <c r="L42" s="110"/>
      <c r="M42" s="110"/>
      <c r="N42" s="110"/>
      <c r="O42" s="110"/>
      <c r="P42" s="303"/>
      <c r="Q42" s="303"/>
      <c r="R42" s="110"/>
      <c r="S42" s="110"/>
      <c r="T42" s="110"/>
      <c r="U42" s="110"/>
      <c r="V42" s="110"/>
      <c r="W42" s="110"/>
      <c r="X42" s="110"/>
      <c r="Y42" s="110"/>
      <c r="Z42" s="110"/>
      <c r="AA42" s="110"/>
      <c r="AB42" s="110"/>
      <c r="AC42" s="110"/>
      <c r="AD42" s="110"/>
      <c r="AE42" s="110"/>
      <c r="AF42" s="110"/>
      <c r="AG42" s="110"/>
      <c r="AH42" s="110"/>
      <c r="AI42" s="110"/>
      <c r="AJ42" s="111"/>
    </row>
    <row r="43" spans="4:36">
      <c r="D43" s="143"/>
      <c r="E43" s="110"/>
      <c r="F43" s="13" t="s">
        <v>705</v>
      </c>
      <c r="G43" s="110"/>
      <c r="H43" s="110"/>
      <c r="I43" s="110"/>
      <c r="J43" s="110"/>
      <c r="K43" s="110"/>
      <c r="L43" s="110"/>
      <c r="M43" s="110"/>
      <c r="N43" s="110"/>
      <c r="O43" s="110"/>
      <c r="P43" s="303"/>
      <c r="Q43" s="303"/>
      <c r="R43" s="110"/>
      <c r="S43" s="110"/>
      <c r="T43" s="110"/>
      <c r="U43" s="110"/>
      <c r="V43" s="110"/>
      <c r="W43" s="110"/>
      <c r="X43" s="110"/>
      <c r="Y43" s="110"/>
      <c r="Z43" s="110"/>
      <c r="AA43" s="110"/>
      <c r="AB43" s="110"/>
      <c r="AC43" s="110"/>
      <c r="AD43" s="110"/>
      <c r="AE43" s="110"/>
      <c r="AF43" s="110"/>
      <c r="AG43" s="110"/>
      <c r="AH43" s="110"/>
      <c r="AI43" s="110"/>
      <c r="AJ43" s="111"/>
    </row>
    <row r="44" spans="4:36" ht="20.25">
      <c r="D44" s="143"/>
      <c r="E44" s="110"/>
      <c r="F44" s="110"/>
      <c r="G44" s="360" t="s">
        <v>706</v>
      </c>
      <c r="H44" s="360"/>
      <c r="I44" s="110" t="s">
        <v>2</v>
      </c>
      <c r="J44" s="1" t="s">
        <v>69</v>
      </c>
      <c r="K44" s="360" t="s">
        <v>713</v>
      </c>
      <c r="L44" s="360"/>
      <c r="M44" s="110" t="s">
        <v>66</v>
      </c>
      <c r="N44" s="871" t="s">
        <v>195</v>
      </c>
      <c r="O44" s="871"/>
      <c r="P44" s="110" t="s">
        <v>68</v>
      </c>
      <c r="Q44" s="360" t="s">
        <v>307</v>
      </c>
      <c r="R44" s="360"/>
      <c r="S44" s="312" t="s">
        <v>83</v>
      </c>
      <c r="T44" s="110" t="s">
        <v>70</v>
      </c>
      <c r="U44" s="322" t="s">
        <v>750</v>
      </c>
      <c r="V44" s="110"/>
      <c r="W44" s="110"/>
      <c r="AF44" s="110"/>
      <c r="AG44" s="110"/>
      <c r="AH44" s="110"/>
      <c r="AI44" s="110"/>
      <c r="AJ44" s="111"/>
    </row>
    <row r="45" spans="4:36">
      <c r="D45" s="143"/>
      <c r="E45" s="110"/>
      <c r="F45" s="110"/>
      <c r="G45" s="110"/>
      <c r="H45" s="110"/>
      <c r="I45" s="110" t="s">
        <v>2</v>
      </c>
      <c r="J45" s="1" t="s">
        <v>69</v>
      </c>
      <c r="K45" s="872">
        <f>K7</f>
        <v>121.64567066132668</v>
      </c>
      <c r="L45" s="872"/>
      <c r="M45" s="872"/>
      <c r="N45" s="110" t="s">
        <v>66</v>
      </c>
      <c r="O45" s="872">
        <f>K37</f>
        <v>2.75</v>
      </c>
      <c r="P45" s="872"/>
      <c r="Q45" s="110" t="s">
        <v>68</v>
      </c>
      <c r="R45" s="873">
        <f>Q40</f>
        <v>150</v>
      </c>
      <c r="S45" s="873"/>
      <c r="T45" s="873"/>
      <c r="U45" s="110" t="s">
        <v>70</v>
      </c>
      <c r="V45" s="905">
        <f>'1.設計条件'!T54</f>
        <v>1</v>
      </c>
      <c r="W45" s="905"/>
      <c r="AJ45" s="111"/>
    </row>
    <row r="46" spans="4:36">
      <c r="D46" s="143"/>
      <c r="E46" s="110"/>
      <c r="F46" s="110"/>
      <c r="G46" s="110"/>
      <c r="H46" s="110"/>
      <c r="I46" s="110" t="s">
        <v>2</v>
      </c>
      <c r="J46" s="874">
        <f>(K45*O45+R45)/V45</f>
        <v>484.52559431864836</v>
      </c>
      <c r="K46" s="875"/>
      <c r="L46" s="876"/>
      <c r="M46" s="110" t="s">
        <v>257</v>
      </c>
      <c r="N46" s="110"/>
      <c r="O46" s="110"/>
      <c r="P46" s="303"/>
      <c r="Q46" s="303"/>
      <c r="R46" s="110"/>
      <c r="S46" s="110"/>
      <c r="T46" s="110"/>
      <c r="U46" s="110"/>
      <c r="V46" s="110"/>
      <c r="W46" s="110"/>
      <c r="X46" s="110"/>
      <c r="Y46" s="110"/>
      <c r="Z46" s="110"/>
      <c r="AA46" s="110"/>
      <c r="AB46" s="110"/>
      <c r="AC46" s="110"/>
      <c r="AD46" s="110"/>
      <c r="AE46" s="110"/>
      <c r="AF46" s="110"/>
      <c r="AG46" s="110"/>
      <c r="AH46" s="110"/>
      <c r="AI46" s="110"/>
      <c r="AJ46" s="111"/>
    </row>
    <row r="47" spans="4:36" ht="20.25" customHeight="1">
      <c r="D47" s="143"/>
      <c r="E47" s="110"/>
      <c r="F47" s="110"/>
      <c r="G47" s="110"/>
      <c r="H47" s="110"/>
      <c r="I47" s="110"/>
      <c r="J47" s="110"/>
      <c r="K47" s="110"/>
      <c r="L47" s="110"/>
      <c r="M47" s="110"/>
      <c r="N47" s="110"/>
      <c r="O47" s="110"/>
      <c r="P47" s="303"/>
      <c r="Q47" s="303"/>
      <c r="R47" s="110"/>
      <c r="S47" s="110"/>
      <c r="T47" s="110"/>
      <c r="U47" s="110"/>
      <c r="V47" s="110"/>
      <c r="W47" s="110"/>
      <c r="X47" s="110"/>
      <c r="Y47" s="110"/>
      <c r="Z47" s="110"/>
      <c r="AA47" s="110"/>
      <c r="AB47" s="110"/>
      <c r="AC47" s="110"/>
      <c r="AD47" s="110"/>
      <c r="AE47" s="110"/>
      <c r="AF47" s="110"/>
      <c r="AG47" s="110"/>
      <c r="AH47" s="110"/>
      <c r="AI47" s="110"/>
      <c r="AJ47" s="111"/>
    </row>
    <row r="48" spans="4:36">
      <c r="D48" s="12"/>
      <c r="F48" s="13" t="s">
        <v>371</v>
      </c>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5"/>
    </row>
    <row r="49" spans="4:36" ht="20.25">
      <c r="D49" s="12"/>
      <c r="E49" s="13"/>
      <c r="G49" s="465" t="s">
        <v>715</v>
      </c>
      <c r="H49" s="465"/>
      <c r="I49" s="449" t="s">
        <v>2</v>
      </c>
      <c r="J49" s="306" t="s">
        <v>697</v>
      </c>
      <c r="K49" s="307" t="s">
        <v>66</v>
      </c>
      <c r="L49" s="141" t="s">
        <v>343</v>
      </c>
      <c r="M49" s="306" t="s">
        <v>585</v>
      </c>
      <c r="N49" s="449" t="s">
        <v>27</v>
      </c>
      <c r="O49" s="617">
        <v>1</v>
      </c>
      <c r="P49" s="617"/>
      <c r="R49" s="449" t="s">
        <v>2</v>
      </c>
      <c r="S49" s="681">
        <f>K7</f>
        <v>121.64567066132668</v>
      </c>
      <c r="T49" s="681"/>
      <c r="U49" s="681"/>
      <c r="V49" s="141" t="s">
        <v>27</v>
      </c>
      <c r="W49" s="877">
        <f>P26</f>
        <v>5.2</v>
      </c>
      <c r="X49" s="877"/>
      <c r="Y49" s="142" t="s">
        <v>281</v>
      </c>
      <c r="Z49" s="449" t="s">
        <v>27</v>
      </c>
      <c r="AA49" s="152">
        <v>1</v>
      </c>
      <c r="AC49" s="449" t="s">
        <v>2</v>
      </c>
      <c r="AD49" s="690">
        <f>S49*W49^2/S50*AA49/AA50</f>
        <v>411.16236683528422</v>
      </c>
      <c r="AE49" s="774"/>
      <c r="AF49" s="691"/>
      <c r="AG49" s="880" t="s">
        <v>270</v>
      </c>
      <c r="AH49" s="881"/>
      <c r="AI49" s="881"/>
      <c r="AJ49" s="15"/>
    </row>
    <row r="50" spans="4:36">
      <c r="D50" s="12"/>
      <c r="E50" s="13"/>
      <c r="G50" s="465"/>
      <c r="H50" s="465"/>
      <c r="I50" s="449"/>
      <c r="J50" s="870">
        <v>8</v>
      </c>
      <c r="K50" s="870"/>
      <c r="L50" s="870"/>
      <c r="M50" s="870"/>
      <c r="N50" s="449"/>
      <c r="O50" s="453" t="s">
        <v>750</v>
      </c>
      <c r="P50" s="453"/>
      <c r="R50" s="449"/>
      <c r="S50" s="870">
        <f>J50</f>
        <v>8</v>
      </c>
      <c r="T50" s="870"/>
      <c r="U50" s="870"/>
      <c r="V50" s="870"/>
      <c r="W50" s="870"/>
      <c r="X50" s="870"/>
      <c r="Z50" s="449"/>
      <c r="AA50" s="323">
        <f>V45</f>
        <v>1</v>
      </c>
      <c r="AC50" s="449"/>
      <c r="AD50" s="692"/>
      <c r="AE50" s="775"/>
      <c r="AF50" s="693"/>
      <c r="AG50" s="880"/>
      <c r="AH50" s="881"/>
      <c r="AI50" s="881"/>
      <c r="AJ50" s="15"/>
    </row>
    <row r="51" spans="4:36">
      <c r="D51" s="12"/>
      <c r="E51" s="13"/>
      <c r="F51" s="13"/>
      <c r="G51" s="13"/>
      <c r="H51" s="13"/>
      <c r="N51" s="13"/>
      <c r="O51" s="13"/>
      <c r="P51" s="13"/>
      <c r="W51" s="13"/>
      <c r="X51" s="13"/>
      <c r="Y51" s="13"/>
      <c r="Z51" s="13"/>
      <c r="AA51" s="13"/>
      <c r="AB51" s="13"/>
      <c r="AC51" s="13"/>
      <c r="AD51" s="13"/>
      <c r="AE51" s="13"/>
      <c r="AF51" s="13"/>
      <c r="AG51" s="13"/>
      <c r="AH51" s="13"/>
      <c r="AI51" s="13"/>
      <c r="AJ51" s="15"/>
    </row>
    <row r="52" spans="4:36">
      <c r="D52" s="12"/>
      <c r="E52" s="13"/>
      <c r="F52" s="13" t="s">
        <v>372</v>
      </c>
      <c r="G52" s="13"/>
      <c r="H52" s="13"/>
      <c r="I52" s="13"/>
      <c r="J52" s="13"/>
      <c r="K52" s="13"/>
      <c r="L52" s="13"/>
      <c r="M52" s="13"/>
      <c r="N52" s="13"/>
      <c r="O52" s="13"/>
      <c r="P52" s="13"/>
      <c r="Q52" s="13"/>
      <c r="R52" s="13"/>
      <c r="AH52" s="13"/>
      <c r="AI52" s="13"/>
      <c r="AJ52" s="15"/>
    </row>
    <row r="53" spans="4:36">
      <c r="D53" s="12"/>
      <c r="E53" s="13"/>
      <c r="F53" s="13"/>
      <c r="G53" s="465" t="s">
        <v>716</v>
      </c>
      <c r="H53" s="465"/>
      <c r="I53" s="449" t="s">
        <v>2</v>
      </c>
      <c r="J53" s="306" t="s">
        <v>697</v>
      </c>
      <c r="K53" s="307" t="s">
        <v>66</v>
      </c>
      <c r="L53" s="141" t="s">
        <v>343</v>
      </c>
      <c r="M53" s="306"/>
      <c r="N53" s="449" t="s">
        <v>27</v>
      </c>
      <c r="O53" s="617">
        <v>1</v>
      </c>
      <c r="P53" s="617"/>
      <c r="R53" s="449" t="s">
        <v>2</v>
      </c>
      <c r="S53" s="681">
        <f>K7</f>
        <v>121.64567066132668</v>
      </c>
      <c r="T53" s="681"/>
      <c r="U53" s="681"/>
      <c r="V53" s="141" t="s">
        <v>27</v>
      </c>
      <c r="W53" s="877">
        <f>P26</f>
        <v>5.2</v>
      </c>
      <c r="X53" s="877"/>
      <c r="Z53" s="449" t="s">
        <v>27</v>
      </c>
      <c r="AA53" s="152">
        <v>1</v>
      </c>
      <c r="AB53" s="32"/>
      <c r="AC53" s="449" t="s">
        <v>2</v>
      </c>
      <c r="AD53" s="690">
        <f>S53*W53/S54*AA53/AA54</f>
        <v>316.27874371944938</v>
      </c>
      <c r="AE53" s="774"/>
      <c r="AF53" s="691"/>
      <c r="AG53" s="651" t="s">
        <v>257</v>
      </c>
      <c r="AH53" s="13"/>
      <c r="AI53" s="13"/>
      <c r="AJ53" s="15"/>
    </row>
    <row r="54" spans="4:36">
      <c r="D54" s="12"/>
      <c r="G54" s="465"/>
      <c r="H54" s="465"/>
      <c r="I54" s="449"/>
      <c r="J54" s="870">
        <v>2</v>
      </c>
      <c r="K54" s="870"/>
      <c r="L54" s="870"/>
      <c r="M54" s="145"/>
      <c r="N54" s="449"/>
      <c r="O54" s="453" t="s">
        <v>750</v>
      </c>
      <c r="P54" s="453"/>
      <c r="R54" s="449"/>
      <c r="S54" s="870">
        <f>J54</f>
        <v>2</v>
      </c>
      <c r="T54" s="870"/>
      <c r="U54" s="870"/>
      <c r="V54" s="870"/>
      <c r="W54" s="870"/>
      <c r="X54" s="870"/>
      <c r="Z54" s="449"/>
      <c r="AA54" s="323">
        <f>V45</f>
        <v>1</v>
      </c>
      <c r="AB54" s="32"/>
      <c r="AC54" s="449"/>
      <c r="AD54" s="692"/>
      <c r="AE54" s="775"/>
      <c r="AF54" s="693"/>
      <c r="AG54" s="651"/>
      <c r="AH54" s="13"/>
      <c r="AI54" s="13"/>
      <c r="AJ54" s="15"/>
    </row>
    <row r="55" spans="4:36">
      <c r="D55" s="12"/>
      <c r="E55" s="13"/>
      <c r="U55" s="13"/>
      <c r="V55" s="32"/>
      <c r="W55" s="13"/>
      <c r="X55" s="13"/>
      <c r="Y55" s="13"/>
      <c r="Z55" s="13"/>
      <c r="AA55" s="13"/>
      <c r="AB55" s="13"/>
      <c r="AC55" s="13"/>
      <c r="AD55" s="13"/>
      <c r="AE55" s="13"/>
      <c r="AF55" s="13"/>
      <c r="AG55" s="13"/>
      <c r="AH55" s="13"/>
      <c r="AI55" s="13"/>
      <c r="AJ55" s="15"/>
    </row>
    <row r="56" spans="4:36">
      <c r="D56" s="311" t="s">
        <v>722</v>
      </c>
      <c r="E56" s="167"/>
      <c r="F56" s="110"/>
      <c r="G56" s="110"/>
      <c r="H56" s="110"/>
      <c r="I56" s="110"/>
      <c r="J56" s="110"/>
      <c r="K56" s="110"/>
      <c r="L56" s="110"/>
      <c r="M56" s="110"/>
      <c r="N56" s="110"/>
      <c r="O56" s="110"/>
      <c r="P56" s="303"/>
      <c r="Q56" s="303"/>
      <c r="R56" s="110"/>
      <c r="S56" s="110"/>
      <c r="T56" s="110"/>
      <c r="U56" s="110"/>
      <c r="V56" s="110"/>
      <c r="W56" s="110"/>
      <c r="X56" s="110"/>
      <c r="Y56" s="110"/>
      <c r="Z56" s="110"/>
      <c r="AA56" s="110"/>
      <c r="AB56" s="110"/>
      <c r="AC56" s="110"/>
      <c r="AD56" s="110"/>
      <c r="AE56" s="110"/>
      <c r="AF56" s="110"/>
      <c r="AG56" s="110"/>
      <c r="AH56" s="110"/>
      <c r="AI56" s="110"/>
      <c r="AJ56" s="111"/>
    </row>
    <row r="57" spans="4:36">
      <c r="D57" s="143"/>
      <c r="E57" s="110"/>
      <c r="F57" s="13" t="s">
        <v>705</v>
      </c>
      <c r="G57" s="110"/>
      <c r="H57" s="110"/>
      <c r="I57" s="110"/>
      <c r="J57" s="110"/>
      <c r="K57" s="110"/>
      <c r="L57" s="110"/>
      <c r="M57" s="110"/>
      <c r="N57" s="110"/>
      <c r="O57" s="110"/>
      <c r="P57" s="303"/>
      <c r="Q57" s="303"/>
      <c r="R57" s="110"/>
      <c r="S57" s="110"/>
      <c r="T57" s="110"/>
      <c r="U57" s="110"/>
      <c r="V57" s="110"/>
      <c r="W57" s="110"/>
      <c r="X57" s="110"/>
      <c r="Y57" s="110"/>
      <c r="Z57" s="110"/>
      <c r="AA57" s="110"/>
      <c r="AB57" s="110"/>
      <c r="AC57" s="110"/>
      <c r="AD57" s="110"/>
      <c r="AE57" s="110"/>
      <c r="AF57" s="110"/>
      <c r="AG57" s="110"/>
      <c r="AH57" s="110"/>
      <c r="AI57" s="110"/>
      <c r="AJ57" s="111"/>
    </row>
    <row r="58" spans="4:36">
      <c r="D58" s="143"/>
      <c r="E58" s="110"/>
      <c r="F58" s="110"/>
      <c r="G58" s="360" t="s">
        <v>714</v>
      </c>
      <c r="H58" s="360"/>
      <c r="I58" s="110" t="s">
        <v>2</v>
      </c>
      <c r="J58" s="1" t="s">
        <v>69</v>
      </c>
      <c r="K58" s="360" t="s">
        <v>681</v>
      </c>
      <c r="L58" s="360"/>
      <c r="M58" s="110" t="s">
        <v>66</v>
      </c>
      <c r="N58" s="871" t="s">
        <v>195</v>
      </c>
      <c r="O58" s="871"/>
      <c r="P58" s="110" t="s">
        <v>68</v>
      </c>
      <c r="Q58" s="360" t="s">
        <v>307</v>
      </c>
      <c r="R58" s="360"/>
      <c r="S58" s="312" t="s">
        <v>83</v>
      </c>
      <c r="T58" s="110" t="s">
        <v>70</v>
      </c>
      <c r="U58" s="322" t="s">
        <v>750</v>
      </c>
      <c r="V58" s="110"/>
      <c r="W58" s="110"/>
      <c r="AH58" s="110"/>
      <c r="AI58" s="110"/>
      <c r="AJ58" s="111"/>
    </row>
    <row r="59" spans="4:36">
      <c r="D59" s="143"/>
      <c r="E59" s="110"/>
      <c r="F59" s="110"/>
      <c r="G59" s="110"/>
      <c r="H59" s="110"/>
      <c r="I59" s="110" t="s">
        <v>2</v>
      </c>
      <c r="J59" s="1" t="s">
        <v>69</v>
      </c>
      <c r="K59" s="903">
        <f>K9</f>
        <v>157.79675299599501</v>
      </c>
      <c r="L59" s="903"/>
      <c r="M59" s="903"/>
      <c r="N59" s="110" t="s">
        <v>66</v>
      </c>
      <c r="O59" s="872">
        <f>K37</f>
        <v>2.75</v>
      </c>
      <c r="P59" s="872"/>
      <c r="Q59" s="110" t="s">
        <v>68</v>
      </c>
      <c r="R59" s="873">
        <f>Q40</f>
        <v>150</v>
      </c>
      <c r="S59" s="873"/>
      <c r="T59" s="873"/>
      <c r="U59" s="1" t="s">
        <v>83</v>
      </c>
      <c r="V59" s="110" t="s">
        <v>70</v>
      </c>
      <c r="W59" s="905">
        <f>'1.設計条件'!W54</f>
        <v>2</v>
      </c>
      <c r="X59" s="905"/>
      <c r="AH59" s="110"/>
      <c r="AI59" s="110"/>
      <c r="AJ59" s="111"/>
    </row>
    <row r="60" spans="4:36" ht="20.25" customHeight="1">
      <c r="D60" s="143"/>
      <c r="E60" s="110"/>
      <c r="F60" s="110"/>
      <c r="G60" s="110"/>
      <c r="H60" s="110"/>
      <c r="I60" s="110" t="s">
        <v>2</v>
      </c>
      <c r="J60" s="874">
        <f>(K59*O59+R59)/W59</f>
        <v>291.97053536949312</v>
      </c>
      <c r="K60" s="875"/>
      <c r="L60" s="876"/>
      <c r="M60" s="110" t="s">
        <v>257</v>
      </c>
      <c r="N60" s="110"/>
      <c r="O60" s="110"/>
      <c r="P60" s="303"/>
      <c r="Q60" s="303"/>
      <c r="R60" s="110"/>
      <c r="S60" s="110"/>
      <c r="T60" s="110"/>
      <c r="U60" s="110"/>
      <c r="V60" s="110"/>
      <c r="W60" s="110"/>
      <c r="X60" s="110"/>
      <c r="Y60" s="110"/>
      <c r="Z60" s="110"/>
      <c r="AA60" s="110"/>
      <c r="AB60" s="110"/>
      <c r="AC60" s="110"/>
      <c r="AD60" s="110"/>
      <c r="AE60" s="110"/>
      <c r="AF60" s="110"/>
      <c r="AG60" s="110"/>
      <c r="AH60" s="110"/>
      <c r="AI60" s="110"/>
      <c r="AJ60" s="111"/>
    </row>
    <row r="61" spans="4:36" ht="20.25" customHeight="1">
      <c r="D61" s="143"/>
      <c r="E61" s="110"/>
      <c r="F61" s="110"/>
      <c r="G61" s="110"/>
      <c r="H61" s="110"/>
      <c r="I61" s="110"/>
      <c r="J61" s="110"/>
      <c r="K61" s="110"/>
      <c r="L61" s="110"/>
      <c r="M61" s="110"/>
      <c r="N61" s="110"/>
      <c r="O61" s="110"/>
      <c r="P61" s="303"/>
      <c r="Q61" s="303"/>
      <c r="R61" s="110"/>
      <c r="S61" s="110"/>
      <c r="T61" s="110"/>
      <c r="X61" s="110"/>
      <c r="Y61" s="110"/>
      <c r="Z61" s="110"/>
      <c r="AA61" s="110"/>
      <c r="AB61" s="110"/>
      <c r="AC61" s="110"/>
      <c r="AD61" s="110"/>
      <c r="AE61" s="110"/>
      <c r="AF61" s="110"/>
      <c r="AG61" s="110"/>
      <c r="AH61" s="110"/>
      <c r="AI61" s="110"/>
      <c r="AJ61" s="111"/>
    </row>
    <row r="62" spans="4:36">
      <c r="D62" s="12"/>
      <c r="F62" s="13" t="s">
        <v>371</v>
      </c>
      <c r="G62" s="13"/>
      <c r="H62" s="13"/>
      <c r="I62" s="13"/>
      <c r="J62" s="13"/>
      <c r="K62" s="13"/>
      <c r="L62" s="13"/>
      <c r="M62" s="13"/>
      <c r="N62" s="13"/>
      <c r="O62" s="13"/>
      <c r="P62" s="13"/>
      <c r="Q62" s="13"/>
      <c r="R62" s="13"/>
      <c r="S62" s="13"/>
      <c r="T62" s="13"/>
      <c r="X62" s="13"/>
      <c r="Y62" s="13"/>
      <c r="Z62" s="13"/>
      <c r="AA62" s="13"/>
      <c r="AB62" s="13"/>
      <c r="AC62" s="13"/>
      <c r="AD62" s="13"/>
      <c r="AE62" s="13"/>
      <c r="AF62" s="13"/>
      <c r="AG62" s="13"/>
      <c r="AH62" s="13"/>
      <c r="AI62" s="13"/>
      <c r="AJ62" s="15"/>
    </row>
    <row r="63" spans="4:36" ht="20.25">
      <c r="D63" s="12"/>
      <c r="E63" s="13"/>
      <c r="G63" s="465" t="s">
        <v>717</v>
      </c>
      <c r="H63" s="465"/>
      <c r="I63" s="449" t="s">
        <v>2</v>
      </c>
      <c r="J63" s="306" t="s">
        <v>719</v>
      </c>
      <c r="K63" s="307" t="s">
        <v>66</v>
      </c>
      <c r="L63" s="141" t="s">
        <v>166</v>
      </c>
      <c r="M63" s="306" t="s">
        <v>585</v>
      </c>
      <c r="N63" s="449" t="s">
        <v>27</v>
      </c>
      <c r="O63" s="617">
        <v>1</v>
      </c>
      <c r="P63" s="617"/>
      <c r="R63" s="449" t="s">
        <v>2</v>
      </c>
      <c r="S63" s="681">
        <f>K9</f>
        <v>157.79675299599501</v>
      </c>
      <c r="T63" s="681"/>
      <c r="U63" s="681"/>
      <c r="V63" s="141" t="s">
        <v>27</v>
      </c>
      <c r="W63" s="877">
        <f>P26</f>
        <v>5.2</v>
      </c>
      <c r="X63" s="877"/>
      <c r="Y63" s="142" t="s">
        <v>281</v>
      </c>
      <c r="Z63" s="449" t="s">
        <v>27</v>
      </c>
      <c r="AA63" s="152">
        <v>1</v>
      </c>
      <c r="AC63" s="449" t="s">
        <v>2</v>
      </c>
      <c r="AD63" s="690">
        <f>S63*W63^2/S64*AA63/AA64</f>
        <v>266.6765125632316</v>
      </c>
      <c r="AE63" s="774"/>
      <c r="AF63" s="691"/>
      <c r="AG63" s="880" t="s">
        <v>270</v>
      </c>
      <c r="AH63" s="881"/>
      <c r="AI63" s="881"/>
      <c r="AJ63" s="15"/>
    </row>
    <row r="64" spans="4:36">
      <c r="D64" s="12"/>
      <c r="E64" s="13"/>
      <c r="G64" s="465"/>
      <c r="H64" s="465"/>
      <c r="I64" s="449"/>
      <c r="J64" s="870">
        <v>8</v>
      </c>
      <c r="K64" s="870"/>
      <c r="L64" s="870"/>
      <c r="M64" s="870"/>
      <c r="N64" s="449"/>
      <c r="O64" s="453" t="s">
        <v>750</v>
      </c>
      <c r="P64" s="453"/>
      <c r="R64" s="449"/>
      <c r="S64" s="870">
        <f>J64</f>
        <v>8</v>
      </c>
      <c r="T64" s="870"/>
      <c r="U64" s="870"/>
      <c r="V64" s="870"/>
      <c r="W64" s="37"/>
      <c r="Z64" s="449"/>
      <c r="AA64" s="323">
        <f>W59</f>
        <v>2</v>
      </c>
      <c r="AC64" s="449"/>
      <c r="AD64" s="692"/>
      <c r="AE64" s="775"/>
      <c r="AF64" s="693"/>
      <c r="AG64" s="880"/>
      <c r="AH64" s="881"/>
      <c r="AI64" s="881"/>
      <c r="AJ64" s="15"/>
    </row>
    <row r="65" spans="3:36">
      <c r="D65" s="12"/>
      <c r="E65" s="13"/>
      <c r="F65" s="13"/>
      <c r="G65" s="13"/>
      <c r="H65" s="13"/>
      <c r="N65" s="13"/>
      <c r="O65" s="13"/>
      <c r="P65" s="13"/>
      <c r="Q65" s="13"/>
      <c r="R65" s="13"/>
      <c r="W65" s="13"/>
      <c r="X65" s="13"/>
      <c r="Y65" s="13"/>
      <c r="Z65" s="13"/>
      <c r="AA65" s="13"/>
      <c r="AB65" s="13"/>
      <c r="AC65" s="13"/>
      <c r="AD65" s="13"/>
      <c r="AE65" s="13"/>
      <c r="AF65" s="13"/>
      <c r="AG65" s="13"/>
      <c r="AH65" s="13"/>
      <c r="AI65" s="13"/>
      <c r="AJ65" s="15"/>
    </row>
    <row r="66" spans="3:36">
      <c r="D66" s="12"/>
      <c r="E66" s="13"/>
      <c r="F66" s="13" t="s">
        <v>372</v>
      </c>
      <c r="G66" s="13"/>
      <c r="H66" s="13"/>
      <c r="I66" s="13"/>
      <c r="J66" s="13"/>
      <c r="K66" s="13"/>
      <c r="L66" s="13"/>
      <c r="M66" s="13"/>
      <c r="N66" s="13"/>
      <c r="O66" s="13"/>
      <c r="P66" s="13"/>
      <c r="Q66" s="13"/>
      <c r="R66" s="13"/>
      <c r="AH66" s="13"/>
      <c r="AI66" s="13"/>
      <c r="AJ66" s="15"/>
    </row>
    <row r="67" spans="3:36" ht="20.25">
      <c r="D67" s="12"/>
      <c r="E67" s="13"/>
      <c r="F67" s="13"/>
      <c r="G67" s="465" t="s">
        <v>718</v>
      </c>
      <c r="H67" s="465"/>
      <c r="I67" s="449" t="s">
        <v>2</v>
      </c>
      <c r="J67" s="306" t="s">
        <v>719</v>
      </c>
      <c r="K67" s="307" t="s">
        <v>66</v>
      </c>
      <c r="L67" s="141" t="s">
        <v>166</v>
      </c>
      <c r="M67" s="306"/>
      <c r="N67" s="449" t="s">
        <v>27</v>
      </c>
      <c r="O67" s="617">
        <v>1</v>
      </c>
      <c r="P67" s="617"/>
      <c r="Q67" s="13"/>
      <c r="R67" s="449" t="s">
        <v>2</v>
      </c>
      <c r="S67" s="681">
        <f>K9</f>
        <v>157.79675299599501</v>
      </c>
      <c r="T67" s="681"/>
      <c r="U67" s="681"/>
      <c r="V67" s="141" t="s">
        <v>27</v>
      </c>
      <c r="W67" s="877">
        <f>P26</f>
        <v>5.2</v>
      </c>
      <c r="X67" s="877"/>
      <c r="Y67" s="142"/>
      <c r="Z67" s="449" t="s">
        <v>27</v>
      </c>
      <c r="AA67" s="152">
        <v>1</v>
      </c>
      <c r="AB67" s="32"/>
      <c r="AC67" s="449" t="s">
        <v>2</v>
      </c>
      <c r="AD67" s="690">
        <f>S67*W67/S68*AA67/AA68</f>
        <v>205.1357788947935</v>
      </c>
      <c r="AE67" s="774"/>
      <c r="AF67" s="691"/>
      <c r="AG67" s="651" t="s">
        <v>257</v>
      </c>
      <c r="AH67" s="13"/>
      <c r="AI67" s="13"/>
      <c r="AJ67" s="15"/>
    </row>
    <row r="68" spans="3:36">
      <c r="D68" s="12"/>
      <c r="G68" s="465"/>
      <c r="H68" s="465"/>
      <c r="I68" s="449"/>
      <c r="J68" s="870">
        <v>2</v>
      </c>
      <c r="K68" s="870"/>
      <c r="L68" s="870"/>
      <c r="M68" s="145"/>
      <c r="N68" s="449"/>
      <c r="O68" s="453" t="s">
        <v>750</v>
      </c>
      <c r="P68" s="453"/>
      <c r="Q68" s="145"/>
      <c r="R68" s="449"/>
      <c r="S68" s="870">
        <f>J68</f>
        <v>2</v>
      </c>
      <c r="T68" s="870"/>
      <c r="U68" s="870"/>
      <c r="V68" s="870"/>
      <c r="Z68" s="449"/>
      <c r="AA68" s="323">
        <f>W59</f>
        <v>2</v>
      </c>
      <c r="AB68" s="32"/>
      <c r="AC68" s="449"/>
      <c r="AD68" s="692"/>
      <c r="AE68" s="775"/>
      <c r="AF68" s="693"/>
      <c r="AG68" s="651"/>
      <c r="AH68" s="13"/>
      <c r="AI68" s="13"/>
      <c r="AJ68" s="15"/>
    </row>
    <row r="69" spans="3:36">
      <c r="D69" s="16"/>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9"/>
    </row>
    <row r="71" spans="3:36">
      <c r="C71" s="1" t="s">
        <v>835</v>
      </c>
      <c r="X71" t="s">
        <v>297</v>
      </c>
    </row>
    <row r="72" spans="3:36">
      <c r="D72" s="9" t="s">
        <v>729</v>
      </c>
      <c r="E72" s="10"/>
      <c r="F72" s="10"/>
      <c r="G72" s="10"/>
      <c r="H72" s="10"/>
      <c r="I72" s="10"/>
      <c r="J72" s="10"/>
      <c r="K72" s="10"/>
      <c r="L72" s="10"/>
      <c r="M72" s="10"/>
      <c r="N72" s="10"/>
      <c r="O72" s="10"/>
      <c r="P72" s="10"/>
      <c r="Q72" s="10"/>
      <c r="R72" s="10"/>
      <c r="S72" s="10"/>
      <c r="T72" s="10"/>
      <c r="U72" s="10"/>
      <c r="V72" s="10"/>
      <c r="W72" s="10"/>
      <c r="X72" s="3" t="s">
        <v>316</v>
      </c>
      <c r="Y72" s="10"/>
      <c r="Z72" s="10"/>
      <c r="AA72" s="10"/>
      <c r="AB72" s="10"/>
      <c r="AC72" s="10"/>
      <c r="AD72" s="10"/>
      <c r="AE72" s="10"/>
      <c r="AF72" s="10"/>
      <c r="AG72" s="10"/>
      <c r="AH72" s="10"/>
      <c r="AI72" s="10"/>
      <c r="AJ72" s="11"/>
    </row>
    <row r="73" spans="3:36">
      <c r="D73" s="12"/>
      <c r="E73" s="13"/>
      <c r="F73" s="13"/>
      <c r="G73" s="13"/>
      <c r="H73" s="13"/>
      <c r="I73" s="13"/>
      <c r="J73" s="13"/>
      <c r="K73" s="13"/>
      <c r="L73" s="13"/>
      <c r="M73" s="13"/>
      <c r="N73" s="13"/>
      <c r="O73" s="13"/>
      <c r="P73" s="13"/>
      <c r="Q73" s="13"/>
      <c r="R73" s="13"/>
      <c r="S73" s="13"/>
      <c r="T73" s="13"/>
      <c r="U73" s="13"/>
      <c r="V73" s="13"/>
      <c r="W73" s="13"/>
      <c r="Y73" s="13"/>
      <c r="Z73" s="13"/>
      <c r="AA73" s="13"/>
      <c r="AB73" s="13"/>
      <c r="AC73" s="13"/>
      <c r="AD73" s="13"/>
      <c r="AE73" s="13"/>
      <c r="AF73" s="13"/>
      <c r="AG73" s="13"/>
      <c r="AH73" s="13"/>
      <c r="AI73" s="13"/>
      <c r="AJ73" s="15"/>
    </row>
    <row r="74" spans="3:36">
      <c r="D74" s="12"/>
      <c r="E74" s="1" t="s">
        <v>399</v>
      </c>
      <c r="AJ74" s="15"/>
    </row>
    <row r="75" spans="3:36">
      <c r="D75" s="12"/>
      <c r="AJ75" s="15"/>
    </row>
    <row r="76" spans="3:36">
      <c r="D76" s="12"/>
      <c r="F76" s="13" t="s">
        <v>383</v>
      </c>
      <c r="G76" s="13"/>
      <c r="H76" s="13"/>
      <c r="I76" s="13"/>
      <c r="J76" s="13"/>
      <c r="K76" s="13"/>
      <c r="L76" s="13"/>
      <c r="M76" s="13"/>
      <c r="N76" s="13"/>
      <c r="O76" s="13"/>
      <c r="P76" s="13"/>
      <c r="Q76" s="13"/>
      <c r="R76" s="13"/>
      <c r="S76" s="13"/>
      <c r="T76" s="13"/>
      <c r="U76" s="13"/>
      <c r="V76" s="13"/>
      <c r="W76" s="13"/>
      <c r="X76"/>
      <c r="Y76" s="13"/>
      <c r="Z76" s="13"/>
      <c r="AA76" s="13"/>
      <c r="AB76" s="13"/>
      <c r="AC76" s="13"/>
      <c r="AD76" s="13"/>
      <c r="AJ76" s="15"/>
    </row>
    <row r="77" spans="3:36">
      <c r="D77" s="12"/>
      <c r="E77" s="13"/>
      <c r="F77" s="13"/>
      <c r="G77" s="466" t="s">
        <v>318</v>
      </c>
      <c r="H77" s="466"/>
      <c r="I77" s="449" t="s">
        <v>68</v>
      </c>
      <c r="J77" s="17"/>
      <c r="K77" s="17"/>
      <c r="L77" s="17"/>
      <c r="M77" s="17"/>
      <c r="N77" s="466" t="s">
        <v>317</v>
      </c>
      <c r="O77" s="466"/>
      <c r="P77" s="17"/>
      <c r="Q77" s="17"/>
      <c r="R77" s="17"/>
      <c r="S77" s="17"/>
      <c r="T77" s="449" t="s">
        <v>68</v>
      </c>
      <c r="U77" s="17"/>
      <c r="V77" s="17"/>
      <c r="W77" s="17"/>
      <c r="X77" s="17"/>
      <c r="Y77" s="466" t="s">
        <v>323</v>
      </c>
      <c r="Z77" s="466"/>
      <c r="AA77" s="17"/>
      <c r="AB77" s="17"/>
      <c r="AC77" s="17"/>
      <c r="AD77" s="17"/>
      <c r="AF77" s="883" t="s">
        <v>326</v>
      </c>
      <c r="AG77" s="884">
        <v>1</v>
      </c>
      <c r="AJ77" s="15"/>
    </row>
    <row r="78" spans="3:36">
      <c r="D78" s="12"/>
      <c r="E78" s="13"/>
      <c r="F78" s="13"/>
      <c r="G78" s="360" t="s">
        <v>319</v>
      </c>
      <c r="H78" s="360"/>
      <c r="I78" s="449"/>
      <c r="J78" s="360" t="s">
        <v>322</v>
      </c>
      <c r="K78" s="360"/>
      <c r="L78" s="41" t="s">
        <v>320</v>
      </c>
      <c r="M78" s="13" t="s">
        <v>263</v>
      </c>
      <c r="N78" s="360" t="s">
        <v>318</v>
      </c>
      <c r="O78" s="360"/>
      <c r="P78" s="13" t="s">
        <v>70</v>
      </c>
      <c r="Q78" s="360" t="s">
        <v>321</v>
      </c>
      <c r="R78" s="360"/>
      <c r="S78" s="13" t="s">
        <v>83</v>
      </c>
      <c r="T78" s="449"/>
      <c r="U78" s="360" t="s">
        <v>324</v>
      </c>
      <c r="V78" s="360"/>
      <c r="W78" s="41" t="s">
        <v>320</v>
      </c>
      <c r="X78" s="13" t="s">
        <v>263</v>
      </c>
      <c r="Y78" s="360" t="s">
        <v>318</v>
      </c>
      <c r="Z78" s="360"/>
      <c r="AA78" s="13" t="s">
        <v>70</v>
      </c>
      <c r="AB78" s="360" t="s">
        <v>325</v>
      </c>
      <c r="AC78" s="360"/>
      <c r="AD78" s="13" t="s">
        <v>83</v>
      </c>
      <c r="AF78" s="883"/>
      <c r="AG78" s="884"/>
      <c r="AJ78" s="15"/>
    </row>
    <row r="79" spans="3:36">
      <c r="D79" s="12"/>
      <c r="AJ79" s="15"/>
    </row>
    <row r="80" spans="3:36">
      <c r="D80" s="12"/>
      <c r="AJ80" s="15"/>
    </row>
    <row r="81" spans="4:36">
      <c r="D81" s="12"/>
      <c r="F81" s="13" t="s">
        <v>384</v>
      </c>
      <c r="G81" s="13"/>
      <c r="H81" s="13"/>
      <c r="I81" s="13"/>
      <c r="J81" s="13"/>
      <c r="K81" s="13"/>
      <c r="L81" s="13"/>
      <c r="M81" s="13"/>
      <c r="N81" s="13"/>
      <c r="O81" s="13"/>
      <c r="P81" s="13"/>
      <c r="Q81" s="13"/>
      <c r="R81" s="13"/>
      <c r="S81" s="13"/>
      <c r="T81" s="13"/>
      <c r="U81" s="13"/>
      <c r="V81" s="13"/>
      <c r="W81" s="13"/>
      <c r="X81"/>
      <c r="Y81" s="13"/>
      <c r="Z81" s="13"/>
      <c r="AJ81" s="15"/>
    </row>
    <row r="82" spans="4:36">
      <c r="D82" s="12"/>
      <c r="E82" s="13"/>
      <c r="F82" s="13"/>
      <c r="G82" s="465" t="s">
        <v>318</v>
      </c>
      <c r="H82" s="465"/>
      <c r="I82" s="449" t="s">
        <v>68</v>
      </c>
      <c r="J82" s="17"/>
      <c r="K82" s="17"/>
      <c r="L82" s="17"/>
      <c r="M82" s="466" t="s">
        <v>317</v>
      </c>
      <c r="N82" s="466"/>
      <c r="O82" s="17"/>
      <c r="P82" s="17"/>
      <c r="Q82" s="17"/>
      <c r="R82" s="449" t="s">
        <v>68</v>
      </c>
      <c r="S82" s="17"/>
      <c r="T82" s="17"/>
      <c r="U82" s="17"/>
      <c r="V82" s="466" t="s">
        <v>323</v>
      </c>
      <c r="W82" s="466"/>
      <c r="X82" s="17"/>
      <c r="Y82" s="17"/>
      <c r="Z82" s="17"/>
      <c r="AC82" s="883" t="s">
        <v>326</v>
      </c>
      <c r="AD82" s="465" t="s">
        <v>327</v>
      </c>
      <c r="AE82" s="465"/>
      <c r="AJ82" s="15"/>
    </row>
    <row r="83" spans="4:36">
      <c r="D83" s="12"/>
      <c r="E83" s="13"/>
      <c r="F83" s="13"/>
      <c r="G83" s="465"/>
      <c r="H83" s="465"/>
      <c r="I83" s="449"/>
      <c r="J83" s="13" t="s">
        <v>320</v>
      </c>
      <c r="K83" s="13" t="s">
        <v>263</v>
      </c>
      <c r="L83" s="360" t="s">
        <v>318</v>
      </c>
      <c r="M83" s="360"/>
      <c r="N83" s="13" t="s">
        <v>70</v>
      </c>
      <c r="O83" s="360" t="s">
        <v>321</v>
      </c>
      <c r="P83" s="360"/>
      <c r="Q83" s="13" t="s">
        <v>83</v>
      </c>
      <c r="R83" s="449"/>
      <c r="S83" s="13" t="s">
        <v>320</v>
      </c>
      <c r="T83" s="13" t="s">
        <v>263</v>
      </c>
      <c r="U83" s="360" t="s">
        <v>318</v>
      </c>
      <c r="V83" s="360"/>
      <c r="W83" s="13" t="s">
        <v>70</v>
      </c>
      <c r="X83" s="360" t="s">
        <v>325</v>
      </c>
      <c r="Y83" s="360"/>
      <c r="Z83" s="13" t="s">
        <v>83</v>
      </c>
      <c r="AC83" s="883"/>
      <c r="AD83" s="465"/>
      <c r="AE83" s="465"/>
      <c r="AJ83" s="15"/>
    </row>
    <row r="84" spans="4:36" ht="20.25" customHeight="1">
      <c r="D84" s="12"/>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5"/>
    </row>
    <row r="85" spans="4:36">
      <c r="D85" s="12"/>
      <c r="E85" s="13"/>
      <c r="F85" s="13" t="s">
        <v>42</v>
      </c>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5"/>
    </row>
    <row r="86" spans="4:36" ht="20.25">
      <c r="D86" s="12"/>
      <c r="E86" s="13"/>
      <c r="F86" s="9"/>
      <c r="G86" s="10"/>
      <c r="H86" s="467" t="s">
        <v>318</v>
      </c>
      <c r="I86" s="467"/>
      <c r="J86" s="10" t="s">
        <v>328</v>
      </c>
      <c r="K86" s="10"/>
      <c r="L86" s="10"/>
      <c r="M86" s="10"/>
      <c r="N86" s="10"/>
      <c r="O86" s="10"/>
      <c r="P86" s="10"/>
      <c r="Q86" s="10"/>
      <c r="R86" s="10"/>
      <c r="S86" s="10"/>
      <c r="T86" s="10"/>
      <c r="U86" s="10"/>
      <c r="V86" s="10"/>
      <c r="W86" s="10"/>
      <c r="X86" s="3"/>
      <c r="Y86" s="10"/>
      <c r="Z86" s="10"/>
      <c r="AA86" s="10"/>
      <c r="AB86" s="10"/>
      <c r="AC86" s="10"/>
      <c r="AD86" s="10"/>
      <c r="AE86" s="10"/>
      <c r="AF86" s="10"/>
      <c r="AG86" s="10"/>
      <c r="AH86" s="10"/>
      <c r="AI86" s="11"/>
      <c r="AJ86" s="15"/>
    </row>
    <row r="87" spans="4:36">
      <c r="D87" s="12"/>
      <c r="E87" s="13"/>
      <c r="F87" s="12"/>
      <c r="G87" s="13"/>
      <c r="H87" s="865" t="s">
        <v>318</v>
      </c>
      <c r="I87" s="865"/>
      <c r="J87" s="449" t="s">
        <v>2</v>
      </c>
      <c r="K87" s="161" t="s">
        <v>310</v>
      </c>
      <c r="L87" s="34"/>
      <c r="M87" s="13"/>
      <c r="N87" s="449" t="s">
        <v>2</v>
      </c>
      <c r="O87" s="451">
        <f>J46</f>
        <v>484.52559431864836</v>
      </c>
      <c r="P87" s="451"/>
      <c r="Q87" s="451"/>
      <c r="R87" s="17" t="s">
        <v>27</v>
      </c>
      <c r="S87" s="617">
        <v>1000</v>
      </c>
      <c r="T87" s="617"/>
      <c r="U87" s="13"/>
      <c r="V87" s="449" t="s">
        <v>2</v>
      </c>
      <c r="W87" s="554">
        <f>O87*S87/O88/S88</f>
        <v>24.508123131949841</v>
      </c>
      <c r="X87" s="555"/>
      <c r="Y87" s="13"/>
      <c r="Z87" s="13"/>
      <c r="AA87" s="13"/>
      <c r="AB87" s="13"/>
      <c r="AC87" s="13"/>
      <c r="AD87" s="13"/>
      <c r="AE87" s="13"/>
      <c r="AF87" s="13"/>
      <c r="AG87" s="13"/>
      <c r="AH87" s="13"/>
      <c r="AI87" s="15"/>
      <c r="AJ87" s="15"/>
    </row>
    <row r="88" spans="4:36">
      <c r="D88" s="12"/>
      <c r="E88" s="13"/>
      <c r="F88" s="12"/>
      <c r="G88" s="13"/>
      <c r="H88" s="865"/>
      <c r="I88" s="865"/>
      <c r="J88" s="449"/>
      <c r="K88" s="35" t="s">
        <v>240</v>
      </c>
      <c r="L88" s="13"/>
      <c r="M88" s="13"/>
      <c r="N88" s="449"/>
      <c r="O88" s="913">
        <f>'1.設計条件'!T60</f>
        <v>197.7</v>
      </c>
      <c r="P88" s="913"/>
      <c r="Q88" s="913"/>
      <c r="R88" s="13" t="s">
        <v>27</v>
      </c>
      <c r="S88" s="458">
        <v>100</v>
      </c>
      <c r="T88" s="458"/>
      <c r="U88" s="13"/>
      <c r="V88" s="449"/>
      <c r="W88" s="556"/>
      <c r="X88" s="557"/>
      <c r="Y88" s="13"/>
      <c r="Z88" s="13"/>
      <c r="AA88" s="13"/>
      <c r="AB88" s="13"/>
      <c r="AC88" s="13"/>
      <c r="AD88" s="13"/>
      <c r="AE88" s="13"/>
      <c r="AF88" s="13"/>
      <c r="AG88" s="13"/>
      <c r="AH88" s="13"/>
      <c r="AI88" s="15"/>
      <c r="AJ88" s="15"/>
    </row>
    <row r="89" spans="4:36">
      <c r="D89" s="12"/>
      <c r="E89" s="13"/>
      <c r="F89" s="16"/>
      <c r="G89" s="17"/>
      <c r="H89" s="168"/>
      <c r="I89" s="168"/>
      <c r="J89" s="169"/>
      <c r="K89" s="151"/>
      <c r="L89" s="17"/>
      <c r="M89" s="17"/>
      <c r="N89" s="169"/>
      <c r="O89" s="150"/>
      <c r="P89" s="150"/>
      <c r="Q89" s="150"/>
      <c r="R89" s="17"/>
      <c r="S89" s="152"/>
      <c r="T89" s="152"/>
      <c r="U89" s="17"/>
      <c r="V89" s="169"/>
      <c r="W89" s="169"/>
      <c r="X89" s="169"/>
      <c r="Y89" s="17"/>
      <c r="Z89" s="17"/>
      <c r="AA89" s="17"/>
      <c r="AB89" s="17"/>
      <c r="AC89" s="17"/>
      <c r="AD89" s="17"/>
      <c r="AE89" s="17"/>
      <c r="AF89" s="17"/>
      <c r="AG89" s="17"/>
      <c r="AH89" s="17"/>
      <c r="AI89" s="19"/>
      <c r="AJ89" s="15"/>
    </row>
    <row r="90" spans="4:36">
      <c r="D90" s="12"/>
      <c r="E90" s="13"/>
      <c r="F90" s="13"/>
      <c r="G90" s="13"/>
      <c r="H90" s="160"/>
      <c r="I90" s="160"/>
      <c r="J90" s="28"/>
      <c r="K90" s="35"/>
      <c r="L90" s="13"/>
      <c r="M90" s="13"/>
      <c r="N90" s="28"/>
      <c r="O90" s="24"/>
      <c r="P90" s="24"/>
      <c r="Q90" s="24"/>
      <c r="R90" s="13"/>
      <c r="S90" s="27"/>
      <c r="T90" s="27"/>
      <c r="U90" s="13"/>
      <c r="V90" s="28"/>
      <c r="W90" s="28"/>
      <c r="X90" s="28"/>
      <c r="Y90" s="13"/>
      <c r="Z90" s="13"/>
      <c r="AA90" s="13"/>
      <c r="AB90" s="13"/>
      <c r="AC90" s="13"/>
      <c r="AD90" s="13"/>
      <c r="AE90" s="13"/>
      <c r="AF90" s="13"/>
      <c r="AG90" s="13"/>
      <c r="AH90" s="13"/>
      <c r="AI90" s="13"/>
      <c r="AJ90" s="15"/>
    </row>
    <row r="91" spans="4:36">
      <c r="D91" s="12"/>
      <c r="E91" s="13"/>
      <c r="F91" s="13"/>
      <c r="G91" s="13"/>
      <c r="H91" s="35"/>
      <c r="I91" s="35"/>
      <c r="J91" s="160"/>
      <c r="K91" s="160"/>
      <c r="L91" s="28"/>
      <c r="M91" s="35"/>
      <c r="N91" s="13"/>
      <c r="O91" s="13"/>
      <c r="P91" s="28"/>
      <c r="Q91" s="24"/>
      <c r="R91" s="24"/>
      <c r="S91" s="24"/>
      <c r="T91" s="13"/>
      <c r="U91" s="27"/>
      <c r="V91" s="27"/>
      <c r="W91" s="13"/>
      <c r="X91" s="28"/>
      <c r="Y91" s="28"/>
      <c r="Z91" s="28"/>
      <c r="AA91" s="13"/>
      <c r="AB91" s="13"/>
      <c r="AC91" s="13"/>
      <c r="AD91" s="13"/>
      <c r="AE91" s="13"/>
      <c r="AF91" s="13"/>
      <c r="AG91" s="13"/>
      <c r="AH91" s="13"/>
      <c r="AI91" s="13"/>
      <c r="AJ91" s="15"/>
    </row>
    <row r="92" spans="4:36">
      <c r="D92" s="12"/>
      <c r="E92" s="13"/>
      <c r="F92" s="856" t="s">
        <v>317</v>
      </c>
      <c r="G92" s="857"/>
      <c r="H92" s="858" t="s">
        <v>342</v>
      </c>
      <c r="I92" s="858"/>
      <c r="J92" s="862" t="s">
        <v>370</v>
      </c>
      <c r="K92" s="862"/>
      <c r="L92" s="862"/>
      <c r="M92" s="862"/>
      <c r="N92" s="862"/>
      <c r="O92" s="862"/>
      <c r="P92" s="862"/>
      <c r="Q92" s="862"/>
      <c r="R92" s="862"/>
      <c r="S92" s="862"/>
      <c r="T92" s="862"/>
      <c r="U92" s="862"/>
      <c r="V92" s="862"/>
      <c r="W92" s="862"/>
      <c r="X92" s="862"/>
      <c r="Y92" s="862"/>
      <c r="Z92" s="862"/>
      <c r="AA92" s="862"/>
      <c r="AB92" s="862"/>
      <c r="AC92" s="862"/>
      <c r="AD92" s="862"/>
      <c r="AE92" s="862"/>
      <c r="AF92" s="862"/>
      <c r="AG92" s="862"/>
      <c r="AH92" s="862"/>
      <c r="AI92" s="863"/>
      <c r="AJ92" s="170"/>
    </row>
    <row r="93" spans="4:36">
      <c r="D93" s="12"/>
      <c r="E93" s="13"/>
      <c r="F93" s="171"/>
      <c r="G93" s="153"/>
      <c r="H93" s="155"/>
      <c r="I93" s="155"/>
      <c r="J93" s="596" t="s">
        <v>415</v>
      </c>
      <c r="K93" s="596"/>
      <c r="L93" s="596"/>
      <c r="M93" s="596"/>
      <c r="N93" s="596"/>
      <c r="O93" s="596"/>
      <c r="P93" s="596"/>
      <c r="Q93" s="596"/>
      <c r="R93" s="596"/>
      <c r="S93" s="596"/>
      <c r="T93" s="596"/>
      <c r="U93" s="596"/>
      <c r="V93" s="596"/>
      <c r="W93" s="596"/>
      <c r="X93" s="596"/>
      <c r="Y93" s="596"/>
      <c r="Z93" s="596"/>
      <c r="AA93" s="596"/>
      <c r="AB93" s="596"/>
      <c r="AC93" s="596"/>
      <c r="AD93" s="596"/>
      <c r="AE93" s="596"/>
      <c r="AF93" s="596"/>
      <c r="AG93" s="596"/>
      <c r="AH93" s="596"/>
      <c r="AI93" s="864"/>
      <c r="AJ93" s="170"/>
    </row>
    <row r="94" spans="4:36">
      <c r="D94" s="12"/>
      <c r="E94" s="13"/>
      <c r="F94" s="171"/>
      <c r="G94" s="153"/>
      <c r="H94" s="865" t="s">
        <v>317</v>
      </c>
      <c r="I94" s="865"/>
      <c r="J94" s="449" t="s">
        <v>2</v>
      </c>
      <c r="K94" s="866" t="s">
        <v>269</v>
      </c>
      <c r="L94" s="866"/>
      <c r="M94" s="57"/>
      <c r="N94" s="449" t="s">
        <v>2</v>
      </c>
      <c r="O94" s="770">
        <f>AD49</f>
        <v>411.16236683528422</v>
      </c>
      <c r="P94" s="770"/>
      <c r="Q94" s="770"/>
      <c r="R94" s="17" t="s">
        <v>27</v>
      </c>
      <c r="S94" s="867">
        <v>1000000</v>
      </c>
      <c r="T94" s="867"/>
      <c r="U94" s="867"/>
      <c r="V94" s="13"/>
      <c r="W94" s="13"/>
      <c r="X94" s="13"/>
      <c r="Y94" s="13"/>
      <c r="Z94" s="13"/>
      <c r="AA94" s="57"/>
      <c r="AB94" s="57"/>
      <c r="AC94" s="57"/>
      <c r="AD94" s="57"/>
      <c r="AE94" s="57"/>
      <c r="AF94" s="57"/>
      <c r="AG94" s="57"/>
      <c r="AH94" s="57"/>
      <c r="AI94" s="154"/>
      <c r="AJ94" s="154"/>
    </row>
    <row r="95" spans="4:36">
      <c r="D95" s="12"/>
      <c r="E95" s="13"/>
      <c r="F95" s="171"/>
      <c r="G95" s="153"/>
      <c r="H95" s="865"/>
      <c r="I95" s="865"/>
      <c r="J95" s="449"/>
      <c r="K95" s="360" t="s">
        <v>59</v>
      </c>
      <c r="L95" s="360"/>
      <c r="M95" s="57"/>
      <c r="N95" s="449"/>
      <c r="O95" s="912">
        <f>'1.設計条件'!T63</f>
        <v>2950</v>
      </c>
      <c r="P95" s="912"/>
      <c r="Q95" s="912"/>
      <c r="R95" s="13" t="s">
        <v>27</v>
      </c>
      <c r="S95" s="458">
        <v>1000</v>
      </c>
      <c r="T95" s="458"/>
      <c r="U95" s="57"/>
      <c r="V95" s="13"/>
      <c r="W95" s="13"/>
      <c r="X95" s="13"/>
      <c r="Y95" s="13"/>
      <c r="Z95" s="13"/>
      <c r="AA95" s="57"/>
      <c r="AB95" s="57"/>
      <c r="AC95" s="57"/>
      <c r="AD95" s="57"/>
      <c r="AE95" s="57"/>
      <c r="AF95" s="57"/>
      <c r="AG95" s="57"/>
      <c r="AH95" s="57"/>
      <c r="AI95" s="154"/>
      <c r="AJ95" s="154"/>
    </row>
    <row r="96" spans="4:36">
      <c r="D96" s="12"/>
      <c r="E96" s="13"/>
      <c r="F96" s="171"/>
      <c r="G96" s="153"/>
      <c r="H96" s="160"/>
      <c r="I96" s="160"/>
      <c r="J96" s="449" t="s">
        <v>2</v>
      </c>
      <c r="K96" s="554">
        <f>O94*S94/O95/S95</f>
        <v>139.37707350348617</v>
      </c>
      <c r="L96" s="555"/>
      <c r="M96" s="57"/>
      <c r="N96" s="28"/>
      <c r="O96" s="158"/>
      <c r="P96" s="158"/>
      <c r="Q96" s="158"/>
      <c r="R96" s="13"/>
      <c r="S96" s="27"/>
      <c r="T96" s="27"/>
      <c r="U96" s="57"/>
      <c r="V96" s="28"/>
      <c r="W96" s="28"/>
      <c r="X96" s="28"/>
      <c r="Y96" s="13"/>
      <c r="Z96" s="13"/>
      <c r="AA96" s="57"/>
      <c r="AB96" s="57"/>
      <c r="AC96" s="57"/>
      <c r="AD96" s="57"/>
      <c r="AE96" s="57"/>
      <c r="AF96" s="57"/>
      <c r="AG96" s="57"/>
      <c r="AH96" s="57"/>
      <c r="AI96" s="154"/>
      <c r="AJ96" s="154"/>
    </row>
    <row r="97" spans="4:36">
      <c r="D97" s="12"/>
      <c r="E97" s="13"/>
      <c r="F97" s="171"/>
      <c r="G97" s="153"/>
      <c r="H97" s="160"/>
      <c r="I97" s="160"/>
      <c r="J97" s="449"/>
      <c r="K97" s="556"/>
      <c r="L97" s="557"/>
      <c r="M97" s="57"/>
      <c r="N97" s="28"/>
      <c r="O97" s="158"/>
      <c r="P97" s="158"/>
      <c r="Q97" s="158"/>
      <c r="R97" s="13"/>
      <c r="S97" s="27"/>
      <c r="T97" s="27"/>
      <c r="U97" s="57"/>
      <c r="V97" s="28"/>
      <c r="W97" s="28"/>
      <c r="X97" s="28"/>
      <c r="Y97" s="13"/>
      <c r="Z97" s="13"/>
      <c r="AA97" s="57"/>
      <c r="AB97" s="57"/>
      <c r="AC97" s="57"/>
      <c r="AD97" s="57"/>
      <c r="AE97" s="57"/>
      <c r="AF97" s="57"/>
      <c r="AG97" s="57"/>
      <c r="AH97" s="57"/>
      <c r="AI97" s="154"/>
      <c r="AJ97" s="154"/>
    </row>
    <row r="98" spans="4:36">
      <c r="D98" s="12"/>
      <c r="E98" s="13"/>
      <c r="F98" s="171"/>
      <c r="G98" s="153"/>
      <c r="H98" s="160"/>
      <c r="I98" s="160"/>
      <c r="J98" s="28"/>
      <c r="K98" s="35"/>
      <c r="L98" s="35"/>
      <c r="M98" s="57"/>
      <c r="N98" s="28"/>
      <c r="O98" s="158"/>
      <c r="P98" s="158"/>
      <c r="Q98" s="158"/>
      <c r="R98" s="13"/>
      <c r="S98" s="27"/>
      <c r="T98" s="27"/>
      <c r="U98" s="57"/>
      <c r="V98" s="28"/>
      <c r="W98" s="28"/>
      <c r="X98" s="28"/>
      <c r="Y98" s="13"/>
      <c r="Z98" s="13"/>
      <c r="AA98" s="57"/>
      <c r="AB98" s="57"/>
      <c r="AC98" s="57"/>
      <c r="AD98" s="57"/>
      <c r="AE98" s="57"/>
      <c r="AF98" s="57"/>
      <c r="AG98" s="57"/>
      <c r="AH98" s="57"/>
      <c r="AI98" s="154"/>
      <c r="AJ98" s="154"/>
    </row>
    <row r="99" spans="4:36">
      <c r="D99" s="12"/>
      <c r="E99" s="13"/>
      <c r="F99" s="171"/>
      <c r="G99" s="153"/>
      <c r="H99" s="859" t="s">
        <v>323</v>
      </c>
      <c r="I99" s="859"/>
      <c r="J99" s="57" t="s">
        <v>2</v>
      </c>
      <c r="K99" s="860">
        <v>0</v>
      </c>
      <c r="L99" s="861"/>
      <c r="M99" s="57"/>
      <c r="N99" s="28"/>
      <c r="O99" s="158"/>
      <c r="P99" s="158"/>
      <c r="Q99" s="158"/>
      <c r="R99" s="13"/>
      <c r="S99" s="27"/>
      <c r="T99" s="27"/>
      <c r="U99" s="57"/>
      <c r="V99" s="28"/>
      <c r="W99" s="28"/>
      <c r="X99" s="28"/>
      <c r="Y99" s="13"/>
      <c r="Z99" s="13"/>
      <c r="AA99" s="57"/>
      <c r="AB99" s="57"/>
      <c r="AC99" s="57"/>
      <c r="AD99" s="57"/>
      <c r="AE99" s="57"/>
      <c r="AF99" s="57"/>
      <c r="AG99" s="57"/>
      <c r="AH99" s="57"/>
      <c r="AI99" s="154"/>
      <c r="AJ99" s="154"/>
    </row>
    <row r="100" spans="4:36">
      <c r="D100" s="12"/>
      <c r="E100" s="13"/>
      <c r="F100" s="172"/>
      <c r="G100" s="173"/>
      <c r="H100" s="174"/>
      <c r="I100" s="174"/>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75"/>
      <c r="AJ100" s="154"/>
    </row>
    <row r="101" spans="4:36">
      <c r="D101" s="12"/>
      <c r="E101" s="13"/>
      <c r="F101" s="153"/>
      <c r="G101" s="153"/>
      <c r="H101" s="155"/>
      <c r="I101" s="155"/>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154"/>
    </row>
    <row r="102" spans="4:36">
      <c r="D102" s="12"/>
      <c r="E102" s="13"/>
      <c r="F102" s="153"/>
      <c r="G102" s="153"/>
      <c r="M102" s="13"/>
      <c r="N102" s="13"/>
      <c r="O102" s="57"/>
      <c r="P102" s="57"/>
      <c r="Q102" s="13"/>
      <c r="R102" s="13"/>
      <c r="S102" s="13"/>
      <c r="T102" s="13"/>
      <c r="U102" s="13"/>
      <c r="V102" s="57"/>
      <c r="W102" s="57"/>
      <c r="X102" s="57"/>
      <c r="Y102" s="57"/>
      <c r="Z102" s="57"/>
      <c r="AA102" s="57"/>
      <c r="AB102" s="57"/>
      <c r="AC102" s="57"/>
      <c r="AD102" s="57"/>
      <c r="AE102" s="57"/>
      <c r="AF102" s="57"/>
      <c r="AG102" s="57"/>
      <c r="AH102" s="57"/>
      <c r="AI102" s="57"/>
      <c r="AJ102" s="154"/>
    </row>
    <row r="103" spans="4:36" ht="20.25">
      <c r="D103" s="12"/>
      <c r="E103" s="13"/>
      <c r="F103" s="9"/>
      <c r="G103" s="10"/>
      <c r="H103" s="467" t="s">
        <v>319</v>
      </c>
      <c r="I103" s="467"/>
      <c r="J103" s="10" t="s">
        <v>329</v>
      </c>
      <c r="K103" s="10"/>
      <c r="L103" s="10"/>
      <c r="M103" s="10"/>
      <c r="N103" s="10"/>
      <c r="O103" s="10"/>
      <c r="P103" s="10"/>
      <c r="Q103" s="10"/>
      <c r="R103" s="10"/>
      <c r="S103" s="10"/>
      <c r="T103" s="10"/>
      <c r="U103" s="10"/>
      <c r="V103" s="10"/>
      <c r="W103" s="10"/>
      <c r="X103" s="3"/>
      <c r="Y103" s="10"/>
      <c r="Z103" s="10"/>
      <c r="AA103" s="10"/>
      <c r="AB103" s="10"/>
      <c r="AC103" s="10"/>
      <c r="AD103" s="10"/>
      <c r="AE103" s="10"/>
      <c r="AF103" s="10"/>
      <c r="AG103" s="10"/>
      <c r="AH103" s="10"/>
      <c r="AI103" s="11"/>
      <c r="AJ103" s="15"/>
    </row>
    <row r="104" spans="4:36">
      <c r="D104" s="12"/>
      <c r="E104" s="13"/>
      <c r="F104" s="12"/>
      <c r="G104" s="13"/>
      <c r="H104" s="13"/>
      <c r="I104" s="13"/>
      <c r="J104" s="13"/>
      <c r="K104" s="13" t="s">
        <v>330</v>
      </c>
      <c r="L104" s="13"/>
      <c r="M104" s="13"/>
      <c r="N104" s="34" t="s">
        <v>331</v>
      </c>
      <c r="O104" s="13" t="s">
        <v>326</v>
      </c>
      <c r="P104" s="436">
        <v>13.1</v>
      </c>
      <c r="Q104" s="436"/>
      <c r="R104" s="34" t="s">
        <v>332</v>
      </c>
      <c r="S104" s="13" t="s">
        <v>315</v>
      </c>
      <c r="T104" s="13"/>
      <c r="U104" s="13"/>
      <c r="V104" s="13"/>
      <c r="W104" s="13"/>
      <c r="X104"/>
      <c r="Y104" s="13"/>
      <c r="Z104" s="13"/>
      <c r="AA104" s="13"/>
      <c r="AB104" s="13"/>
      <c r="AC104" s="13"/>
      <c r="AD104" s="13"/>
      <c r="AE104" s="13"/>
      <c r="AF104" s="13"/>
      <c r="AG104" s="13"/>
      <c r="AH104" s="13"/>
      <c r="AI104" s="15"/>
      <c r="AJ104" s="15"/>
    </row>
    <row r="105" spans="4:36">
      <c r="D105" s="12"/>
      <c r="E105" s="13"/>
      <c r="F105" s="12"/>
      <c r="G105" s="13"/>
      <c r="H105" s="13"/>
      <c r="I105" s="13"/>
      <c r="J105" s="13"/>
      <c r="K105" s="34" t="s">
        <v>331</v>
      </c>
      <c r="L105" s="596" t="s">
        <v>724</v>
      </c>
      <c r="M105" s="596"/>
      <c r="N105" s="596"/>
      <c r="O105" s="596"/>
      <c r="P105" s="596"/>
      <c r="Q105" s="596"/>
      <c r="R105" s="596"/>
      <c r="S105" s="596"/>
      <c r="T105" s="13"/>
      <c r="U105" s="13"/>
      <c r="V105" s="13"/>
      <c r="W105" s="13"/>
      <c r="X105" s="13"/>
      <c r="Y105" s="13"/>
      <c r="Z105" s="13"/>
      <c r="AA105" s="13"/>
      <c r="AB105" s="13"/>
      <c r="AC105" s="13"/>
      <c r="AD105" s="13"/>
      <c r="AE105" s="13"/>
      <c r="AF105" s="13"/>
      <c r="AG105" s="13"/>
      <c r="AH105" s="13"/>
      <c r="AI105" s="15"/>
      <c r="AJ105" s="15"/>
    </row>
    <row r="106" spans="4:36">
      <c r="D106" s="12"/>
      <c r="E106" s="13"/>
      <c r="F106" s="12"/>
      <c r="G106" s="13"/>
      <c r="H106" s="13"/>
      <c r="I106" s="13"/>
      <c r="J106" s="13"/>
      <c r="K106" s="13"/>
      <c r="L106" s="34" t="s">
        <v>331</v>
      </c>
      <c r="M106" s="13" t="s">
        <v>2</v>
      </c>
      <c r="N106" s="13" t="s">
        <v>69</v>
      </c>
      <c r="O106" s="910">
        <f>'1.設計条件'!T57</f>
        <v>400</v>
      </c>
      <c r="P106" s="910"/>
      <c r="Q106" s="13" t="s">
        <v>263</v>
      </c>
      <c r="R106" s="847">
        <f>'1.設計条件'!T58</f>
        <v>13</v>
      </c>
      <c r="S106" s="847"/>
      <c r="T106" s="13" t="s">
        <v>176</v>
      </c>
      <c r="U106" s="31">
        <v>2</v>
      </c>
      <c r="V106" s="13"/>
      <c r="W106" s="13" t="s">
        <v>2</v>
      </c>
      <c r="X106" s="471">
        <f>(O106-R106)/U106</f>
        <v>193.5</v>
      </c>
      <c r="Y106" s="473"/>
      <c r="Z106" s="13" t="s">
        <v>290</v>
      </c>
      <c r="AA106" s="13"/>
      <c r="AB106" s="13"/>
      <c r="AC106" s="13"/>
      <c r="AD106" s="13"/>
      <c r="AE106" s="13"/>
      <c r="AF106" s="13"/>
      <c r="AG106" s="13"/>
      <c r="AH106" s="13"/>
      <c r="AI106" s="15"/>
      <c r="AJ106" s="15"/>
    </row>
    <row r="107" spans="4:36">
      <c r="D107" s="12"/>
      <c r="E107" s="13"/>
      <c r="F107" s="12"/>
      <c r="G107" s="13"/>
      <c r="H107" s="13"/>
      <c r="I107" s="13"/>
      <c r="J107" s="34"/>
      <c r="K107" s="34" t="s">
        <v>332</v>
      </c>
      <c r="L107" s="13" t="s">
        <v>725</v>
      </c>
      <c r="M107" s="27"/>
      <c r="N107" s="27"/>
      <c r="O107" s="13"/>
      <c r="P107" s="34"/>
      <c r="Q107" s="13"/>
      <c r="R107" s="13"/>
      <c r="S107" s="31"/>
      <c r="T107" s="13"/>
      <c r="U107" s="13"/>
      <c r="V107" s="13"/>
      <c r="W107" s="13"/>
      <c r="X107" s="13"/>
      <c r="Y107" s="13"/>
      <c r="Z107" s="13"/>
      <c r="AA107" s="13"/>
      <c r="AB107" s="13"/>
      <c r="AC107" s="13"/>
      <c r="AD107" s="13"/>
      <c r="AE107" s="13"/>
      <c r="AF107" s="13"/>
      <c r="AG107" s="13"/>
      <c r="AH107" s="13"/>
      <c r="AI107" s="15"/>
      <c r="AJ107" s="15"/>
    </row>
    <row r="108" spans="4:36">
      <c r="D108" s="12"/>
      <c r="E108" s="13"/>
      <c r="F108" s="12"/>
      <c r="G108" s="13"/>
      <c r="H108" s="13"/>
      <c r="I108" s="13"/>
      <c r="J108" s="35"/>
      <c r="K108" s="13"/>
      <c r="L108" s="34" t="s">
        <v>332</v>
      </c>
      <c r="M108" s="13" t="s">
        <v>2</v>
      </c>
      <c r="N108" s="407">
        <f>'1.設計条件'!T59</f>
        <v>21</v>
      </c>
      <c r="O108" s="409"/>
      <c r="P108" s="13" t="s">
        <v>290</v>
      </c>
      <c r="Q108" s="13"/>
      <c r="R108" s="13"/>
      <c r="S108" s="13"/>
      <c r="T108" s="13"/>
      <c r="U108" s="13"/>
      <c r="V108" s="13"/>
      <c r="W108" s="13"/>
      <c r="X108" s="13"/>
      <c r="Y108" s="13"/>
      <c r="Z108" s="13"/>
      <c r="AA108" s="13"/>
      <c r="AB108" s="13"/>
      <c r="AC108" s="13"/>
      <c r="AD108" s="13"/>
      <c r="AE108" s="13"/>
      <c r="AF108" s="13"/>
      <c r="AG108" s="13"/>
      <c r="AH108" s="13"/>
      <c r="AI108" s="15"/>
      <c r="AJ108" s="15"/>
    </row>
    <row r="109" spans="4:36">
      <c r="D109" s="12"/>
      <c r="E109" s="13"/>
      <c r="F109" s="12"/>
      <c r="G109" s="13"/>
      <c r="H109" s="13"/>
      <c r="I109" s="13"/>
      <c r="J109" s="35"/>
      <c r="K109" s="13"/>
      <c r="L109" s="34"/>
      <c r="M109" s="13"/>
      <c r="N109" s="27"/>
      <c r="O109" s="27"/>
      <c r="P109" s="13"/>
      <c r="Q109" s="13"/>
      <c r="R109" s="13"/>
      <c r="S109" s="13"/>
      <c r="T109" s="13"/>
      <c r="U109" s="13"/>
      <c r="V109" s="13"/>
      <c r="W109" s="13"/>
      <c r="X109" s="13"/>
      <c r="Y109" s="13"/>
      <c r="Z109" s="13"/>
      <c r="AA109" s="13"/>
      <c r="AB109" s="13"/>
      <c r="AC109" s="13"/>
      <c r="AD109" s="13"/>
      <c r="AE109" s="13"/>
      <c r="AF109" s="13"/>
      <c r="AG109" s="13"/>
      <c r="AH109" s="13"/>
      <c r="AI109" s="15"/>
      <c r="AJ109" s="15"/>
    </row>
    <row r="110" spans="4:36">
      <c r="D110" s="12"/>
      <c r="E110" s="13"/>
      <c r="F110" s="12"/>
      <c r="G110" s="13"/>
      <c r="H110" s="13"/>
      <c r="I110" s="13"/>
      <c r="J110" s="35"/>
      <c r="K110" s="436" t="s">
        <v>357</v>
      </c>
      <c r="L110" s="436"/>
      <c r="M110" s="13" t="s">
        <v>726</v>
      </c>
      <c r="N110" s="13"/>
      <c r="O110" s="13"/>
      <c r="P110" s="13"/>
      <c r="Q110" s="13"/>
      <c r="R110" s="27"/>
      <c r="S110" s="27"/>
      <c r="T110" s="13"/>
      <c r="U110" s="13"/>
      <c r="V110" s="13"/>
      <c r="W110" s="13"/>
      <c r="X110" s="13"/>
      <c r="Y110" s="13"/>
      <c r="Z110" s="13"/>
      <c r="AA110" s="13"/>
      <c r="AB110" s="13"/>
      <c r="AC110" s="13"/>
      <c r="AD110" s="13"/>
      <c r="AE110" s="13"/>
      <c r="AF110" s="13"/>
      <c r="AG110" s="13"/>
      <c r="AH110" s="13"/>
      <c r="AI110" s="15"/>
      <c r="AJ110" s="15"/>
    </row>
    <row r="111" spans="4:36">
      <c r="D111" s="12"/>
      <c r="E111" s="13"/>
      <c r="F111" s="12"/>
      <c r="G111" s="13"/>
      <c r="H111" s="13"/>
      <c r="I111" s="13"/>
      <c r="J111" s="35"/>
      <c r="K111" s="35"/>
      <c r="L111" s="436" t="s">
        <v>357</v>
      </c>
      <c r="M111" s="436"/>
      <c r="N111" s="13" t="s">
        <v>2</v>
      </c>
      <c r="O111" s="437">
        <f>P26</f>
        <v>5.2</v>
      </c>
      <c r="P111" s="439"/>
      <c r="Q111" s="37" t="s">
        <v>3</v>
      </c>
      <c r="R111" s="13"/>
      <c r="S111" s="31"/>
      <c r="T111" s="13"/>
      <c r="U111" s="13"/>
      <c r="V111" s="13"/>
      <c r="W111" s="13"/>
      <c r="X111"/>
      <c r="Y111" s="13"/>
      <c r="Z111" s="13"/>
      <c r="AA111" s="13"/>
      <c r="AB111" s="13"/>
      <c r="AC111" s="13"/>
      <c r="AD111" s="13"/>
      <c r="AE111" s="13"/>
      <c r="AF111" s="13"/>
      <c r="AG111" s="13"/>
      <c r="AH111" s="13"/>
      <c r="AI111" s="15"/>
      <c r="AJ111" s="15"/>
    </row>
    <row r="112" spans="4:36">
      <c r="D112" s="12"/>
      <c r="E112" s="13"/>
      <c r="F112" s="12"/>
      <c r="G112" s="13"/>
      <c r="H112" s="13"/>
      <c r="I112" s="13"/>
      <c r="J112" s="35"/>
      <c r="K112" s="35"/>
      <c r="L112" s="14"/>
      <c r="M112" s="14"/>
      <c r="N112" s="13"/>
      <c r="O112" s="14"/>
      <c r="P112" s="14"/>
      <c r="Q112" s="37"/>
      <c r="R112" s="13"/>
      <c r="S112" s="31"/>
      <c r="T112" s="13"/>
      <c r="U112" s="13"/>
      <c r="V112" s="13"/>
      <c r="W112" s="13"/>
      <c r="X112"/>
      <c r="Y112" s="13"/>
      <c r="Z112" s="13"/>
      <c r="AA112" s="13"/>
      <c r="AB112" s="13"/>
      <c r="AC112" s="13"/>
      <c r="AD112" s="13"/>
      <c r="AE112" s="13"/>
      <c r="AF112" s="13"/>
      <c r="AG112" s="13"/>
      <c r="AH112" s="13"/>
      <c r="AI112" s="15"/>
      <c r="AJ112" s="15"/>
    </row>
    <row r="113" spans="4:36">
      <c r="D113" s="12"/>
      <c r="E113" s="13"/>
      <c r="F113" s="12"/>
      <c r="G113" s="13"/>
      <c r="H113" s="13"/>
      <c r="I113" s="13"/>
      <c r="J113" s="35"/>
      <c r="K113" s="13" t="s">
        <v>352</v>
      </c>
      <c r="L113" s="13"/>
      <c r="M113" s="13"/>
      <c r="N113" s="13"/>
      <c r="O113" s="13"/>
      <c r="P113" s="13"/>
      <c r="Q113" s="34"/>
      <c r="R113" s="13"/>
      <c r="S113" s="31"/>
      <c r="T113" s="13"/>
      <c r="U113" s="13"/>
      <c r="V113" s="13"/>
      <c r="W113" s="13"/>
      <c r="X113"/>
      <c r="Y113" s="13"/>
      <c r="Z113" s="13"/>
      <c r="AA113" s="13"/>
      <c r="AB113" s="13"/>
      <c r="AC113" s="13"/>
      <c r="AD113" s="13"/>
      <c r="AE113" s="13"/>
      <c r="AF113" s="13"/>
      <c r="AG113" s="13"/>
      <c r="AH113" s="13"/>
      <c r="AI113" s="15"/>
      <c r="AJ113" s="15"/>
    </row>
    <row r="114" spans="4:36">
      <c r="D114" s="12"/>
      <c r="E114" s="13"/>
      <c r="F114" s="12"/>
      <c r="G114" s="13"/>
      <c r="H114" s="13"/>
      <c r="I114" s="13"/>
      <c r="J114" s="35"/>
      <c r="K114" s="35"/>
      <c r="L114" s="17" t="s">
        <v>357</v>
      </c>
      <c r="M114" s="449" t="s">
        <v>2</v>
      </c>
      <c r="N114" s="452">
        <f>O111</f>
        <v>5.2</v>
      </c>
      <c r="O114" s="452"/>
      <c r="P114" s="17" t="s">
        <v>27</v>
      </c>
      <c r="Q114" s="889">
        <v>1000</v>
      </c>
      <c r="R114" s="889"/>
      <c r="S114" s="889"/>
      <c r="T114" s="13"/>
      <c r="U114" s="449" t="s">
        <v>2</v>
      </c>
      <c r="V114" s="554">
        <f>N114*Q114/N115/Q115</f>
        <v>51.485148514851481</v>
      </c>
      <c r="W114" s="555"/>
      <c r="X114"/>
      <c r="Y114" s="13"/>
      <c r="Z114" s="13"/>
      <c r="AA114" s="13"/>
      <c r="AB114" s="13"/>
      <c r="AC114" s="13"/>
      <c r="AD114" s="13"/>
      <c r="AE114" s="13"/>
      <c r="AF114" s="13"/>
      <c r="AG114" s="13"/>
      <c r="AH114" s="13"/>
      <c r="AI114" s="15"/>
      <c r="AJ114" s="15"/>
    </row>
    <row r="115" spans="4:36">
      <c r="D115" s="12"/>
      <c r="E115" s="13"/>
      <c r="F115" s="12"/>
      <c r="G115" s="13"/>
      <c r="H115" s="13"/>
      <c r="I115" s="13"/>
      <c r="J115" s="35"/>
      <c r="K115" s="35"/>
      <c r="L115" s="34" t="s">
        <v>303</v>
      </c>
      <c r="M115" s="449"/>
      <c r="N115" s="911">
        <f>'1.設計条件'!T62</f>
        <v>10.1</v>
      </c>
      <c r="O115" s="911"/>
      <c r="P115" s="13" t="s">
        <v>27</v>
      </c>
      <c r="Q115" s="888">
        <v>10</v>
      </c>
      <c r="R115" s="888"/>
      <c r="S115" s="888"/>
      <c r="T115" s="13"/>
      <c r="U115" s="449"/>
      <c r="V115" s="556"/>
      <c r="W115" s="557"/>
      <c r="X115"/>
      <c r="Y115" s="13"/>
      <c r="Z115" s="13"/>
      <c r="AA115" s="13"/>
      <c r="AB115" s="13"/>
      <c r="AC115" s="13"/>
      <c r="AD115" s="13"/>
      <c r="AE115" s="13"/>
      <c r="AF115" s="13"/>
      <c r="AG115" s="13"/>
      <c r="AH115" s="13"/>
      <c r="AI115" s="15"/>
      <c r="AJ115" s="15"/>
    </row>
    <row r="116" spans="4:36">
      <c r="D116" s="12"/>
      <c r="E116" s="13"/>
      <c r="F116" s="12"/>
      <c r="G116" s="13"/>
      <c r="H116" s="13"/>
      <c r="I116" s="13"/>
      <c r="J116" s="35"/>
      <c r="K116" s="35"/>
      <c r="L116" s="34"/>
      <c r="M116" s="28"/>
      <c r="N116" s="147"/>
      <c r="O116" s="147"/>
      <c r="P116" s="13"/>
      <c r="Q116" s="157"/>
      <c r="R116" s="157"/>
      <c r="S116" s="157"/>
      <c r="T116" s="13"/>
      <c r="U116" s="28"/>
      <c r="V116" s="28"/>
      <c r="W116" s="28"/>
      <c r="X116"/>
      <c r="Y116" s="13"/>
      <c r="Z116" s="13"/>
      <c r="AA116" s="13"/>
      <c r="AB116" s="13"/>
      <c r="AC116" s="13"/>
      <c r="AD116" s="13"/>
      <c r="AE116" s="13"/>
      <c r="AF116" s="13"/>
      <c r="AG116" s="13"/>
      <c r="AH116" s="13"/>
      <c r="AI116" s="15"/>
      <c r="AJ116" s="15"/>
    </row>
    <row r="117" spans="4:36">
      <c r="D117" s="12"/>
      <c r="E117" s="13"/>
      <c r="F117" s="12"/>
      <c r="G117" s="13"/>
      <c r="H117" s="13"/>
      <c r="I117" s="891" t="s">
        <v>356</v>
      </c>
      <c r="J117" s="891"/>
      <c r="K117" s="891"/>
      <c r="L117" s="891"/>
      <c r="M117" s="891"/>
      <c r="N117" s="891"/>
      <c r="O117" s="891"/>
      <c r="P117" s="891"/>
      <c r="Q117" s="891"/>
      <c r="R117" s="891"/>
      <c r="S117" s="157">
        <v>18</v>
      </c>
      <c r="T117" s="13" t="s">
        <v>353</v>
      </c>
      <c r="U117" s="449" t="s">
        <v>354</v>
      </c>
      <c r="V117" s="449"/>
      <c r="W117" s="1" t="s">
        <v>326</v>
      </c>
      <c r="X117">
        <v>92</v>
      </c>
      <c r="Z117" s="13"/>
      <c r="AA117" s="33" t="s">
        <v>355</v>
      </c>
      <c r="AB117" s="13"/>
      <c r="AC117" s="13" t="s">
        <v>416</v>
      </c>
      <c r="AD117" s="13"/>
      <c r="AE117" s="13"/>
      <c r="AF117" s="13"/>
      <c r="AG117" s="13"/>
      <c r="AH117" s="13"/>
      <c r="AI117" s="15"/>
      <c r="AJ117" s="15"/>
    </row>
    <row r="118" spans="4:36" ht="20.25">
      <c r="D118" s="12"/>
      <c r="E118" s="13"/>
      <c r="F118" s="12"/>
      <c r="G118" s="13"/>
      <c r="H118" s="465" t="s">
        <v>727</v>
      </c>
      <c r="I118" s="465"/>
      <c r="J118" s="32" t="s">
        <v>2</v>
      </c>
      <c r="K118" s="148" t="s">
        <v>364</v>
      </c>
      <c r="L118" s="890">
        <v>140</v>
      </c>
      <c r="M118" s="890"/>
      <c r="N118" s="148" t="s">
        <v>263</v>
      </c>
      <c r="O118" s="675">
        <v>0.82</v>
      </c>
      <c r="P118" s="675"/>
      <c r="Q118" s="148" t="s">
        <v>69</v>
      </c>
      <c r="R118" s="436" t="s">
        <v>166</v>
      </c>
      <c r="S118" s="436"/>
      <c r="T118" s="147" t="s">
        <v>70</v>
      </c>
      <c r="U118" s="34" t="s">
        <v>303</v>
      </c>
      <c r="V118" s="13" t="s">
        <v>263</v>
      </c>
      <c r="W118" s="906">
        <v>18</v>
      </c>
      <c r="X118" s="906"/>
      <c r="Y118" s="27" t="s">
        <v>365</v>
      </c>
      <c r="Z118" s="27" t="s">
        <v>27</v>
      </c>
      <c r="AA118" s="449">
        <v>1.5</v>
      </c>
      <c r="AB118" s="449"/>
      <c r="AC118" s="13"/>
      <c r="AD118" s="13"/>
      <c r="AE118" s="13"/>
      <c r="AF118" s="13"/>
      <c r="AG118" s="27"/>
      <c r="AH118" s="27"/>
      <c r="AI118" s="177"/>
      <c r="AJ118" s="15"/>
    </row>
    <row r="119" spans="4:36">
      <c r="D119" s="12"/>
      <c r="E119" s="13"/>
      <c r="F119" s="12"/>
      <c r="G119" s="13"/>
      <c r="H119" s="164"/>
      <c r="I119" s="164"/>
      <c r="J119" s="32" t="s">
        <v>2</v>
      </c>
      <c r="K119" s="148" t="s">
        <v>364</v>
      </c>
      <c r="L119" s="890">
        <v>140</v>
      </c>
      <c r="M119" s="890"/>
      <c r="N119" s="148" t="s">
        <v>263</v>
      </c>
      <c r="O119" s="675">
        <f>O118</f>
        <v>0.82</v>
      </c>
      <c r="P119" s="675"/>
      <c r="Q119" s="148" t="s">
        <v>69</v>
      </c>
      <c r="R119" s="436">
        <f>V114</f>
        <v>51.485148514851481</v>
      </c>
      <c r="S119" s="436"/>
      <c r="T119" s="436"/>
      <c r="U119" s="436"/>
      <c r="V119" s="13" t="s">
        <v>263</v>
      </c>
      <c r="W119" s="906">
        <f>W118</f>
        <v>18</v>
      </c>
      <c r="X119" s="906"/>
      <c r="Y119" s="27" t="s">
        <v>365</v>
      </c>
      <c r="Z119" s="27" t="s">
        <v>27</v>
      </c>
      <c r="AA119" s="449">
        <v>1.5</v>
      </c>
      <c r="AB119" s="449"/>
      <c r="AC119" s="13"/>
      <c r="AD119" s="13"/>
      <c r="AE119" s="13"/>
      <c r="AF119" s="13"/>
      <c r="AG119" s="27"/>
      <c r="AH119" s="27"/>
      <c r="AI119" s="177"/>
      <c r="AJ119" s="15"/>
    </row>
    <row r="120" spans="4:36" ht="20.25">
      <c r="D120" s="12"/>
      <c r="E120" s="13"/>
      <c r="F120" s="12"/>
      <c r="G120" s="13"/>
      <c r="H120" s="13"/>
      <c r="I120" s="148"/>
      <c r="J120" s="32" t="s">
        <v>2</v>
      </c>
      <c r="K120" s="885">
        <f>(L119-O119*(R119-W119))*AA119</f>
        <v>168.81326732673267</v>
      </c>
      <c r="L120" s="886"/>
      <c r="M120" s="887"/>
      <c r="N120" s="163" t="s">
        <v>48</v>
      </c>
      <c r="O120" s="148"/>
      <c r="P120" s="148"/>
      <c r="Q120" s="148"/>
      <c r="R120" s="148"/>
      <c r="S120" s="147"/>
      <c r="T120" s="147"/>
      <c r="U120" s="13"/>
      <c r="V120" s="28"/>
      <c r="W120" s="28"/>
      <c r="X120" s="13"/>
      <c r="Y120" s="27"/>
      <c r="Z120" s="27"/>
      <c r="AA120" s="33"/>
      <c r="AB120"/>
      <c r="AC120" s="13"/>
      <c r="AD120" s="13"/>
      <c r="AE120" s="13"/>
      <c r="AF120" s="13"/>
      <c r="AG120" s="27"/>
      <c r="AH120" s="27"/>
      <c r="AI120" s="177"/>
      <c r="AJ120" s="15"/>
    </row>
    <row r="121" spans="4:36">
      <c r="D121" s="12"/>
      <c r="E121" s="13"/>
      <c r="F121" s="16"/>
      <c r="G121" s="17"/>
      <c r="H121" s="17"/>
      <c r="I121" s="178"/>
      <c r="J121" s="179"/>
      <c r="K121" s="178"/>
      <c r="L121" s="178"/>
      <c r="M121" s="178"/>
      <c r="N121" s="176"/>
      <c r="O121" s="178"/>
      <c r="P121" s="178"/>
      <c r="Q121" s="178"/>
      <c r="R121" s="178"/>
      <c r="S121" s="162"/>
      <c r="T121" s="162"/>
      <c r="U121" s="17"/>
      <c r="V121" s="169"/>
      <c r="W121" s="169"/>
      <c r="X121" s="17"/>
      <c r="Y121" s="152"/>
      <c r="Z121" s="152"/>
      <c r="AA121" s="180"/>
      <c r="AB121" s="25"/>
      <c r="AC121" s="17"/>
      <c r="AD121" s="17"/>
      <c r="AE121" s="17"/>
      <c r="AF121" s="17"/>
      <c r="AG121" s="152"/>
      <c r="AH121" s="152"/>
      <c r="AI121" s="181"/>
      <c r="AJ121" s="15"/>
    </row>
    <row r="122" spans="4:36">
      <c r="D122" s="12"/>
      <c r="E122" s="13"/>
      <c r="F122" s="13"/>
      <c r="G122" s="13"/>
      <c r="H122" s="13"/>
      <c r="I122" s="13"/>
      <c r="J122" s="35"/>
      <c r="K122" s="147"/>
      <c r="L122" s="147"/>
      <c r="M122" s="147"/>
      <c r="N122" s="163"/>
      <c r="O122" s="147"/>
      <c r="P122" s="13"/>
      <c r="Q122" s="157"/>
      <c r="R122" s="157"/>
      <c r="S122" s="157"/>
      <c r="T122" s="13"/>
      <c r="U122" s="28"/>
      <c r="V122" s="28"/>
      <c r="W122" s="28"/>
      <c r="X122"/>
      <c r="Y122" s="13"/>
      <c r="Z122" s="13"/>
      <c r="AA122" s="13"/>
      <c r="AB122" s="13"/>
      <c r="AC122" s="13"/>
      <c r="AD122" s="13"/>
      <c r="AE122" s="13"/>
      <c r="AF122" s="13"/>
      <c r="AG122" s="13"/>
      <c r="AH122" s="13"/>
      <c r="AI122" s="13"/>
      <c r="AJ122" s="15"/>
    </row>
    <row r="123" spans="4:36">
      <c r="D123" s="12"/>
      <c r="E123" s="13"/>
      <c r="F123" s="13"/>
      <c r="G123" s="13"/>
      <c r="H123" s="13"/>
      <c r="I123" s="13"/>
      <c r="J123" s="13"/>
      <c r="K123" s="13"/>
      <c r="L123" s="13"/>
      <c r="M123" s="13"/>
      <c r="N123" s="13"/>
      <c r="O123" s="13"/>
      <c r="P123" s="13"/>
      <c r="Q123" s="13"/>
      <c r="R123" s="13"/>
      <c r="S123" s="13"/>
      <c r="T123" s="13"/>
      <c r="U123" s="13"/>
      <c r="V123" s="13"/>
      <c r="W123" s="13"/>
      <c r="X123"/>
      <c r="Y123" s="13"/>
      <c r="Z123" s="13"/>
      <c r="AA123" s="13"/>
      <c r="AB123" s="13"/>
      <c r="AC123" s="13"/>
      <c r="AD123" s="13"/>
      <c r="AE123" s="13"/>
      <c r="AF123" s="13"/>
      <c r="AG123" s="13"/>
      <c r="AH123" s="13"/>
      <c r="AI123" s="13"/>
      <c r="AJ123" s="15"/>
    </row>
    <row r="124" spans="4:36" ht="20.25">
      <c r="D124" s="12"/>
      <c r="E124" s="13"/>
      <c r="F124" s="9"/>
      <c r="G124" s="10"/>
      <c r="H124" s="467" t="s">
        <v>322</v>
      </c>
      <c r="I124" s="467"/>
      <c r="J124" s="10" t="s">
        <v>333</v>
      </c>
      <c r="K124" s="10"/>
      <c r="L124" s="10"/>
      <c r="M124" s="10"/>
      <c r="N124" s="10"/>
      <c r="O124" s="10"/>
      <c r="P124" s="10"/>
      <c r="Q124" s="10"/>
      <c r="R124" s="10"/>
      <c r="S124" s="10"/>
      <c r="T124" s="10"/>
      <c r="U124" s="10"/>
      <c r="V124" s="10"/>
      <c r="W124" s="10"/>
      <c r="X124" s="3"/>
      <c r="Y124" s="10"/>
      <c r="Z124" s="10"/>
      <c r="AA124" s="10"/>
      <c r="AB124" s="10"/>
      <c r="AC124" s="10"/>
      <c r="AD124" s="10"/>
      <c r="AE124" s="10"/>
      <c r="AF124" s="10"/>
      <c r="AG124" s="10"/>
      <c r="AH124" s="10"/>
      <c r="AI124" s="11"/>
      <c r="AJ124" s="15"/>
    </row>
    <row r="125" spans="4:36">
      <c r="D125" s="12"/>
      <c r="E125" s="13"/>
      <c r="F125" s="12"/>
      <c r="G125" s="13"/>
      <c r="H125" s="13"/>
      <c r="I125" s="13"/>
      <c r="J125" s="13"/>
      <c r="K125" s="13" t="s">
        <v>330</v>
      </c>
      <c r="L125" s="13"/>
      <c r="M125" s="13"/>
      <c r="N125" s="31">
        <v>2</v>
      </c>
      <c r="O125" s="909" t="s">
        <v>334</v>
      </c>
      <c r="P125" s="909"/>
      <c r="Q125" s="13" t="s">
        <v>335</v>
      </c>
      <c r="R125" s="908" t="s">
        <v>285</v>
      </c>
      <c r="S125" s="908"/>
      <c r="T125" s="13"/>
      <c r="U125" s="13"/>
      <c r="V125" s="13"/>
      <c r="W125" s="13"/>
      <c r="X125" s="13"/>
      <c r="Y125" s="13"/>
      <c r="Z125" s="13"/>
      <c r="AA125" s="13"/>
      <c r="AB125" s="13"/>
      <c r="AC125" s="13"/>
      <c r="AD125" s="13"/>
      <c r="AE125" s="13"/>
      <c r="AF125" s="13"/>
      <c r="AG125" s="13"/>
      <c r="AH125" s="13"/>
      <c r="AI125" s="15"/>
      <c r="AJ125" s="15"/>
    </row>
    <row r="126" spans="4:36">
      <c r="D126" s="12"/>
      <c r="E126" s="13"/>
      <c r="F126" s="12"/>
      <c r="G126" s="13"/>
      <c r="H126" s="13"/>
      <c r="I126" s="13"/>
      <c r="J126" s="13"/>
      <c r="K126" s="892" t="s">
        <v>334</v>
      </c>
      <c r="L126" s="892"/>
      <c r="M126" s="13" t="s">
        <v>336</v>
      </c>
      <c r="N126" s="13"/>
      <c r="O126" s="13"/>
      <c r="P126" s="13"/>
      <c r="Q126" s="13"/>
      <c r="R126" s="13"/>
      <c r="S126" s="13"/>
      <c r="T126" s="13"/>
      <c r="U126" s="13"/>
      <c r="V126" s="892" t="s">
        <v>334</v>
      </c>
      <c r="W126" s="892"/>
      <c r="X126" s="13" t="s">
        <v>2</v>
      </c>
      <c r="Y126" s="847">
        <f>'1.設計条件'!T57</f>
        <v>400</v>
      </c>
      <c r="Z126" s="847"/>
      <c r="AA126" s="13" t="s">
        <v>27</v>
      </c>
      <c r="AB126" s="847">
        <f>'1.設計条件'!T59</f>
        <v>21</v>
      </c>
      <c r="AC126" s="847"/>
      <c r="AD126" s="13" t="s">
        <v>2</v>
      </c>
      <c r="AE126" s="471">
        <f>Y126*AB126</f>
        <v>8400</v>
      </c>
      <c r="AF126" s="472"/>
      <c r="AG126" s="907"/>
      <c r="AH126" s="13"/>
      <c r="AI126" s="15"/>
      <c r="AJ126" s="15"/>
    </row>
    <row r="127" spans="4:36">
      <c r="D127" s="12"/>
      <c r="E127" s="13"/>
      <c r="F127" s="12"/>
      <c r="G127" s="13"/>
      <c r="H127" s="13"/>
      <c r="I127" s="13"/>
      <c r="J127" s="13"/>
      <c r="K127" s="892" t="s">
        <v>285</v>
      </c>
      <c r="L127" s="892"/>
      <c r="M127" s="596" t="s">
        <v>349</v>
      </c>
      <c r="N127" s="596"/>
      <c r="O127" s="596"/>
      <c r="P127" s="596"/>
      <c r="Q127" s="596"/>
      <c r="R127" s="596"/>
      <c r="S127" s="892" t="s">
        <v>285</v>
      </c>
      <c r="T127" s="892"/>
      <c r="U127" s="13" t="s">
        <v>2</v>
      </c>
      <c r="V127" s="13" t="s">
        <v>69</v>
      </c>
      <c r="W127" s="847">
        <f>'1.設計条件'!T56</f>
        <v>400</v>
      </c>
      <c r="X127" s="847"/>
      <c r="Y127" s="13" t="s">
        <v>263</v>
      </c>
      <c r="Z127" s="31">
        <v>2</v>
      </c>
      <c r="AA127" s="13" t="s">
        <v>27</v>
      </c>
      <c r="AB127" s="317">
        <f>'1.設計条件'!T59</f>
        <v>21</v>
      </c>
      <c r="AC127" s="13" t="s">
        <v>83</v>
      </c>
      <c r="AD127" s="13" t="s">
        <v>27</v>
      </c>
      <c r="AE127" s="317">
        <f>'1.設計条件'!T58</f>
        <v>13</v>
      </c>
      <c r="AF127" s="31" t="s">
        <v>2</v>
      </c>
      <c r="AG127" s="471">
        <f>(W127-Z127*AB127)*AE127</f>
        <v>4654</v>
      </c>
      <c r="AH127" s="472"/>
      <c r="AI127" s="473"/>
      <c r="AJ127" s="15"/>
    </row>
    <row r="128" spans="4:36">
      <c r="D128" s="12"/>
      <c r="E128" s="13"/>
      <c r="F128" s="12"/>
      <c r="G128" s="13"/>
      <c r="H128" s="13"/>
      <c r="I128" s="13"/>
      <c r="J128" s="13"/>
      <c r="K128" s="156"/>
      <c r="L128" s="156"/>
      <c r="M128" s="57"/>
      <c r="N128" s="57"/>
      <c r="O128" s="57"/>
      <c r="P128" s="57"/>
      <c r="Q128" s="57"/>
      <c r="R128" s="57"/>
      <c r="S128" s="156"/>
      <c r="T128" s="156"/>
      <c r="U128" s="13"/>
      <c r="V128" s="13"/>
      <c r="W128" s="27"/>
      <c r="X128" s="27"/>
      <c r="Y128" s="13"/>
      <c r="Z128" s="31"/>
      <c r="AA128" s="13"/>
      <c r="AB128" s="31"/>
      <c r="AC128" s="13"/>
      <c r="AD128" s="13"/>
      <c r="AE128" s="31"/>
      <c r="AF128" s="31"/>
      <c r="AG128" s="27"/>
      <c r="AH128" s="27"/>
      <c r="AI128" s="177"/>
      <c r="AJ128" s="15"/>
    </row>
    <row r="129" spans="4:36">
      <c r="D129" s="12"/>
      <c r="E129" s="13"/>
      <c r="F129" s="12"/>
      <c r="G129" s="13"/>
      <c r="H129" s="13"/>
      <c r="I129" s="13"/>
      <c r="J129" s="35"/>
      <c r="K129" s="436" t="s">
        <v>359</v>
      </c>
      <c r="L129" s="436"/>
      <c r="M129" s="13" t="s">
        <v>360</v>
      </c>
      <c r="N129" s="13"/>
      <c r="O129" s="13"/>
      <c r="P129" s="13"/>
      <c r="Q129" s="13"/>
      <c r="R129" s="27"/>
      <c r="S129" s="27"/>
      <c r="T129" s="13"/>
      <c r="U129" s="13"/>
      <c r="V129" s="13"/>
      <c r="W129" s="13"/>
      <c r="X129" s="13"/>
      <c r="Y129" s="13"/>
      <c r="Z129" s="13"/>
      <c r="AA129" s="13"/>
      <c r="AB129" s="13"/>
      <c r="AC129" s="13"/>
      <c r="AD129" s="13"/>
      <c r="AE129" s="31"/>
      <c r="AF129" s="31"/>
      <c r="AG129" s="27"/>
      <c r="AH129" s="27"/>
      <c r="AI129" s="177"/>
      <c r="AJ129" s="15"/>
    </row>
    <row r="130" spans="4:36">
      <c r="D130" s="12"/>
      <c r="E130" s="13"/>
      <c r="F130" s="12"/>
      <c r="G130" s="13"/>
      <c r="H130" s="13"/>
      <c r="I130" s="13"/>
      <c r="J130" s="35"/>
      <c r="K130" s="35"/>
      <c r="L130" s="436" t="s">
        <v>359</v>
      </c>
      <c r="M130" s="436"/>
      <c r="N130" s="13" t="s">
        <v>2</v>
      </c>
      <c r="O130" s="437">
        <f>P26</f>
        <v>5.2</v>
      </c>
      <c r="P130" s="439"/>
      <c r="Q130" s="37" t="s">
        <v>3</v>
      </c>
      <c r="R130" s="13"/>
      <c r="S130" s="31" t="s">
        <v>351</v>
      </c>
      <c r="T130" s="13"/>
      <c r="U130" s="13"/>
      <c r="V130" s="13"/>
      <c r="W130" s="13"/>
      <c r="X130"/>
      <c r="Y130" s="13"/>
      <c r="Z130" s="13"/>
      <c r="AA130" s="13"/>
      <c r="AB130" s="13"/>
      <c r="AC130" s="13"/>
      <c r="AD130" s="13"/>
      <c r="AE130" s="31"/>
      <c r="AF130" s="31"/>
      <c r="AG130" s="27"/>
      <c r="AH130" s="27"/>
      <c r="AI130" s="177"/>
      <c r="AJ130" s="15"/>
    </row>
    <row r="131" spans="4:36">
      <c r="D131" s="12"/>
      <c r="E131" s="13"/>
      <c r="F131" s="12"/>
      <c r="G131" s="13"/>
      <c r="H131" s="13"/>
      <c r="I131" s="13"/>
      <c r="J131" s="35"/>
      <c r="K131" s="35"/>
      <c r="L131" s="14"/>
      <c r="M131" s="14"/>
      <c r="N131" s="13"/>
      <c r="O131" s="14"/>
      <c r="P131" s="14"/>
      <c r="Q131" s="37"/>
      <c r="R131" s="13"/>
      <c r="S131" s="31"/>
      <c r="T131" s="13"/>
      <c r="U131" s="13"/>
      <c r="V131" s="13"/>
      <c r="W131" s="13"/>
      <c r="X131"/>
      <c r="Y131" s="13"/>
      <c r="Z131" s="13"/>
      <c r="AA131" s="13"/>
      <c r="AB131" s="13"/>
      <c r="AC131" s="13"/>
      <c r="AD131" s="13"/>
      <c r="AE131" s="31"/>
      <c r="AF131" s="31"/>
      <c r="AG131" s="27"/>
      <c r="AH131" s="27"/>
      <c r="AI131" s="177"/>
      <c r="AJ131" s="15"/>
    </row>
    <row r="132" spans="4:36">
      <c r="D132" s="12"/>
      <c r="E132" s="13"/>
      <c r="F132" s="12"/>
      <c r="G132" s="13"/>
      <c r="H132" s="13"/>
      <c r="I132" s="13"/>
      <c r="J132" s="35"/>
      <c r="K132" s="13" t="s">
        <v>361</v>
      </c>
      <c r="L132" s="13"/>
      <c r="M132" s="13"/>
      <c r="N132" s="13"/>
      <c r="O132" s="13"/>
      <c r="P132" s="13"/>
      <c r="Q132" s="34"/>
      <c r="R132" s="13"/>
      <c r="S132" s="31"/>
      <c r="T132" s="13"/>
      <c r="U132" s="13"/>
      <c r="V132" s="13"/>
      <c r="W132" s="13"/>
      <c r="X132"/>
      <c r="Y132" s="13"/>
      <c r="Z132" s="13"/>
      <c r="AA132" s="13"/>
      <c r="AB132" s="13"/>
      <c r="AC132" s="13"/>
      <c r="AD132" s="13"/>
      <c r="AE132" s="31"/>
      <c r="AF132" s="31"/>
      <c r="AG132" s="27"/>
      <c r="AH132" s="27"/>
      <c r="AI132" s="177"/>
      <c r="AJ132" s="15"/>
    </row>
    <row r="133" spans="4:36" ht="20.25">
      <c r="D133" s="12"/>
      <c r="E133" s="13"/>
      <c r="F133" s="12"/>
      <c r="G133" s="13"/>
      <c r="H133" s="13"/>
      <c r="I133" s="13"/>
      <c r="J133" s="35"/>
      <c r="K133" s="451" t="s">
        <v>358</v>
      </c>
      <c r="L133" s="451"/>
      <c r="M133" s="449" t="s">
        <v>2</v>
      </c>
      <c r="N133" s="452">
        <f>O130</f>
        <v>5.2</v>
      </c>
      <c r="O133" s="452"/>
      <c r="P133" s="17" t="s">
        <v>27</v>
      </c>
      <c r="Q133" s="889">
        <v>1000</v>
      </c>
      <c r="R133" s="889"/>
      <c r="S133" s="889"/>
      <c r="T133" s="13"/>
      <c r="U133" s="449" t="s">
        <v>2</v>
      </c>
      <c r="V133" s="554">
        <f>N133*Q133/P134</f>
        <v>13</v>
      </c>
      <c r="W133" s="555"/>
      <c r="X133"/>
      <c r="Y133" s="13"/>
      <c r="Z133" s="13"/>
      <c r="AA133" s="13"/>
      <c r="AB133" s="13"/>
      <c r="AC133" s="13"/>
      <c r="AD133" s="13"/>
      <c r="AE133" s="31"/>
      <c r="AF133" s="31"/>
      <c r="AG133" s="27"/>
      <c r="AH133" s="27"/>
      <c r="AI133" s="177"/>
      <c r="AJ133" s="15"/>
    </row>
    <row r="134" spans="4:36">
      <c r="D134" s="12"/>
      <c r="E134" s="13"/>
      <c r="F134" s="12"/>
      <c r="G134" s="13"/>
      <c r="H134" s="13"/>
      <c r="I134" s="13"/>
      <c r="J134" s="35"/>
      <c r="K134" s="467" t="s">
        <v>195</v>
      </c>
      <c r="L134" s="467"/>
      <c r="M134" s="449"/>
      <c r="N134" s="13"/>
      <c r="O134" s="13"/>
      <c r="P134" s="910">
        <f>'1.設計条件'!T57</f>
        <v>400</v>
      </c>
      <c r="Q134" s="910"/>
      <c r="R134" s="145"/>
      <c r="S134" s="145"/>
      <c r="T134" s="13"/>
      <c r="U134" s="449"/>
      <c r="V134" s="556"/>
      <c r="W134" s="557"/>
      <c r="X134"/>
      <c r="Y134" s="13"/>
      <c r="Z134" s="13"/>
      <c r="AA134" s="13"/>
      <c r="AB134" s="13"/>
      <c r="AC134" s="13"/>
      <c r="AD134" s="13"/>
      <c r="AE134" s="31"/>
      <c r="AF134" s="31"/>
      <c r="AG134" s="27"/>
      <c r="AH134" s="27"/>
      <c r="AI134" s="177"/>
      <c r="AJ134" s="15"/>
    </row>
    <row r="135" spans="4:36">
      <c r="D135" s="12"/>
      <c r="E135" s="13"/>
      <c r="F135" s="12"/>
      <c r="G135" s="13"/>
      <c r="H135" s="13"/>
      <c r="I135" s="13"/>
      <c r="J135" s="35"/>
      <c r="K135" s="35"/>
      <c r="L135" s="34"/>
      <c r="M135" s="28"/>
      <c r="N135" s="147"/>
      <c r="O135" s="147"/>
      <c r="P135" s="13"/>
      <c r="Q135" s="157"/>
      <c r="R135" s="157"/>
      <c r="S135" s="157"/>
      <c r="T135" s="13"/>
      <c r="U135" s="28"/>
      <c r="V135" s="28"/>
      <c r="W135" s="28"/>
      <c r="X135"/>
      <c r="Y135" s="13"/>
      <c r="Z135" s="13"/>
      <c r="AA135" s="13"/>
      <c r="AB135" s="13"/>
      <c r="AC135" s="13"/>
      <c r="AD135" s="13"/>
      <c r="AE135" s="31"/>
      <c r="AF135" s="31"/>
      <c r="AG135" s="27"/>
      <c r="AH135" s="27"/>
      <c r="AI135" s="177"/>
      <c r="AJ135" s="15"/>
    </row>
    <row r="136" spans="4:36">
      <c r="D136" s="12"/>
      <c r="E136" s="13"/>
      <c r="F136" s="12"/>
      <c r="G136" s="13"/>
      <c r="H136" s="13"/>
      <c r="I136" s="433" t="s">
        <v>362</v>
      </c>
      <c r="J136" s="433"/>
      <c r="K136" s="433"/>
      <c r="L136" s="433"/>
      <c r="M136" s="433"/>
      <c r="N136" s="433"/>
      <c r="O136" s="433"/>
      <c r="P136" s="433"/>
      <c r="Q136" s="433"/>
      <c r="R136" s="433"/>
      <c r="S136" s="380">
        <v>4.5</v>
      </c>
      <c r="T136" s="380"/>
      <c r="U136" s="13" t="s">
        <v>353</v>
      </c>
      <c r="V136" s="449" t="s">
        <v>363</v>
      </c>
      <c r="W136" s="449"/>
      <c r="X136" s="13" t="s">
        <v>326</v>
      </c>
      <c r="Y136" s="458">
        <v>30</v>
      </c>
      <c r="Z136" s="458"/>
      <c r="AA136" s="33" t="s">
        <v>355</v>
      </c>
      <c r="AB136"/>
      <c r="AC136" s="13" t="s">
        <v>416</v>
      </c>
      <c r="AD136" s="13"/>
      <c r="AE136" s="13"/>
      <c r="AF136" s="13"/>
      <c r="AG136" s="27"/>
      <c r="AH136" s="27"/>
      <c r="AI136" s="177"/>
      <c r="AJ136" s="15"/>
    </row>
    <row r="137" spans="4:36">
      <c r="D137" s="12"/>
      <c r="E137" s="13"/>
      <c r="F137" s="12"/>
      <c r="G137" s="13"/>
      <c r="H137" s="465" t="s">
        <v>322</v>
      </c>
      <c r="I137" s="465"/>
      <c r="J137" s="32" t="s">
        <v>2</v>
      </c>
      <c r="K137" s="148" t="s">
        <v>364</v>
      </c>
      <c r="L137" s="890">
        <v>140</v>
      </c>
      <c r="M137" s="890"/>
      <c r="N137" s="148" t="s">
        <v>263</v>
      </c>
      <c r="O137" s="433">
        <v>2.4</v>
      </c>
      <c r="P137" s="433"/>
      <c r="Q137" s="148" t="s">
        <v>69</v>
      </c>
      <c r="R137" s="436" t="s">
        <v>359</v>
      </c>
      <c r="S137" s="436"/>
      <c r="T137" s="147" t="s">
        <v>70</v>
      </c>
      <c r="U137" s="34" t="s">
        <v>195</v>
      </c>
      <c r="V137" s="13" t="s">
        <v>263</v>
      </c>
      <c r="W137" s="449">
        <v>4.5</v>
      </c>
      <c r="X137" s="449"/>
      <c r="Y137" s="27" t="s">
        <v>365</v>
      </c>
      <c r="Z137" s="27" t="s">
        <v>27</v>
      </c>
      <c r="AA137" s="449">
        <v>1.5</v>
      </c>
      <c r="AB137" s="449"/>
      <c r="AC137" s="13"/>
      <c r="AD137" s="13"/>
      <c r="AE137" s="13"/>
      <c r="AF137" s="13"/>
      <c r="AG137" s="27"/>
      <c r="AH137" s="27"/>
      <c r="AI137" s="177"/>
      <c r="AJ137" s="15"/>
    </row>
    <row r="138" spans="4:36">
      <c r="D138" s="12"/>
      <c r="E138" s="13"/>
      <c r="F138" s="12"/>
      <c r="G138" s="13"/>
      <c r="H138" s="164"/>
      <c r="I138" s="164"/>
      <c r="J138" s="32" t="s">
        <v>2</v>
      </c>
      <c r="K138" s="148" t="s">
        <v>364</v>
      </c>
      <c r="L138" s="890">
        <v>140</v>
      </c>
      <c r="M138" s="890"/>
      <c r="N138" s="148" t="s">
        <v>263</v>
      </c>
      <c r="O138" s="433">
        <v>2.4</v>
      </c>
      <c r="P138" s="433"/>
      <c r="Q138" s="148" t="s">
        <v>69</v>
      </c>
      <c r="R138" s="436">
        <f>V133</f>
        <v>13</v>
      </c>
      <c r="S138" s="436"/>
      <c r="T138" s="436"/>
      <c r="U138" s="436"/>
      <c r="V138" s="13" t="s">
        <v>263</v>
      </c>
      <c r="W138" s="449">
        <v>4.5</v>
      </c>
      <c r="X138" s="449"/>
      <c r="Y138" s="27" t="s">
        <v>365</v>
      </c>
      <c r="Z138" s="27" t="s">
        <v>27</v>
      </c>
      <c r="AA138" s="449">
        <v>1.5</v>
      </c>
      <c r="AB138" s="449"/>
      <c r="AC138" s="13"/>
      <c r="AD138" s="13"/>
      <c r="AE138" s="13"/>
      <c r="AF138" s="13"/>
      <c r="AG138" s="27"/>
      <c r="AH138" s="27"/>
      <c r="AI138" s="177"/>
      <c r="AJ138" s="15"/>
    </row>
    <row r="139" spans="4:36" ht="20.25">
      <c r="D139" s="12"/>
      <c r="E139" s="13"/>
      <c r="F139" s="12"/>
      <c r="G139" s="13"/>
      <c r="H139" s="13"/>
      <c r="I139" s="148"/>
      <c r="J139" s="32" t="s">
        <v>2</v>
      </c>
      <c r="K139" s="885">
        <f>(L138-O138*(R138-W138))*AA138</f>
        <v>179.39999999999998</v>
      </c>
      <c r="L139" s="886"/>
      <c r="M139" s="887"/>
      <c r="N139" s="163" t="s">
        <v>48</v>
      </c>
      <c r="O139" s="148"/>
      <c r="P139" s="148"/>
      <c r="Q139" s="148"/>
      <c r="R139" s="148"/>
      <c r="S139" s="147"/>
      <c r="T139" s="147"/>
      <c r="U139" s="13"/>
      <c r="V139" s="28"/>
      <c r="W139" s="28"/>
      <c r="X139" s="13"/>
      <c r="Y139" s="27"/>
      <c r="Z139" s="27"/>
      <c r="AA139" s="33"/>
      <c r="AB139"/>
      <c r="AC139" s="13"/>
      <c r="AD139" s="13"/>
      <c r="AE139" s="13"/>
      <c r="AF139" s="13"/>
      <c r="AG139" s="27"/>
      <c r="AH139" s="27"/>
      <c r="AI139" s="177"/>
      <c r="AJ139" s="15"/>
    </row>
    <row r="140" spans="4:36">
      <c r="D140" s="12"/>
      <c r="E140" s="13"/>
      <c r="F140" s="16"/>
      <c r="G140" s="17"/>
      <c r="H140" s="17"/>
      <c r="I140" s="178"/>
      <c r="J140" s="179"/>
      <c r="K140" s="178"/>
      <c r="L140" s="178"/>
      <c r="M140" s="178"/>
      <c r="N140" s="176"/>
      <c r="O140" s="178"/>
      <c r="P140" s="178"/>
      <c r="Q140" s="178"/>
      <c r="R140" s="178"/>
      <c r="S140" s="162"/>
      <c r="T140" s="162"/>
      <c r="U140" s="17"/>
      <c r="V140" s="169"/>
      <c r="W140" s="169"/>
      <c r="X140" s="17"/>
      <c r="Y140" s="152"/>
      <c r="Z140" s="152"/>
      <c r="AA140" s="180"/>
      <c r="AB140" s="25"/>
      <c r="AC140" s="17"/>
      <c r="AD140" s="17"/>
      <c r="AE140" s="17"/>
      <c r="AF140" s="17"/>
      <c r="AG140" s="152"/>
      <c r="AH140" s="152"/>
      <c r="AI140" s="181"/>
      <c r="AJ140" s="15"/>
    </row>
    <row r="141" spans="4:36">
      <c r="D141" s="12"/>
      <c r="E141" s="13"/>
      <c r="F141" s="13"/>
      <c r="G141" s="13"/>
      <c r="H141" s="13"/>
      <c r="I141" s="148"/>
      <c r="J141" s="32"/>
      <c r="K141" s="148"/>
      <c r="L141" s="148"/>
      <c r="M141" s="148"/>
      <c r="N141" s="163"/>
      <c r="O141" s="148"/>
      <c r="P141" s="148"/>
      <c r="Q141" s="148"/>
      <c r="R141" s="148"/>
      <c r="S141" s="147"/>
      <c r="T141" s="147"/>
      <c r="U141" s="13"/>
      <c r="V141" s="28"/>
      <c r="W141" s="28"/>
      <c r="X141" s="13"/>
      <c r="Y141" s="27"/>
      <c r="Z141" s="27"/>
      <c r="AA141" s="33"/>
      <c r="AB141"/>
      <c r="AC141" s="13"/>
      <c r="AD141" s="13"/>
      <c r="AE141" s="13"/>
      <c r="AF141" s="13"/>
      <c r="AG141" s="27"/>
      <c r="AH141" s="27"/>
      <c r="AI141" s="27"/>
      <c r="AJ141" s="15"/>
    </row>
    <row r="142" spans="4:36">
      <c r="D142" s="12"/>
      <c r="E142" s="13"/>
      <c r="F142" s="13"/>
      <c r="G142" s="13"/>
      <c r="H142" s="13"/>
      <c r="I142" s="148"/>
      <c r="J142" s="148"/>
      <c r="K142" s="148"/>
      <c r="L142" s="148"/>
      <c r="M142" s="148"/>
      <c r="N142" s="148"/>
      <c r="O142" s="148"/>
      <c r="P142" s="148"/>
      <c r="Q142" s="148"/>
      <c r="R142" s="148"/>
      <c r="S142" s="147"/>
      <c r="T142" s="147"/>
      <c r="U142" s="13"/>
      <c r="V142" s="28"/>
      <c r="W142" s="28"/>
      <c r="X142" s="13"/>
      <c r="Y142" s="27"/>
      <c r="Z142" s="27"/>
      <c r="AA142" s="33"/>
      <c r="AB142"/>
      <c r="AC142" s="13"/>
      <c r="AD142" s="13"/>
      <c r="AE142" s="13"/>
      <c r="AF142" s="13"/>
      <c r="AG142" s="27"/>
      <c r="AH142" s="27"/>
      <c r="AI142" s="27"/>
      <c r="AJ142" s="15"/>
    </row>
    <row r="143" spans="4:36">
      <c r="D143" s="12"/>
      <c r="E143" s="13"/>
      <c r="F143" s="9"/>
      <c r="G143" s="10"/>
      <c r="H143" s="467" t="s">
        <v>324</v>
      </c>
      <c r="I143" s="467"/>
      <c r="J143" s="10" t="s">
        <v>339</v>
      </c>
      <c r="K143" s="10"/>
      <c r="L143" s="10"/>
      <c r="M143" s="10"/>
      <c r="N143" s="10"/>
      <c r="O143" s="10"/>
      <c r="P143" s="10"/>
      <c r="Q143" s="10"/>
      <c r="R143" s="10"/>
      <c r="S143" s="10"/>
      <c r="T143" s="10"/>
      <c r="U143" s="10"/>
      <c r="V143" s="10"/>
      <c r="W143" s="10"/>
      <c r="X143" s="3"/>
      <c r="Y143" s="10"/>
      <c r="Z143" s="10"/>
      <c r="AA143" s="10"/>
      <c r="AB143" s="10"/>
      <c r="AC143" s="10"/>
      <c r="AD143" s="10"/>
      <c r="AE143" s="10"/>
      <c r="AF143" s="10"/>
      <c r="AG143" s="10"/>
      <c r="AH143" s="10"/>
      <c r="AI143" s="11"/>
      <c r="AJ143" s="15"/>
    </row>
    <row r="144" spans="4:36" ht="20.25">
      <c r="D144" s="12"/>
      <c r="E144" s="13"/>
      <c r="F144" s="12"/>
      <c r="G144" s="13"/>
      <c r="H144" s="13"/>
      <c r="I144" s="13"/>
      <c r="J144" s="360" t="s">
        <v>324</v>
      </c>
      <c r="K144" s="360"/>
      <c r="L144" s="13" t="s">
        <v>2</v>
      </c>
      <c r="M144" s="374">
        <v>210</v>
      </c>
      <c r="N144" s="376"/>
      <c r="O144" s="13" t="s">
        <v>48</v>
      </c>
      <c r="P144" s="13"/>
      <c r="Q144" s="13"/>
      <c r="R144" s="13" t="s">
        <v>340</v>
      </c>
      <c r="S144" s="13"/>
      <c r="T144" s="13"/>
      <c r="U144" s="13"/>
      <c r="V144" s="13"/>
      <c r="W144" s="13"/>
      <c r="X144"/>
      <c r="Y144" s="13"/>
      <c r="Z144" s="13"/>
      <c r="AA144" s="13"/>
      <c r="AB144" s="13"/>
      <c r="AC144" s="13"/>
      <c r="AD144" s="13"/>
      <c r="AE144" s="13"/>
      <c r="AF144" s="13"/>
      <c r="AG144" s="13"/>
      <c r="AH144" s="13"/>
      <c r="AI144" s="15"/>
      <c r="AJ144" s="15"/>
    </row>
    <row r="145" spans="4:36">
      <c r="D145" s="12"/>
      <c r="E145" s="13"/>
      <c r="F145" s="16"/>
      <c r="G145" s="17"/>
      <c r="H145" s="17"/>
      <c r="I145" s="17"/>
      <c r="J145" s="151"/>
      <c r="K145" s="151"/>
      <c r="L145" s="17"/>
      <c r="M145" s="182"/>
      <c r="N145" s="182"/>
      <c r="O145" s="17"/>
      <c r="P145" s="17"/>
      <c r="Q145" s="17"/>
      <c r="R145" s="17"/>
      <c r="S145" s="17"/>
      <c r="T145" s="17"/>
      <c r="U145" s="17"/>
      <c r="V145" s="17"/>
      <c r="W145" s="17"/>
      <c r="X145" s="25"/>
      <c r="Y145" s="17"/>
      <c r="Z145" s="17"/>
      <c r="AA145" s="17"/>
      <c r="AB145" s="17"/>
      <c r="AC145" s="17"/>
      <c r="AD145" s="17"/>
      <c r="AE145" s="17"/>
      <c r="AF145" s="17"/>
      <c r="AG145" s="17"/>
      <c r="AH145" s="17"/>
      <c r="AI145" s="19"/>
      <c r="AJ145" s="15"/>
    </row>
    <row r="146" spans="4:36">
      <c r="D146" s="12"/>
      <c r="E146" s="13"/>
      <c r="F146" s="13"/>
      <c r="G146" s="13"/>
      <c r="H146" s="13"/>
      <c r="I146" s="13"/>
      <c r="J146" s="35"/>
      <c r="K146" s="35"/>
      <c r="L146" s="13"/>
      <c r="M146" s="146"/>
      <c r="N146" s="146"/>
      <c r="O146" s="13"/>
      <c r="P146" s="13"/>
      <c r="Q146" s="13"/>
      <c r="R146" s="13"/>
      <c r="S146" s="13"/>
      <c r="T146" s="13"/>
      <c r="U146" s="13"/>
      <c r="V146" s="13"/>
      <c r="W146" s="13"/>
      <c r="X146"/>
      <c r="Y146" s="13"/>
      <c r="Z146" s="13"/>
      <c r="AA146" s="13"/>
      <c r="AB146" s="13"/>
      <c r="AC146" s="13"/>
      <c r="AD146" s="13"/>
      <c r="AE146" s="13"/>
      <c r="AF146" s="13"/>
      <c r="AG146" s="13"/>
      <c r="AH146" s="13"/>
      <c r="AI146" s="13"/>
      <c r="AJ146" s="15"/>
    </row>
    <row r="147" spans="4:36">
      <c r="D147" s="12"/>
      <c r="E147" s="13"/>
      <c r="F147" s="13"/>
      <c r="G147" s="13"/>
      <c r="H147" s="13"/>
      <c r="I147" s="13"/>
      <c r="J147" s="13"/>
      <c r="K147" s="13"/>
      <c r="L147" s="13"/>
      <c r="M147" s="13"/>
      <c r="N147" s="13"/>
      <c r="O147" s="13"/>
      <c r="P147" s="13"/>
      <c r="Q147" s="13"/>
      <c r="R147" s="13"/>
      <c r="S147" s="13"/>
      <c r="T147" s="13"/>
      <c r="U147" s="13"/>
      <c r="V147" s="13"/>
      <c r="W147" s="13"/>
      <c r="X147"/>
      <c r="Y147" s="13"/>
      <c r="Z147" s="13"/>
      <c r="AA147" s="13"/>
      <c r="AB147" s="13"/>
      <c r="AC147" s="13"/>
      <c r="AD147" s="13"/>
      <c r="AE147" s="13"/>
      <c r="AF147" s="13"/>
      <c r="AG147" s="13"/>
      <c r="AH147" s="13"/>
      <c r="AI147" s="13"/>
      <c r="AJ147" s="15"/>
    </row>
    <row r="148" spans="4:36">
      <c r="D148" s="12"/>
      <c r="E148" s="13"/>
      <c r="F148" s="9"/>
      <c r="G148" s="10"/>
      <c r="H148" s="467" t="s">
        <v>366</v>
      </c>
      <c r="I148" s="467"/>
      <c r="J148" s="10" t="s">
        <v>367</v>
      </c>
      <c r="K148" s="10"/>
      <c r="L148" s="10"/>
      <c r="M148" s="10"/>
      <c r="N148" s="10"/>
      <c r="O148" s="10"/>
      <c r="P148" s="10"/>
      <c r="Q148" s="10"/>
      <c r="R148" s="10"/>
      <c r="S148" s="10"/>
      <c r="T148" s="10"/>
      <c r="U148" s="10"/>
      <c r="V148" s="10"/>
      <c r="W148" s="10"/>
      <c r="X148" s="3"/>
      <c r="Y148" s="10"/>
      <c r="Z148" s="10"/>
      <c r="AA148" s="10"/>
      <c r="AB148" s="10"/>
      <c r="AC148" s="10"/>
      <c r="AD148" s="10"/>
      <c r="AE148" s="10"/>
      <c r="AF148" s="10"/>
      <c r="AG148" s="10"/>
      <c r="AH148" s="10"/>
      <c r="AI148" s="11"/>
      <c r="AJ148" s="15"/>
    </row>
    <row r="149" spans="4:36" ht="20.25">
      <c r="D149" s="12"/>
      <c r="E149" s="13"/>
      <c r="F149" s="12"/>
      <c r="G149" s="13"/>
      <c r="H149" s="13"/>
      <c r="I149" s="13"/>
      <c r="J149" s="360" t="s">
        <v>366</v>
      </c>
      <c r="K149" s="360"/>
      <c r="L149" s="13" t="s">
        <v>2</v>
      </c>
      <c r="M149" s="374">
        <v>210</v>
      </c>
      <c r="N149" s="376"/>
      <c r="O149" s="13" t="s">
        <v>48</v>
      </c>
      <c r="P149" s="13"/>
      <c r="Q149" s="13"/>
      <c r="R149" s="13" t="s">
        <v>340</v>
      </c>
      <c r="S149" s="13"/>
      <c r="T149" s="13"/>
      <c r="U149" s="13"/>
      <c r="V149" s="13"/>
      <c r="W149" s="13"/>
      <c r="X149"/>
      <c r="Y149" s="13"/>
      <c r="Z149" s="13"/>
      <c r="AA149" s="13"/>
      <c r="AB149" s="13"/>
      <c r="AC149" s="13"/>
      <c r="AD149" s="13"/>
      <c r="AE149" s="13"/>
      <c r="AF149" s="13"/>
      <c r="AG149" s="13"/>
      <c r="AH149" s="13"/>
      <c r="AI149" s="15"/>
      <c r="AJ149" s="15"/>
    </row>
    <row r="150" spans="4:36">
      <c r="D150" s="12"/>
      <c r="E150" s="13"/>
      <c r="F150" s="16"/>
      <c r="G150" s="17"/>
      <c r="H150" s="17"/>
      <c r="I150" s="17"/>
      <c r="J150" s="17"/>
      <c r="K150" s="17" t="s">
        <v>330</v>
      </c>
      <c r="L150" s="17"/>
      <c r="M150" s="17"/>
      <c r="N150" s="123" t="s">
        <v>331</v>
      </c>
      <c r="O150" s="17" t="s">
        <v>326</v>
      </c>
      <c r="P150" s="451">
        <v>13.1</v>
      </c>
      <c r="Q150" s="451"/>
      <c r="R150" s="123" t="s">
        <v>332</v>
      </c>
      <c r="S150" s="17" t="s">
        <v>315</v>
      </c>
      <c r="T150" s="17"/>
      <c r="U150" s="17"/>
      <c r="V150" s="17"/>
      <c r="W150" s="17"/>
      <c r="X150" s="25"/>
      <c r="Y150" s="17"/>
      <c r="Z150" s="17"/>
      <c r="AA150" s="17"/>
      <c r="AB150" s="17"/>
      <c r="AC150" s="17"/>
      <c r="AD150" s="17"/>
      <c r="AE150" s="17"/>
      <c r="AF150" s="17"/>
      <c r="AG150" s="17"/>
      <c r="AH150" s="17"/>
      <c r="AI150" s="19"/>
      <c r="AJ150" s="15"/>
    </row>
    <row r="151" spans="4:36">
      <c r="D151" s="12"/>
      <c r="E151" s="13"/>
      <c r="F151" s="13"/>
      <c r="G151" s="13"/>
      <c r="H151" s="13"/>
      <c r="I151" s="13"/>
      <c r="J151" s="13"/>
      <c r="K151" s="13"/>
      <c r="L151" s="13"/>
      <c r="M151" s="13"/>
      <c r="N151" s="34"/>
      <c r="O151" s="13"/>
      <c r="P151" s="14"/>
      <c r="Q151" s="14"/>
      <c r="R151" s="34"/>
      <c r="S151" s="13"/>
      <c r="T151" s="13"/>
      <c r="U151" s="13"/>
      <c r="V151" s="13"/>
      <c r="W151" s="13"/>
      <c r="X151"/>
      <c r="Y151" s="13"/>
      <c r="Z151" s="13"/>
      <c r="AA151" s="13"/>
      <c r="AB151" s="13"/>
      <c r="AC151" s="13"/>
      <c r="AD151" s="13"/>
      <c r="AE151" s="13"/>
      <c r="AF151" s="13"/>
      <c r="AG151" s="13"/>
      <c r="AH151" s="13"/>
      <c r="AI151" s="13"/>
      <c r="AJ151" s="15"/>
    </row>
    <row r="152" spans="4:36">
      <c r="D152" s="12"/>
      <c r="E152" s="13"/>
      <c r="F152" s="13"/>
      <c r="G152" s="13"/>
      <c r="H152" s="13"/>
      <c r="I152" s="13"/>
      <c r="J152" s="13"/>
      <c r="K152" s="13"/>
      <c r="L152" s="13"/>
      <c r="M152" s="13"/>
      <c r="N152" s="34"/>
      <c r="O152" s="13"/>
      <c r="P152" s="14"/>
      <c r="Q152" s="14"/>
      <c r="R152" s="34"/>
      <c r="S152" s="13"/>
      <c r="T152" s="13"/>
      <c r="U152" s="13"/>
      <c r="V152" s="13"/>
      <c r="W152" s="13"/>
      <c r="X152"/>
      <c r="Y152" s="13"/>
      <c r="Z152" s="13"/>
      <c r="AA152" s="13"/>
      <c r="AB152" s="13"/>
      <c r="AC152" s="13"/>
      <c r="AD152" s="13"/>
      <c r="AE152" s="13"/>
      <c r="AF152" s="13"/>
      <c r="AG152" s="13"/>
      <c r="AH152" s="13"/>
      <c r="AI152" s="13"/>
      <c r="AJ152" s="15"/>
    </row>
    <row r="153" spans="4:36" ht="20.25">
      <c r="D153" s="12"/>
      <c r="E153" s="13"/>
      <c r="F153" s="856" t="s">
        <v>321</v>
      </c>
      <c r="G153" s="857"/>
      <c r="H153" s="858" t="s">
        <v>341</v>
      </c>
      <c r="I153" s="858"/>
      <c r="J153" s="10" t="s">
        <v>417</v>
      </c>
      <c r="K153" s="10"/>
      <c r="L153" s="10"/>
      <c r="M153" s="10"/>
      <c r="N153" s="10"/>
      <c r="O153" s="10"/>
      <c r="P153" s="10"/>
      <c r="Q153" s="10"/>
      <c r="R153" s="10"/>
      <c r="S153" s="10"/>
      <c r="T153" s="10"/>
      <c r="U153" s="10"/>
      <c r="V153" s="10"/>
      <c r="W153" s="10"/>
      <c r="X153" s="3"/>
      <c r="Y153" s="10"/>
      <c r="Z153" s="10"/>
      <c r="AA153" s="10"/>
      <c r="AB153" s="10"/>
      <c r="AC153" s="10"/>
      <c r="AD153" s="10"/>
      <c r="AE153" s="10"/>
      <c r="AF153" s="10"/>
      <c r="AG153" s="10"/>
      <c r="AH153" s="10"/>
      <c r="AI153" s="11"/>
      <c r="AJ153" s="15"/>
    </row>
    <row r="154" spans="4:36">
      <c r="D154" s="12"/>
      <c r="E154" s="13"/>
      <c r="F154" s="12"/>
      <c r="G154" s="13"/>
      <c r="H154" s="13"/>
      <c r="I154" s="13"/>
      <c r="J154" s="465" t="s">
        <v>321</v>
      </c>
      <c r="K154" s="465"/>
      <c r="L154" s="449" t="s">
        <v>2</v>
      </c>
      <c r="M154" s="867">
        <v>1200000</v>
      </c>
      <c r="N154" s="867"/>
      <c r="O154" s="867"/>
      <c r="P154" s="867"/>
      <c r="Q154" s="867"/>
      <c r="R154" s="13"/>
      <c r="S154" s="449" t="s">
        <v>2</v>
      </c>
      <c r="T154" s="867">
        <v>1200000</v>
      </c>
      <c r="U154" s="867"/>
      <c r="V154" s="867"/>
      <c r="W154" s="867"/>
      <c r="X154" s="867"/>
      <c r="Y154" s="17"/>
      <c r="Z154" s="17"/>
      <c r="AA154" s="17"/>
      <c r="AB154" s="17"/>
      <c r="AC154" s="13"/>
      <c r="AD154" s="449" t="s">
        <v>2</v>
      </c>
      <c r="AE154" s="617">
        <f>T154</f>
        <v>1200000</v>
      </c>
      <c r="AF154" s="617"/>
      <c r="AG154" s="617"/>
      <c r="AH154" s="617"/>
      <c r="AI154" s="15"/>
      <c r="AJ154" s="15"/>
    </row>
    <row r="155" spans="4:36" ht="20.25">
      <c r="D155" s="12"/>
      <c r="E155" s="13"/>
      <c r="F155" s="12"/>
      <c r="G155" s="13"/>
      <c r="H155" s="13"/>
      <c r="I155" s="13"/>
      <c r="J155" s="465"/>
      <c r="K155" s="465"/>
      <c r="L155" s="449"/>
      <c r="M155" s="13" t="s">
        <v>69</v>
      </c>
      <c r="N155" s="13" t="s">
        <v>343</v>
      </c>
      <c r="O155" s="13" t="s">
        <v>70</v>
      </c>
      <c r="P155" s="34" t="s">
        <v>302</v>
      </c>
      <c r="Q155" s="13" t="s">
        <v>344</v>
      </c>
      <c r="R155" s="13"/>
      <c r="S155" s="449"/>
      <c r="T155" s="13" t="s">
        <v>69</v>
      </c>
      <c r="U155" s="458">
        <f>V165</f>
        <v>5200</v>
      </c>
      <c r="V155" s="458"/>
      <c r="W155" s="458"/>
      <c r="X155" s="13" t="s">
        <v>70</v>
      </c>
      <c r="Y155" s="436">
        <f>V168</f>
        <v>173</v>
      </c>
      <c r="Z155" s="436"/>
      <c r="AA155" s="13"/>
      <c r="AB155" s="13" t="s">
        <v>344</v>
      </c>
      <c r="AC155" s="13"/>
      <c r="AD155" s="449"/>
      <c r="AE155" s="436">
        <f>(U155/Y155)^2</f>
        <v>903.47154933342244</v>
      </c>
      <c r="AF155" s="436"/>
      <c r="AG155" s="436"/>
      <c r="AH155" s="436"/>
      <c r="AI155" s="15"/>
      <c r="AJ155" s="15"/>
    </row>
    <row r="156" spans="4:36">
      <c r="D156" s="12"/>
      <c r="E156" s="13"/>
      <c r="F156" s="12"/>
      <c r="G156" s="13"/>
      <c r="H156" s="13"/>
      <c r="I156" s="13"/>
      <c r="J156" s="36"/>
      <c r="K156" s="36"/>
      <c r="L156" s="28"/>
      <c r="M156" s="13"/>
      <c r="N156" s="13"/>
      <c r="O156" s="13"/>
      <c r="P156" s="34"/>
      <c r="Q156" s="13"/>
      <c r="R156" s="13"/>
      <c r="S156" s="28"/>
      <c r="T156" s="13"/>
      <c r="U156" s="27"/>
      <c r="V156" s="27"/>
      <c r="W156" s="27"/>
      <c r="X156" s="13"/>
      <c r="Y156" s="14"/>
      <c r="Z156" s="14"/>
      <c r="AA156" s="13"/>
      <c r="AB156" s="13"/>
      <c r="AC156" s="13"/>
      <c r="AD156" s="28"/>
      <c r="AE156" s="14"/>
      <c r="AF156" s="14"/>
      <c r="AG156" s="14"/>
      <c r="AH156" s="14"/>
      <c r="AI156" s="15"/>
      <c r="AJ156" s="15"/>
    </row>
    <row r="157" spans="4:36">
      <c r="D157" s="12"/>
      <c r="E157" s="13"/>
      <c r="F157" s="12"/>
      <c r="G157" s="13"/>
      <c r="H157" s="13"/>
      <c r="I157" s="13"/>
      <c r="J157" s="36"/>
      <c r="K157" s="36"/>
      <c r="L157" s="28" t="s">
        <v>2</v>
      </c>
      <c r="M157" s="462">
        <f>AE154/AE155</f>
        <v>1328.2100591715975</v>
      </c>
      <c r="N157" s="463"/>
      <c r="O157" s="464"/>
      <c r="P157" s="34"/>
      <c r="Q157" s="13"/>
      <c r="R157" s="13"/>
      <c r="S157" s="13"/>
      <c r="T157" s="28"/>
      <c r="U157" s="13"/>
      <c r="V157" s="27"/>
      <c r="W157" s="27"/>
      <c r="X157" s="27"/>
      <c r="Y157" s="13"/>
      <c r="Z157" s="14"/>
      <c r="AA157" s="14"/>
      <c r="AB157" s="13"/>
      <c r="AC157" s="31"/>
      <c r="AD157" s="13"/>
      <c r="AE157" s="13"/>
      <c r="AF157" s="13"/>
      <c r="AG157" s="13"/>
      <c r="AH157" s="13"/>
      <c r="AI157" s="15"/>
      <c r="AJ157" s="15"/>
    </row>
    <row r="158" spans="4:36">
      <c r="D158" s="12"/>
      <c r="E158" s="13"/>
      <c r="F158" s="12"/>
      <c r="G158" s="13"/>
      <c r="H158" s="13"/>
      <c r="I158" s="13"/>
      <c r="J158" s="13"/>
      <c r="K158" s="13"/>
      <c r="L158" s="13"/>
      <c r="M158" s="13"/>
      <c r="N158" s="13"/>
      <c r="O158" s="13"/>
      <c r="P158" s="13"/>
      <c r="Q158" s="13"/>
      <c r="R158" s="13"/>
      <c r="S158" s="13"/>
      <c r="T158" s="13"/>
      <c r="U158" s="13"/>
      <c r="V158" s="13"/>
      <c r="W158" s="13"/>
      <c r="X158"/>
      <c r="Y158" s="13"/>
      <c r="Z158" s="13"/>
      <c r="AA158" s="13"/>
      <c r="AB158" s="13"/>
      <c r="AC158" s="13"/>
      <c r="AD158" s="13"/>
      <c r="AE158" s="13"/>
      <c r="AF158" s="13"/>
      <c r="AG158" s="13"/>
      <c r="AH158" s="13"/>
      <c r="AI158" s="15"/>
      <c r="AJ158" s="15"/>
    </row>
    <row r="159" spans="4:36">
      <c r="D159" s="12"/>
      <c r="E159" s="13"/>
      <c r="F159" s="12"/>
      <c r="G159" s="13"/>
      <c r="H159" s="13"/>
      <c r="I159" s="13"/>
      <c r="J159" s="465" t="s">
        <v>325</v>
      </c>
      <c r="K159" s="465"/>
      <c r="L159" s="449" t="s">
        <v>2</v>
      </c>
      <c r="M159" s="867">
        <v>1200000</v>
      </c>
      <c r="N159" s="867"/>
      <c r="O159" s="867"/>
      <c r="P159" s="867"/>
      <c r="Q159" s="867"/>
      <c r="R159" s="13"/>
      <c r="S159" s="449" t="s">
        <v>2</v>
      </c>
      <c r="T159" s="867">
        <v>1200000</v>
      </c>
      <c r="U159" s="867"/>
      <c r="V159" s="867"/>
      <c r="W159" s="867"/>
      <c r="X159" s="867"/>
      <c r="Y159" s="17"/>
      <c r="Z159" s="17"/>
      <c r="AA159" s="17"/>
      <c r="AB159" s="17"/>
      <c r="AC159" s="13"/>
      <c r="AD159" s="449" t="s">
        <v>2</v>
      </c>
      <c r="AE159" s="617">
        <f>T159</f>
        <v>1200000</v>
      </c>
      <c r="AF159" s="617"/>
      <c r="AG159" s="617"/>
      <c r="AH159" s="617"/>
      <c r="AI159" s="15"/>
      <c r="AJ159" s="15"/>
    </row>
    <row r="160" spans="4:36" ht="20.25">
      <c r="D160" s="12"/>
      <c r="E160" s="13"/>
      <c r="F160" s="12"/>
      <c r="G160" s="13"/>
      <c r="H160" s="13"/>
      <c r="I160" s="13"/>
      <c r="J160" s="465"/>
      <c r="K160" s="465"/>
      <c r="L160" s="449"/>
      <c r="M160" s="13" t="s">
        <v>69</v>
      </c>
      <c r="N160" s="13" t="s">
        <v>343</v>
      </c>
      <c r="O160" s="13" t="s">
        <v>70</v>
      </c>
      <c r="P160" s="34" t="s">
        <v>303</v>
      </c>
      <c r="Q160" s="13" t="s">
        <v>344</v>
      </c>
      <c r="R160" s="13"/>
      <c r="S160" s="449"/>
      <c r="T160" s="13" t="s">
        <v>69</v>
      </c>
      <c r="U160" s="458">
        <f>V165</f>
        <v>5200</v>
      </c>
      <c r="V160" s="458"/>
      <c r="W160" s="458"/>
      <c r="X160" s="13" t="s">
        <v>70</v>
      </c>
      <c r="Y160" s="436">
        <f>V169</f>
        <v>101</v>
      </c>
      <c r="Z160" s="436"/>
      <c r="AA160" s="13"/>
      <c r="AB160" s="13" t="s">
        <v>344</v>
      </c>
      <c r="AC160" s="13"/>
      <c r="AD160" s="449"/>
      <c r="AE160" s="436">
        <f>(U160/Y160)^2</f>
        <v>2650.7205175963145</v>
      </c>
      <c r="AF160" s="436"/>
      <c r="AG160" s="436"/>
      <c r="AH160" s="436"/>
      <c r="AI160" s="15"/>
      <c r="AJ160" s="15"/>
    </row>
    <row r="161" spans="4:36">
      <c r="D161" s="12"/>
      <c r="E161" s="13"/>
      <c r="F161" s="12"/>
      <c r="G161" s="13"/>
      <c r="H161" s="13"/>
      <c r="I161" s="13"/>
      <c r="J161" s="36"/>
      <c r="K161" s="36"/>
      <c r="L161" s="28"/>
      <c r="M161" s="13"/>
      <c r="N161" s="13"/>
      <c r="O161" s="13"/>
      <c r="P161" s="34"/>
      <c r="Q161" s="13"/>
      <c r="R161" s="13"/>
      <c r="S161" s="28"/>
      <c r="T161" s="13"/>
      <c r="U161" s="27"/>
      <c r="V161" s="27"/>
      <c r="W161" s="27"/>
      <c r="X161" s="13"/>
      <c r="Y161" s="14"/>
      <c r="Z161" s="14"/>
      <c r="AA161" s="13"/>
      <c r="AB161" s="13"/>
      <c r="AC161" s="13"/>
      <c r="AD161" s="28"/>
      <c r="AE161" s="14"/>
      <c r="AF161" s="14"/>
      <c r="AG161" s="14"/>
      <c r="AH161" s="14"/>
      <c r="AI161" s="15"/>
      <c r="AJ161" s="15"/>
    </row>
    <row r="162" spans="4:36">
      <c r="D162" s="12"/>
      <c r="E162" s="13"/>
      <c r="F162" s="12"/>
      <c r="G162" s="13"/>
      <c r="H162" s="13"/>
      <c r="I162" s="13"/>
      <c r="J162" s="36"/>
      <c r="K162" s="36"/>
      <c r="L162" s="28" t="s">
        <v>2</v>
      </c>
      <c r="M162" s="462">
        <f>AE159/AE160</f>
        <v>452.70710059171591</v>
      </c>
      <c r="N162" s="463"/>
      <c r="O162" s="464"/>
      <c r="P162" s="34"/>
      <c r="Q162" s="13"/>
      <c r="R162" s="13"/>
      <c r="S162" s="13"/>
      <c r="T162" s="28"/>
      <c r="U162" s="13"/>
      <c r="V162" s="27"/>
      <c r="W162" s="27"/>
      <c r="X162" s="27"/>
      <c r="Y162" s="13"/>
      <c r="Z162" s="14"/>
      <c r="AA162" s="14"/>
      <c r="AB162" s="13"/>
      <c r="AC162" s="31"/>
      <c r="AD162" s="13"/>
      <c r="AE162" s="13"/>
      <c r="AF162" s="13"/>
      <c r="AG162" s="13"/>
      <c r="AH162" s="13"/>
      <c r="AI162" s="15"/>
      <c r="AJ162" s="15"/>
    </row>
    <row r="163" spans="4:36">
      <c r="D163" s="12"/>
      <c r="E163" s="13"/>
      <c r="F163" s="12"/>
      <c r="G163" s="13"/>
      <c r="H163" s="13"/>
      <c r="I163" s="13"/>
      <c r="J163" s="13"/>
      <c r="K163" s="13"/>
      <c r="L163" s="13"/>
      <c r="M163" s="13"/>
      <c r="N163" s="13"/>
      <c r="O163" s="13"/>
      <c r="P163" s="13"/>
      <c r="Q163" s="13"/>
      <c r="R163" s="13"/>
      <c r="S163" s="13"/>
      <c r="T163" s="13"/>
      <c r="U163" s="13"/>
      <c r="V163" s="13"/>
      <c r="W163" s="13"/>
      <c r="X163"/>
      <c r="Y163" s="13"/>
      <c r="Z163" s="13"/>
      <c r="AA163" s="13"/>
      <c r="AB163" s="13"/>
      <c r="AC163" s="13"/>
      <c r="AD163" s="13"/>
      <c r="AE163" s="13"/>
      <c r="AF163" s="13"/>
      <c r="AG163" s="13"/>
      <c r="AH163" s="13"/>
      <c r="AI163" s="15"/>
      <c r="AJ163" s="15"/>
    </row>
    <row r="164" spans="4:36">
      <c r="D164" s="12"/>
      <c r="E164" s="13"/>
      <c r="F164" s="12"/>
      <c r="G164" s="13"/>
      <c r="H164" s="13"/>
      <c r="I164" s="13"/>
      <c r="J164" s="13"/>
      <c r="K164" s="13"/>
      <c r="L164" s="13" t="s">
        <v>343</v>
      </c>
      <c r="M164" s="13" t="s">
        <v>346</v>
      </c>
      <c r="N164" s="13"/>
      <c r="O164" s="13"/>
      <c r="P164" s="13"/>
      <c r="Q164" s="13"/>
      <c r="R164" s="13"/>
      <c r="S164" s="13"/>
      <c r="T164" s="13"/>
      <c r="U164" s="13"/>
      <c r="V164" s="13"/>
      <c r="W164" s="13"/>
      <c r="X164"/>
      <c r="Y164" s="13"/>
      <c r="Z164" s="13"/>
      <c r="AA164" s="13"/>
      <c r="AB164" s="13"/>
      <c r="AC164" s="13"/>
      <c r="AD164" s="13"/>
      <c r="AE164" s="13"/>
      <c r="AF164" s="13"/>
      <c r="AG164" s="13"/>
      <c r="AH164" s="13"/>
      <c r="AI164" s="15"/>
      <c r="AJ164" s="15"/>
    </row>
    <row r="165" spans="4:36">
      <c r="D165" s="12"/>
      <c r="E165" s="13"/>
      <c r="F165" s="12"/>
      <c r="G165" s="13"/>
      <c r="H165" s="13"/>
      <c r="I165" s="13"/>
      <c r="J165" s="13"/>
      <c r="K165" s="13"/>
      <c r="L165" s="13"/>
      <c r="M165" s="13" t="s">
        <v>343</v>
      </c>
      <c r="N165" s="13" t="s">
        <v>2</v>
      </c>
      <c r="O165" s="448">
        <f>P26</f>
        <v>5.2</v>
      </c>
      <c r="P165" s="448"/>
      <c r="Q165" s="13" t="s">
        <v>27</v>
      </c>
      <c r="R165" s="869">
        <v>1000</v>
      </c>
      <c r="S165" s="869"/>
      <c r="T165" s="13"/>
      <c r="U165" s="13" t="s">
        <v>2</v>
      </c>
      <c r="V165" s="471">
        <f>O165*R165</f>
        <v>5200</v>
      </c>
      <c r="W165" s="472"/>
      <c r="X165" s="473"/>
      <c r="Y165" s="13"/>
      <c r="Z165" s="13"/>
      <c r="AA165" s="13"/>
      <c r="AB165" s="13"/>
      <c r="AC165" s="13"/>
      <c r="AD165" s="13"/>
      <c r="AE165" s="13"/>
      <c r="AF165" s="13"/>
      <c r="AG165" s="13"/>
      <c r="AH165" s="13"/>
      <c r="AI165" s="15"/>
      <c r="AJ165" s="15"/>
    </row>
    <row r="166" spans="4:36">
      <c r="D166" s="12"/>
      <c r="E166" s="13"/>
      <c r="F166" s="12"/>
      <c r="G166" s="13"/>
      <c r="H166" s="13"/>
      <c r="I166" s="13"/>
      <c r="J166" s="13"/>
      <c r="K166" s="13"/>
      <c r="L166" s="13"/>
      <c r="M166" s="13"/>
      <c r="N166" s="13"/>
      <c r="O166" s="14"/>
      <c r="P166" s="14"/>
      <c r="Q166" s="13"/>
      <c r="R166" s="158"/>
      <c r="S166" s="158"/>
      <c r="T166" s="13"/>
      <c r="U166" s="13"/>
      <c r="V166" s="27"/>
      <c r="W166" s="27"/>
      <c r="X166" s="27"/>
      <c r="Y166" s="13"/>
      <c r="Z166" s="13"/>
      <c r="AA166" s="13"/>
      <c r="AB166" s="13"/>
      <c r="AC166" s="13"/>
      <c r="AD166" s="13"/>
      <c r="AE166" s="13"/>
      <c r="AF166" s="13"/>
      <c r="AG166" s="13"/>
      <c r="AH166" s="13"/>
      <c r="AI166" s="15"/>
      <c r="AJ166" s="15"/>
    </row>
    <row r="167" spans="4:36">
      <c r="D167" s="12"/>
      <c r="E167" s="13"/>
      <c r="F167" s="12"/>
      <c r="G167" s="13"/>
      <c r="H167" s="13"/>
      <c r="I167" s="13"/>
      <c r="J167" s="13"/>
      <c r="K167" s="34" t="s">
        <v>302</v>
      </c>
      <c r="L167" s="34" t="s">
        <v>303</v>
      </c>
      <c r="M167" s="13" t="s">
        <v>345</v>
      </c>
      <c r="N167" s="13"/>
      <c r="O167" s="13"/>
      <c r="P167" s="13"/>
      <c r="Q167" s="13"/>
      <c r="R167" s="13"/>
      <c r="S167" s="13"/>
      <c r="T167" s="13"/>
      <c r="U167" s="13"/>
      <c r="V167" s="13"/>
      <c r="W167" s="13"/>
      <c r="X167"/>
      <c r="Y167" s="13"/>
      <c r="Z167" s="13"/>
      <c r="AA167" s="13"/>
      <c r="AB167" s="13"/>
      <c r="AC167" s="13"/>
      <c r="AD167" s="13"/>
      <c r="AE167" s="13"/>
      <c r="AF167" s="13"/>
      <c r="AG167" s="13"/>
      <c r="AH167" s="13"/>
      <c r="AI167" s="15"/>
      <c r="AJ167" s="15"/>
    </row>
    <row r="168" spans="4:36">
      <c r="D168" s="12"/>
      <c r="E168" s="13"/>
      <c r="F168" s="12"/>
      <c r="G168" s="13"/>
      <c r="H168" s="13"/>
      <c r="I168" s="13"/>
      <c r="J168" s="13"/>
      <c r="K168" s="13"/>
      <c r="L168" s="13"/>
      <c r="M168" s="34" t="s">
        <v>302</v>
      </c>
      <c r="N168" s="13" t="s">
        <v>2</v>
      </c>
      <c r="O168" s="776">
        <f>'1.設計条件'!T61</f>
        <v>17.3</v>
      </c>
      <c r="P168" s="776"/>
      <c r="Q168" s="13" t="s">
        <v>27</v>
      </c>
      <c r="R168" s="869">
        <v>10</v>
      </c>
      <c r="S168" s="869"/>
      <c r="T168" s="13"/>
      <c r="U168" s="13" t="s">
        <v>2</v>
      </c>
      <c r="V168" s="462">
        <f>O168*R168</f>
        <v>173</v>
      </c>
      <c r="W168" s="463"/>
      <c r="X168" s="464"/>
      <c r="Y168" s="13"/>
      <c r="Z168" s="13"/>
      <c r="AA168" s="13"/>
      <c r="AB168" s="13"/>
      <c r="AC168" s="13"/>
      <c r="AD168" s="13"/>
      <c r="AE168" s="13"/>
      <c r="AF168" s="13"/>
      <c r="AG168" s="13"/>
      <c r="AH168" s="13"/>
      <c r="AI168" s="15"/>
      <c r="AJ168" s="15"/>
    </row>
    <row r="169" spans="4:36">
      <c r="D169" s="12"/>
      <c r="E169" s="13"/>
      <c r="F169" s="12"/>
      <c r="G169" s="13"/>
      <c r="H169" s="13"/>
      <c r="I169" s="13"/>
      <c r="J169" s="13"/>
      <c r="K169" s="13"/>
      <c r="L169" s="13"/>
      <c r="M169" s="34" t="s">
        <v>303</v>
      </c>
      <c r="N169" s="13" t="s">
        <v>2</v>
      </c>
      <c r="O169" s="776">
        <f>'1.設計条件'!T62</f>
        <v>10.1</v>
      </c>
      <c r="P169" s="776"/>
      <c r="Q169" s="13" t="s">
        <v>27</v>
      </c>
      <c r="R169" s="869">
        <v>10</v>
      </c>
      <c r="S169" s="869"/>
      <c r="T169" s="13"/>
      <c r="U169" s="13" t="s">
        <v>2</v>
      </c>
      <c r="V169" s="462">
        <f>O169*R169</f>
        <v>101</v>
      </c>
      <c r="W169" s="463"/>
      <c r="X169" s="464"/>
      <c r="Y169" s="13"/>
      <c r="Z169" s="13"/>
      <c r="AA169" s="13"/>
      <c r="AB169" s="13"/>
      <c r="AC169" s="13"/>
      <c r="AD169" s="13"/>
      <c r="AE169" s="13"/>
      <c r="AF169" s="13"/>
      <c r="AG169" s="13"/>
      <c r="AH169" s="13"/>
      <c r="AI169" s="15"/>
      <c r="AJ169" s="15"/>
    </row>
    <row r="170" spans="4:36">
      <c r="D170" s="12"/>
      <c r="E170" s="13"/>
      <c r="F170" s="16"/>
      <c r="G170" s="17"/>
      <c r="H170" s="17"/>
      <c r="I170" s="17"/>
      <c r="J170" s="17"/>
      <c r="K170" s="17"/>
      <c r="L170" s="17"/>
      <c r="M170" s="123"/>
      <c r="N170" s="17"/>
      <c r="O170" s="150"/>
      <c r="P170" s="150"/>
      <c r="Q170" s="17"/>
      <c r="R170" s="159"/>
      <c r="S170" s="159"/>
      <c r="T170" s="17"/>
      <c r="U170" s="17"/>
      <c r="V170" s="18"/>
      <c r="W170" s="18"/>
      <c r="X170" s="18"/>
      <c r="Y170" s="17"/>
      <c r="Z170" s="17"/>
      <c r="AA170" s="17"/>
      <c r="AB170" s="17"/>
      <c r="AC170" s="17"/>
      <c r="AD170" s="17"/>
      <c r="AE170" s="17"/>
      <c r="AF170" s="17"/>
      <c r="AG170" s="17"/>
      <c r="AH170" s="17"/>
      <c r="AI170" s="19"/>
      <c r="AJ170" s="15"/>
    </row>
    <row r="171" spans="4:36">
      <c r="D171" s="12"/>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5"/>
    </row>
    <row r="172" spans="4:36">
      <c r="D172" s="12"/>
      <c r="E172" s="13" t="s">
        <v>67</v>
      </c>
      <c r="F172" s="13"/>
      <c r="G172" s="13"/>
      <c r="H172" s="13"/>
      <c r="I172" s="13"/>
      <c r="J172" s="13"/>
      <c r="K172" s="13"/>
      <c r="L172" s="13"/>
      <c r="M172" s="13"/>
      <c r="N172" s="13"/>
      <c r="O172" s="13"/>
      <c r="P172" s="13"/>
      <c r="Q172" s="13"/>
      <c r="R172" s="13"/>
      <c r="S172" s="13"/>
      <c r="T172" s="13"/>
      <c r="U172" s="13"/>
      <c r="V172" s="13"/>
      <c r="AG172" s="13"/>
      <c r="AH172" s="13"/>
      <c r="AI172" s="13"/>
      <c r="AJ172" s="15"/>
    </row>
    <row r="173" spans="4:36">
      <c r="D173" s="12"/>
      <c r="E173" s="13" t="s">
        <v>383</v>
      </c>
      <c r="G173" s="13"/>
      <c r="H173" s="13"/>
      <c r="I173" s="13"/>
      <c r="J173" s="13"/>
      <c r="K173" s="13"/>
      <c r="L173" s="13"/>
      <c r="M173" s="13"/>
      <c r="N173" s="13"/>
      <c r="O173" s="13"/>
      <c r="P173" s="13"/>
      <c r="Q173" s="13"/>
      <c r="R173" s="13"/>
      <c r="S173" s="13"/>
      <c r="T173" s="13"/>
      <c r="U173" s="13"/>
      <c r="V173" s="13"/>
      <c r="AG173" s="13"/>
      <c r="AH173" s="13"/>
      <c r="AI173" s="13"/>
      <c r="AJ173" s="15"/>
    </row>
    <row r="174" spans="4:36">
      <c r="D174" s="12"/>
      <c r="E174" s="13"/>
      <c r="F174" s="13"/>
      <c r="G174" s="466" t="s">
        <v>318</v>
      </c>
      <c r="H174" s="466"/>
      <c r="I174" s="449" t="s">
        <v>68</v>
      </c>
      <c r="J174" s="17"/>
      <c r="K174" s="17"/>
      <c r="L174" s="17"/>
      <c r="M174" s="17"/>
      <c r="N174" s="466" t="s">
        <v>317</v>
      </c>
      <c r="O174" s="466"/>
      <c r="P174" s="17"/>
      <c r="Q174" s="17"/>
      <c r="R174" s="17"/>
      <c r="S174" s="17"/>
      <c r="T174" s="17"/>
      <c r="V174" s="449" t="s">
        <v>68</v>
      </c>
      <c r="W174" s="17"/>
      <c r="X174" s="17"/>
      <c r="Y174" s="17"/>
      <c r="Z174" s="17"/>
      <c r="AA174" s="466" t="s">
        <v>323</v>
      </c>
      <c r="AB174" s="466"/>
      <c r="AC174" s="17"/>
      <c r="AD174" s="17"/>
      <c r="AE174" s="17"/>
      <c r="AF174" s="17"/>
      <c r="AG174" s="13"/>
      <c r="AH174" s="13"/>
      <c r="AI174" s="13"/>
      <c r="AJ174" s="15"/>
    </row>
    <row r="175" spans="4:36">
      <c r="D175" s="12"/>
      <c r="E175" s="13"/>
      <c r="F175" s="13"/>
      <c r="G175" s="360" t="s">
        <v>319</v>
      </c>
      <c r="H175" s="360"/>
      <c r="I175" s="449"/>
      <c r="J175" s="360" t="s">
        <v>322</v>
      </c>
      <c r="K175" s="360"/>
      <c r="L175" s="41" t="s">
        <v>320</v>
      </c>
      <c r="M175" s="13" t="s">
        <v>263</v>
      </c>
      <c r="N175" s="360" t="s">
        <v>318</v>
      </c>
      <c r="O175" s="360"/>
      <c r="P175" s="13" t="s">
        <v>70</v>
      </c>
      <c r="Q175" s="360" t="s">
        <v>321</v>
      </c>
      <c r="R175" s="360"/>
      <c r="S175" s="360"/>
      <c r="T175" s="360"/>
      <c r="U175" s="13" t="s">
        <v>83</v>
      </c>
      <c r="V175" s="449"/>
      <c r="W175" s="360" t="s">
        <v>324</v>
      </c>
      <c r="X175" s="360"/>
      <c r="Y175" s="41" t="s">
        <v>320</v>
      </c>
      <c r="Z175" s="13" t="s">
        <v>263</v>
      </c>
      <c r="AA175" s="360" t="s">
        <v>318</v>
      </c>
      <c r="AB175" s="360"/>
      <c r="AC175" s="13" t="s">
        <v>70</v>
      </c>
      <c r="AD175" s="360" t="s">
        <v>325</v>
      </c>
      <c r="AE175" s="360"/>
      <c r="AF175" s="13" t="s">
        <v>83</v>
      </c>
      <c r="AG175" s="13"/>
      <c r="AH175" s="13"/>
      <c r="AI175" s="13"/>
      <c r="AJ175" s="15"/>
    </row>
    <row r="176" spans="4:36">
      <c r="D176" s="12"/>
      <c r="E176" s="13"/>
      <c r="F176" s="13"/>
      <c r="G176" s="35"/>
      <c r="H176" s="35"/>
      <c r="I176" s="28"/>
      <c r="J176" s="35"/>
      <c r="K176" s="35"/>
      <c r="L176" s="41"/>
      <c r="M176" s="13"/>
      <c r="N176" s="35"/>
      <c r="O176" s="35"/>
      <c r="P176" s="13"/>
      <c r="Q176" s="35"/>
      <c r="R176" s="35"/>
      <c r="S176" s="13"/>
      <c r="T176" s="28"/>
      <c r="U176" s="35"/>
      <c r="V176" s="35"/>
      <c r="W176" s="41"/>
      <c r="X176" s="13"/>
      <c r="Y176" s="35"/>
      <c r="Z176" s="35"/>
      <c r="AA176" s="13"/>
      <c r="AB176" s="35"/>
      <c r="AC176" s="35"/>
      <c r="AD176" s="13"/>
      <c r="AE176" s="28"/>
      <c r="AF176" s="149"/>
      <c r="AG176" s="13"/>
      <c r="AH176" s="13"/>
      <c r="AI176" s="13"/>
      <c r="AJ176" s="15"/>
    </row>
    <row r="177" spans="4:36">
      <c r="D177" s="12"/>
      <c r="E177" s="13"/>
      <c r="F177" s="449" t="s">
        <v>2</v>
      </c>
      <c r="G177" s="457">
        <f>W87</f>
        <v>24.508123131949841</v>
      </c>
      <c r="H177" s="457"/>
      <c r="I177" s="449" t="s">
        <v>68</v>
      </c>
      <c r="J177" s="17"/>
      <c r="K177" s="17"/>
      <c r="L177" s="17"/>
      <c r="M177" s="17"/>
      <c r="N177" s="457">
        <f>K96</f>
        <v>139.37707350348617</v>
      </c>
      <c r="O177" s="457"/>
      <c r="P177" s="17"/>
      <c r="Q177" s="17"/>
      <c r="R177" s="17"/>
      <c r="S177" s="17"/>
      <c r="T177" s="17"/>
      <c r="V177" s="449" t="s">
        <v>68</v>
      </c>
      <c r="W177" s="17"/>
      <c r="X177" s="17"/>
      <c r="Y177" s="17"/>
      <c r="Z177" s="17"/>
      <c r="AA177" s="457">
        <f>K99</f>
        <v>0</v>
      </c>
      <c r="AB177" s="457"/>
      <c r="AC177" s="17"/>
      <c r="AD177" s="17"/>
      <c r="AE177" s="17"/>
      <c r="AF177" s="17"/>
      <c r="AG177" s="13"/>
      <c r="AH177" s="13"/>
      <c r="AI177" s="13"/>
      <c r="AJ177" s="15"/>
    </row>
    <row r="178" spans="4:36">
      <c r="D178" s="12"/>
      <c r="E178" s="13"/>
      <c r="F178" s="449"/>
      <c r="G178" s="380">
        <f>K120</f>
        <v>168.81326732673267</v>
      </c>
      <c r="H178" s="380"/>
      <c r="I178" s="449"/>
      <c r="J178" s="433">
        <f>K139</f>
        <v>179.39999999999998</v>
      </c>
      <c r="K178" s="433"/>
      <c r="L178" s="41" t="s">
        <v>320</v>
      </c>
      <c r="M178" s="13" t="s">
        <v>263</v>
      </c>
      <c r="N178" s="380">
        <f>W87</f>
        <v>24.508123131949841</v>
      </c>
      <c r="O178" s="380"/>
      <c r="P178" s="13" t="s">
        <v>70</v>
      </c>
      <c r="Q178" s="433">
        <f>M157</f>
        <v>1328.2100591715975</v>
      </c>
      <c r="R178" s="433"/>
      <c r="S178" s="433"/>
      <c r="T178" s="433"/>
      <c r="U178" s="13" t="s">
        <v>83</v>
      </c>
      <c r="V178" s="449"/>
      <c r="W178" s="433">
        <f>M144</f>
        <v>210</v>
      </c>
      <c r="X178" s="433"/>
      <c r="Y178" s="41" t="s">
        <v>320</v>
      </c>
      <c r="Z178" s="13" t="s">
        <v>263</v>
      </c>
      <c r="AA178" s="380">
        <f>W87</f>
        <v>24.508123131949841</v>
      </c>
      <c r="AB178" s="380"/>
      <c r="AC178" s="13" t="s">
        <v>70</v>
      </c>
      <c r="AD178" s="380">
        <f>M162</f>
        <v>452.70710059171591</v>
      </c>
      <c r="AE178" s="380"/>
      <c r="AF178" s="13" t="s">
        <v>83</v>
      </c>
      <c r="AG178" s="13"/>
      <c r="AH178" s="13"/>
      <c r="AI178" s="13"/>
      <c r="AJ178" s="15"/>
    </row>
    <row r="179" spans="4:36">
      <c r="D179" s="12"/>
      <c r="E179" s="13"/>
      <c r="F179" s="28"/>
      <c r="G179" s="35"/>
      <c r="H179" s="35"/>
      <c r="I179" s="28"/>
      <c r="J179" s="35"/>
      <c r="K179" s="35"/>
      <c r="L179" s="41"/>
      <c r="M179" s="13"/>
      <c r="N179" s="35"/>
      <c r="O179" s="35"/>
      <c r="P179" s="13"/>
      <c r="Q179" s="35"/>
      <c r="R179" s="35"/>
      <c r="S179" s="13"/>
      <c r="T179" s="28"/>
      <c r="U179" s="35"/>
      <c r="V179" s="35"/>
      <c r="W179" s="41"/>
      <c r="X179" s="13"/>
      <c r="Y179" s="35"/>
      <c r="Z179" s="35"/>
      <c r="AA179" s="13"/>
      <c r="AB179" s="35"/>
      <c r="AC179" s="35"/>
      <c r="AD179" s="13"/>
      <c r="AE179" s="28"/>
      <c r="AF179" s="149"/>
      <c r="AG179" s="13"/>
      <c r="AH179" s="13"/>
      <c r="AI179" s="13"/>
      <c r="AJ179" s="15"/>
    </row>
    <row r="180" spans="4:36">
      <c r="D180" s="12"/>
      <c r="E180" s="13"/>
      <c r="F180" s="13" t="s">
        <v>2</v>
      </c>
      <c r="G180" s="853">
        <f>G177/G178</f>
        <v>0.14517889215730392</v>
      </c>
      <c r="H180" s="853"/>
      <c r="I180" s="28" t="s">
        <v>68</v>
      </c>
      <c r="J180" s="853">
        <f>N177/(J178*(1-N178/Q178))</f>
        <v>0.7915117334473164</v>
      </c>
      <c r="K180" s="853"/>
      <c r="L180" s="853"/>
      <c r="M180" s="853"/>
      <c r="N180" s="853"/>
      <c r="O180" s="853"/>
      <c r="P180" s="853"/>
      <c r="Q180" s="853"/>
      <c r="R180" s="853"/>
      <c r="S180" s="853"/>
      <c r="T180" s="28" t="s">
        <v>68</v>
      </c>
      <c r="U180" s="853">
        <f>AA177/(W178*(1-AA178/AD178))</f>
        <v>0</v>
      </c>
      <c r="V180" s="853"/>
      <c r="W180" s="853"/>
      <c r="X180" s="853"/>
      <c r="Y180" s="853"/>
      <c r="Z180" s="853"/>
      <c r="AA180" s="853"/>
      <c r="AB180" s="853"/>
      <c r="AC180" s="853"/>
      <c r="AD180" s="853"/>
      <c r="AE180" s="28"/>
      <c r="AF180" s="149"/>
      <c r="AG180" s="13"/>
      <c r="AH180" s="13"/>
      <c r="AI180" s="13"/>
      <c r="AJ180" s="15"/>
    </row>
    <row r="181" spans="4:36">
      <c r="D181" s="12"/>
      <c r="E181" s="13"/>
      <c r="F181" s="13"/>
      <c r="G181" s="165"/>
      <c r="H181" s="165"/>
      <c r="I181" s="28"/>
      <c r="J181" s="165"/>
      <c r="K181" s="165"/>
      <c r="L181" s="165"/>
      <c r="M181" s="165"/>
      <c r="N181" s="165"/>
      <c r="O181" s="165"/>
      <c r="P181" s="165"/>
      <c r="Q181" s="165"/>
      <c r="R181" s="165"/>
      <c r="S181" s="165"/>
      <c r="T181" s="28"/>
      <c r="U181" s="165"/>
      <c r="V181" s="165"/>
      <c r="W181" s="165"/>
      <c r="X181" s="165"/>
      <c r="Y181" s="165"/>
      <c r="Z181" s="165"/>
      <c r="AA181" s="165"/>
      <c r="AB181" s="165"/>
      <c r="AC181" s="165"/>
      <c r="AD181" s="165"/>
      <c r="AE181" s="28"/>
      <c r="AF181" s="149"/>
      <c r="AG181" s="13"/>
      <c r="AH181" s="13"/>
      <c r="AI181" s="13"/>
      <c r="AJ181" s="15"/>
    </row>
    <row r="182" spans="4:36">
      <c r="D182" s="12"/>
      <c r="E182" s="13"/>
      <c r="F182" s="13" t="s">
        <v>2</v>
      </c>
      <c r="G182" s="854">
        <f>G180+J180+U180</f>
        <v>0.93669062560462035</v>
      </c>
      <c r="H182" s="855"/>
      <c r="I182" s="28"/>
      <c r="J182" s="13" t="str">
        <f>IF(G182&lt;=K182, "≦","&gt;")</f>
        <v>≦</v>
      </c>
      <c r="K182" s="31">
        <v>1</v>
      </c>
      <c r="L182" s="165"/>
      <c r="M182" s="462" t="str">
        <f>IF(J182="≦","OK","NG")</f>
        <v>OK</v>
      </c>
      <c r="N182" s="463"/>
      <c r="O182" s="464"/>
      <c r="P182" s="34"/>
      <c r="Q182" s="13"/>
      <c r="R182" s="13"/>
      <c r="S182" s="13"/>
      <c r="T182" s="31"/>
      <c r="AC182" s="165"/>
      <c r="AD182" s="165"/>
      <c r="AE182" s="28"/>
      <c r="AF182" s="149"/>
      <c r="AG182" s="13"/>
      <c r="AH182" s="13"/>
      <c r="AI182" s="13"/>
      <c r="AJ182" s="15"/>
    </row>
    <row r="183" spans="4:36">
      <c r="D183" s="12"/>
      <c r="E183" s="13"/>
      <c r="F183" s="13"/>
      <c r="G183" s="13"/>
      <c r="H183" s="13"/>
      <c r="I183" s="13"/>
      <c r="J183" s="13"/>
      <c r="K183" s="13"/>
      <c r="L183" s="13"/>
      <c r="M183" s="13"/>
      <c r="N183" s="13"/>
      <c r="O183" s="13"/>
      <c r="P183" s="13"/>
      <c r="Q183" s="13"/>
      <c r="R183" s="13"/>
      <c r="S183" s="13"/>
      <c r="T183" s="13"/>
      <c r="AC183" s="13"/>
      <c r="AD183" s="13"/>
      <c r="AE183" s="13"/>
      <c r="AF183" s="13"/>
      <c r="AG183" s="13"/>
      <c r="AH183" s="13"/>
      <c r="AI183" s="13"/>
      <c r="AJ183" s="15"/>
    </row>
    <row r="184" spans="4:36">
      <c r="D184" s="12"/>
      <c r="E184" s="13" t="s">
        <v>384</v>
      </c>
      <c r="F184" s="13"/>
      <c r="G184" s="13"/>
      <c r="H184" s="13"/>
      <c r="I184" s="13"/>
      <c r="J184" s="13"/>
      <c r="K184" s="13"/>
      <c r="L184" s="13"/>
      <c r="M184" s="13"/>
      <c r="N184" s="13"/>
      <c r="O184" s="13"/>
      <c r="P184" s="13"/>
      <c r="Q184" s="13"/>
      <c r="R184" s="13"/>
      <c r="S184" s="13"/>
      <c r="T184" s="13"/>
      <c r="AC184" s="13"/>
      <c r="AD184" s="13"/>
      <c r="AE184" s="13"/>
      <c r="AF184" s="13"/>
      <c r="AG184" s="13"/>
      <c r="AH184" s="13"/>
      <c r="AI184" s="13"/>
      <c r="AJ184" s="15"/>
    </row>
    <row r="185" spans="4:36">
      <c r="D185" s="12"/>
      <c r="E185" s="13"/>
      <c r="F185" s="13"/>
      <c r="G185" s="465" t="s">
        <v>318</v>
      </c>
      <c r="H185" s="465"/>
      <c r="I185" s="449" t="s">
        <v>68</v>
      </c>
      <c r="J185" s="17"/>
      <c r="K185" s="17"/>
      <c r="L185" s="17"/>
      <c r="M185" s="466" t="s">
        <v>317</v>
      </c>
      <c r="N185" s="466"/>
      <c r="O185" s="17"/>
      <c r="P185" s="17"/>
      <c r="Q185" s="17"/>
      <c r="R185" s="17"/>
      <c r="S185" s="17"/>
      <c r="T185" s="449" t="s">
        <v>68</v>
      </c>
      <c r="U185" s="17"/>
      <c r="V185" s="17"/>
      <c r="W185" s="17"/>
      <c r="X185" s="466" t="s">
        <v>323</v>
      </c>
      <c r="Y185" s="466"/>
      <c r="Z185" s="17"/>
      <c r="AA185" s="17"/>
      <c r="AB185" s="17"/>
      <c r="AJ185" s="15"/>
    </row>
    <row r="186" spans="4:36">
      <c r="D186" s="12"/>
      <c r="E186" s="13"/>
      <c r="F186" s="13"/>
      <c r="G186" s="465"/>
      <c r="H186" s="465"/>
      <c r="I186" s="449"/>
      <c r="J186" s="13" t="s">
        <v>320</v>
      </c>
      <c r="K186" s="13" t="s">
        <v>263</v>
      </c>
      <c r="L186" s="360" t="s">
        <v>318</v>
      </c>
      <c r="M186" s="360"/>
      <c r="N186" s="13" t="s">
        <v>70</v>
      </c>
      <c r="O186" s="360" t="s">
        <v>321</v>
      </c>
      <c r="P186" s="360"/>
      <c r="Q186" s="360"/>
      <c r="R186" s="360"/>
      <c r="S186" s="13" t="s">
        <v>83</v>
      </c>
      <c r="T186" s="449"/>
      <c r="U186" s="13" t="s">
        <v>320</v>
      </c>
      <c r="V186" s="13" t="s">
        <v>263</v>
      </c>
      <c r="W186" s="360" t="s">
        <v>318</v>
      </c>
      <c r="X186" s="360"/>
      <c r="Y186" s="13" t="s">
        <v>70</v>
      </c>
      <c r="Z186" s="360" t="s">
        <v>325</v>
      </c>
      <c r="AA186" s="360"/>
      <c r="AB186" s="13" t="s">
        <v>83</v>
      </c>
      <c r="AJ186" s="15"/>
    </row>
    <row r="187" spans="4:36">
      <c r="D187" s="12"/>
      <c r="E187" s="13"/>
      <c r="F187" s="13"/>
      <c r="G187" s="13"/>
      <c r="H187" s="13"/>
      <c r="I187" s="13"/>
      <c r="J187" s="13"/>
      <c r="K187" s="13"/>
      <c r="L187" s="13"/>
      <c r="M187" s="13"/>
      <c r="N187" s="13"/>
      <c r="O187" s="13"/>
      <c r="P187" s="13"/>
      <c r="Q187" s="13"/>
      <c r="R187" s="13"/>
      <c r="S187" s="13"/>
      <c r="T187" s="13"/>
      <c r="U187" s="13"/>
      <c r="V187" s="13"/>
      <c r="W187" s="13"/>
      <c r="X187"/>
      <c r="Y187" s="13"/>
      <c r="Z187" s="13"/>
      <c r="AA187" s="13"/>
      <c r="AB187" s="13"/>
      <c r="AC187" s="13"/>
      <c r="AD187" s="13"/>
      <c r="AE187" s="13"/>
      <c r="AF187" s="13"/>
      <c r="AG187" s="13"/>
      <c r="AH187" s="13"/>
      <c r="AI187" s="13"/>
      <c r="AJ187" s="15"/>
    </row>
    <row r="188" spans="4:36">
      <c r="D188" s="12"/>
      <c r="E188" s="13"/>
      <c r="F188" s="449" t="s">
        <v>2</v>
      </c>
      <c r="G188" s="456">
        <f>W87</f>
        <v>24.508123131949841</v>
      </c>
      <c r="H188" s="456"/>
      <c r="I188" s="449" t="s">
        <v>68</v>
      </c>
      <c r="J188" s="17"/>
      <c r="K188" s="17"/>
      <c r="L188" s="17"/>
      <c r="M188" s="457">
        <f>K96</f>
        <v>139.37707350348617</v>
      </c>
      <c r="N188" s="457"/>
      <c r="O188" s="17"/>
      <c r="P188" s="17"/>
      <c r="Q188" s="17"/>
      <c r="R188" s="17"/>
      <c r="S188" s="17"/>
      <c r="T188" s="449" t="s">
        <v>68</v>
      </c>
      <c r="U188" s="17"/>
      <c r="V188" s="17"/>
      <c r="W188" s="17"/>
      <c r="X188" s="457">
        <f>K99</f>
        <v>0</v>
      </c>
      <c r="Y188" s="457"/>
      <c r="Z188" s="17"/>
      <c r="AA188" s="17"/>
      <c r="AB188" s="17"/>
      <c r="AC188" s="313"/>
      <c r="AD188" s="13"/>
      <c r="AE188" s="13"/>
      <c r="AF188" s="13"/>
      <c r="AG188" s="13"/>
      <c r="AH188" s="13"/>
      <c r="AI188" s="13"/>
      <c r="AJ188" s="15"/>
    </row>
    <row r="189" spans="4:36">
      <c r="D189" s="12"/>
      <c r="E189" s="13"/>
      <c r="F189" s="449"/>
      <c r="G189" s="456"/>
      <c r="H189" s="456"/>
      <c r="I189" s="449"/>
      <c r="J189" s="13" t="s">
        <v>320</v>
      </c>
      <c r="K189" s="13" t="s">
        <v>263</v>
      </c>
      <c r="L189" s="380">
        <f>W87</f>
        <v>24.508123131949841</v>
      </c>
      <c r="M189" s="380"/>
      <c r="N189" s="13" t="s">
        <v>70</v>
      </c>
      <c r="O189" s="433">
        <f>M157</f>
        <v>1328.2100591715975</v>
      </c>
      <c r="P189" s="433"/>
      <c r="Q189" s="433"/>
      <c r="R189" s="433"/>
      <c r="S189" s="13" t="s">
        <v>83</v>
      </c>
      <c r="T189" s="449"/>
      <c r="U189" s="13" t="s">
        <v>320</v>
      </c>
      <c r="V189" s="13" t="s">
        <v>263</v>
      </c>
      <c r="W189" s="380">
        <f>W87</f>
        <v>24.508123131949841</v>
      </c>
      <c r="X189" s="380"/>
      <c r="Y189" s="13" t="s">
        <v>70</v>
      </c>
      <c r="Z189" s="380">
        <f>M162</f>
        <v>452.70710059171591</v>
      </c>
      <c r="AA189" s="380"/>
      <c r="AB189" s="13" t="s">
        <v>83</v>
      </c>
      <c r="AC189" s="313"/>
      <c r="AD189" s="13"/>
      <c r="AE189" s="13"/>
      <c r="AF189" s="13"/>
      <c r="AG189" s="13"/>
      <c r="AH189" s="13"/>
      <c r="AI189" s="13"/>
      <c r="AJ189" s="15"/>
    </row>
    <row r="190" spans="4:36">
      <c r="D190" s="12"/>
      <c r="E190" s="13"/>
      <c r="F190" s="13"/>
      <c r="G190" s="13"/>
      <c r="H190" s="13"/>
      <c r="I190" s="13"/>
      <c r="J190" s="13"/>
      <c r="K190" s="13"/>
      <c r="L190" s="13"/>
      <c r="M190" s="13"/>
      <c r="N190" s="13"/>
      <c r="O190" s="13"/>
      <c r="P190" s="13"/>
      <c r="Q190" s="13"/>
      <c r="R190" s="13"/>
      <c r="S190" s="13"/>
      <c r="T190" s="13"/>
      <c r="U190" s="13"/>
      <c r="V190" s="13"/>
      <c r="W190" s="13"/>
      <c r="X190"/>
      <c r="Y190" s="13"/>
      <c r="Z190" s="13"/>
      <c r="AA190" s="13"/>
      <c r="AB190" s="13"/>
      <c r="AC190" s="13"/>
      <c r="AD190" s="13"/>
      <c r="AE190" s="13"/>
      <c r="AF190" s="13"/>
      <c r="AG190" s="13"/>
      <c r="AH190" s="13"/>
      <c r="AI190" s="13"/>
      <c r="AJ190" s="15"/>
    </row>
    <row r="191" spans="4:36">
      <c r="D191" s="12"/>
      <c r="E191" s="13"/>
      <c r="F191" s="13" t="s">
        <v>2</v>
      </c>
      <c r="G191" s="436">
        <f>G188</f>
        <v>24.508123131949841</v>
      </c>
      <c r="H191" s="436"/>
      <c r="I191" s="13" t="s">
        <v>68</v>
      </c>
      <c r="J191" s="436">
        <f>M188/(1-L189/O189)</f>
        <v>141.99720498044854</v>
      </c>
      <c r="K191" s="436"/>
      <c r="L191" s="436"/>
      <c r="M191" s="436"/>
      <c r="N191" s="436"/>
      <c r="O191" s="436"/>
      <c r="P191" s="436"/>
      <c r="Q191" s="436"/>
      <c r="R191" s="13" t="s">
        <v>68</v>
      </c>
      <c r="S191" s="436">
        <f>X188/(1-W189/Z189)</f>
        <v>0</v>
      </c>
      <c r="T191" s="436"/>
      <c r="U191" s="436"/>
      <c r="V191" s="436"/>
      <c r="W191" s="436"/>
      <c r="X191" s="436"/>
      <c r="Y191" s="436"/>
      <c r="Z191" s="436"/>
      <c r="AA191" s="13"/>
      <c r="AB191" s="13"/>
      <c r="AC191" s="13"/>
      <c r="AD191" s="13"/>
      <c r="AE191" s="13"/>
      <c r="AF191" s="13"/>
      <c r="AG191" s="13"/>
      <c r="AH191" s="13"/>
      <c r="AI191" s="13"/>
      <c r="AJ191" s="15"/>
    </row>
    <row r="192" spans="4:36">
      <c r="D192" s="12"/>
      <c r="E192" s="13"/>
      <c r="F192" s="13"/>
      <c r="G192" s="13"/>
      <c r="H192" s="13"/>
      <c r="I192" s="13"/>
      <c r="J192" s="13"/>
      <c r="K192" s="13"/>
      <c r="L192" s="13"/>
      <c r="M192" s="13"/>
      <c r="N192" s="13"/>
      <c r="O192" s="13"/>
      <c r="P192" s="13"/>
      <c r="Q192" s="13"/>
      <c r="R192" s="13"/>
      <c r="S192" s="13"/>
      <c r="T192" s="13"/>
      <c r="U192" s="13"/>
      <c r="V192" s="13"/>
      <c r="W192" s="13"/>
      <c r="X192"/>
      <c r="Y192" s="13"/>
      <c r="Z192" s="13"/>
      <c r="AA192" s="13"/>
      <c r="AB192" s="13"/>
      <c r="AC192" s="13"/>
      <c r="AD192" s="13"/>
      <c r="AE192" s="13"/>
      <c r="AF192" s="13"/>
      <c r="AG192" s="13"/>
      <c r="AH192" s="13"/>
      <c r="AI192" s="13"/>
      <c r="AJ192" s="15"/>
    </row>
    <row r="193" spans="3:36" ht="20.25">
      <c r="D193" s="12"/>
      <c r="E193" s="13"/>
      <c r="F193" s="13" t="s">
        <v>2</v>
      </c>
      <c r="G193" s="849">
        <f>G191+J191+S191</f>
        <v>166.50532811239839</v>
      </c>
      <c r="H193" s="850"/>
      <c r="I193" s="851"/>
      <c r="J193" s="13"/>
      <c r="K193" s="13" t="str">
        <f>IF(G193&lt;=O193, "≦","&gt;")</f>
        <v>≦</v>
      </c>
      <c r="L193" s="465" t="s">
        <v>327</v>
      </c>
      <c r="M193" s="465"/>
      <c r="N193" s="13" t="s">
        <v>2</v>
      </c>
      <c r="O193" s="436">
        <f>M149</f>
        <v>210</v>
      </c>
      <c r="P193" s="436"/>
      <c r="Q193" s="436"/>
      <c r="R193" s="462" t="str">
        <f>IF(K193="≦","OK","NG")</f>
        <v>OK</v>
      </c>
      <c r="S193" s="463"/>
      <c r="T193" s="464"/>
      <c r="U193" s="13"/>
      <c r="V193" s="13"/>
      <c r="W193" s="13"/>
      <c r="X193" s="13"/>
      <c r="Y193" s="13"/>
      <c r="Z193" s="13"/>
      <c r="AA193" s="13"/>
      <c r="AB193" s="13"/>
      <c r="AC193" s="13"/>
      <c r="AD193" s="13"/>
      <c r="AE193" s="13"/>
      <c r="AF193" s="13"/>
      <c r="AG193" s="13"/>
      <c r="AH193" s="13"/>
      <c r="AI193" s="13"/>
      <c r="AJ193" s="15"/>
    </row>
    <row r="194" spans="3:36">
      <c r="D194" s="12"/>
      <c r="E194" s="13"/>
      <c r="F194" s="13"/>
      <c r="G194" s="147"/>
      <c r="H194" s="147"/>
      <c r="I194" s="147"/>
      <c r="J194" s="13"/>
      <c r="K194" s="13"/>
      <c r="L194" s="36"/>
      <c r="M194" s="36"/>
      <c r="N194" s="13"/>
      <c r="O194" s="14"/>
      <c r="P194" s="14"/>
      <c r="Q194" s="14"/>
      <c r="R194" s="14"/>
      <c r="S194" s="14"/>
      <c r="T194" s="14"/>
      <c r="U194" s="13"/>
      <c r="V194" s="13"/>
      <c r="W194" s="13"/>
      <c r="X194" s="13"/>
      <c r="Y194" s="13"/>
      <c r="Z194" s="13"/>
      <c r="AA194" s="13"/>
      <c r="AB194" s="13"/>
      <c r="AC194" s="13"/>
      <c r="AD194" s="13"/>
      <c r="AE194" s="13"/>
      <c r="AF194" s="13"/>
      <c r="AG194" s="13"/>
      <c r="AH194" s="13"/>
      <c r="AI194" s="13"/>
      <c r="AJ194" s="15"/>
    </row>
    <row r="195" spans="3:36">
      <c r="D195" s="12"/>
      <c r="E195" s="13"/>
      <c r="F195" s="13"/>
      <c r="G195" s="147"/>
      <c r="H195" s="147"/>
      <c r="I195" s="147"/>
      <c r="J195" s="13"/>
      <c r="K195" s="13"/>
      <c r="L195" s="36"/>
      <c r="M195" s="36"/>
      <c r="N195" s="13"/>
      <c r="O195" s="14"/>
      <c r="P195" s="14"/>
      <c r="Q195" s="14"/>
      <c r="R195" s="14"/>
      <c r="S195" s="14"/>
      <c r="T195" s="14"/>
      <c r="U195" s="13"/>
      <c r="V195" s="13"/>
      <c r="W195" s="13"/>
      <c r="X195" s="13"/>
      <c r="Y195" s="13"/>
      <c r="Z195" s="13"/>
      <c r="AA195" s="13"/>
      <c r="AB195" s="13"/>
      <c r="AC195" s="13"/>
      <c r="AD195" s="13"/>
      <c r="AE195" s="13"/>
      <c r="AF195" s="13"/>
      <c r="AG195" s="13"/>
      <c r="AH195" s="13"/>
      <c r="AI195" s="13"/>
      <c r="AJ195" s="15"/>
    </row>
    <row r="196" spans="3:36">
      <c r="D196" s="12" t="s">
        <v>730</v>
      </c>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5"/>
    </row>
    <row r="197" spans="3:36">
      <c r="D197" s="12"/>
      <c r="E197" s="13" t="s">
        <v>731</v>
      </c>
      <c r="G197" s="13"/>
      <c r="H197" s="13"/>
      <c r="I197" s="13"/>
      <c r="J197" s="13"/>
      <c r="K197" s="13"/>
      <c r="L197" s="13"/>
      <c r="M197" s="13"/>
      <c r="N197" s="13"/>
      <c r="O197" s="13"/>
      <c r="W197" s="13"/>
      <c r="X197" s="13"/>
      <c r="Y197" s="13"/>
      <c r="Z197" s="13"/>
      <c r="AA197" s="13"/>
      <c r="AB197" s="13"/>
      <c r="AC197" s="13"/>
      <c r="AD197" s="13"/>
      <c r="AE197" s="13"/>
      <c r="AF197" s="13"/>
      <c r="AG197" s="13"/>
      <c r="AH197" s="13"/>
      <c r="AI197" s="13"/>
      <c r="AJ197" s="15"/>
    </row>
    <row r="198" spans="3:36">
      <c r="D198" s="12"/>
      <c r="E198" s="13"/>
      <c r="G198" s="852" t="s">
        <v>284</v>
      </c>
      <c r="H198" s="465"/>
      <c r="I198" s="449" t="s">
        <v>2</v>
      </c>
      <c r="J198" s="466" t="s">
        <v>716</v>
      </c>
      <c r="K198" s="466"/>
      <c r="L198" s="144"/>
      <c r="M198" s="449" t="s">
        <v>2</v>
      </c>
      <c r="N198" s="17"/>
      <c r="O198" s="17"/>
      <c r="P198" s="452">
        <f>AD53</f>
        <v>316.27874371944938</v>
      </c>
      <c r="Q198" s="452"/>
      <c r="R198" s="452"/>
      <c r="S198" s="17" t="s">
        <v>27</v>
      </c>
      <c r="T198" s="617">
        <v>1000</v>
      </c>
      <c r="U198" s="617"/>
      <c r="V198" s="617"/>
      <c r="W198" s="17"/>
      <c r="X198" s="17"/>
      <c r="Y198" s="17"/>
      <c r="Z198" s="13"/>
      <c r="AA198" s="13"/>
      <c r="AB198" s="13"/>
      <c r="AC198" s="13"/>
      <c r="AD198" s="13"/>
      <c r="AE198" s="13"/>
      <c r="AF198" s="13"/>
      <c r="AG198" s="13"/>
      <c r="AH198" s="13"/>
      <c r="AI198" s="13"/>
      <c r="AJ198" s="15"/>
    </row>
    <row r="199" spans="3:36">
      <c r="D199" s="12"/>
      <c r="E199" s="13"/>
      <c r="G199" s="465"/>
      <c r="H199" s="465"/>
      <c r="I199" s="449"/>
      <c r="J199" s="467" t="s">
        <v>285</v>
      </c>
      <c r="K199" s="467"/>
      <c r="L199" s="145"/>
      <c r="M199" s="449"/>
      <c r="N199" s="1" t="s">
        <v>69</v>
      </c>
      <c r="O199" s="847">
        <f>'1.設計条件'!T56</f>
        <v>400</v>
      </c>
      <c r="P199" s="847"/>
      <c r="Q199" s="31" t="s">
        <v>263</v>
      </c>
      <c r="R199" s="31">
        <v>2</v>
      </c>
      <c r="S199" s="31" t="s">
        <v>27</v>
      </c>
      <c r="T199" s="847">
        <f>'1.設計条件'!T59</f>
        <v>21</v>
      </c>
      <c r="U199" s="847"/>
      <c r="V199" s="13" t="s">
        <v>83</v>
      </c>
      <c r="W199" s="13" t="s">
        <v>27</v>
      </c>
      <c r="X199" s="847">
        <f>'1.設計条件'!T58</f>
        <v>13</v>
      </c>
      <c r="Y199" s="847"/>
      <c r="AG199" s="13"/>
      <c r="AH199" s="13"/>
      <c r="AI199" s="13"/>
      <c r="AJ199" s="15"/>
    </row>
    <row r="200" spans="3:36">
      <c r="D200" s="12"/>
      <c r="E200" s="13"/>
      <c r="G200" s="36"/>
      <c r="H200" s="36"/>
      <c r="I200" s="28"/>
      <c r="J200" s="35"/>
      <c r="K200" s="35"/>
      <c r="L200" s="145"/>
      <c r="M200" s="28"/>
      <c r="N200" s="27"/>
      <c r="O200" s="27"/>
      <c r="P200" s="27"/>
      <c r="Q200" s="13"/>
      <c r="R200" s="27"/>
      <c r="S200" s="27"/>
      <c r="T200" s="13"/>
      <c r="U200" s="13"/>
      <c r="V200" s="13"/>
      <c r="W200" s="13"/>
      <c r="X200" s="13"/>
      <c r="Y200" s="13"/>
      <c r="Z200" s="13"/>
      <c r="AA200" s="13"/>
      <c r="AB200" s="13"/>
      <c r="AC200" s="13"/>
      <c r="AD200" s="13"/>
      <c r="AE200" s="13"/>
      <c r="AF200" s="13"/>
      <c r="AG200" s="13"/>
      <c r="AH200" s="13"/>
      <c r="AI200" s="13"/>
      <c r="AJ200" s="15"/>
    </row>
    <row r="201" spans="3:36" ht="20.25">
      <c r="D201" s="12"/>
      <c r="E201" s="13"/>
      <c r="F201" s="13"/>
      <c r="G201" s="13"/>
      <c r="H201" s="13"/>
      <c r="I201" s="13" t="s">
        <v>2</v>
      </c>
      <c r="J201" s="462">
        <f>P198*T198/(O199-R199*T199)/X199</f>
        <v>67.958475229791446</v>
      </c>
      <c r="K201" s="463"/>
      <c r="L201" s="464"/>
      <c r="M201" s="13" t="s">
        <v>48</v>
      </c>
      <c r="N201" s="13"/>
      <c r="O201" s="13"/>
      <c r="P201" s="13"/>
      <c r="Q201" s="13" t="str">
        <f>IF(J201&lt;=U201, "≦","&gt;")</f>
        <v>≦</v>
      </c>
      <c r="R201" s="359" t="s">
        <v>296</v>
      </c>
      <c r="S201" s="360"/>
      <c r="T201" s="13" t="s">
        <v>2</v>
      </c>
      <c r="U201" s="436">
        <f>'1.設計条件'!N65</f>
        <v>120</v>
      </c>
      <c r="V201" s="436"/>
      <c r="W201" s="436"/>
      <c r="X201" s="13" t="s">
        <v>48</v>
      </c>
      <c r="Y201" s="13"/>
      <c r="Z201" s="13"/>
      <c r="AA201" s="13"/>
      <c r="AB201" s="462" t="str">
        <f>IF(Q201="≦","OK","NG")</f>
        <v>OK</v>
      </c>
      <c r="AC201" s="463"/>
      <c r="AD201" s="464"/>
      <c r="AE201" s="13"/>
      <c r="AF201" s="13"/>
      <c r="AG201" s="13"/>
      <c r="AH201" s="13"/>
      <c r="AI201" s="13"/>
      <c r="AJ201" s="15"/>
    </row>
    <row r="202" spans="3:36">
      <c r="D202" s="12"/>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5"/>
    </row>
    <row r="203" spans="3:36">
      <c r="D203" s="16"/>
      <c r="E203" s="17"/>
      <c r="F203" s="17"/>
      <c r="G203" s="17"/>
      <c r="H203" s="17"/>
      <c r="I203" s="17"/>
      <c r="J203" s="17"/>
      <c r="K203" s="17"/>
      <c r="L203" s="17"/>
      <c r="M203" s="17"/>
      <c r="N203" s="17"/>
      <c r="O203" s="17"/>
      <c r="P203" s="17"/>
      <c r="Q203" s="17"/>
      <c r="R203" s="17"/>
      <c r="S203" s="17"/>
      <c r="T203" s="17"/>
      <c r="U203" s="17"/>
      <c r="V203" s="17"/>
      <c r="W203" s="17"/>
      <c r="X203" s="17"/>
      <c r="Y203" s="17"/>
      <c r="Z203" s="17"/>
      <c r="AA203" s="17"/>
      <c r="AB203" s="17"/>
      <c r="AC203" s="17"/>
      <c r="AD203" s="17"/>
      <c r="AE203" s="17"/>
      <c r="AF203" s="17"/>
      <c r="AG203" s="17"/>
      <c r="AH203" s="17"/>
      <c r="AI203" s="17"/>
      <c r="AJ203" s="19"/>
    </row>
    <row r="205" spans="3:36">
      <c r="C205" s="1" t="s">
        <v>836</v>
      </c>
      <c r="X205" t="s">
        <v>297</v>
      </c>
    </row>
    <row r="206" spans="3:36">
      <c r="D206" s="9" t="s">
        <v>729</v>
      </c>
      <c r="E206" s="10"/>
      <c r="F206" s="10"/>
      <c r="G206" s="10"/>
      <c r="H206" s="10"/>
      <c r="I206" s="10"/>
      <c r="J206" s="10"/>
      <c r="K206" s="10"/>
      <c r="L206" s="10"/>
      <c r="M206" s="10"/>
      <c r="N206" s="10"/>
      <c r="O206" s="10"/>
      <c r="P206" s="10"/>
      <c r="Q206" s="10"/>
      <c r="R206" s="10"/>
      <c r="S206" s="10"/>
      <c r="T206" s="10"/>
      <c r="U206" s="10"/>
      <c r="V206" s="10"/>
      <c r="W206" s="10"/>
      <c r="X206" s="3" t="s">
        <v>316</v>
      </c>
      <c r="Y206" s="10"/>
      <c r="Z206" s="10"/>
      <c r="AA206" s="10"/>
      <c r="AB206" s="10"/>
      <c r="AC206" s="10"/>
      <c r="AD206" s="10"/>
      <c r="AE206" s="10"/>
      <c r="AF206" s="10"/>
      <c r="AG206" s="10"/>
      <c r="AH206" s="10"/>
      <c r="AI206" s="10"/>
      <c r="AJ206" s="11"/>
    </row>
    <row r="207" spans="3:36">
      <c r="D207" s="12"/>
      <c r="E207" s="13"/>
      <c r="F207" s="13"/>
      <c r="G207" s="13"/>
      <c r="H207" s="13"/>
      <c r="I207" s="13"/>
      <c r="J207" s="13"/>
      <c r="K207" s="13"/>
      <c r="L207" s="13"/>
      <c r="M207" s="13"/>
      <c r="N207" s="13"/>
      <c r="O207" s="13"/>
      <c r="P207" s="13"/>
      <c r="Q207" s="13"/>
      <c r="R207" s="13"/>
      <c r="S207" s="13"/>
      <c r="T207" s="13"/>
      <c r="U207" s="13"/>
      <c r="V207" s="13"/>
      <c r="W207" s="13"/>
      <c r="Y207" s="13"/>
      <c r="Z207" s="13"/>
      <c r="AA207" s="13"/>
      <c r="AB207" s="13"/>
      <c r="AC207" s="13"/>
      <c r="AD207" s="13"/>
      <c r="AE207" s="13"/>
      <c r="AF207" s="13"/>
      <c r="AG207" s="13"/>
      <c r="AH207" s="13"/>
      <c r="AI207" s="13"/>
      <c r="AJ207" s="15"/>
    </row>
    <row r="208" spans="3:36">
      <c r="D208" s="12"/>
      <c r="E208" s="1" t="s">
        <v>399</v>
      </c>
      <c r="AJ208" s="15"/>
    </row>
    <row r="209" spans="4:36">
      <c r="D209" s="12"/>
      <c r="E209" s="13"/>
      <c r="F209" s="13" t="s">
        <v>42</v>
      </c>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5"/>
    </row>
    <row r="210" spans="4:36" ht="20.25">
      <c r="D210" s="12"/>
      <c r="E210" s="13"/>
      <c r="F210" s="9"/>
      <c r="G210" s="10"/>
      <c r="H210" s="467" t="s">
        <v>318</v>
      </c>
      <c r="I210" s="467"/>
      <c r="J210" s="10" t="s">
        <v>328</v>
      </c>
      <c r="K210" s="10"/>
      <c r="L210" s="10"/>
      <c r="M210" s="10"/>
      <c r="N210" s="10"/>
      <c r="O210" s="10"/>
      <c r="P210" s="10"/>
      <c r="Q210" s="10"/>
      <c r="R210" s="10"/>
      <c r="S210" s="10"/>
      <c r="T210" s="10"/>
      <c r="U210" s="10"/>
      <c r="V210" s="10"/>
      <c r="W210" s="10"/>
      <c r="X210" s="3"/>
      <c r="Y210" s="10"/>
      <c r="Z210" s="10"/>
      <c r="AA210" s="10"/>
      <c r="AB210" s="10"/>
      <c r="AC210" s="10"/>
      <c r="AD210" s="10"/>
      <c r="AE210" s="10"/>
      <c r="AF210" s="10"/>
      <c r="AG210" s="10"/>
      <c r="AH210" s="10"/>
      <c r="AI210" s="11"/>
      <c r="AJ210" s="15"/>
    </row>
    <row r="211" spans="4:36">
      <c r="D211" s="12"/>
      <c r="E211" s="13"/>
      <c r="F211" s="12"/>
      <c r="G211" s="13"/>
      <c r="H211" s="865" t="s">
        <v>318</v>
      </c>
      <c r="I211" s="865"/>
      <c r="J211" s="449" t="s">
        <v>2</v>
      </c>
      <c r="K211" s="161" t="s">
        <v>310</v>
      </c>
      <c r="L211" s="34"/>
      <c r="M211" s="13"/>
      <c r="N211" s="449" t="s">
        <v>2</v>
      </c>
      <c r="O211" s="451">
        <f>J60</f>
        <v>291.97053536949312</v>
      </c>
      <c r="P211" s="451"/>
      <c r="Q211" s="451"/>
      <c r="R211" s="17" t="s">
        <v>27</v>
      </c>
      <c r="S211" s="617">
        <v>1000</v>
      </c>
      <c r="T211" s="617"/>
      <c r="U211" s="13"/>
      <c r="V211" s="449" t="s">
        <v>2</v>
      </c>
      <c r="W211" s="554">
        <f>O211*S211/O212/S212</f>
        <v>18.84896935890853</v>
      </c>
      <c r="X211" s="555"/>
      <c r="Y211" s="13"/>
      <c r="Z211" s="13"/>
      <c r="AA211" s="13"/>
      <c r="AB211" s="13"/>
      <c r="AC211" s="13"/>
      <c r="AD211" s="13"/>
      <c r="AE211" s="13"/>
      <c r="AF211" s="13"/>
      <c r="AG211" s="13"/>
      <c r="AH211" s="13"/>
      <c r="AI211" s="15"/>
      <c r="AJ211" s="15"/>
    </row>
    <row r="212" spans="4:36">
      <c r="D212" s="12"/>
      <c r="E212" s="13"/>
      <c r="F212" s="12"/>
      <c r="G212" s="13"/>
      <c r="H212" s="865"/>
      <c r="I212" s="865"/>
      <c r="J212" s="449"/>
      <c r="K212" s="35" t="s">
        <v>240</v>
      </c>
      <c r="L212" s="13"/>
      <c r="M212" s="13"/>
      <c r="N212" s="449"/>
      <c r="O212" s="913">
        <f>'1.設計条件'!W60</f>
        <v>154.9</v>
      </c>
      <c r="P212" s="913"/>
      <c r="Q212" s="913"/>
      <c r="R212" s="13" t="s">
        <v>27</v>
      </c>
      <c r="S212" s="458">
        <v>100</v>
      </c>
      <c r="T212" s="458"/>
      <c r="U212" s="13"/>
      <c r="V212" s="449"/>
      <c r="W212" s="556"/>
      <c r="X212" s="557"/>
      <c r="Y212" s="13"/>
      <c r="Z212" s="13"/>
      <c r="AA212" s="13"/>
      <c r="AB212" s="13"/>
      <c r="AC212" s="13"/>
      <c r="AD212" s="13"/>
      <c r="AE212" s="13"/>
      <c r="AF212" s="13"/>
      <c r="AG212" s="13"/>
      <c r="AH212" s="13"/>
      <c r="AI212" s="15"/>
      <c r="AJ212" s="15"/>
    </row>
    <row r="213" spans="4:36">
      <c r="D213" s="12"/>
      <c r="E213" s="13"/>
      <c r="F213" s="16"/>
      <c r="G213" s="17"/>
      <c r="H213" s="168"/>
      <c r="I213" s="168"/>
      <c r="J213" s="169"/>
      <c r="K213" s="151"/>
      <c r="L213" s="17"/>
      <c r="M213" s="17"/>
      <c r="N213" s="169"/>
      <c r="O213" s="150"/>
      <c r="P213" s="150"/>
      <c r="Q213" s="150"/>
      <c r="R213" s="17"/>
      <c r="S213" s="152"/>
      <c r="T213" s="152"/>
      <c r="U213" s="17"/>
      <c r="V213" s="169"/>
      <c r="W213" s="169"/>
      <c r="X213" s="169"/>
      <c r="Y213" s="17"/>
      <c r="Z213" s="17"/>
      <c r="AA213" s="17"/>
      <c r="AB213" s="17"/>
      <c r="AC213" s="17"/>
      <c r="AD213" s="17"/>
      <c r="AE213" s="17"/>
      <c r="AF213" s="17"/>
      <c r="AG213" s="17"/>
      <c r="AH213" s="17"/>
      <c r="AI213" s="19"/>
      <c r="AJ213" s="15"/>
    </row>
    <row r="214" spans="4:36">
      <c r="D214" s="12"/>
      <c r="E214" s="13"/>
      <c r="F214" s="13"/>
      <c r="G214" s="13"/>
      <c r="H214" s="160"/>
      <c r="I214" s="160"/>
      <c r="J214" s="28"/>
      <c r="K214" s="35"/>
      <c r="L214" s="13"/>
      <c r="M214" s="13"/>
      <c r="N214" s="28"/>
      <c r="O214" s="24"/>
      <c r="P214" s="24"/>
      <c r="Q214" s="24"/>
      <c r="R214" s="13"/>
      <c r="S214" s="27"/>
      <c r="T214" s="27"/>
      <c r="U214" s="13"/>
      <c r="V214" s="28"/>
      <c r="W214" s="28"/>
      <c r="X214" s="28"/>
      <c r="Y214" s="13"/>
      <c r="Z214" s="13"/>
      <c r="AA214" s="13"/>
      <c r="AB214" s="13"/>
      <c r="AC214" s="13"/>
      <c r="AD214" s="13"/>
      <c r="AE214" s="13"/>
      <c r="AF214" s="13"/>
      <c r="AG214" s="13"/>
      <c r="AH214" s="13"/>
      <c r="AI214" s="13"/>
      <c r="AJ214" s="15"/>
    </row>
    <row r="215" spans="4:36">
      <c r="D215" s="12"/>
      <c r="E215" s="13"/>
      <c r="F215" s="13"/>
      <c r="G215" s="13"/>
      <c r="H215" s="35"/>
      <c r="I215" s="35"/>
      <c r="J215" s="160"/>
      <c r="K215" s="160"/>
      <c r="L215" s="28"/>
      <c r="M215" s="35"/>
      <c r="N215" s="13"/>
      <c r="O215" s="13"/>
      <c r="P215" s="28"/>
      <c r="Q215" s="24"/>
      <c r="R215" s="24"/>
      <c r="S215" s="24"/>
      <c r="T215" s="13"/>
      <c r="U215" s="27"/>
      <c r="V215" s="27"/>
      <c r="W215" s="13"/>
      <c r="X215" s="28"/>
      <c r="Y215" s="28"/>
      <c r="Z215" s="28"/>
      <c r="AA215" s="13"/>
      <c r="AB215" s="13"/>
      <c r="AC215" s="13"/>
      <c r="AD215" s="13"/>
      <c r="AE215" s="13"/>
      <c r="AF215" s="13"/>
      <c r="AG215" s="13"/>
      <c r="AH215" s="13"/>
      <c r="AI215" s="13"/>
      <c r="AJ215" s="15"/>
    </row>
    <row r="216" spans="4:36">
      <c r="D216" s="12"/>
      <c r="E216" s="13"/>
      <c r="F216" s="856" t="s">
        <v>317</v>
      </c>
      <c r="G216" s="857"/>
      <c r="H216" s="858" t="s">
        <v>342</v>
      </c>
      <c r="I216" s="858"/>
      <c r="J216" s="862" t="s">
        <v>370</v>
      </c>
      <c r="K216" s="862"/>
      <c r="L216" s="862"/>
      <c r="M216" s="862"/>
      <c r="N216" s="862"/>
      <c r="O216" s="862"/>
      <c r="P216" s="862"/>
      <c r="Q216" s="862"/>
      <c r="R216" s="862"/>
      <c r="S216" s="862"/>
      <c r="T216" s="862"/>
      <c r="U216" s="862"/>
      <c r="V216" s="862"/>
      <c r="W216" s="862"/>
      <c r="X216" s="862"/>
      <c r="Y216" s="862"/>
      <c r="Z216" s="862"/>
      <c r="AA216" s="862"/>
      <c r="AB216" s="862"/>
      <c r="AC216" s="862"/>
      <c r="AD216" s="862"/>
      <c r="AE216" s="862"/>
      <c r="AF216" s="862"/>
      <c r="AG216" s="862"/>
      <c r="AH216" s="862"/>
      <c r="AI216" s="863"/>
      <c r="AJ216" s="170"/>
    </row>
    <row r="217" spans="4:36">
      <c r="D217" s="12"/>
      <c r="E217" s="13"/>
      <c r="F217" s="171"/>
      <c r="G217" s="153"/>
      <c r="H217" s="155"/>
      <c r="I217" s="155"/>
      <c r="J217" s="596" t="s">
        <v>415</v>
      </c>
      <c r="K217" s="596"/>
      <c r="L217" s="596"/>
      <c r="M217" s="596"/>
      <c r="N217" s="596"/>
      <c r="O217" s="596"/>
      <c r="P217" s="596"/>
      <c r="Q217" s="596"/>
      <c r="R217" s="596"/>
      <c r="S217" s="596"/>
      <c r="T217" s="596"/>
      <c r="U217" s="596"/>
      <c r="V217" s="596"/>
      <c r="W217" s="596"/>
      <c r="X217" s="596"/>
      <c r="Y217" s="596"/>
      <c r="Z217" s="596"/>
      <c r="AA217" s="596"/>
      <c r="AB217" s="596"/>
      <c r="AC217" s="596"/>
      <c r="AD217" s="596"/>
      <c r="AE217" s="596"/>
      <c r="AF217" s="596"/>
      <c r="AG217" s="596"/>
      <c r="AH217" s="596"/>
      <c r="AI217" s="864"/>
      <c r="AJ217" s="170"/>
    </row>
    <row r="218" spans="4:36">
      <c r="D218" s="12"/>
      <c r="E218" s="13"/>
      <c r="F218" s="171"/>
      <c r="G218" s="153"/>
      <c r="H218" s="865" t="s">
        <v>317</v>
      </c>
      <c r="I218" s="865"/>
      <c r="J218" s="449" t="s">
        <v>2</v>
      </c>
      <c r="K218" s="866" t="s">
        <v>269</v>
      </c>
      <c r="L218" s="866"/>
      <c r="M218" s="57"/>
      <c r="N218" s="449" t="s">
        <v>2</v>
      </c>
      <c r="O218" s="770">
        <f>AD63</f>
        <v>266.6765125632316</v>
      </c>
      <c r="P218" s="770"/>
      <c r="Q218" s="770"/>
      <c r="R218" s="17" t="s">
        <v>27</v>
      </c>
      <c r="S218" s="867">
        <v>1000000</v>
      </c>
      <c r="T218" s="867"/>
      <c r="U218" s="867"/>
      <c r="V218" s="13"/>
      <c r="W218" s="13"/>
      <c r="X218" s="13"/>
      <c r="Y218" s="13"/>
      <c r="Z218" s="13"/>
      <c r="AA218" s="57"/>
      <c r="AB218" s="57"/>
      <c r="AC218" s="57"/>
      <c r="AD218" s="57"/>
      <c r="AE218" s="57"/>
      <c r="AF218" s="57"/>
      <c r="AG218" s="57"/>
      <c r="AH218" s="57"/>
      <c r="AI218" s="154"/>
      <c r="AJ218" s="154"/>
    </row>
    <row r="219" spans="4:36">
      <c r="D219" s="12"/>
      <c r="E219" s="13"/>
      <c r="F219" s="171"/>
      <c r="G219" s="153"/>
      <c r="H219" s="865"/>
      <c r="I219" s="865"/>
      <c r="J219" s="449"/>
      <c r="K219" s="360" t="s">
        <v>59</v>
      </c>
      <c r="L219" s="360"/>
      <c r="M219" s="57"/>
      <c r="N219" s="449"/>
      <c r="O219" s="912">
        <f>'1.設計条件'!W63</f>
        <v>2000</v>
      </c>
      <c r="P219" s="912"/>
      <c r="Q219" s="912"/>
      <c r="R219" s="13" t="s">
        <v>27</v>
      </c>
      <c r="S219" s="458">
        <v>1000</v>
      </c>
      <c r="T219" s="458"/>
      <c r="U219" s="57"/>
      <c r="V219" s="13"/>
      <c r="W219" s="13"/>
      <c r="X219" s="13"/>
      <c r="Y219" s="13"/>
      <c r="Z219" s="13"/>
      <c r="AA219" s="57"/>
      <c r="AB219" s="57"/>
      <c r="AC219" s="57"/>
      <c r="AD219" s="57"/>
      <c r="AE219" s="57"/>
      <c r="AF219" s="57"/>
      <c r="AG219" s="57"/>
      <c r="AH219" s="57"/>
      <c r="AI219" s="154"/>
      <c r="AJ219" s="154"/>
    </row>
    <row r="220" spans="4:36">
      <c r="D220" s="12"/>
      <c r="E220" s="13"/>
      <c r="F220" s="171"/>
      <c r="G220" s="153"/>
      <c r="H220" s="160"/>
      <c r="I220" s="160"/>
      <c r="J220" s="449" t="s">
        <v>2</v>
      </c>
      <c r="K220" s="554">
        <f>O218*S218/O219/S219</f>
        <v>133.3382562816158</v>
      </c>
      <c r="L220" s="555"/>
      <c r="M220" s="57"/>
      <c r="N220" s="28"/>
      <c r="O220" s="158"/>
      <c r="P220" s="158"/>
      <c r="Q220" s="158"/>
      <c r="R220" s="13"/>
      <c r="S220" s="27"/>
      <c r="T220" s="27"/>
      <c r="U220" s="57"/>
      <c r="V220" s="28"/>
      <c r="W220" s="28"/>
      <c r="X220" s="28"/>
      <c r="Y220" s="13"/>
      <c r="Z220" s="13"/>
      <c r="AA220" s="57"/>
      <c r="AB220" s="57"/>
      <c r="AC220" s="57"/>
      <c r="AD220" s="57"/>
      <c r="AE220" s="57"/>
      <c r="AF220" s="57"/>
      <c r="AG220" s="57"/>
      <c r="AH220" s="57"/>
      <c r="AI220" s="154"/>
      <c r="AJ220" s="154"/>
    </row>
    <row r="221" spans="4:36">
      <c r="D221" s="12"/>
      <c r="E221" s="13"/>
      <c r="F221" s="171"/>
      <c r="G221" s="153"/>
      <c r="H221" s="160"/>
      <c r="I221" s="160"/>
      <c r="J221" s="449"/>
      <c r="K221" s="556"/>
      <c r="L221" s="557"/>
      <c r="M221" s="57"/>
      <c r="N221" s="28"/>
      <c r="O221" s="158"/>
      <c r="P221" s="158"/>
      <c r="Q221" s="158"/>
      <c r="R221" s="13"/>
      <c r="S221" s="27"/>
      <c r="T221" s="27"/>
      <c r="U221" s="57"/>
      <c r="V221" s="28"/>
      <c r="W221" s="28"/>
      <c r="X221" s="28"/>
      <c r="Y221" s="13"/>
      <c r="Z221" s="13"/>
      <c r="AA221" s="57"/>
      <c r="AB221" s="57"/>
      <c r="AC221" s="57"/>
      <c r="AD221" s="57"/>
      <c r="AE221" s="57"/>
      <c r="AF221" s="57"/>
      <c r="AG221" s="57"/>
      <c r="AH221" s="57"/>
      <c r="AI221" s="154"/>
      <c r="AJ221" s="154"/>
    </row>
    <row r="222" spans="4:36">
      <c r="D222" s="12"/>
      <c r="E222" s="13"/>
      <c r="F222" s="171"/>
      <c r="G222" s="153"/>
      <c r="H222" s="160"/>
      <c r="I222" s="160"/>
      <c r="J222" s="28"/>
      <c r="K222" s="35"/>
      <c r="L222" s="35"/>
      <c r="M222" s="57"/>
      <c r="N222" s="28"/>
      <c r="O222" s="158"/>
      <c r="P222" s="158"/>
      <c r="Q222" s="158"/>
      <c r="R222" s="13"/>
      <c r="S222" s="27"/>
      <c r="T222" s="27"/>
      <c r="U222" s="57"/>
      <c r="V222" s="28"/>
      <c r="W222" s="28"/>
      <c r="X222" s="28"/>
      <c r="Y222" s="13"/>
      <c r="Z222" s="13"/>
      <c r="AA222" s="57"/>
      <c r="AB222" s="57"/>
      <c r="AC222" s="57"/>
      <c r="AD222" s="57"/>
      <c r="AE222" s="57"/>
      <c r="AF222" s="57"/>
      <c r="AG222" s="57"/>
      <c r="AH222" s="57"/>
      <c r="AI222" s="154"/>
      <c r="AJ222" s="154"/>
    </row>
    <row r="223" spans="4:36">
      <c r="D223" s="12"/>
      <c r="E223" s="13"/>
      <c r="F223" s="171"/>
      <c r="G223" s="153"/>
      <c r="H223" s="859" t="s">
        <v>323</v>
      </c>
      <c r="I223" s="859"/>
      <c r="J223" s="57" t="s">
        <v>2</v>
      </c>
      <c r="K223" s="860">
        <v>0</v>
      </c>
      <c r="L223" s="861"/>
      <c r="M223" s="57"/>
      <c r="N223" s="28"/>
      <c r="O223" s="158"/>
      <c r="P223" s="158"/>
      <c r="Q223" s="158"/>
      <c r="R223" s="13"/>
      <c r="S223" s="27"/>
      <c r="T223" s="27"/>
      <c r="U223" s="57"/>
      <c r="V223" s="28"/>
      <c r="W223" s="28"/>
      <c r="X223" s="28"/>
      <c r="Y223" s="13"/>
      <c r="Z223" s="13"/>
      <c r="AA223" s="57"/>
      <c r="AB223" s="57"/>
      <c r="AC223" s="57"/>
      <c r="AD223" s="57"/>
      <c r="AE223" s="57"/>
      <c r="AF223" s="57"/>
      <c r="AG223" s="57"/>
      <c r="AH223" s="57"/>
      <c r="AI223" s="154"/>
      <c r="AJ223" s="154"/>
    </row>
    <row r="224" spans="4:36">
      <c r="D224" s="12"/>
      <c r="E224" s="13"/>
      <c r="F224" s="172"/>
      <c r="G224" s="173"/>
      <c r="H224" s="174"/>
      <c r="I224" s="174"/>
      <c r="J224" s="106"/>
      <c r="K224" s="106"/>
      <c r="L224" s="106"/>
      <c r="M224" s="106"/>
      <c r="N224" s="106"/>
      <c r="O224" s="106"/>
      <c r="P224" s="106"/>
      <c r="Q224" s="106"/>
      <c r="R224" s="106"/>
      <c r="S224" s="106"/>
      <c r="T224" s="106"/>
      <c r="U224" s="106"/>
      <c r="V224" s="106"/>
      <c r="W224" s="106"/>
      <c r="X224" s="106"/>
      <c r="Y224" s="106"/>
      <c r="Z224" s="106"/>
      <c r="AA224" s="106"/>
      <c r="AB224" s="106"/>
      <c r="AC224" s="106"/>
      <c r="AD224" s="106"/>
      <c r="AE224" s="106"/>
      <c r="AF224" s="106"/>
      <c r="AG224" s="106"/>
      <c r="AH224" s="106"/>
      <c r="AI224" s="175"/>
      <c r="AJ224" s="154"/>
    </row>
    <row r="225" spans="4:36">
      <c r="D225" s="12"/>
      <c r="E225" s="13"/>
      <c r="F225" s="153"/>
      <c r="G225" s="153"/>
      <c r="H225" s="155"/>
      <c r="I225" s="155"/>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7"/>
      <c r="AI225" s="57"/>
      <c r="AJ225" s="154"/>
    </row>
    <row r="226" spans="4:36">
      <c r="D226" s="12"/>
      <c r="E226" s="13"/>
      <c r="F226" s="153"/>
      <c r="G226" s="153"/>
      <c r="M226" s="13"/>
      <c r="N226" s="13"/>
      <c r="O226" s="57"/>
      <c r="P226" s="57"/>
      <c r="Q226" s="13"/>
      <c r="R226" s="13"/>
      <c r="S226" s="13"/>
      <c r="T226" s="13"/>
      <c r="U226" s="13"/>
      <c r="V226" s="57"/>
      <c r="W226" s="57"/>
      <c r="X226" s="57"/>
      <c r="Y226" s="57"/>
      <c r="Z226" s="57"/>
      <c r="AA226" s="57"/>
      <c r="AB226" s="57"/>
      <c r="AC226" s="57"/>
      <c r="AD226" s="57"/>
      <c r="AE226" s="57"/>
      <c r="AF226" s="57"/>
      <c r="AG226" s="57"/>
      <c r="AH226" s="57"/>
      <c r="AI226" s="57"/>
      <c r="AJ226" s="154"/>
    </row>
    <row r="227" spans="4:36" ht="20.25">
      <c r="D227" s="12"/>
      <c r="E227" s="13"/>
      <c r="F227" s="9"/>
      <c r="G227" s="10"/>
      <c r="H227" s="467" t="s">
        <v>319</v>
      </c>
      <c r="I227" s="467"/>
      <c r="J227" s="10" t="s">
        <v>329</v>
      </c>
      <c r="K227" s="10"/>
      <c r="L227" s="10"/>
      <c r="M227" s="10"/>
      <c r="N227" s="10"/>
      <c r="O227" s="10"/>
      <c r="P227" s="10"/>
      <c r="Q227" s="10"/>
      <c r="R227" s="10"/>
      <c r="S227" s="10"/>
      <c r="T227" s="10"/>
      <c r="U227" s="10"/>
      <c r="V227" s="10"/>
      <c r="W227" s="10"/>
      <c r="X227" s="3"/>
      <c r="Y227" s="10"/>
      <c r="Z227" s="10"/>
      <c r="AA227" s="10"/>
      <c r="AB227" s="10"/>
      <c r="AC227" s="10"/>
      <c r="AD227" s="10"/>
      <c r="AE227" s="10"/>
      <c r="AF227" s="10"/>
      <c r="AG227" s="10"/>
      <c r="AH227" s="10"/>
      <c r="AI227" s="11"/>
      <c r="AJ227" s="15"/>
    </row>
    <row r="228" spans="4:36">
      <c r="D228" s="12"/>
      <c r="E228" s="13"/>
      <c r="F228" s="12"/>
      <c r="G228" s="13"/>
      <c r="H228" s="13"/>
      <c r="I228" s="13"/>
      <c r="J228" s="13"/>
      <c r="K228" s="13" t="s">
        <v>330</v>
      </c>
      <c r="L228" s="13"/>
      <c r="M228" s="13"/>
      <c r="N228" s="34" t="s">
        <v>331</v>
      </c>
      <c r="O228" s="13" t="s">
        <v>326</v>
      </c>
      <c r="P228" s="436">
        <v>13.1</v>
      </c>
      <c r="Q228" s="436"/>
      <c r="R228" s="34" t="s">
        <v>332</v>
      </c>
      <c r="S228" s="13" t="s">
        <v>315</v>
      </c>
      <c r="T228" s="13"/>
      <c r="U228" s="13"/>
      <c r="V228" s="13"/>
      <c r="W228" s="13"/>
      <c r="X228"/>
      <c r="Y228" s="13"/>
      <c r="Z228" s="13"/>
      <c r="AA228" s="13"/>
      <c r="AB228" s="13"/>
      <c r="AC228" s="13"/>
      <c r="AD228" s="13"/>
      <c r="AE228" s="13"/>
      <c r="AF228" s="13"/>
      <c r="AG228" s="13"/>
      <c r="AH228" s="13"/>
      <c r="AI228" s="15"/>
      <c r="AJ228" s="15"/>
    </row>
    <row r="229" spans="4:36">
      <c r="D229" s="12"/>
      <c r="E229" s="13"/>
      <c r="F229" s="12"/>
      <c r="G229" s="13"/>
      <c r="H229" s="13"/>
      <c r="I229" s="13"/>
      <c r="J229" s="13"/>
      <c r="K229" s="34" t="s">
        <v>331</v>
      </c>
      <c r="L229" s="596" t="s">
        <v>724</v>
      </c>
      <c r="M229" s="596"/>
      <c r="N229" s="596"/>
      <c r="O229" s="596"/>
      <c r="P229" s="596"/>
      <c r="Q229" s="596"/>
      <c r="R229" s="596"/>
      <c r="S229" s="596"/>
      <c r="T229" s="13"/>
      <c r="U229" s="13"/>
      <c r="V229" s="13"/>
      <c r="W229" s="13"/>
      <c r="X229" s="13"/>
      <c r="Y229" s="13"/>
      <c r="Z229" s="13"/>
      <c r="AA229" s="13"/>
      <c r="AB229" s="13"/>
      <c r="AC229" s="13"/>
      <c r="AD229" s="13"/>
      <c r="AE229" s="13"/>
      <c r="AF229" s="13"/>
      <c r="AG229" s="13"/>
      <c r="AH229" s="13"/>
      <c r="AI229" s="15"/>
      <c r="AJ229" s="15"/>
    </row>
    <row r="230" spans="4:36">
      <c r="D230" s="12"/>
      <c r="E230" s="13"/>
      <c r="F230" s="12"/>
      <c r="G230" s="13"/>
      <c r="H230" s="13"/>
      <c r="I230" s="13"/>
      <c r="J230" s="13"/>
      <c r="K230" s="13"/>
      <c r="L230" s="34" t="s">
        <v>331</v>
      </c>
      <c r="M230" s="13" t="s">
        <v>2</v>
      </c>
      <c r="N230" s="13" t="s">
        <v>69</v>
      </c>
      <c r="O230" s="910">
        <f>'1.設計条件'!W57</f>
        <v>350</v>
      </c>
      <c r="P230" s="910"/>
      <c r="Q230" s="13" t="s">
        <v>263</v>
      </c>
      <c r="R230" s="847">
        <f>'1.設計条件'!W58</f>
        <v>12</v>
      </c>
      <c r="S230" s="847"/>
      <c r="T230" s="13" t="s">
        <v>176</v>
      </c>
      <c r="U230" s="31">
        <v>2</v>
      </c>
      <c r="V230" s="13"/>
      <c r="W230" s="13" t="s">
        <v>2</v>
      </c>
      <c r="X230" s="471">
        <f>(O230-R230)/U230</f>
        <v>169</v>
      </c>
      <c r="Y230" s="473"/>
      <c r="Z230" s="13" t="s">
        <v>290</v>
      </c>
      <c r="AA230" s="13"/>
      <c r="AB230" s="13"/>
      <c r="AC230" s="13"/>
      <c r="AD230" s="13"/>
      <c r="AE230" s="13"/>
      <c r="AF230" s="13"/>
      <c r="AG230" s="13"/>
      <c r="AH230" s="13"/>
      <c r="AI230" s="15"/>
      <c r="AJ230" s="15"/>
    </row>
    <row r="231" spans="4:36">
      <c r="D231" s="12"/>
      <c r="E231" s="13"/>
      <c r="F231" s="12"/>
      <c r="G231" s="13"/>
      <c r="H231" s="13"/>
      <c r="I231" s="13"/>
      <c r="J231" s="34"/>
      <c r="K231" s="34" t="s">
        <v>332</v>
      </c>
      <c r="L231" s="13" t="s">
        <v>725</v>
      </c>
      <c r="M231" s="27"/>
      <c r="N231" s="27"/>
      <c r="O231" s="13"/>
      <c r="P231" s="34"/>
      <c r="Q231" s="13"/>
      <c r="R231" s="13"/>
      <c r="S231" s="31"/>
      <c r="T231" s="13"/>
      <c r="U231" s="13"/>
      <c r="V231" s="13"/>
      <c r="W231" s="13"/>
      <c r="X231" s="13"/>
      <c r="Y231" s="13"/>
      <c r="Z231" s="13"/>
      <c r="AA231" s="13"/>
      <c r="AB231" s="13"/>
      <c r="AC231" s="13"/>
      <c r="AD231" s="13"/>
      <c r="AE231" s="13"/>
      <c r="AF231" s="13"/>
      <c r="AG231" s="13"/>
      <c r="AH231" s="13"/>
      <c r="AI231" s="15"/>
      <c r="AJ231" s="15"/>
    </row>
    <row r="232" spans="4:36">
      <c r="D232" s="12"/>
      <c r="E232" s="13"/>
      <c r="F232" s="12"/>
      <c r="G232" s="13"/>
      <c r="H232" s="13"/>
      <c r="I232" s="13"/>
      <c r="J232" s="35"/>
      <c r="K232" s="13"/>
      <c r="L232" s="34" t="s">
        <v>332</v>
      </c>
      <c r="M232" s="13" t="s">
        <v>2</v>
      </c>
      <c r="N232" s="407">
        <f>'1.設計条件'!W59</f>
        <v>19</v>
      </c>
      <c r="O232" s="409"/>
      <c r="P232" s="13" t="s">
        <v>290</v>
      </c>
      <c r="Q232" s="13"/>
      <c r="R232" s="13"/>
      <c r="S232" s="13"/>
      <c r="T232" s="13"/>
      <c r="U232" s="13"/>
      <c r="V232" s="13"/>
      <c r="W232" s="13"/>
      <c r="X232" s="13"/>
      <c r="Y232" s="13"/>
      <c r="Z232" s="13"/>
      <c r="AA232" s="13"/>
      <c r="AB232" s="13"/>
      <c r="AC232" s="13"/>
      <c r="AD232" s="13"/>
      <c r="AE232" s="13"/>
      <c r="AF232" s="13"/>
      <c r="AG232" s="13"/>
      <c r="AH232" s="13"/>
      <c r="AI232" s="15"/>
      <c r="AJ232" s="15"/>
    </row>
    <row r="233" spans="4:36">
      <c r="D233" s="12"/>
      <c r="E233" s="13"/>
      <c r="F233" s="12"/>
      <c r="G233" s="13"/>
      <c r="H233" s="13"/>
      <c r="I233" s="13"/>
      <c r="J233" s="35"/>
      <c r="K233" s="13"/>
      <c r="L233" s="34"/>
      <c r="M233" s="13"/>
      <c r="N233" s="27"/>
      <c r="O233" s="27"/>
      <c r="P233" s="13"/>
      <c r="Q233" s="13"/>
      <c r="R233" s="13"/>
      <c r="S233" s="13"/>
      <c r="T233" s="13"/>
      <c r="U233" s="13"/>
      <c r="V233" s="13"/>
      <c r="W233" s="13"/>
      <c r="X233" s="13"/>
      <c r="Y233" s="13"/>
      <c r="Z233" s="13"/>
      <c r="AA233" s="13"/>
      <c r="AB233" s="13"/>
      <c r="AC233" s="13"/>
      <c r="AD233" s="13"/>
      <c r="AE233" s="13"/>
      <c r="AF233" s="13"/>
      <c r="AG233" s="13"/>
      <c r="AH233" s="13"/>
      <c r="AI233" s="15"/>
      <c r="AJ233" s="15"/>
    </row>
    <row r="234" spans="4:36">
      <c r="D234" s="12"/>
      <c r="E234" s="13"/>
      <c r="F234" s="12"/>
      <c r="G234" s="13"/>
      <c r="H234" s="13"/>
      <c r="I234" s="13"/>
      <c r="J234" s="35"/>
      <c r="K234" s="436" t="s">
        <v>357</v>
      </c>
      <c r="L234" s="436"/>
      <c r="M234" s="13" t="s">
        <v>726</v>
      </c>
      <c r="N234" s="13"/>
      <c r="O234" s="13"/>
      <c r="P234" s="13"/>
      <c r="Q234" s="13"/>
      <c r="R234" s="27"/>
      <c r="S234" s="27"/>
      <c r="T234" s="13"/>
      <c r="U234" s="13"/>
      <c r="V234" s="13"/>
      <c r="W234" s="13"/>
      <c r="X234" s="13"/>
      <c r="Y234" s="13"/>
      <c r="Z234" s="13"/>
      <c r="AA234" s="13"/>
      <c r="AB234" s="13"/>
      <c r="AC234" s="13"/>
      <c r="AD234" s="13"/>
      <c r="AE234" s="13"/>
      <c r="AF234" s="13"/>
      <c r="AG234" s="13"/>
      <c r="AH234" s="13"/>
      <c r="AI234" s="15"/>
      <c r="AJ234" s="15"/>
    </row>
    <row r="235" spans="4:36">
      <c r="D235" s="12"/>
      <c r="E235" s="13"/>
      <c r="F235" s="12"/>
      <c r="G235" s="13"/>
      <c r="H235" s="13"/>
      <c r="I235" s="13"/>
      <c r="J235" s="35"/>
      <c r="K235" s="35"/>
      <c r="L235" s="436" t="s">
        <v>357</v>
      </c>
      <c r="M235" s="436"/>
      <c r="N235" s="13" t="s">
        <v>2</v>
      </c>
      <c r="O235" s="437">
        <f>P26</f>
        <v>5.2</v>
      </c>
      <c r="P235" s="439"/>
      <c r="Q235" s="37" t="s">
        <v>3</v>
      </c>
      <c r="R235" s="13"/>
      <c r="S235" s="31"/>
      <c r="T235" s="13"/>
      <c r="U235" s="13"/>
      <c r="V235" s="13"/>
      <c r="W235" s="13"/>
      <c r="X235"/>
      <c r="Y235" s="13"/>
      <c r="Z235" s="13"/>
      <c r="AA235" s="13"/>
      <c r="AB235" s="13"/>
      <c r="AC235" s="13"/>
      <c r="AD235" s="13"/>
      <c r="AE235" s="13"/>
      <c r="AF235" s="13"/>
      <c r="AG235" s="13"/>
      <c r="AH235" s="13"/>
      <c r="AI235" s="15"/>
      <c r="AJ235" s="15"/>
    </row>
    <row r="236" spans="4:36">
      <c r="D236" s="12"/>
      <c r="E236" s="13"/>
      <c r="F236" s="12"/>
      <c r="G236" s="13"/>
      <c r="H236" s="13"/>
      <c r="I236" s="13"/>
      <c r="J236" s="35"/>
      <c r="K236" s="35"/>
      <c r="L236" s="14"/>
      <c r="M236" s="14"/>
      <c r="N236" s="13"/>
      <c r="O236" s="14"/>
      <c r="P236" s="14"/>
      <c r="Q236" s="37"/>
      <c r="R236" s="13"/>
      <c r="S236" s="31"/>
      <c r="T236" s="13"/>
      <c r="U236" s="13"/>
      <c r="V236" s="13"/>
      <c r="W236" s="13"/>
      <c r="X236"/>
      <c r="Y236" s="13"/>
      <c r="Z236" s="13"/>
      <c r="AA236" s="13"/>
      <c r="AB236" s="13"/>
      <c r="AC236" s="13"/>
      <c r="AD236" s="13"/>
      <c r="AE236" s="13"/>
      <c r="AF236" s="13"/>
      <c r="AG236" s="13"/>
      <c r="AH236" s="13"/>
      <c r="AI236" s="15"/>
      <c r="AJ236" s="15"/>
    </row>
    <row r="237" spans="4:36">
      <c r="D237" s="12"/>
      <c r="E237" s="13"/>
      <c r="F237" s="12"/>
      <c r="G237" s="13"/>
      <c r="H237" s="13"/>
      <c r="I237" s="13"/>
      <c r="J237" s="35"/>
      <c r="K237" s="13" t="s">
        <v>352</v>
      </c>
      <c r="L237" s="13"/>
      <c r="M237" s="13"/>
      <c r="N237" s="13"/>
      <c r="O237" s="13"/>
      <c r="P237" s="13"/>
      <c r="Q237" s="34"/>
      <c r="R237" s="13"/>
      <c r="S237" s="31"/>
      <c r="T237" s="13"/>
      <c r="U237" s="13"/>
      <c r="V237" s="13"/>
      <c r="W237" s="13"/>
      <c r="X237"/>
      <c r="Y237" s="13"/>
      <c r="Z237" s="13"/>
      <c r="AA237" s="13"/>
      <c r="AB237" s="13"/>
      <c r="AC237" s="13"/>
      <c r="AD237" s="13"/>
      <c r="AE237" s="13"/>
      <c r="AF237" s="13"/>
      <c r="AG237" s="13"/>
      <c r="AH237" s="13"/>
      <c r="AI237" s="15"/>
      <c r="AJ237" s="15"/>
    </row>
    <row r="238" spans="4:36">
      <c r="D238" s="12"/>
      <c r="E238" s="13"/>
      <c r="F238" s="12"/>
      <c r="G238" s="13"/>
      <c r="H238" s="13"/>
      <c r="I238" s="13"/>
      <c r="J238" s="35"/>
      <c r="K238" s="35"/>
      <c r="L238" s="17" t="s">
        <v>357</v>
      </c>
      <c r="M238" s="449" t="s">
        <v>2</v>
      </c>
      <c r="N238" s="452">
        <f>O235</f>
        <v>5.2</v>
      </c>
      <c r="O238" s="452"/>
      <c r="P238" s="17" t="s">
        <v>27</v>
      </c>
      <c r="Q238" s="889">
        <v>1000</v>
      </c>
      <c r="R238" s="889"/>
      <c r="S238" s="889"/>
      <c r="T238" s="13"/>
      <c r="U238" s="449" t="s">
        <v>2</v>
      </c>
      <c r="V238" s="554">
        <f>N238*Q238/N239/Q239</f>
        <v>57.842046718576192</v>
      </c>
      <c r="W238" s="555"/>
      <c r="X238"/>
      <c r="Y238" s="13"/>
      <c r="Z238" s="13"/>
      <c r="AA238" s="13"/>
      <c r="AB238" s="13"/>
      <c r="AC238" s="13"/>
      <c r="AD238" s="13"/>
      <c r="AE238" s="13"/>
      <c r="AF238" s="13"/>
      <c r="AG238" s="13"/>
      <c r="AH238" s="13"/>
      <c r="AI238" s="15"/>
      <c r="AJ238" s="15"/>
    </row>
    <row r="239" spans="4:36">
      <c r="D239" s="12"/>
      <c r="E239" s="13"/>
      <c r="F239" s="12"/>
      <c r="G239" s="13"/>
      <c r="H239" s="13"/>
      <c r="I239" s="13"/>
      <c r="J239" s="35"/>
      <c r="K239" s="35"/>
      <c r="L239" s="34" t="s">
        <v>303</v>
      </c>
      <c r="M239" s="449"/>
      <c r="N239" s="911">
        <f>'1.設計条件'!W62</f>
        <v>8.99</v>
      </c>
      <c r="O239" s="911"/>
      <c r="P239" s="13" t="s">
        <v>27</v>
      </c>
      <c r="Q239" s="888">
        <v>10</v>
      </c>
      <c r="R239" s="888"/>
      <c r="S239" s="888"/>
      <c r="T239" s="13"/>
      <c r="U239" s="449"/>
      <c r="V239" s="556"/>
      <c r="W239" s="557"/>
      <c r="X239"/>
      <c r="Y239" s="13"/>
      <c r="Z239" s="13"/>
      <c r="AA239" s="13"/>
      <c r="AB239" s="13"/>
      <c r="AC239" s="13"/>
      <c r="AD239" s="13"/>
      <c r="AE239" s="13"/>
      <c r="AF239" s="13"/>
      <c r="AG239" s="13"/>
      <c r="AH239" s="13"/>
      <c r="AI239" s="15"/>
      <c r="AJ239" s="15"/>
    </row>
    <row r="240" spans="4:36">
      <c r="D240" s="12"/>
      <c r="E240" s="13"/>
      <c r="F240" s="12"/>
      <c r="G240" s="13"/>
      <c r="H240" s="13"/>
      <c r="I240" s="13"/>
      <c r="J240" s="35"/>
      <c r="K240" s="35"/>
      <c r="L240" s="34"/>
      <c r="M240" s="28"/>
      <c r="N240" s="147"/>
      <c r="O240" s="147"/>
      <c r="P240" s="13"/>
      <c r="Q240" s="157"/>
      <c r="R240" s="157"/>
      <c r="S240" s="157"/>
      <c r="T240" s="13"/>
      <c r="U240" s="28"/>
      <c r="V240" s="28"/>
      <c r="W240" s="28"/>
      <c r="X240"/>
      <c r="Y240" s="13"/>
      <c r="Z240" s="13"/>
      <c r="AA240" s="13"/>
      <c r="AB240" s="13"/>
      <c r="AC240" s="13"/>
      <c r="AD240" s="13"/>
      <c r="AE240" s="13"/>
      <c r="AF240" s="13"/>
      <c r="AG240" s="13"/>
      <c r="AH240" s="13"/>
      <c r="AI240" s="15"/>
      <c r="AJ240" s="15"/>
    </row>
    <row r="241" spans="4:36">
      <c r="D241" s="12"/>
      <c r="E241" s="13"/>
      <c r="F241" s="12"/>
      <c r="G241" s="13"/>
      <c r="H241" s="13"/>
      <c r="I241" s="891" t="s">
        <v>356</v>
      </c>
      <c r="J241" s="891"/>
      <c r="K241" s="891"/>
      <c r="L241" s="891"/>
      <c r="M241" s="891"/>
      <c r="N241" s="891"/>
      <c r="O241" s="891"/>
      <c r="P241" s="891"/>
      <c r="Q241" s="891"/>
      <c r="R241" s="891"/>
      <c r="S241" s="157">
        <v>18</v>
      </c>
      <c r="T241" s="13" t="s">
        <v>353</v>
      </c>
      <c r="U241" s="449" t="s">
        <v>354</v>
      </c>
      <c r="V241" s="449"/>
      <c r="W241" s="1" t="s">
        <v>326</v>
      </c>
      <c r="X241">
        <v>92</v>
      </c>
      <c r="Z241" s="13"/>
      <c r="AA241" s="33" t="s">
        <v>355</v>
      </c>
      <c r="AB241" s="13"/>
      <c r="AC241" s="13" t="s">
        <v>416</v>
      </c>
      <c r="AD241" s="13"/>
      <c r="AE241" s="13"/>
      <c r="AF241" s="13"/>
      <c r="AG241" s="13"/>
      <c r="AH241" s="13"/>
      <c r="AI241" s="15"/>
      <c r="AJ241" s="15"/>
    </row>
    <row r="242" spans="4:36" ht="20.25">
      <c r="D242" s="12"/>
      <c r="E242" s="13"/>
      <c r="F242" s="12"/>
      <c r="G242" s="13"/>
      <c r="H242" s="465" t="s">
        <v>727</v>
      </c>
      <c r="I242" s="465"/>
      <c r="J242" s="32" t="s">
        <v>2</v>
      </c>
      <c r="K242" s="148" t="s">
        <v>364</v>
      </c>
      <c r="L242" s="890">
        <v>140</v>
      </c>
      <c r="M242" s="890"/>
      <c r="N242" s="148" t="s">
        <v>263</v>
      </c>
      <c r="O242" s="675">
        <v>0.82</v>
      </c>
      <c r="P242" s="675"/>
      <c r="Q242" s="148" t="s">
        <v>69</v>
      </c>
      <c r="R242" s="436" t="s">
        <v>166</v>
      </c>
      <c r="S242" s="436"/>
      <c r="T242" s="147" t="s">
        <v>70</v>
      </c>
      <c r="U242" s="34" t="s">
        <v>303</v>
      </c>
      <c r="V242" s="13" t="s">
        <v>263</v>
      </c>
      <c r="W242" s="906">
        <v>18</v>
      </c>
      <c r="X242" s="906"/>
      <c r="Y242" s="27" t="s">
        <v>365</v>
      </c>
      <c r="Z242" s="27" t="s">
        <v>27</v>
      </c>
      <c r="AA242" s="449">
        <v>1.5</v>
      </c>
      <c r="AB242" s="449"/>
      <c r="AC242" s="13"/>
      <c r="AD242" s="13"/>
      <c r="AE242" s="13"/>
      <c r="AF242" s="13"/>
      <c r="AG242" s="27"/>
      <c r="AH242" s="27"/>
      <c r="AI242" s="177"/>
      <c r="AJ242" s="15"/>
    </row>
    <row r="243" spans="4:36">
      <c r="D243" s="12"/>
      <c r="E243" s="13"/>
      <c r="F243" s="12"/>
      <c r="G243" s="13"/>
      <c r="H243" s="164"/>
      <c r="I243" s="164"/>
      <c r="J243" s="32" t="s">
        <v>2</v>
      </c>
      <c r="K243" s="148" t="s">
        <v>364</v>
      </c>
      <c r="L243" s="890">
        <v>140</v>
      </c>
      <c r="M243" s="890"/>
      <c r="N243" s="148" t="s">
        <v>263</v>
      </c>
      <c r="O243" s="675">
        <f>O242</f>
        <v>0.82</v>
      </c>
      <c r="P243" s="675"/>
      <c r="Q243" s="148" t="s">
        <v>69</v>
      </c>
      <c r="R243" s="436">
        <f>V238</f>
        <v>57.842046718576192</v>
      </c>
      <c r="S243" s="436"/>
      <c r="T243" s="436"/>
      <c r="U243" s="436"/>
      <c r="V243" s="13" t="s">
        <v>263</v>
      </c>
      <c r="W243" s="906">
        <f>W242</f>
        <v>18</v>
      </c>
      <c r="X243" s="906"/>
      <c r="Y243" s="27" t="s">
        <v>365</v>
      </c>
      <c r="Z243" s="27" t="s">
        <v>27</v>
      </c>
      <c r="AA243" s="449">
        <v>1.5</v>
      </c>
      <c r="AB243" s="449"/>
      <c r="AC243" s="13"/>
      <c r="AD243" s="13"/>
      <c r="AE243" s="13"/>
      <c r="AF243" s="13"/>
      <c r="AG243" s="27"/>
      <c r="AH243" s="27"/>
      <c r="AI243" s="177"/>
      <c r="AJ243" s="15"/>
    </row>
    <row r="244" spans="4:36" ht="20.25">
      <c r="D244" s="12"/>
      <c r="E244" s="13"/>
      <c r="F244" s="12"/>
      <c r="G244" s="13"/>
      <c r="H244" s="13"/>
      <c r="I244" s="148"/>
      <c r="J244" s="32" t="s">
        <v>2</v>
      </c>
      <c r="K244" s="885">
        <f>(L243-O243*(R243-W243))*AA243</f>
        <v>160.99428253615127</v>
      </c>
      <c r="L244" s="886"/>
      <c r="M244" s="887"/>
      <c r="N244" s="163" t="s">
        <v>48</v>
      </c>
      <c r="O244" s="148"/>
      <c r="P244" s="148"/>
      <c r="Q244" s="148"/>
      <c r="R244" s="148"/>
      <c r="S244" s="147"/>
      <c r="T244" s="147"/>
      <c r="U244" s="13"/>
      <c r="V244" s="28"/>
      <c r="W244" s="28"/>
      <c r="X244" s="13"/>
      <c r="Y244" s="27"/>
      <c r="Z244" s="27"/>
      <c r="AA244" s="33"/>
      <c r="AB244"/>
      <c r="AC244" s="13"/>
      <c r="AD244" s="13"/>
      <c r="AE244" s="13"/>
      <c r="AF244" s="13"/>
      <c r="AG244" s="27"/>
      <c r="AH244" s="27"/>
      <c r="AI244" s="177"/>
      <c r="AJ244" s="15"/>
    </row>
    <row r="245" spans="4:36">
      <c r="D245" s="12"/>
      <c r="E245" s="13"/>
      <c r="F245" s="16"/>
      <c r="G245" s="17"/>
      <c r="H245" s="17"/>
      <c r="I245" s="178"/>
      <c r="J245" s="179"/>
      <c r="K245" s="178"/>
      <c r="L245" s="178"/>
      <c r="M245" s="178"/>
      <c r="N245" s="176"/>
      <c r="O245" s="178"/>
      <c r="P245" s="178"/>
      <c r="Q245" s="178"/>
      <c r="R245" s="178"/>
      <c r="S245" s="162"/>
      <c r="T245" s="162"/>
      <c r="U245" s="17"/>
      <c r="V245" s="169"/>
      <c r="W245" s="169"/>
      <c r="X245" s="17"/>
      <c r="Y245" s="152"/>
      <c r="Z245" s="152"/>
      <c r="AA245" s="180"/>
      <c r="AB245" s="25"/>
      <c r="AC245" s="17"/>
      <c r="AD245" s="17"/>
      <c r="AE245" s="17"/>
      <c r="AF245" s="17"/>
      <c r="AG245" s="152"/>
      <c r="AH245" s="152"/>
      <c r="AI245" s="181"/>
      <c r="AJ245" s="15"/>
    </row>
    <row r="246" spans="4:36">
      <c r="D246" s="12"/>
      <c r="E246" s="13"/>
      <c r="F246" s="13"/>
      <c r="G246" s="13"/>
      <c r="H246" s="13"/>
      <c r="I246" s="13"/>
      <c r="J246" s="35"/>
      <c r="K246" s="147"/>
      <c r="L246" s="147"/>
      <c r="M246" s="147"/>
      <c r="N246" s="163"/>
      <c r="O246" s="147"/>
      <c r="P246" s="13"/>
      <c r="Q246" s="157"/>
      <c r="R246" s="157"/>
      <c r="S246" s="157"/>
      <c r="T246" s="13"/>
      <c r="U246" s="28"/>
      <c r="V246" s="28"/>
      <c r="W246" s="28"/>
      <c r="X246"/>
      <c r="Y246" s="13"/>
      <c r="Z246" s="13"/>
      <c r="AA246" s="13"/>
      <c r="AB246" s="13"/>
      <c r="AC246" s="13"/>
      <c r="AD246" s="13"/>
      <c r="AE246" s="13"/>
      <c r="AF246" s="13"/>
      <c r="AG246" s="13"/>
      <c r="AH246" s="13"/>
      <c r="AI246" s="13"/>
      <c r="AJ246" s="15"/>
    </row>
    <row r="247" spans="4:36">
      <c r="D247" s="12"/>
      <c r="E247" s="13"/>
      <c r="F247" s="13"/>
      <c r="G247" s="13"/>
      <c r="H247" s="13"/>
      <c r="I247" s="13"/>
      <c r="J247" s="13"/>
      <c r="K247" s="13"/>
      <c r="L247" s="13"/>
      <c r="M247" s="13"/>
      <c r="N247" s="13"/>
      <c r="O247" s="13"/>
      <c r="P247" s="13"/>
      <c r="Q247" s="13"/>
      <c r="R247" s="13"/>
      <c r="S247" s="13"/>
      <c r="T247" s="13"/>
      <c r="U247" s="13"/>
      <c r="V247" s="13"/>
      <c r="W247" s="13"/>
      <c r="X247"/>
      <c r="Y247" s="13"/>
      <c r="Z247" s="13"/>
      <c r="AA247" s="13"/>
      <c r="AB247" s="13"/>
      <c r="AC247" s="13"/>
      <c r="AD247" s="13"/>
      <c r="AE247" s="13"/>
      <c r="AF247" s="13"/>
      <c r="AG247" s="13"/>
      <c r="AH247" s="13"/>
      <c r="AI247" s="13"/>
      <c r="AJ247" s="15"/>
    </row>
    <row r="248" spans="4:36" ht="20.25">
      <c r="D248" s="12"/>
      <c r="E248" s="13"/>
      <c r="F248" s="9"/>
      <c r="G248" s="10"/>
      <c r="H248" s="467" t="s">
        <v>322</v>
      </c>
      <c r="I248" s="467"/>
      <c r="J248" s="10" t="s">
        <v>333</v>
      </c>
      <c r="K248" s="10"/>
      <c r="L248" s="10"/>
      <c r="M248" s="10"/>
      <c r="N248" s="10"/>
      <c r="O248" s="10"/>
      <c r="P248" s="10"/>
      <c r="Q248" s="10"/>
      <c r="R248" s="10"/>
      <c r="S248" s="10"/>
      <c r="T248" s="10"/>
      <c r="U248" s="10"/>
      <c r="V248" s="10"/>
      <c r="W248" s="10"/>
      <c r="X248" s="3"/>
      <c r="Y248" s="10"/>
      <c r="Z248" s="10"/>
      <c r="AA248" s="10"/>
      <c r="AB248" s="10"/>
      <c r="AC248" s="10"/>
      <c r="AD248" s="10"/>
      <c r="AE248" s="10"/>
      <c r="AF248" s="10"/>
      <c r="AG248" s="10"/>
      <c r="AH248" s="10"/>
      <c r="AI248" s="11"/>
      <c r="AJ248" s="15"/>
    </row>
    <row r="249" spans="4:36">
      <c r="D249" s="12"/>
      <c r="E249" s="13"/>
      <c r="F249" s="12"/>
      <c r="G249" s="13"/>
      <c r="H249" s="13"/>
      <c r="I249" s="13"/>
      <c r="J249" s="13"/>
      <c r="K249" s="13" t="s">
        <v>330</v>
      </c>
      <c r="L249" s="13"/>
      <c r="M249" s="13"/>
      <c r="N249" s="31">
        <v>2</v>
      </c>
      <c r="O249" s="909" t="s">
        <v>334</v>
      </c>
      <c r="P249" s="909"/>
      <c r="Q249" s="13" t="s">
        <v>335</v>
      </c>
      <c r="R249" s="908" t="s">
        <v>285</v>
      </c>
      <c r="S249" s="908"/>
      <c r="T249" s="13"/>
      <c r="U249" s="13"/>
      <c r="V249" s="13"/>
      <c r="W249" s="13"/>
      <c r="X249" s="13"/>
      <c r="Y249" s="13"/>
      <c r="Z249" s="13"/>
      <c r="AA249" s="13"/>
      <c r="AB249" s="13"/>
      <c r="AC249" s="13"/>
      <c r="AD249" s="13"/>
      <c r="AE249" s="13"/>
      <c r="AF249" s="13"/>
      <c r="AG249" s="13"/>
      <c r="AH249" s="13"/>
      <c r="AI249" s="15"/>
      <c r="AJ249" s="15"/>
    </row>
    <row r="250" spans="4:36">
      <c r="D250" s="12"/>
      <c r="E250" s="13"/>
      <c r="F250" s="12"/>
      <c r="G250" s="13"/>
      <c r="H250" s="13"/>
      <c r="I250" s="13"/>
      <c r="J250" s="13"/>
      <c r="K250" s="892" t="s">
        <v>334</v>
      </c>
      <c r="L250" s="892"/>
      <c r="M250" s="13" t="s">
        <v>336</v>
      </c>
      <c r="N250" s="13"/>
      <c r="O250" s="13"/>
      <c r="P250" s="13"/>
      <c r="Q250" s="13"/>
      <c r="R250" s="13"/>
      <c r="S250" s="13"/>
      <c r="T250" s="13"/>
      <c r="U250" s="13"/>
      <c r="V250" s="892" t="s">
        <v>334</v>
      </c>
      <c r="W250" s="892"/>
      <c r="X250" s="13" t="s">
        <v>2</v>
      </c>
      <c r="Y250" s="847">
        <f>'1.設計条件'!W57</f>
        <v>350</v>
      </c>
      <c r="Z250" s="847"/>
      <c r="AA250" s="13" t="s">
        <v>27</v>
      </c>
      <c r="AB250" s="847">
        <f>'1.設計条件'!W59</f>
        <v>19</v>
      </c>
      <c r="AC250" s="847"/>
      <c r="AD250" s="13" t="s">
        <v>2</v>
      </c>
      <c r="AE250" s="471">
        <f>Y250*AB250</f>
        <v>6650</v>
      </c>
      <c r="AF250" s="472"/>
      <c r="AG250" s="907"/>
      <c r="AH250" s="13"/>
      <c r="AI250" s="15"/>
      <c r="AJ250" s="15"/>
    </row>
    <row r="251" spans="4:36">
      <c r="D251" s="12"/>
      <c r="E251" s="13"/>
      <c r="F251" s="12"/>
      <c r="G251" s="13"/>
      <c r="H251" s="13"/>
      <c r="I251" s="13"/>
      <c r="J251" s="13"/>
      <c r="K251" s="892" t="s">
        <v>285</v>
      </c>
      <c r="L251" s="892"/>
      <c r="M251" s="596" t="s">
        <v>349</v>
      </c>
      <c r="N251" s="596"/>
      <c r="O251" s="596"/>
      <c r="P251" s="596"/>
      <c r="Q251" s="596"/>
      <c r="R251" s="596"/>
      <c r="S251" s="892" t="s">
        <v>285</v>
      </c>
      <c r="T251" s="892"/>
      <c r="U251" s="13" t="s">
        <v>2</v>
      </c>
      <c r="V251" s="13" t="s">
        <v>69</v>
      </c>
      <c r="W251" s="847">
        <f>'1.設計条件'!W56</f>
        <v>350</v>
      </c>
      <c r="X251" s="847"/>
      <c r="Y251" s="13" t="s">
        <v>263</v>
      </c>
      <c r="Z251" s="31">
        <v>2</v>
      </c>
      <c r="AA251" s="13" t="s">
        <v>27</v>
      </c>
      <c r="AB251" s="317">
        <f>'1.設計条件'!W59</f>
        <v>19</v>
      </c>
      <c r="AC251" s="13" t="s">
        <v>83</v>
      </c>
      <c r="AD251" s="13" t="s">
        <v>27</v>
      </c>
      <c r="AE251" s="317">
        <f>'1.設計条件'!W58</f>
        <v>12</v>
      </c>
      <c r="AF251" s="31" t="s">
        <v>2</v>
      </c>
      <c r="AG251" s="471">
        <f>(W251-Z251*AB251)*AE251</f>
        <v>3744</v>
      </c>
      <c r="AH251" s="472"/>
      <c r="AI251" s="473"/>
      <c r="AJ251" s="15"/>
    </row>
    <row r="252" spans="4:36">
      <c r="D252" s="12"/>
      <c r="E252" s="13"/>
      <c r="F252" s="12"/>
      <c r="G252" s="13"/>
      <c r="H252" s="13"/>
      <c r="I252" s="13"/>
      <c r="J252" s="13"/>
      <c r="K252" s="156"/>
      <c r="L252" s="156"/>
      <c r="M252" s="57"/>
      <c r="N252" s="57"/>
      <c r="O252" s="57"/>
      <c r="P252" s="57"/>
      <c r="Q252" s="57"/>
      <c r="R252" s="57"/>
      <c r="S252" s="156"/>
      <c r="T252" s="156"/>
      <c r="U252" s="13"/>
      <c r="V252" s="13"/>
      <c r="W252" s="27"/>
      <c r="X252" s="27"/>
      <c r="Y252" s="13"/>
      <c r="Z252" s="31"/>
      <c r="AA252" s="13"/>
      <c r="AB252" s="31"/>
      <c r="AC252" s="13"/>
      <c r="AD252" s="13"/>
      <c r="AE252" s="31"/>
      <c r="AF252" s="31"/>
      <c r="AG252" s="27"/>
      <c r="AH252" s="27"/>
      <c r="AI252" s="177"/>
      <c r="AJ252" s="15"/>
    </row>
    <row r="253" spans="4:36">
      <c r="D253" s="12"/>
      <c r="E253" s="13"/>
      <c r="F253" s="12"/>
      <c r="G253" s="13"/>
      <c r="H253" s="13"/>
      <c r="I253" s="13"/>
      <c r="J253" s="35"/>
      <c r="K253" s="436" t="s">
        <v>359</v>
      </c>
      <c r="L253" s="436"/>
      <c r="M253" s="13" t="s">
        <v>360</v>
      </c>
      <c r="N253" s="13"/>
      <c r="O253" s="13"/>
      <c r="P253" s="13"/>
      <c r="Q253" s="13"/>
      <c r="R253" s="27"/>
      <c r="S253" s="27"/>
      <c r="T253" s="13"/>
      <c r="U253" s="13"/>
      <c r="V253" s="13"/>
      <c r="W253" s="13"/>
      <c r="X253" s="13"/>
      <c r="Y253" s="13"/>
      <c r="Z253" s="13"/>
      <c r="AA253" s="13"/>
      <c r="AB253" s="13"/>
      <c r="AC253" s="13"/>
      <c r="AD253" s="13"/>
      <c r="AE253" s="31"/>
      <c r="AF253" s="31"/>
      <c r="AG253" s="27"/>
      <c r="AH253" s="27"/>
      <c r="AI253" s="177"/>
      <c r="AJ253" s="15"/>
    </row>
    <row r="254" spans="4:36">
      <c r="D254" s="12"/>
      <c r="E254" s="13"/>
      <c r="F254" s="12"/>
      <c r="G254" s="13"/>
      <c r="H254" s="13"/>
      <c r="I254" s="13"/>
      <c r="J254" s="35"/>
      <c r="K254" s="35"/>
      <c r="L254" s="436" t="s">
        <v>359</v>
      </c>
      <c r="M254" s="436"/>
      <c r="N254" s="13" t="s">
        <v>2</v>
      </c>
      <c r="O254" s="367">
        <f>P26</f>
        <v>5.2</v>
      </c>
      <c r="P254" s="369"/>
      <c r="Q254" s="37" t="s">
        <v>3</v>
      </c>
      <c r="R254" s="13"/>
      <c r="S254" s="31" t="s">
        <v>351</v>
      </c>
      <c r="T254" s="13"/>
      <c r="U254" s="13"/>
      <c r="V254" s="13"/>
      <c r="W254" s="13"/>
      <c r="X254"/>
      <c r="Y254" s="13"/>
      <c r="Z254" s="13"/>
      <c r="AA254" s="13"/>
      <c r="AB254" s="13"/>
      <c r="AC254" s="13"/>
      <c r="AD254" s="13"/>
      <c r="AE254" s="31"/>
      <c r="AF254" s="31"/>
      <c r="AG254" s="27"/>
      <c r="AH254" s="27"/>
      <c r="AI254" s="177"/>
      <c r="AJ254" s="15"/>
    </row>
    <row r="255" spans="4:36">
      <c r="D255" s="12"/>
      <c r="E255" s="13"/>
      <c r="F255" s="12"/>
      <c r="G255" s="13"/>
      <c r="H255" s="13"/>
      <c r="I255" s="13"/>
      <c r="J255" s="35"/>
      <c r="K255" s="35"/>
      <c r="L255" s="14"/>
      <c r="M255" s="14"/>
      <c r="N255" s="13"/>
      <c r="O255" s="14"/>
      <c r="P255" s="14"/>
      <c r="Q255" s="37"/>
      <c r="R255" s="13"/>
      <c r="S255" s="31"/>
      <c r="T255" s="13"/>
      <c r="U255" s="13"/>
      <c r="V255" s="13"/>
      <c r="W255" s="13"/>
      <c r="X255"/>
      <c r="Y255" s="13"/>
      <c r="Z255" s="13"/>
      <c r="AA255" s="13"/>
      <c r="AB255" s="13"/>
      <c r="AC255" s="13"/>
      <c r="AD255" s="13"/>
      <c r="AE255" s="31"/>
      <c r="AF255" s="31"/>
      <c r="AG255" s="27"/>
      <c r="AH255" s="27"/>
      <c r="AI255" s="177"/>
      <c r="AJ255" s="15"/>
    </row>
    <row r="256" spans="4:36">
      <c r="D256" s="12"/>
      <c r="E256" s="13"/>
      <c r="F256" s="12"/>
      <c r="G256" s="13"/>
      <c r="H256" s="13"/>
      <c r="I256" s="13"/>
      <c r="J256" s="35"/>
      <c r="K256" s="13" t="s">
        <v>361</v>
      </c>
      <c r="L256" s="13"/>
      <c r="M256" s="13"/>
      <c r="N256" s="13"/>
      <c r="O256" s="13"/>
      <c r="P256" s="13"/>
      <c r="Q256" s="34"/>
      <c r="R256" s="13"/>
      <c r="S256" s="31"/>
      <c r="T256" s="13"/>
      <c r="U256" s="13"/>
      <c r="V256" s="13"/>
      <c r="W256" s="13"/>
      <c r="X256"/>
      <c r="Y256" s="13"/>
      <c r="Z256" s="13"/>
      <c r="AA256" s="13"/>
      <c r="AB256" s="13"/>
      <c r="AC256" s="13"/>
      <c r="AD256" s="13"/>
      <c r="AE256" s="31"/>
      <c r="AF256" s="31"/>
      <c r="AG256" s="27"/>
      <c r="AH256" s="27"/>
      <c r="AI256" s="177"/>
      <c r="AJ256" s="15"/>
    </row>
    <row r="257" spans="4:36" ht="20.25">
      <c r="D257" s="12"/>
      <c r="E257" s="13"/>
      <c r="F257" s="12"/>
      <c r="G257" s="13"/>
      <c r="H257" s="13"/>
      <c r="I257" s="13"/>
      <c r="J257" s="35"/>
      <c r="K257" s="451" t="s">
        <v>358</v>
      </c>
      <c r="L257" s="451"/>
      <c r="M257" s="449" t="s">
        <v>2</v>
      </c>
      <c r="N257" s="452">
        <f>O254</f>
        <v>5.2</v>
      </c>
      <c r="O257" s="452"/>
      <c r="P257" s="17" t="s">
        <v>27</v>
      </c>
      <c r="Q257" s="889">
        <v>1000</v>
      </c>
      <c r="R257" s="889"/>
      <c r="S257" s="889"/>
      <c r="T257" s="13"/>
      <c r="U257" s="449" t="s">
        <v>2</v>
      </c>
      <c r="V257" s="554">
        <f>N257*Q257/P258</f>
        <v>14.857142857142858</v>
      </c>
      <c r="W257" s="555"/>
      <c r="X257"/>
      <c r="Y257" s="13"/>
      <c r="Z257" s="13"/>
      <c r="AA257" s="13"/>
      <c r="AB257" s="13"/>
      <c r="AC257" s="13"/>
      <c r="AD257" s="13"/>
      <c r="AE257" s="31"/>
      <c r="AF257" s="31"/>
      <c r="AG257" s="27"/>
      <c r="AH257" s="27"/>
      <c r="AI257" s="177"/>
      <c r="AJ257" s="15"/>
    </row>
    <row r="258" spans="4:36">
      <c r="D258" s="12"/>
      <c r="E258" s="13"/>
      <c r="F258" s="12"/>
      <c r="G258" s="13"/>
      <c r="H258" s="13"/>
      <c r="I258" s="13"/>
      <c r="J258" s="35"/>
      <c r="K258" s="467" t="s">
        <v>195</v>
      </c>
      <c r="L258" s="467"/>
      <c r="M258" s="449"/>
      <c r="N258" s="13"/>
      <c r="O258" s="13"/>
      <c r="P258" s="910">
        <f>'1.設計条件'!W57</f>
        <v>350</v>
      </c>
      <c r="Q258" s="910"/>
      <c r="R258" s="145"/>
      <c r="S258" s="145"/>
      <c r="T258" s="13"/>
      <c r="U258" s="449"/>
      <c r="V258" s="556"/>
      <c r="W258" s="557"/>
      <c r="X258"/>
      <c r="Y258" s="13"/>
      <c r="Z258" s="13"/>
      <c r="AA258" s="13"/>
      <c r="AB258" s="13"/>
      <c r="AC258" s="13"/>
      <c r="AD258" s="13"/>
      <c r="AE258" s="31"/>
      <c r="AF258" s="31"/>
      <c r="AG258" s="27"/>
      <c r="AH258" s="27"/>
      <c r="AI258" s="177"/>
      <c r="AJ258" s="15"/>
    </row>
    <row r="259" spans="4:36">
      <c r="D259" s="12"/>
      <c r="E259" s="13"/>
      <c r="F259" s="12"/>
      <c r="G259" s="13"/>
      <c r="H259" s="13"/>
      <c r="I259" s="13"/>
      <c r="J259" s="35"/>
      <c r="K259" s="35"/>
      <c r="L259" s="34"/>
      <c r="M259" s="28"/>
      <c r="N259" s="147"/>
      <c r="O259" s="147"/>
      <c r="P259" s="13"/>
      <c r="Q259" s="157"/>
      <c r="R259" s="157"/>
      <c r="S259" s="157"/>
      <c r="T259" s="13"/>
      <c r="U259" s="28"/>
      <c r="V259" s="28"/>
      <c r="W259" s="28"/>
      <c r="X259"/>
      <c r="Y259" s="13"/>
      <c r="Z259" s="13"/>
      <c r="AA259" s="13"/>
      <c r="AB259" s="13"/>
      <c r="AC259" s="13"/>
      <c r="AD259" s="13"/>
      <c r="AE259" s="31"/>
      <c r="AF259" s="31"/>
      <c r="AG259" s="27"/>
      <c r="AH259" s="27"/>
      <c r="AI259" s="177"/>
      <c r="AJ259" s="15"/>
    </row>
    <row r="260" spans="4:36">
      <c r="D260" s="12"/>
      <c r="E260" s="13"/>
      <c r="F260" s="12"/>
      <c r="G260" s="13"/>
      <c r="H260" s="13"/>
      <c r="I260" s="433" t="s">
        <v>362</v>
      </c>
      <c r="J260" s="433"/>
      <c r="K260" s="433"/>
      <c r="L260" s="433"/>
      <c r="M260" s="433"/>
      <c r="N260" s="433"/>
      <c r="O260" s="433"/>
      <c r="P260" s="433"/>
      <c r="Q260" s="433"/>
      <c r="R260" s="433"/>
      <c r="S260" s="380">
        <v>4.5</v>
      </c>
      <c r="T260" s="380"/>
      <c r="U260" s="13" t="s">
        <v>353</v>
      </c>
      <c r="V260" s="449" t="s">
        <v>363</v>
      </c>
      <c r="W260" s="449"/>
      <c r="X260" s="13" t="s">
        <v>326</v>
      </c>
      <c r="Y260" s="458">
        <v>30</v>
      </c>
      <c r="Z260" s="458"/>
      <c r="AA260" s="33" t="s">
        <v>355</v>
      </c>
      <c r="AB260"/>
      <c r="AC260" s="13" t="s">
        <v>416</v>
      </c>
      <c r="AD260" s="13"/>
      <c r="AE260" s="13"/>
      <c r="AF260" s="13"/>
      <c r="AG260" s="27"/>
      <c r="AH260" s="27"/>
      <c r="AI260" s="177"/>
      <c r="AJ260" s="15"/>
    </row>
    <row r="261" spans="4:36">
      <c r="D261" s="12"/>
      <c r="E261" s="13"/>
      <c r="F261" s="12"/>
      <c r="G261" s="13"/>
      <c r="H261" s="465" t="s">
        <v>322</v>
      </c>
      <c r="I261" s="465"/>
      <c r="J261" s="32" t="s">
        <v>2</v>
      </c>
      <c r="K261" s="148" t="s">
        <v>364</v>
      </c>
      <c r="L261" s="890">
        <v>140</v>
      </c>
      <c r="M261" s="890"/>
      <c r="N261" s="148" t="s">
        <v>263</v>
      </c>
      <c r="O261" s="433">
        <v>2.4</v>
      </c>
      <c r="P261" s="433"/>
      <c r="Q261" s="148" t="s">
        <v>69</v>
      </c>
      <c r="R261" s="436" t="s">
        <v>359</v>
      </c>
      <c r="S261" s="436"/>
      <c r="T261" s="147" t="s">
        <v>70</v>
      </c>
      <c r="U261" s="34" t="s">
        <v>195</v>
      </c>
      <c r="V261" s="13" t="s">
        <v>263</v>
      </c>
      <c r="W261" s="449">
        <v>4.5</v>
      </c>
      <c r="X261" s="449"/>
      <c r="Y261" s="27" t="s">
        <v>365</v>
      </c>
      <c r="Z261" s="27" t="s">
        <v>27</v>
      </c>
      <c r="AA261" s="449">
        <v>1.5</v>
      </c>
      <c r="AB261" s="449"/>
      <c r="AC261" s="13"/>
      <c r="AD261" s="13"/>
      <c r="AE261" s="13"/>
      <c r="AF261" s="13"/>
      <c r="AG261" s="27"/>
      <c r="AH261" s="27"/>
      <c r="AI261" s="177"/>
      <c r="AJ261" s="15"/>
    </row>
    <row r="262" spans="4:36">
      <c r="D262" s="12"/>
      <c r="E262" s="13"/>
      <c r="F262" s="12"/>
      <c r="G262" s="13"/>
      <c r="H262" s="164"/>
      <c r="I262" s="164"/>
      <c r="J262" s="32" t="s">
        <v>2</v>
      </c>
      <c r="K262" s="148" t="s">
        <v>364</v>
      </c>
      <c r="L262" s="890">
        <v>140</v>
      </c>
      <c r="M262" s="890"/>
      <c r="N262" s="148" t="s">
        <v>263</v>
      </c>
      <c r="O262" s="433">
        <v>2.4</v>
      </c>
      <c r="P262" s="433"/>
      <c r="Q262" s="148" t="s">
        <v>69</v>
      </c>
      <c r="R262" s="436">
        <f>V257</f>
        <v>14.857142857142858</v>
      </c>
      <c r="S262" s="436"/>
      <c r="T262" s="436"/>
      <c r="U262" s="436"/>
      <c r="V262" s="13" t="s">
        <v>263</v>
      </c>
      <c r="W262" s="449">
        <v>4.5</v>
      </c>
      <c r="X262" s="449"/>
      <c r="Y262" s="27" t="s">
        <v>365</v>
      </c>
      <c r="Z262" s="27" t="s">
        <v>27</v>
      </c>
      <c r="AA262" s="449">
        <v>1.5</v>
      </c>
      <c r="AB262" s="449"/>
      <c r="AC262" s="13"/>
      <c r="AD262" s="13"/>
      <c r="AE262" s="13"/>
      <c r="AF262" s="13"/>
      <c r="AG262" s="27"/>
      <c r="AH262" s="27"/>
      <c r="AI262" s="177"/>
      <c r="AJ262" s="15"/>
    </row>
    <row r="263" spans="4:36" ht="20.25">
      <c r="D263" s="12"/>
      <c r="E263" s="13"/>
      <c r="F263" s="12"/>
      <c r="G263" s="13"/>
      <c r="H263" s="13"/>
      <c r="I263" s="148"/>
      <c r="J263" s="32" t="s">
        <v>2</v>
      </c>
      <c r="K263" s="885">
        <f>(L262-O262*(R262-W262))*AA262</f>
        <v>172.71428571428572</v>
      </c>
      <c r="L263" s="886"/>
      <c r="M263" s="887"/>
      <c r="N263" s="163" t="s">
        <v>48</v>
      </c>
      <c r="O263" s="148"/>
      <c r="P263" s="148"/>
      <c r="Q263" s="148"/>
      <c r="R263" s="148"/>
      <c r="S263" s="147"/>
      <c r="T263" s="147"/>
      <c r="U263" s="13"/>
      <c r="V263" s="28"/>
      <c r="W263" s="28"/>
      <c r="X263" s="13"/>
      <c r="Y263" s="27"/>
      <c r="Z263" s="27"/>
      <c r="AA263" s="33"/>
      <c r="AB263"/>
      <c r="AC263" s="13"/>
      <c r="AD263" s="13"/>
      <c r="AE263" s="13"/>
      <c r="AF263" s="13"/>
      <c r="AG263" s="27"/>
      <c r="AH263" s="27"/>
      <c r="AI263" s="177"/>
      <c r="AJ263" s="15"/>
    </row>
    <row r="264" spans="4:36">
      <c r="D264" s="12"/>
      <c r="E264" s="13"/>
      <c r="F264" s="16"/>
      <c r="G264" s="17"/>
      <c r="H264" s="17"/>
      <c r="I264" s="178"/>
      <c r="J264" s="179"/>
      <c r="K264" s="178"/>
      <c r="L264" s="178"/>
      <c r="M264" s="178"/>
      <c r="N264" s="176"/>
      <c r="O264" s="178"/>
      <c r="P264" s="178"/>
      <c r="Q264" s="178"/>
      <c r="R264" s="178"/>
      <c r="S264" s="162"/>
      <c r="T264" s="162"/>
      <c r="U264" s="17"/>
      <c r="V264" s="169"/>
      <c r="W264" s="169"/>
      <c r="X264" s="17"/>
      <c r="Y264" s="152"/>
      <c r="Z264" s="152"/>
      <c r="AA264" s="180"/>
      <c r="AB264" s="25"/>
      <c r="AC264" s="17"/>
      <c r="AD264" s="17"/>
      <c r="AE264" s="17"/>
      <c r="AF264" s="17"/>
      <c r="AG264" s="152"/>
      <c r="AH264" s="152"/>
      <c r="AI264" s="181"/>
      <c r="AJ264" s="15"/>
    </row>
    <row r="265" spans="4:36">
      <c r="D265" s="12"/>
      <c r="E265" s="13"/>
      <c r="F265" s="13"/>
      <c r="G265" s="13"/>
      <c r="H265" s="13"/>
      <c r="I265" s="148"/>
      <c r="J265" s="32"/>
      <c r="K265" s="148"/>
      <c r="L265" s="148"/>
      <c r="M265" s="148"/>
      <c r="N265" s="163"/>
      <c r="O265" s="148"/>
      <c r="P265" s="148"/>
      <c r="Q265" s="148"/>
      <c r="R265" s="148"/>
      <c r="S265" s="147"/>
      <c r="T265" s="147"/>
      <c r="U265" s="13"/>
      <c r="V265" s="28"/>
      <c r="W265" s="28"/>
      <c r="X265" s="13"/>
      <c r="Y265" s="27"/>
      <c r="Z265" s="27"/>
      <c r="AA265" s="33"/>
      <c r="AB265"/>
      <c r="AC265" s="13"/>
      <c r="AD265" s="13"/>
      <c r="AE265" s="13"/>
      <c r="AF265" s="13"/>
      <c r="AG265" s="27"/>
      <c r="AH265" s="27"/>
      <c r="AI265" s="27"/>
      <c r="AJ265" s="15"/>
    </row>
    <row r="266" spans="4:36">
      <c r="D266" s="12"/>
      <c r="E266" s="13"/>
      <c r="F266" s="13"/>
      <c r="G266" s="13"/>
      <c r="H266" s="13"/>
      <c r="I266" s="148"/>
      <c r="J266" s="148"/>
      <c r="K266" s="148"/>
      <c r="L266" s="148"/>
      <c r="M266" s="148"/>
      <c r="N266" s="148"/>
      <c r="O266" s="148"/>
      <c r="P266" s="148"/>
      <c r="Q266" s="148"/>
      <c r="R266" s="148"/>
      <c r="S266" s="147"/>
      <c r="T266" s="147"/>
      <c r="U266" s="13"/>
      <c r="V266" s="28"/>
      <c r="W266" s="28"/>
      <c r="X266" s="13"/>
      <c r="Y266" s="27"/>
      <c r="Z266" s="27"/>
      <c r="AA266" s="33"/>
      <c r="AB266"/>
      <c r="AC266" s="13"/>
      <c r="AD266" s="13"/>
      <c r="AE266" s="13"/>
      <c r="AF266" s="13"/>
      <c r="AG266" s="27"/>
      <c r="AH266" s="27"/>
      <c r="AI266" s="27"/>
      <c r="AJ266" s="15"/>
    </row>
    <row r="267" spans="4:36">
      <c r="D267" s="12"/>
      <c r="E267" s="13"/>
      <c r="F267" s="9"/>
      <c r="G267" s="10"/>
      <c r="H267" s="467" t="s">
        <v>324</v>
      </c>
      <c r="I267" s="467"/>
      <c r="J267" s="10" t="s">
        <v>339</v>
      </c>
      <c r="K267" s="10"/>
      <c r="L267" s="10"/>
      <c r="M267" s="10"/>
      <c r="N267" s="10"/>
      <c r="O267" s="10"/>
      <c r="P267" s="10"/>
      <c r="Q267" s="10"/>
      <c r="R267" s="10"/>
      <c r="S267" s="10"/>
      <c r="T267" s="10"/>
      <c r="U267" s="10"/>
      <c r="V267" s="10"/>
      <c r="W267" s="10"/>
      <c r="X267" s="3"/>
      <c r="Y267" s="10"/>
      <c r="Z267" s="10"/>
      <c r="AA267" s="10"/>
      <c r="AB267" s="10"/>
      <c r="AC267" s="10"/>
      <c r="AD267" s="10"/>
      <c r="AE267" s="10"/>
      <c r="AF267" s="10"/>
      <c r="AG267" s="10"/>
      <c r="AH267" s="10"/>
      <c r="AI267" s="11"/>
      <c r="AJ267" s="15"/>
    </row>
    <row r="268" spans="4:36" ht="20.25">
      <c r="D268" s="12"/>
      <c r="E268" s="13"/>
      <c r="F268" s="12"/>
      <c r="G268" s="13"/>
      <c r="H268" s="13"/>
      <c r="I268" s="13"/>
      <c r="J268" s="360" t="s">
        <v>324</v>
      </c>
      <c r="K268" s="360"/>
      <c r="L268" s="13" t="s">
        <v>2</v>
      </c>
      <c r="M268" s="374">
        <v>210</v>
      </c>
      <c r="N268" s="376"/>
      <c r="O268" s="13" t="s">
        <v>48</v>
      </c>
      <c r="P268" s="13"/>
      <c r="Q268" s="13"/>
      <c r="R268" s="13" t="s">
        <v>340</v>
      </c>
      <c r="S268" s="13"/>
      <c r="T268" s="13"/>
      <c r="U268" s="13"/>
      <c r="V268" s="13"/>
      <c r="W268" s="13"/>
      <c r="X268"/>
      <c r="Y268" s="13"/>
      <c r="Z268" s="13"/>
      <c r="AA268" s="13"/>
      <c r="AB268" s="13"/>
      <c r="AC268" s="13"/>
      <c r="AD268" s="13"/>
      <c r="AE268" s="13"/>
      <c r="AF268" s="13"/>
      <c r="AG268" s="13"/>
      <c r="AH268" s="13"/>
      <c r="AI268" s="15"/>
      <c r="AJ268" s="15"/>
    </row>
    <row r="269" spans="4:36">
      <c r="D269" s="12"/>
      <c r="E269" s="13"/>
      <c r="F269" s="16"/>
      <c r="G269" s="17"/>
      <c r="H269" s="17"/>
      <c r="I269" s="17"/>
      <c r="J269" s="151"/>
      <c r="K269" s="151"/>
      <c r="L269" s="17"/>
      <c r="M269" s="182"/>
      <c r="N269" s="182"/>
      <c r="O269" s="17"/>
      <c r="P269" s="17"/>
      <c r="Q269" s="17"/>
      <c r="R269" s="17"/>
      <c r="S269" s="17"/>
      <c r="T269" s="17"/>
      <c r="U269" s="17"/>
      <c r="V269" s="17"/>
      <c r="W269" s="17"/>
      <c r="X269" s="25"/>
      <c r="Y269" s="17"/>
      <c r="Z269" s="17"/>
      <c r="AA269" s="17"/>
      <c r="AB269" s="17"/>
      <c r="AC269" s="17"/>
      <c r="AD269" s="17"/>
      <c r="AE269" s="17"/>
      <c r="AF269" s="17"/>
      <c r="AG269" s="17"/>
      <c r="AH269" s="17"/>
      <c r="AI269" s="19"/>
      <c r="AJ269" s="15"/>
    </row>
    <row r="270" spans="4:36">
      <c r="D270" s="12"/>
      <c r="E270" s="13"/>
      <c r="F270" s="13"/>
      <c r="G270" s="13"/>
      <c r="H270" s="13"/>
      <c r="I270" s="13"/>
      <c r="J270" s="35"/>
      <c r="K270" s="35"/>
      <c r="L270" s="13"/>
      <c r="M270" s="146"/>
      <c r="N270" s="146"/>
      <c r="O270" s="13"/>
      <c r="P270" s="13"/>
      <c r="Q270" s="13"/>
      <c r="R270" s="13"/>
      <c r="S270" s="13"/>
      <c r="T270" s="13"/>
      <c r="U270" s="13"/>
      <c r="V270" s="13"/>
      <c r="W270" s="13"/>
      <c r="X270"/>
      <c r="Y270" s="13"/>
      <c r="Z270" s="13"/>
      <c r="AA270" s="13"/>
      <c r="AB270" s="13"/>
      <c r="AC270" s="13"/>
      <c r="AD270" s="13"/>
      <c r="AE270" s="13"/>
      <c r="AF270" s="13"/>
      <c r="AG270" s="13"/>
      <c r="AH270" s="13"/>
      <c r="AI270" s="13"/>
      <c r="AJ270" s="15"/>
    </row>
    <row r="271" spans="4:36">
      <c r="D271" s="12"/>
      <c r="E271" s="13"/>
      <c r="F271" s="13"/>
      <c r="G271" s="13"/>
      <c r="H271" s="13"/>
      <c r="I271" s="13"/>
      <c r="J271" s="13"/>
      <c r="K271" s="13"/>
      <c r="L271" s="13"/>
      <c r="M271" s="13"/>
      <c r="N271" s="13"/>
      <c r="O271" s="13"/>
      <c r="P271" s="13"/>
      <c r="Q271" s="13"/>
      <c r="R271" s="13"/>
      <c r="S271" s="13"/>
      <c r="T271" s="13"/>
      <c r="U271" s="13"/>
      <c r="V271" s="13"/>
      <c r="W271" s="13"/>
      <c r="X271"/>
      <c r="Y271" s="13"/>
      <c r="Z271" s="13"/>
      <c r="AA271" s="13"/>
      <c r="AB271" s="13"/>
      <c r="AC271" s="13"/>
      <c r="AD271" s="13"/>
      <c r="AE271" s="13"/>
      <c r="AF271" s="13"/>
      <c r="AG271" s="13"/>
      <c r="AH271" s="13"/>
      <c r="AI271" s="13"/>
      <c r="AJ271" s="15"/>
    </row>
    <row r="272" spans="4:36">
      <c r="D272" s="12"/>
      <c r="E272" s="13"/>
      <c r="F272" s="9"/>
      <c r="G272" s="10"/>
      <c r="H272" s="467" t="s">
        <v>366</v>
      </c>
      <c r="I272" s="467"/>
      <c r="J272" s="10" t="s">
        <v>367</v>
      </c>
      <c r="K272" s="10"/>
      <c r="L272" s="10"/>
      <c r="M272" s="10"/>
      <c r="N272" s="10"/>
      <c r="O272" s="10"/>
      <c r="P272" s="10"/>
      <c r="Q272" s="10"/>
      <c r="R272" s="10"/>
      <c r="S272" s="10"/>
      <c r="T272" s="10"/>
      <c r="U272" s="10"/>
      <c r="V272" s="10"/>
      <c r="W272" s="10"/>
      <c r="X272" s="3"/>
      <c r="Y272" s="10"/>
      <c r="Z272" s="10"/>
      <c r="AA272" s="10"/>
      <c r="AB272" s="10"/>
      <c r="AC272" s="10"/>
      <c r="AD272" s="10"/>
      <c r="AE272" s="10"/>
      <c r="AF272" s="10"/>
      <c r="AG272" s="10"/>
      <c r="AH272" s="10"/>
      <c r="AI272" s="11"/>
      <c r="AJ272" s="15"/>
    </row>
    <row r="273" spans="4:36" ht="20.25">
      <c r="D273" s="12"/>
      <c r="E273" s="13"/>
      <c r="F273" s="12"/>
      <c r="G273" s="13"/>
      <c r="H273" s="13"/>
      <c r="I273" s="13"/>
      <c r="J273" s="360" t="s">
        <v>366</v>
      </c>
      <c r="K273" s="360"/>
      <c r="L273" s="13" t="s">
        <v>2</v>
      </c>
      <c r="M273" s="374">
        <v>210</v>
      </c>
      <c r="N273" s="376"/>
      <c r="O273" s="13" t="s">
        <v>48</v>
      </c>
      <c r="P273" s="13"/>
      <c r="Q273" s="13"/>
      <c r="R273" s="13" t="s">
        <v>340</v>
      </c>
      <c r="S273" s="13"/>
      <c r="T273" s="13"/>
      <c r="U273" s="13"/>
      <c r="V273" s="13"/>
      <c r="W273" s="13"/>
      <c r="X273"/>
      <c r="Y273" s="13"/>
      <c r="Z273" s="13"/>
      <c r="AA273" s="13"/>
      <c r="AB273" s="13"/>
      <c r="AC273" s="13"/>
      <c r="AD273" s="13"/>
      <c r="AE273" s="13"/>
      <c r="AF273" s="13"/>
      <c r="AG273" s="13"/>
      <c r="AH273" s="13"/>
      <c r="AI273" s="15"/>
      <c r="AJ273" s="15"/>
    </row>
    <row r="274" spans="4:36">
      <c r="D274" s="12"/>
      <c r="E274" s="13"/>
      <c r="F274" s="16"/>
      <c r="G274" s="17"/>
      <c r="H274" s="17"/>
      <c r="I274" s="17"/>
      <c r="J274" s="17"/>
      <c r="K274" s="17" t="s">
        <v>330</v>
      </c>
      <c r="L274" s="17"/>
      <c r="M274" s="17"/>
      <c r="N274" s="123" t="s">
        <v>331</v>
      </c>
      <c r="O274" s="17" t="s">
        <v>326</v>
      </c>
      <c r="P274" s="451">
        <v>13.1</v>
      </c>
      <c r="Q274" s="451"/>
      <c r="R274" s="123" t="s">
        <v>332</v>
      </c>
      <c r="S274" s="17" t="s">
        <v>315</v>
      </c>
      <c r="T274" s="17"/>
      <c r="U274" s="17"/>
      <c r="V274" s="17"/>
      <c r="W274" s="17"/>
      <c r="X274" s="25"/>
      <c r="Y274" s="17"/>
      <c r="Z274" s="17"/>
      <c r="AA274" s="17"/>
      <c r="AB274" s="17"/>
      <c r="AC274" s="17"/>
      <c r="AD274" s="17"/>
      <c r="AE274" s="17"/>
      <c r="AF274" s="17"/>
      <c r="AG274" s="17"/>
      <c r="AH274" s="17"/>
      <c r="AI274" s="19"/>
      <c r="AJ274" s="15"/>
    </row>
    <row r="275" spans="4:36">
      <c r="D275" s="12"/>
      <c r="E275" s="13"/>
      <c r="F275" s="13"/>
      <c r="G275" s="13"/>
      <c r="H275" s="13"/>
      <c r="I275" s="13"/>
      <c r="J275" s="13"/>
      <c r="K275" s="13"/>
      <c r="L275" s="13"/>
      <c r="M275" s="13"/>
      <c r="N275" s="34"/>
      <c r="O275" s="13"/>
      <c r="P275" s="14"/>
      <c r="Q275" s="14"/>
      <c r="R275" s="34"/>
      <c r="S275" s="13"/>
      <c r="T275" s="13"/>
      <c r="U275" s="13"/>
      <c r="V275" s="13"/>
      <c r="W275" s="13"/>
      <c r="X275"/>
      <c r="Y275" s="13"/>
      <c r="Z275" s="13"/>
      <c r="AA275" s="13"/>
      <c r="AB275" s="13"/>
      <c r="AC275" s="13"/>
      <c r="AD275" s="13"/>
      <c r="AE275" s="13"/>
      <c r="AF275" s="13"/>
      <c r="AG275" s="13"/>
      <c r="AH275" s="13"/>
      <c r="AI275" s="13"/>
      <c r="AJ275" s="15"/>
    </row>
    <row r="276" spans="4:36">
      <c r="D276" s="12"/>
      <c r="E276" s="13"/>
      <c r="F276" s="13"/>
      <c r="G276" s="13"/>
      <c r="H276" s="13"/>
      <c r="I276" s="13"/>
      <c r="J276" s="13"/>
      <c r="K276" s="13"/>
      <c r="L276" s="13"/>
      <c r="M276" s="13"/>
      <c r="N276" s="34"/>
      <c r="O276" s="13"/>
      <c r="P276" s="14"/>
      <c r="Q276" s="14"/>
      <c r="R276" s="34"/>
      <c r="S276" s="13"/>
      <c r="T276" s="13"/>
      <c r="U276" s="13"/>
      <c r="V276" s="13"/>
      <c r="W276" s="13"/>
      <c r="X276"/>
      <c r="Y276" s="13"/>
      <c r="Z276" s="13"/>
      <c r="AA276" s="13"/>
      <c r="AB276" s="13"/>
      <c r="AC276" s="13"/>
      <c r="AD276" s="13"/>
      <c r="AE276" s="13"/>
      <c r="AF276" s="13"/>
      <c r="AG276" s="13"/>
      <c r="AH276" s="13"/>
      <c r="AI276" s="13"/>
      <c r="AJ276" s="15"/>
    </row>
    <row r="277" spans="4:36" ht="20.25">
      <c r="D277" s="12"/>
      <c r="E277" s="13"/>
      <c r="F277" s="856" t="s">
        <v>321</v>
      </c>
      <c r="G277" s="857"/>
      <c r="H277" s="858" t="s">
        <v>341</v>
      </c>
      <c r="I277" s="858"/>
      <c r="J277" s="10" t="s">
        <v>417</v>
      </c>
      <c r="K277" s="10"/>
      <c r="L277" s="10"/>
      <c r="M277" s="10"/>
      <c r="N277" s="10"/>
      <c r="O277" s="10"/>
      <c r="P277" s="10"/>
      <c r="Q277" s="10"/>
      <c r="R277" s="10"/>
      <c r="S277" s="10"/>
      <c r="T277" s="10"/>
      <c r="U277" s="10"/>
      <c r="V277" s="10"/>
      <c r="W277" s="10"/>
      <c r="X277" s="3"/>
      <c r="Y277" s="10"/>
      <c r="Z277" s="10"/>
      <c r="AA277" s="10"/>
      <c r="AB277" s="10"/>
      <c r="AC277" s="10"/>
      <c r="AD277" s="10"/>
      <c r="AE277" s="10"/>
      <c r="AF277" s="10"/>
      <c r="AG277" s="10"/>
      <c r="AH277" s="10"/>
      <c r="AI277" s="11"/>
      <c r="AJ277" s="15"/>
    </row>
    <row r="278" spans="4:36">
      <c r="D278" s="12"/>
      <c r="E278" s="13"/>
      <c r="F278" s="12"/>
      <c r="G278" s="13"/>
      <c r="H278" s="13"/>
      <c r="I278" s="13"/>
      <c r="J278" s="465" t="s">
        <v>321</v>
      </c>
      <c r="K278" s="465"/>
      <c r="L278" s="449" t="s">
        <v>2</v>
      </c>
      <c r="M278" s="867">
        <v>1200000</v>
      </c>
      <c r="N278" s="867"/>
      <c r="O278" s="867"/>
      <c r="P278" s="867"/>
      <c r="Q278" s="867"/>
      <c r="R278" s="13"/>
      <c r="S278" s="449" t="s">
        <v>2</v>
      </c>
      <c r="T278" s="867">
        <v>1200000</v>
      </c>
      <c r="U278" s="867"/>
      <c r="V278" s="867"/>
      <c r="W278" s="867"/>
      <c r="X278" s="867"/>
      <c r="Y278" s="17"/>
      <c r="Z278" s="17"/>
      <c r="AA278" s="17"/>
      <c r="AB278" s="17"/>
      <c r="AC278" s="13"/>
      <c r="AD278" s="449" t="s">
        <v>2</v>
      </c>
      <c r="AE278" s="617">
        <f>T278</f>
        <v>1200000</v>
      </c>
      <c r="AF278" s="617"/>
      <c r="AG278" s="617"/>
      <c r="AH278" s="617"/>
      <c r="AI278" s="15"/>
      <c r="AJ278" s="15"/>
    </row>
    <row r="279" spans="4:36" ht="20.25">
      <c r="D279" s="12"/>
      <c r="E279" s="13"/>
      <c r="F279" s="12"/>
      <c r="G279" s="13"/>
      <c r="H279" s="13"/>
      <c r="I279" s="13"/>
      <c r="J279" s="465"/>
      <c r="K279" s="465"/>
      <c r="L279" s="449"/>
      <c r="M279" s="13" t="s">
        <v>69</v>
      </c>
      <c r="N279" s="13" t="s">
        <v>343</v>
      </c>
      <c r="O279" s="13" t="s">
        <v>70</v>
      </c>
      <c r="P279" s="34" t="s">
        <v>302</v>
      </c>
      <c r="Q279" s="13" t="s">
        <v>344</v>
      </c>
      <c r="R279" s="13"/>
      <c r="S279" s="449"/>
      <c r="T279" s="13" t="s">
        <v>69</v>
      </c>
      <c r="U279" s="458">
        <f>V289</f>
        <v>5200</v>
      </c>
      <c r="V279" s="458"/>
      <c r="W279" s="458"/>
      <c r="X279" s="13" t="s">
        <v>70</v>
      </c>
      <c r="Y279" s="436">
        <f>V292</f>
        <v>151</v>
      </c>
      <c r="Z279" s="436"/>
      <c r="AA279" s="13"/>
      <c r="AB279" s="13" t="s">
        <v>344</v>
      </c>
      <c r="AC279" s="13"/>
      <c r="AD279" s="449"/>
      <c r="AE279" s="436">
        <f>(U279/Y279)^2</f>
        <v>1185.912898557081</v>
      </c>
      <c r="AF279" s="436"/>
      <c r="AG279" s="436"/>
      <c r="AH279" s="436"/>
      <c r="AI279" s="15"/>
      <c r="AJ279" s="15"/>
    </row>
    <row r="280" spans="4:36">
      <c r="D280" s="12"/>
      <c r="E280" s="13"/>
      <c r="F280" s="12"/>
      <c r="G280" s="13"/>
      <c r="H280" s="13"/>
      <c r="I280" s="13"/>
      <c r="J280" s="36"/>
      <c r="K280" s="36"/>
      <c r="L280" s="28"/>
      <c r="M280" s="13"/>
      <c r="N280" s="13"/>
      <c r="O280" s="13"/>
      <c r="P280" s="34"/>
      <c r="Q280" s="13"/>
      <c r="R280" s="13"/>
      <c r="S280" s="28"/>
      <c r="T280" s="13"/>
      <c r="U280" s="27"/>
      <c r="V280" s="27"/>
      <c r="W280" s="27"/>
      <c r="X280" s="13"/>
      <c r="Y280" s="14"/>
      <c r="Z280" s="14"/>
      <c r="AA280" s="13"/>
      <c r="AB280" s="13"/>
      <c r="AC280" s="13"/>
      <c r="AD280" s="28"/>
      <c r="AE280" s="14"/>
      <c r="AF280" s="14"/>
      <c r="AG280" s="14"/>
      <c r="AH280" s="14"/>
      <c r="AI280" s="15"/>
      <c r="AJ280" s="15"/>
    </row>
    <row r="281" spans="4:36">
      <c r="D281" s="12"/>
      <c r="E281" s="13"/>
      <c r="F281" s="12"/>
      <c r="G281" s="13"/>
      <c r="H281" s="13"/>
      <c r="I281" s="13"/>
      <c r="J281" s="36"/>
      <c r="K281" s="36"/>
      <c r="L281" s="28" t="s">
        <v>2</v>
      </c>
      <c r="M281" s="462">
        <f>AE278/AE279</f>
        <v>1011.878698224852</v>
      </c>
      <c r="N281" s="463"/>
      <c r="O281" s="464"/>
      <c r="P281" s="34"/>
      <c r="Q281" s="13"/>
      <c r="R281" s="13"/>
      <c r="S281" s="13"/>
      <c r="T281" s="28"/>
      <c r="U281" s="13"/>
      <c r="V281" s="27"/>
      <c r="W281" s="27"/>
      <c r="X281" s="27"/>
      <c r="Y281" s="13"/>
      <c r="Z281" s="14"/>
      <c r="AA281" s="14"/>
      <c r="AB281" s="13"/>
      <c r="AC281" s="31"/>
      <c r="AD281" s="13"/>
      <c r="AE281" s="13"/>
      <c r="AF281" s="13"/>
      <c r="AG281" s="13"/>
      <c r="AH281" s="13"/>
      <c r="AI281" s="15"/>
      <c r="AJ281" s="15"/>
    </row>
    <row r="282" spans="4:36">
      <c r="D282" s="12"/>
      <c r="E282" s="13"/>
      <c r="F282" s="12"/>
      <c r="G282" s="13"/>
      <c r="H282" s="13"/>
      <c r="I282" s="13"/>
      <c r="J282" s="13"/>
      <c r="K282" s="13"/>
      <c r="L282" s="13"/>
      <c r="M282" s="13"/>
      <c r="N282" s="13"/>
      <c r="O282" s="13"/>
      <c r="P282" s="13"/>
      <c r="Q282" s="13"/>
      <c r="R282" s="13"/>
      <c r="S282" s="13"/>
      <c r="T282" s="13"/>
      <c r="U282" s="13"/>
      <c r="V282" s="13"/>
      <c r="W282" s="13"/>
      <c r="X282"/>
      <c r="Y282" s="13"/>
      <c r="Z282" s="13"/>
      <c r="AA282" s="13"/>
      <c r="AB282" s="13"/>
      <c r="AC282" s="13"/>
      <c r="AD282" s="13"/>
      <c r="AE282" s="13"/>
      <c r="AF282" s="13"/>
      <c r="AG282" s="13"/>
      <c r="AH282" s="13"/>
      <c r="AI282" s="15"/>
      <c r="AJ282" s="15"/>
    </row>
    <row r="283" spans="4:36">
      <c r="D283" s="12"/>
      <c r="E283" s="13"/>
      <c r="F283" s="12"/>
      <c r="G283" s="13"/>
      <c r="H283" s="13"/>
      <c r="I283" s="13"/>
      <c r="J283" s="465" t="s">
        <v>325</v>
      </c>
      <c r="K283" s="465"/>
      <c r="L283" s="449" t="s">
        <v>2</v>
      </c>
      <c r="M283" s="867">
        <v>1200000</v>
      </c>
      <c r="N283" s="867"/>
      <c r="O283" s="867"/>
      <c r="P283" s="867"/>
      <c r="Q283" s="867"/>
      <c r="R283" s="13"/>
      <c r="S283" s="449" t="s">
        <v>2</v>
      </c>
      <c r="T283" s="867">
        <v>1200000</v>
      </c>
      <c r="U283" s="867"/>
      <c r="V283" s="867"/>
      <c r="W283" s="867"/>
      <c r="X283" s="867"/>
      <c r="Y283" s="17"/>
      <c r="Z283" s="17"/>
      <c r="AA283" s="17"/>
      <c r="AB283" s="17"/>
      <c r="AC283" s="13"/>
      <c r="AD283" s="449" t="s">
        <v>2</v>
      </c>
      <c r="AE283" s="617">
        <f>T283</f>
        <v>1200000</v>
      </c>
      <c r="AF283" s="617"/>
      <c r="AG283" s="617"/>
      <c r="AH283" s="617"/>
      <c r="AI283" s="15"/>
      <c r="AJ283" s="15"/>
    </row>
    <row r="284" spans="4:36" ht="20.25">
      <c r="D284" s="12"/>
      <c r="E284" s="13"/>
      <c r="F284" s="12"/>
      <c r="G284" s="13"/>
      <c r="H284" s="13"/>
      <c r="I284" s="13"/>
      <c r="J284" s="465"/>
      <c r="K284" s="465"/>
      <c r="L284" s="449"/>
      <c r="M284" s="13" t="s">
        <v>69</v>
      </c>
      <c r="N284" s="13" t="s">
        <v>343</v>
      </c>
      <c r="O284" s="13" t="s">
        <v>70</v>
      </c>
      <c r="P284" s="34" t="s">
        <v>303</v>
      </c>
      <c r="Q284" s="13" t="s">
        <v>344</v>
      </c>
      <c r="R284" s="13"/>
      <c r="S284" s="449"/>
      <c r="T284" s="13" t="s">
        <v>69</v>
      </c>
      <c r="U284" s="458">
        <f>V289</f>
        <v>5200</v>
      </c>
      <c r="V284" s="458"/>
      <c r="W284" s="458"/>
      <c r="X284" s="13" t="s">
        <v>70</v>
      </c>
      <c r="Y284" s="436">
        <f>V293</f>
        <v>89.9</v>
      </c>
      <c r="Z284" s="436"/>
      <c r="AA284" s="13"/>
      <c r="AB284" s="13" t="s">
        <v>344</v>
      </c>
      <c r="AC284" s="13"/>
      <c r="AD284" s="449"/>
      <c r="AE284" s="436">
        <f>(U284/Y284)^2</f>
        <v>3345.7023685939507</v>
      </c>
      <c r="AF284" s="436"/>
      <c r="AG284" s="436"/>
      <c r="AH284" s="436"/>
      <c r="AI284" s="15"/>
      <c r="AJ284" s="15"/>
    </row>
    <row r="285" spans="4:36">
      <c r="D285" s="12"/>
      <c r="E285" s="13"/>
      <c r="F285" s="12"/>
      <c r="G285" s="13"/>
      <c r="H285" s="13"/>
      <c r="I285" s="13"/>
      <c r="J285" s="36"/>
      <c r="K285" s="36"/>
      <c r="L285" s="28"/>
      <c r="M285" s="13"/>
      <c r="N285" s="13"/>
      <c r="O285" s="13"/>
      <c r="P285" s="34"/>
      <c r="Q285" s="13"/>
      <c r="R285" s="13"/>
      <c r="S285" s="28"/>
      <c r="T285" s="13"/>
      <c r="U285" s="27"/>
      <c r="V285" s="27"/>
      <c r="W285" s="27"/>
      <c r="X285" s="13"/>
      <c r="Y285" s="14"/>
      <c r="Z285" s="14"/>
      <c r="AA285" s="13"/>
      <c r="AB285" s="13"/>
      <c r="AC285" s="13"/>
      <c r="AD285" s="28"/>
      <c r="AE285" s="14"/>
      <c r="AF285" s="14"/>
      <c r="AG285" s="14"/>
      <c r="AH285" s="14"/>
      <c r="AI285" s="15"/>
      <c r="AJ285" s="15"/>
    </row>
    <row r="286" spans="4:36">
      <c r="D286" s="12"/>
      <c r="E286" s="13"/>
      <c r="F286" s="12"/>
      <c r="G286" s="13"/>
      <c r="H286" s="13"/>
      <c r="I286" s="13"/>
      <c r="J286" s="36"/>
      <c r="K286" s="36"/>
      <c r="L286" s="28" t="s">
        <v>2</v>
      </c>
      <c r="M286" s="462">
        <f>AE283/AE284</f>
        <v>358.66908284023674</v>
      </c>
      <c r="N286" s="463"/>
      <c r="O286" s="464"/>
      <c r="P286" s="34"/>
      <c r="Q286" s="13"/>
      <c r="R286" s="13"/>
      <c r="S286" s="13"/>
      <c r="T286" s="28"/>
      <c r="U286" s="13"/>
      <c r="V286" s="27"/>
      <c r="W286" s="27"/>
      <c r="X286" s="27"/>
      <c r="Y286" s="13"/>
      <c r="Z286" s="14"/>
      <c r="AA286" s="14"/>
      <c r="AB286" s="13"/>
      <c r="AC286" s="31"/>
      <c r="AD286" s="13"/>
      <c r="AE286" s="13"/>
      <c r="AF286" s="13"/>
      <c r="AG286" s="13"/>
      <c r="AH286" s="13"/>
      <c r="AI286" s="15"/>
      <c r="AJ286" s="15"/>
    </row>
    <row r="287" spans="4:36">
      <c r="D287" s="12"/>
      <c r="E287" s="13"/>
      <c r="F287" s="12"/>
      <c r="G287" s="13"/>
      <c r="H287" s="13"/>
      <c r="I287" s="13"/>
      <c r="J287" s="13"/>
      <c r="K287" s="13"/>
      <c r="L287" s="13"/>
      <c r="M287" s="13"/>
      <c r="N287" s="13"/>
      <c r="O287" s="13"/>
      <c r="P287" s="13"/>
      <c r="Q287" s="13"/>
      <c r="R287" s="13"/>
      <c r="S287" s="13"/>
      <c r="T287" s="13"/>
      <c r="U287" s="13"/>
      <c r="V287" s="13"/>
      <c r="W287" s="13"/>
      <c r="X287"/>
      <c r="Y287" s="13"/>
      <c r="Z287" s="13"/>
      <c r="AA287" s="13"/>
      <c r="AB287" s="13"/>
      <c r="AC287" s="13"/>
      <c r="AD287" s="13"/>
      <c r="AE287" s="13"/>
      <c r="AF287" s="13"/>
      <c r="AG287" s="13"/>
      <c r="AH287" s="13"/>
      <c r="AI287" s="15"/>
      <c r="AJ287" s="15"/>
    </row>
    <row r="288" spans="4:36">
      <c r="D288" s="12"/>
      <c r="E288" s="13"/>
      <c r="F288" s="12"/>
      <c r="G288" s="13"/>
      <c r="H288" s="13"/>
      <c r="I288" s="13"/>
      <c r="J288" s="13"/>
      <c r="K288" s="13"/>
      <c r="L288" s="13" t="s">
        <v>343</v>
      </c>
      <c r="M288" s="13" t="s">
        <v>346</v>
      </c>
      <c r="N288" s="13"/>
      <c r="O288" s="13"/>
      <c r="P288" s="13"/>
      <c r="Q288" s="13"/>
      <c r="R288" s="13"/>
      <c r="S288" s="13"/>
      <c r="T288" s="13"/>
      <c r="U288" s="13"/>
      <c r="V288" s="13"/>
      <c r="W288" s="13"/>
      <c r="X288"/>
      <c r="Y288" s="13"/>
      <c r="Z288" s="13"/>
      <c r="AA288" s="13"/>
      <c r="AB288" s="13"/>
      <c r="AC288" s="13"/>
      <c r="AD288" s="13"/>
      <c r="AE288" s="13"/>
      <c r="AF288" s="13"/>
      <c r="AG288" s="13"/>
      <c r="AH288" s="13"/>
      <c r="AI288" s="15"/>
      <c r="AJ288" s="15"/>
    </row>
    <row r="289" spans="4:36">
      <c r="D289" s="12"/>
      <c r="E289" s="13"/>
      <c r="F289" s="12"/>
      <c r="G289" s="13"/>
      <c r="H289" s="13"/>
      <c r="I289" s="13"/>
      <c r="J289" s="13"/>
      <c r="K289" s="13"/>
      <c r="L289" s="13"/>
      <c r="M289" s="13" t="s">
        <v>343</v>
      </c>
      <c r="N289" s="13" t="s">
        <v>2</v>
      </c>
      <c r="O289" s="776">
        <f>P26</f>
        <v>5.2</v>
      </c>
      <c r="P289" s="776"/>
      <c r="Q289" s="13" t="s">
        <v>27</v>
      </c>
      <c r="R289" s="869">
        <v>1000</v>
      </c>
      <c r="S289" s="869"/>
      <c r="T289" s="13"/>
      <c r="U289" s="13" t="s">
        <v>2</v>
      </c>
      <c r="V289" s="471">
        <f>O289*R289</f>
        <v>5200</v>
      </c>
      <c r="W289" s="472"/>
      <c r="X289" s="473"/>
      <c r="Y289" s="13"/>
      <c r="Z289" s="13"/>
      <c r="AA289" s="13"/>
      <c r="AB289" s="13"/>
      <c r="AC289" s="13"/>
      <c r="AD289" s="13"/>
      <c r="AE289" s="13"/>
      <c r="AF289" s="13"/>
      <c r="AG289" s="13"/>
      <c r="AH289" s="13"/>
      <c r="AI289" s="15"/>
      <c r="AJ289" s="15"/>
    </row>
    <row r="290" spans="4:36">
      <c r="D290" s="12"/>
      <c r="E290" s="13"/>
      <c r="F290" s="12"/>
      <c r="G290" s="13"/>
      <c r="H290" s="13"/>
      <c r="I290" s="13"/>
      <c r="J290" s="13"/>
      <c r="K290" s="13"/>
      <c r="L290" s="13"/>
      <c r="M290" s="13"/>
      <c r="N290" s="13"/>
      <c r="O290" s="14"/>
      <c r="P290" s="14"/>
      <c r="Q290" s="13"/>
      <c r="R290" s="158"/>
      <c r="S290" s="158"/>
      <c r="T290" s="13"/>
      <c r="U290" s="13"/>
      <c r="V290" s="27"/>
      <c r="W290" s="27"/>
      <c r="X290" s="27"/>
      <c r="Y290" s="13"/>
      <c r="Z290" s="13"/>
      <c r="AA290" s="13"/>
      <c r="AB290" s="13"/>
      <c r="AC290" s="13"/>
      <c r="AD290" s="13"/>
      <c r="AE290" s="13"/>
      <c r="AF290" s="13"/>
      <c r="AG290" s="13"/>
      <c r="AH290" s="13"/>
      <c r="AI290" s="15"/>
      <c r="AJ290" s="15"/>
    </row>
    <row r="291" spans="4:36">
      <c r="D291" s="12"/>
      <c r="E291" s="13"/>
      <c r="F291" s="12"/>
      <c r="G291" s="13"/>
      <c r="H291" s="13"/>
      <c r="I291" s="13"/>
      <c r="J291" s="13"/>
      <c r="K291" s="34" t="s">
        <v>302</v>
      </c>
      <c r="L291" s="34" t="s">
        <v>303</v>
      </c>
      <c r="M291" s="13" t="s">
        <v>345</v>
      </c>
      <c r="N291" s="13"/>
      <c r="O291" s="13"/>
      <c r="P291" s="13"/>
      <c r="Q291" s="13"/>
      <c r="R291" s="13"/>
      <c r="S291" s="13"/>
      <c r="T291" s="13"/>
      <c r="U291" s="13"/>
      <c r="V291" s="13"/>
      <c r="W291" s="13"/>
      <c r="X291"/>
      <c r="Y291" s="13"/>
      <c r="Z291" s="13"/>
      <c r="AA291" s="13"/>
      <c r="AB291" s="13"/>
      <c r="AC291" s="13"/>
      <c r="AD291" s="13"/>
      <c r="AE291" s="13"/>
      <c r="AF291" s="13"/>
      <c r="AG291" s="13"/>
      <c r="AH291" s="13"/>
      <c r="AI291" s="15"/>
      <c r="AJ291" s="15"/>
    </row>
    <row r="292" spans="4:36">
      <c r="D292" s="12"/>
      <c r="E292" s="13"/>
      <c r="F292" s="12"/>
      <c r="G292" s="13"/>
      <c r="H292" s="13"/>
      <c r="I292" s="13"/>
      <c r="J292" s="13"/>
      <c r="K292" s="13"/>
      <c r="L292" s="13"/>
      <c r="M292" s="34" t="s">
        <v>302</v>
      </c>
      <c r="N292" s="13" t="s">
        <v>2</v>
      </c>
      <c r="O292" s="776">
        <f>'1.設計条件'!W61</f>
        <v>15.1</v>
      </c>
      <c r="P292" s="776"/>
      <c r="Q292" s="13" t="s">
        <v>27</v>
      </c>
      <c r="R292" s="869">
        <v>10</v>
      </c>
      <c r="S292" s="869"/>
      <c r="T292" s="13"/>
      <c r="U292" s="13" t="s">
        <v>2</v>
      </c>
      <c r="V292" s="462">
        <f>O292*R292</f>
        <v>151</v>
      </c>
      <c r="W292" s="463"/>
      <c r="X292" s="464"/>
      <c r="Y292" s="13"/>
      <c r="Z292" s="13"/>
      <c r="AA292" s="13"/>
      <c r="AB292" s="13"/>
      <c r="AC292" s="13"/>
      <c r="AD292" s="13"/>
      <c r="AE292" s="13"/>
      <c r="AF292" s="13"/>
      <c r="AG292" s="13"/>
      <c r="AH292" s="13"/>
      <c r="AI292" s="15"/>
      <c r="AJ292" s="15"/>
    </row>
    <row r="293" spans="4:36">
      <c r="D293" s="12"/>
      <c r="E293" s="13"/>
      <c r="F293" s="12"/>
      <c r="G293" s="13"/>
      <c r="H293" s="13"/>
      <c r="I293" s="13"/>
      <c r="J293" s="13"/>
      <c r="K293" s="13"/>
      <c r="L293" s="13"/>
      <c r="M293" s="34" t="s">
        <v>303</v>
      </c>
      <c r="N293" s="13" t="s">
        <v>2</v>
      </c>
      <c r="O293" s="776">
        <f>'1.設計条件'!W62</f>
        <v>8.99</v>
      </c>
      <c r="P293" s="776"/>
      <c r="Q293" s="13" t="s">
        <v>27</v>
      </c>
      <c r="R293" s="869">
        <v>10</v>
      </c>
      <c r="S293" s="869"/>
      <c r="T293" s="13"/>
      <c r="U293" s="13" t="s">
        <v>2</v>
      </c>
      <c r="V293" s="462">
        <f>O293*R293</f>
        <v>89.9</v>
      </c>
      <c r="W293" s="463"/>
      <c r="X293" s="464"/>
      <c r="Y293" s="13"/>
      <c r="Z293" s="13"/>
      <c r="AA293" s="13"/>
      <c r="AB293" s="13"/>
      <c r="AC293" s="13"/>
      <c r="AD293" s="13"/>
      <c r="AE293" s="13"/>
      <c r="AF293" s="13"/>
      <c r="AG293" s="13"/>
      <c r="AH293" s="13"/>
      <c r="AI293" s="15"/>
      <c r="AJ293" s="15"/>
    </row>
    <row r="294" spans="4:36">
      <c r="D294" s="12"/>
      <c r="E294" s="13"/>
      <c r="F294" s="16"/>
      <c r="G294" s="17"/>
      <c r="H294" s="17"/>
      <c r="I294" s="17"/>
      <c r="J294" s="17"/>
      <c r="K294" s="17"/>
      <c r="L294" s="17"/>
      <c r="M294" s="17"/>
      <c r="N294" s="17"/>
      <c r="O294" s="17"/>
      <c r="P294" s="17"/>
      <c r="Q294" s="17"/>
      <c r="R294" s="17"/>
      <c r="S294" s="17"/>
      <c r="T294" s="17"/>
      <c r="U294" s="17"/>
      <c r="V294" s="17"/>
      <c r="W294" s="17"/>
      <c r="X294" s="25"/>
      <c r="Y294" s="17"/>
      <c r="Z294" s="17"/>
      <c r="AA294" s="17"/>
      <c r="AB294" s="17"/>
      <c r="AC294" s="17"/>
      <c r="AD294" s="17"/>
      <c r="AE294" s="17"/>
      <c r="AF294" s="17"/>
      <c r="AG294" s="17"/>
      <c r="AH294" s="17"/>
      <c r="AI294" s="19"/>
      <c r="AJ294" s="15"/>
    </row>
    <row r="295" spans="4:36">
      <c r="D295" s="12"/>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5"/>
    </row>
    <row r="296" spans="4:36">
      <c r="D296" s="12"/>
      <c r="E296" s="13" t="s">
        <v>67</v>
      </c>
      <c r="F296" s="13"/>
      <c r="G296" s="13"/>
      <c r="H296" s="13"/>
      <c r="I296" s="13"/>
      <c r="J296" s="13"/>
      <c r="K296" s="13"/>
      <c r="L296" s="13"/>
      <c r="M296" s="13"/>
      <c r="N296" s="13"/>
      <c r="O296" s="13"/>
      <c r="P296" s="13"/>
      <c r="Q296" s="13"/>
      <c r="R296" s="13"/>
      <c r="S296" s="13"/>
      <c r="T296" s="13"/>
      <c r="U296" s="13"/>
      <c r="V296" s="13"/>
      <c r="AG296" s="13"/>
      <c r="AH296" s="13"/>
      <c r="AI296" s="13"/>
      <c r="AJ296" s="15"/>
    </row>
    <row r="297" spans="4:36">
      <c r="D297" s="12"/>
      <c r="E297" s="13" t="s">
        <v>383</v>
      </c>
      <c r="G297" s="13"/>
      <c r="H297" s="13"/>
      <c r="I297" s="13"/>
      <c r="J297" s="13"/>
      <c r="K297" s="13"/>
      <c r="L297" s="13"/>
      <c r="M297" s="13"/>
      <c r="N297" s="13"/>
      <c r="O297" s="13"/>
      <c r="P297" s="13"/>
      <c r="Q297" s="13"/>
      <c r="R297" s="13"/>
      <c r="S297" s="13"/>
      <c r="T297" s="13"/>
      <c r="U297" s="13"/>
      <c r="V297" s="13"/>
      <c r="AG297" s="13"/>
      <c r="AH297" s="13"/>
      <c r="AI297" s="13"/>
      <c r="AJ297" s="15"/>
    </row>
    <row r="298" spans="4:36">
      <c r="D298" s="12"/>
      <c r="E298" s="13"/>
      <c r="F298" s="13"/>
      <c r="G298" s="466" t="s">
        <v>318</v>
      </c>
      <c r="H298" s="466"/>
      <c r="I298" s="449" t="s">
        <v>68</v>
      </c>
      <c r="J298" s="17"/>
      <c r="K298" s="17"/>
      <c r="L298" s="17"/>
      <c r="M298" s="17"/>
      <c r="N298" s="466" t="s">
        <v>317</v>
      </c>
      <c r="O298" s="466"/>
      <c r="P298" s="17"/>
      <c r="Q298" s="17"/>
      <c r="R298" s="17"/>
      <c r="S298" s="17"/>
      <c r="T298" s="17"/>
      <c r="V298" s="449" t="s">
        <v>68</v>
      </c>
      <c r="W298" s="17"/>
      <c r="X298" s="17"/>
      <c r="Y298" s="17"/>
      <c r="Z298" s="17"/>
      <c r="AA298" s="466" t="s">
        <v>323</v>
      </c>
      <c r="AB298" s="466"/>
      <c r="AC298" s="17"/>
      <c r="AD298" s="17"/>
      <c r="AE298" s="17"/>
      <c r="AF298" s="17"/>
      <c r="AG298" s="13"/>
      <c r="AH298" s="13"/>
      <c r="AI298" s="13"/>
      <c r="AJ298" s="15"/>
    </row>
    <row r="299" spans="4:36">
      <c r="D299" s="12"/>
      <c r="E299" s="13"/>
      <c r="F299" s="13"/>
      <c r="G299" s="360" t="s">
        <v>319</v>
      </c>
      <c r="H299" s="360"/>
      <c r="I299" s="449"/>
      <c r="J299" s="360" t="s">
        <v>322</v>
      </c>
      <c r="K299" s="360"/>
      <c r="L299" s="41" t="s">
        <v>320</v>
      </c>
      <c r="M299" s="13" t="s">
        <v>263</v>
      </c>
      <c r="N299" s="360" t="s">
        <v>318</v>
      </c>
      <c r="O299" s="360"/>
      <c r="P299" s="13" t="s">
        <v>70</v>
      </c>
      <c r="Q299" s="360" t="s">
        <v>321</v>
      </c>
      <c r="R299" s="360"/>
      <c r="S299" s="360"/>
      <c r="T299" s="360"/>
      <c r="U299" s="13" t="s">
        <v>83</v>
      </c>
      <c r="V299" s="449"/>
      <c r="W299" s="360" t="s">
        <v>324</v>
      </c>
      <c r="X299" s="360"/>
      <c r="Y299" s="41" t="s">
        <v>320</v>
      </c>
      <c r="Z299" s="13" t="s">
        <v>263</v>
      </c>
      <c r="AA299" s="360" t="s">
        <v>318</v>
      </c>
      <c r="AB299" s="360"/>
      <c r="AC299" s="13" t="s">
        <v>70</v>
      </c>
      <c r="AD299" s="360" t="s">
        <v>325</v>
      </c>
      <c r="AE299" s="360"/>
      <c r="AF299" s="13" t="s">
        <v>83</v>
      </c>
      <c r="AG299" s="13"/>
      <c r="AH299" s="13"/>
      <c r="AI299" s="13"/>
      <c r="AJ299" s="15"/>
    </row>
    <row r="300" spans="4:36">
      <c r="D300" s="12"/>
      <c r="E300" s="13"/>
      <c r="F300" s="13"/>
      <c r="G300" s="35"/>
      <c r="H300" s="35"/>
      <c r="I300" s="28"/>
      <c r="J300" s="35"/>
      <c r="K300" s="35"/>
      <c r="L300" s="41"/>
      <c r="M300" s="13"/>
      <c r="N300" s="35"/>
      <c r="O300" s="35"/>
      <c r="P300" s="13"/>
      <c r="Q300" s="35"/>
      <c r="R300" s="35"/>
      <c r="S300" s="13"/>
      <c r="T300" s="28"/>
      <c r="U300" s="35"/>
      <c r="V300" s="35"/>
      <c r="W300" s="41"/>
      <c r="X300" s="13"/>
      <c r="Y300" s="35"/>
      <c r="Z300" s="35"/>
      <c r="AA300" s="13"/>
      <c r="AB300" s="35"/>
      <c r="AC300" s="35"/>
      <c r="AD300" s="13"/>
      <c r="AE300" s="28"/>
      <c r="AF300" s="149"/>
      <c r="AG300" s="13"/>
      <c r="AH300" s="13"/>
      <c r="AI300" s="13"/>
      <c r="AJ300" s="15"/>
    </row>
    <row r="301" spans="4:36">
      <c r="D301" s="12"/>
      <c r="E301" s="13"/>
      <c r="F301" s="449" t="s">
        <v>2</v>
      </c>
      <c r="G301" s="457">
        <f>W211</f>
        <v>18.84896935890853</v>
      </c>
      <c r="H301" s="457"/>
      <c r="I301" s="449" t="s">
        <v>68</v>
      </c>
      <c r="J301" s="17"/>
      <c r="K301" s="17"/>
      <c r="L301" s="17"/>
      <c r="M301" s="17"/>
      <c r="N301" s="457">
        <f>K220</f>
        <v>133.3382562816158</v>
      </c>
      <c r="O301" s="457"/>
      <c r="P301" s="17"/>
      <c r="Q301" s="17"/>
      <c r="R301" s="17"/>
      <c r="S301" s="17"/>
      <c r="T301" s="17"/>
      <c r="V301" s="449" t="s">
        <v>68</v>
      </c>
      <c r="W301" s="17"/>
      <c r="X301" s="17"/>
      <c r="Y301" s="17"/>
      <c r="Z301" s="17"/>
      <c r="AA301" s="457">
        <f>K223</f>
        <v>0</v>
      </c>
      <c r="AB301" s="457"/>
      <c r="AC301" s="17"/>
      <c r="AD301" s="17"/>
      <c r="AE301" s="17"/>
      <c r="AF301" s="17"/>
      <c r="AG301" s="13"/>
      <c r="AH301" s="13"/>
      <c r="AI301" s="13"/>
      <c r="AJ301" s="15"/>
    </row>
    <row r="302" spans="4:36">
      <c r="D302" s="12"/>
      <c r="E302" s="13"/>
      <c r="F302" s="449"/>
      <c r="G302" s="380">
        <f>K244</f>
        <v>160.99428253615127</v>
      </c>
      <c r="H302" s="380"/>
      <c r="I302" s="449"/>
      <c r="J302" s="433">
        <f>K263</f>
        <v>172.71428571428572</v>
      </c>
      <c r="K302" s="433"/>
      <c r="L302" s="41" t="s">
        <v>320</v>
      </c>
      <c r="M302" s="13" t="s">
        <v>263</v>
      </c>
      <c r="N302" s="380">
        <f>W211</f>
        <v>18.84896935890853</v>
      </c>
      <c r="O302" s="380"/>
      <c r="P302" s="13" t="s">
        <v>70</v>
      </c>
      <c r="Q302" s="433">
        <f>M281</f>
        <v>1011.878698224852</v>
      </c>
      <c r="R302" s="433"/>
      <c r="S302" s="433"/>
      <c r="T302" s="433"/>
      <c r="U302" s="13" t="s">
        <v>83</v>
      </c>
      <c r="V302" s="449"/>
      <c r="W302" s="433">
        <f>M268</f>
        <v>210</v>
      </c>
      <c r="X302" s="433"/>
      <c r="Y302" s="41" t="s">
        <v>320</v>
      </c>
      <c r="Z302" s="13" t="s">
        <v>263</v>
      </c>
      <c r="AA302" s="380">
        <f>W211</f>
        <v>18.84896935890853</v>
      </c>
      <c r="AB302" s="380"/>
      <c r="AC302" s="13" t="s">
        <v>70</v>
      </c>
      <c r="AD302" s="433">
        <f>M286</f>
        <v>358.66908284023674</v>
      </c>
      <c r="AE302" s="433"/>
      <c r="AF302" s="13" t="s">
        <v>83</v>
      </c>
      <c r="AG302" s="13"/>
      <c r="AH302" s="13"/>
      <c r="AI302" s="13"/>
      <c r="AJ302" s="15"/>
    </row>
    <row r="303" spans="4:36">
      <c r="D303" s="12"/>
      <c r="E303" s="13"/>
      <c r="F303" s="28"/>
      <c r="G303" s="35"/>
      <c r="H303" s="35"/>
      <c r="I303" s="28"/>
      <c r="J303" s="35"/>
      <c r="K303" s="35"/>
      <c r="L303" s="41"/>
      <c r="M303" s="13"/>
      <c r="N303" s="35"/>
      <c r="O303" s="35"/>
      <c r="P303" s="13"/>
      <c r="Q303" s="35"/>
      <c r="R303" s="35"/>
      <c r="S303" s="13"/>
      <c r="T303" s="28"/>
      <c r="U303" s="35"/>
      <c r="V303" s="35"/>
      <c r="W303" s="41"/>
      <c r="X303" s="13"/>
      <c r="Y303" s="35"/>
      <c r="Z303" s="35"/>
      <c r="AA303" s="13"/>
      <c r="AB303" s="35"/>
      <c r="AC303" s="35"/>
      <c r="AD303" s="13"/>
      <c r="AE303" s="28"/>
      <c r="AF303" s="149"/>
      <c r="AG303" s="13"/>
      <c r="AH303" s="13"/>
      <c r="AI303" s="13"/>
      <c r="AJ303" s="15"/>
    </row>
    <row r="304" spans="4:36">
      <c r="D304" s="12"/>
      <c r="E304" s="13"/>
      <c r="F304" s="13" t="s">
        <v>2</v>
      </c>
      <c r="G304" s="853">
        <f>G301/G302</f>
        <v>0.11707850155905998</v>
      </c>
      <c r="H304" s="853"/>
      <c r="I304" s="28" t="s">
        <v>68</v>
      </c>
      <c r="J304" s="853">
        <f>N301/(J302*(1-N302/Q302))</f>
        <v>0.7866702264660923</v>
      </c>
      <c r="K304" s="853"/>
      <c r="L304" s="853"/>
      <c r="M304" s="853"/>
      <c r="N304" s="853"/>
      <c r="O304" s="853"/>
      <c r="P304" s="853"/>
      <c r="Q304" s="853"/>
      <c r="R304" s="853"/>
      <c r="S304" s="853"/>
      <c r="T304" s="28" t="s">
        <v>68</v>
      </c>
      <c r="U304" s="853">
        <f>AA301/(W302*(1-AA302/AD302))</f>
        <v>0</v>
      </c>
      <c r="V304" s="853"/>
      <c r="W304" s="853"/>
      <c r="X304" s="853"/>
      <c r="Y304" s="853"/>
      <c r="Z304" s="853"/>
      <c r="AA304" s="853"/>
      <c r="AB304" s="853"/>
      <c r="AC304" s="853"/>
      <c r="AD304" s="853"/>
      <c r="AE304" s="28"/>
      <c r="AF304" s="149"/>
      <c r="AG304" s="13"/>
      <c r="AH304" s="13"/>
      <c r="AI304" s="13"/>
      <c r="AJ304" s="15"/>
    </row>
    <row r="305" spans="4:36">
      <c r="D305" s="12"/>
      <c r="E305" s="13"/>
      <c r="F305" s="13"/>
      <c r="G305" s="165"/>
      <c r="H305" s="165"/>
      <c r="I305" s="28"/>
      <c r="J305" s="165"/>
      <c r="K305" s="165"/>
      <c r="L305" s="165"/>
      <c r="M305" s="165"/>
      <c r="N305" s="165"/>
      <c r="O305" s="165"/>
      <c r="P305" s="165"/>
      <c r="Q305" s="165"/>
      <c r="R305" s="165"/>
      <c r="S305" s="165"/>
      <c r="T305" s="28"/>
      <c r="U305" s="165"/>
      <c r="V305" s="165"/>
      <c r="W305" s="165"/>
      <c r="X305" s="165"/>
      <c r="Y305" s="165"/>
      <c r="Z305" s="165"/>
      <c r="AA305" s="165"/>
      <c r="AB305" s="165"/>
      <c r="AC305" s="165"/>
      <c r="AD305" s="165"/>
      <c r="AE305" s="28"/>
      <c r="AF305" s="149"/>
      <c r="AG305" s="13"/>
      <c r="AH305" s="13"/>
      <c r="AI305" s="13"/>
      <c r="AJ305" s="15"/>
    </row>
    <row r="306" spans="4:36">
      <c r="D306" s="12"/>
      <c r="E306" s="13"/>
      <c r="F306" s="13" t="s">
        <v>2</v>
      </c>
      <c r="G306" s="854">
        <f>G304+J304+U304</f>
        <v>0.90374872802515227</v>
      </c>
      <c r="H306" s="855"/>
      <c r="I306" s="28"/>
      <c r="J306" s="13" t="str">
        <f>IF(G306&lt;=K306, "≦","&gt;")</f>
        <v>≦</v>
      </c>
      <c r="K306" s="31">
        <v>1</v>
      </c>
      <c r="L306" s="165"/>
      <c r="M306" s="462" t="str">
        <f>IF(J306="≦","OK","NG")</f>
        <v>OK</v>
      </c>
      <c r="N306" s="463"/>
      <c r="O306" s="464"/>
      <c r="P306" s="34"/>
      <c r="Q306" s="13"/>
      <c r="R306" s="13"/>
      <c r="S306" s="13"/>
      <c r="T306" s="31"/>
      <c r="AC306" s="165"/>
      <c r="AD306" s="165"/>
      <c r="AE306" s="28"/>
      <c r="AF306" s="149"/>
      <c r="AG306" s="13"/>
      <c r="AH306" s="13"/>
      <c r="AI306" s="13"/>
      <c r="AJ306" s="15"/>
    </row>
    <row r="307" spans="4:36">
      <c r="D307" s="12"/>
      <c r="E307" s="13"/>
      <c r="F307" s="13"/>
      <c r="G307" s="13"/>
      <c r="H307" s="13"/>
      <c r="I307" s="13"/>
      <c r="J307" s="13"/>
      <c r="K307" s="13"/>
      <c r="L307" s="13"/>
      <c r="M307" s="13"/>
      <c r="N307" s="13"/>
      <c r="O307" s="13"/>
      <c r="P307" s="13"/>
      <c r="Q307" s="13"/>
      <c r="R307" s="13"/>
      <c r="S307" s="13"/>
      <c r="T307" s="13"/>
      <c r="AC307" s="13"/>
      <c r="AD307" s="13"/>
      <c r="AE307" s="13"/>
      <c r="AF307" s="13"/>
      <c r="AG307" s="13"/>
      <c r="AH307" s="13"/>
      <c r="AI307" s="13"/>
      <c r="AJ307" s="15"/>
    </row>
    <row r="308" spans="4:36">
      <c r="D308" s="12"/>
      <c r="E308" s="13" t="s">
        <v>384</v>
      </c>
      <c r="F308" s="13"/>
      <c r="G308" s="13"/>
      <c r="H308" s="13"/>
      <c r="I308" s="13"/>
      <c r="J308" s="13"/>
      <c r="K308" s="13"/>
      <c r="L308" s="13"/>
      <c r="M308" s="13"/>
      <c r="N308" s="13"/>
      <c r="O308" s="13"/>
      <c r="P308" s="13"/>
      <c r="Q308" s="13"/>
      <c r="R308" s="13"/>
      <c r="S308" s="13"/>
      <c r="T308" s="13"/>
      <c r="AC308" s="13"/>
      <c r="AD308" s="13"/>
      <c r="AE308" s="13"/>
      <c r="AF308" s="13"/>
      <c r="AG308" s="13"/>
      <c r="AH308" s="13"/>
      <c r="AI308" s="13"/>
      <c r="AJ308" s="15"/>
    </row>
    <row r="309" spans="4:36">
      <c r="D309" s="12"/>
      <c r="E309" s="13"/>
      <c r="F309" s="13"/>
      <c r="G309" s="465" t="s">
        <v>318</v>
      </c>
      <c r="H309" s="465"/>
      <c r="I309" s="449" t="s">
        <v>68</v>
      </c>
      <c r="J309" s="17"/>
      <c r="K309" s="17"/>
      <c r="L309" s="17"/>
      <c r="M309" s="466" t="s">
        <v>317</v>
      </c>
      <c r="N309" s="466"/>
      <c r="O309" s="17"/>
      <c r="P309" s="17"/>
      <c r="Q309" s="17"/>
      <c r="R309" s="17"/>
      <c r="S309" s="17"/>
      <c r="T309" s="449" t="s">
        <v>68</v>
      </c>
      <c r="U309" s="17"/>
      <c r="V309" s="17"/>
      <c r="W309" s="17"/>
      <c r="X309" s="466" t="s">
        <v>323</v>
      </c>
      <c r="Y309" s="466"/>
      <c r="Z309" s="17"/>
      <c r="AA309" s="17"/>
      <c r="AB309" s="17"/>
      <c r="AJ309" s="15"/>
    </row>
    <row r="310" spans="4:36">
      <c r="D310" s="12"/>
      <c r="E310" s="13"/>
      <c r="F310" s="13"/>
      <c r="G310" s="465"/>
      <c r="H310" s="465"/>
      <c r="I310" s="449"/>
      <c r="J310" s="13" t="s">
        <v>320</v>
      </c>
      <c r="K310" s="13" t="s">
        <v>263</v>
      </c>
      <c r="L310" s="360" t="s">
        <v>318</v>
      </c>
      <c r="M310" s="360"/>
      <c r="N310" s="13" t="s">
        <v>70</v>
      </c>
      <c r="O310" s="360" t="s">
        <v>321</v>
      </c>
      <c r="P310" s="360"/>
      <c r="Q310" s="360"/>
      <c r="R310" s="360"/>
      <c r="S310" s="13" t="s">
        <v>83</v>
      </c>
      <c r="T310" s="449"/>
      <c r="U310" s="13" t="s">
        <v>320</v>
      </c>
      <c r="V310" s="13" t="s">
        <v>263</v>
      </c>
      <c r="W310" s="360" t="s">
        <v>318</v>
      </c>
      <c r="X310" s="360"/>
      <c r="Y310" s="13" t="s">
        <v>70</v>
      </c>
      <c r="Z310" s="360" t="s">
        <v>325</v>
      </c>
      <c r="AA310" s="360"/>
      <c r="AB310" s="13" t="s">
        <v>83</v>
      </c>
      <c r="AJ310" s="15"/>
    </row>
    <row r="311" spans="4:36">
      <c r="D311" s="12"/>
      <c r="E311" s="13"/>
      <c r="F311" s="13"/>
      <c r="G311" s="13"/>
      <c r="H311" s="13"/>
      <c r="I311" s="13"/>
      <c r="J311" s="13"/>
      <c r="K311" s="13"/>
      <c r="L311" s="13"/>
      <c r="M311" s="13"/>
      <c r="N311" s="13"/>
      <c r="O311" s="13"/>
      <c r="P311" s="13"/>
      <c r="Q311" s="13"/>
      <c r="R311" s="13"/>
      <c r="S311" s="13"/>
      <c r="T311" s="13"/>
      <c r="U311" s="13"/>
      <c r="V311" s="13"/>
      <c r="W311" s="13"/>
      <c r="X311"/>
      <c r="Y311" s="13"/>
      <c r="Z311" s="13"/>
      <c r="AA311" s="13"/>
      <c r="AB311" s="13"/>
      <c r="AC311" s="13"/>
      <c r="AD311" s="13"/>
      <c r="AE311" s="13"/>
      <c r="AF311" s="13"/>
      <c r="AG311" s="13"/>
      <c r="AH311" s="13"/>
      <c r="AI311" s="13"/>
      <c r="AJ311" s="15"/>
    </row>
    <row r="312" spans="4:36">
      <c r="D312" s="12"/>
      <c r="E312" s="13"/>
      <c r="F312" s="449" t="s">
        <v>2</v>
      </c>
      <c r="G312" s="456">
        <f>W211</f>
        <v>18.84896935890853</v>
      </c>
      <c r="H312" s="456"/>
      <c r="I312" s="449" t="s">
        <v>68</v>
      </c>
      <c r="J312" s="17"/>
      <c r="K312" s="17"/>
      <c r="L312" s="17"/>
      <c r="M312" s="457">
        <f>K220</f>
        <v>133.3382562816158</v>
      </c>
      <c r="N312" s="457"/>
      <c r="O312" s="17"/>
      <c r="P312" s="17"/>
      <c r="Q312" s="17"/>
      <c r="R312" s="17"/>
      <c r="S312" s="17"/>
      <c r="T312" s="449" t="s">
        <v>68</v>
      </c>
      <c r="U312" s="17"/>
      <c r="V312" s="17"/>
      <c r="W312" s="17"/>
      <c r="X312" s="457">
        <f>K223</f>
        <v>0</v>
      </c>
      <c r="Y312" s="457"/>
      <c r="Z312" s="17"/>
      <c r="AA312" s="17"/>
      <c r="AB312" s="17"/>
      <c r="AC312" s="313"/>
      <c r="AD312" s="13"/>
      <c r="AE312" s="13"/>
      <c r="AF312" s="13"/>
      <c r="AG312" s="13"/>
      <c r="AH312" s="13"/>
      <c r="AI312" s="13"/>
      <c r="AJ312" s="15"/>
    </row>
    <row r="313" spans="4:36">
      <c r="D313" s="12"/>
      <c r="E313" s="13"/>
      <c r="F313" s="449"/>
      <c r="G313" s="456"/>
      <c r="H313" s="456"/>
      <c r="I313" s="449"/>
      <c r="J313" s="13" t="s">
        <v>320</v>
      </c>
      <c r="K313" s="13" t="s">
        <v>263</v>
      </c>
      <c r="L313" s="380">
        <f>W211</f>
        <v>18.84896935890853</v>
      </c>
      <c r="M313" s="380"/>
      <c r="N313" s="13" t="s">
        <v>70</v>
      </c>
      <c r="O313" s="433">
        <f>M281</f>
        <v>1011.878698224852</v>
      </c>
      <c r="P313" s="433"/>
      <c r="Q313" s="433"/>
      <c r="R313" s="433"/>
      <c r="S313" s="13" t="s">
        <v>83</v>
      </c>
      <c r="T313" s="449"/>
      <c r="U313" s="13" t="s">
        <v>320</v>
      </c>
      <c r="V313" s="13" t="s">
        <v>263</v>
      </c>
      <c r="W313" s="380">
        <f>W211</f>
        <v>18.84896935890853</v>
      </c>
      <c r="X313" s="380"/>
      <c r="Y313" s="13" t="s">
        <v>70</v>
      </c>
      <c r="Z313" s="433">
        <f>M286</f>
        <v>358.66908284023674</v>
      </c>
      <c r="AA313" s="433"/>
      <c r="AB313" s="13" t="s">
        <v>83</v>
      </c>
      <c r="AC313" s="313"/>
      <c r="AD313" s="13"/>
      <c r="AE313" s="13"/>
      <c r="AF313" s="13"/>
      <c r="AG313" s="13"/>
      <c r="AH313" s="13"/>
      <c r="AI313" s="13"/>
      <c r="AJ313" s="15"/>
    </row>
    <row r="314" spans="4:36">
      <c r="D314" s="12"/>
      <c r="E314" s="13"/>
      <c r="F314" s="13"/>
      <c r="G314" s="13"/>
      <c r="H314" s="13"/>
      <c r="I314" s="13"/>
      <c r="J314" s="13"/>
      <c r="K314" s="13"/>
      <c r="L314" s="13"/>
      <c r="M314" s="13"/>
      <c r="N314" s="13"/>
      <c r="O314" s="13"/>
      <c r="P314" s="13"/>
      <c r="Q314" s="13"/>
      <c r="R314" s="13"/>
      <c r="S314" s="13"/>
      <c r="T314" s="13"/>
      <c r="U314" s="13"/>
      <c r="V314" s="13"/>
      <c r="W314" s="13"/>
      <c r="X314"/>
      <c r="Y314" s="13"/>
      <c r="Z314" s="13"/>
      <c r="AA314" s="13"/>
      <c r="AB314" s="13"/>
      <c r="AC314" s="13"/>
      <c r="AD314" s="13"/>
      <c r="AE314" s="13"/>
      <c r="AF314" s="13"/>
      <c r="AG314" s="13"/>
      <c r="AH314" s="13"/>
      <c r="AI314" s="13"/>
      <c r="AJ314" s="15"/>
    </row>
    <row r="315" spans="4:36">
      <c r="D315" s="12"/>
      <c r="E315" s="13"/>
      <c r="F315" s="13" t="s">
        <v>2</v>
      </c>
      <c r="G315" s="436">
        <f>G312</f>
        <v>18.84896935890853</v>
      </c>
      <c r="H315" s="436"/>
      <c r="I315" s="13" t="s">
        <v>68</v>
      </c>
      <c r="J315" s="436">
        <f>M312/(1-L313/O313)</f>
        <v>135.86918625678652</v>
      </c>
      <c r="K315" s="436"/>
      <c r="L315" s="436"/>
      <c r="M315" s="436"/>
      <c r="N315" s="436"/>
      <c r="O315" s="436"/>
      <c r="P315" s="436"/>
      <c r="Q315" s="436"/>
      <c r="R315" s="13" t="s">
        <v>68</v>
      </c>
      <c r="S315" s="436">
        <f>X312/(1-W313/Z313)</f>
        <v>0</v>
      </c>
      <c r="T315" s="436"/>
      <c r="U315" s="436"/>
      <c r="V315" s="436"/>
      <c r="W315" s="436"/>
      <c r="X315" s="436"/>
      <c r="Y315" s="436"/>
      <c r="Z315" s="436"/>
      <c r="AA315" s="13"/>
      <c r="AB315" s="13"/>
      <c r="AC315" s="13"/>
      <c r="AD315" s="13"/>
      <c r="AE315" s="13"/>
      <c r="AF315" s="13"/>
      <c r="AG315" s="13"/>
      <c r="AH315" s="13"/>
      <c r="AI315" s="13"/>
      <c r="AJ315" s="15"/>
    </row>
    <row r="316" spans="4:36">
      <c r="D316" s="12"/>
      <c r="E316" s="13"/>
      <c r="F316" s="13"/>
      <c r="G316" s="13"/>
      <c r="H316" s="13"/>
      <c r="I316" s="13"/>
      <c r="J316" s="13"/>
      <c r="K316" s="13"/>
      <c r="L316" s="13"/>
      <c r="M316" s="13"/>
      <c r="N316" s="13"/>
      <c r="O316" s="13"/>
      <c r="P316" s="13"/>
      <c r="Q316" s="13"/>
      <c r="R316" s="13"/>
      <c r="S316" s="13"/>
      <c r="T316" s="13"/>
      <c r="U316" s="13"/>
      <c r="V316" s="13"/>
      <c r="W316" s="13"/>
      <c r="X316"/>
      <c r="Y316" s="13"/>
      <c r="Z316" s="13"/>
      <c r="AA316" s="13"/>
      <c r="AB316" s="13"/>
      <c r="AC316" s="13"/>
      <c r="AD316" s="13"/>
      <c r="AE316" s="13"/>
      <c r="AF316" s="13"/>
      <c r="AG316" s="13"/>
      <c r="AH316" s="13"/>
      <c r="AI316" s="13"/>
      <c r="AJ316" s="15"/>
    </row>
    <row r="317" spans="4:36" ht="20.25">
      <c r="D317" s="12"/>
      <c r="E317" s="13"/>
      <c r="F317" s="13" t="s">
        <v>2</v>
      </c>
      <c r="G317" s="849">
        <f>G315+J315+S315</f>
        <v>154.71815561569505</v>
      </c>
      <c r="H317" s="850"/>
      <c r="I317" s="851"/>
      <c r="J317" s="13"/>
      <c r="K317" s="13" t="str">
        <f>IF(G317&lt;=O317, "≦","&gt;")</f>
        <v>≦</v>
      </c>
      <c r="L317" s="465" t="s">
        <v>327</v>
      </c>
      <c r="M317" s="465"/>
      <c r="N317" s="13" t="s">
        <v>2</v>
      </c>
      <c r="O317" s="436">
        <f>M273</f>
        <v>210</v>
      </c>
      <c r="P317" s="436"/>
      <c r="Q317" s="436"/>
      <c r="R317" s="462" t="str">
        <f>IF(K317="≦","OK","NG")</f>
        <v>OK</v>
      </c>
      <c r="S317" s="463"/>
      <c r="T317" s="464"/>
      <c r="U317" s="13"/>
      <c r="V317" s="13"/>
      <c r="W317" s="13"/>
      <c r="X317" s="13"/>
      <c r="Y317" s="13"/>
      <c r="Z317" s="13"/>
      <c r="AA317" s="13"/>
      <c r="AB317" s="13"/>
      <c r="AC317" s="13"/>
      <c r="AD317" s="13"/>
      <c r="AE317" s="13"/>
      <c r="AF317" s="13"/>
      <c r="AG317" s="13"/>
      <c r="AH317" s="13"/>
      <c r="AI317" s="13"/>
      <c r="AJ317" s="15"/>
    </row>
    <row r="318" spans="4:36">
      <c r="D318" s="12"/>
      <c r="E318" s="13"/>
      <c r="F318" s="13"/>
      <c r="G318" s="147"/>
      <c r="H318" s="147"/>
      <c r="I318" s="147"/>
      <c r="J318" s="13"/>
      <c r="K318" s="13"/>
      <c r="L318" s="36"/>
      <c r="M318" s="36"/>
      <c r="N318" s="13"/>
      <c r="O318" s="14"/>
      <c r="P318" s="14"/>
      <c r="Q318" s="14"/>
      <c r="R318" s="14"/>
      <c r="S318" s="14"/>
      <c r="T318" s="14"/>
      <c r="U318" s="13"/>
      <c r="V318" s="13"/>
      <c r="W318" s="13"/>
      <c r="X318" s="13"/>
      <c r="Y318" s="13"/>
      <c r="Z318" s="13"/>
      <c r="AA318" s="13"/>
      <c r="AB318" s="13"/>
      <c r="AC318" s="13"/>
      <c r="AD318" s="13"/>
      <c r="AE318" s="13"/>
      <c r="AF318" s="13"/>
      <c r="AG318" s="13"/>
      <c r="AH318" s="13"/>
      <c r="AI318" s="13"/>
      <c r="AJ318" s="15"/>
    </row>
    <row r="319" spans="4:36">
      <c r="D319" s="12"/>
      <c r="E319" s="13"/>
      <c r="F319" s="13"/>
      <c r="G319" s="147"/>
      <c r="H319" s="147"/>
      <c r="I319" s="147"/>
      <c r="J319" s="13"/>
      <c r="K319" s="13"/>
      <c r="L319" s="36"/>
      <c r="M319" s="36"/>
      <c r="N319" s="13"/>
      <c r="O319" s="14"/>
      <c r="P319" s="14"/>
      <c r="Q319" s="14"/>
      <c r="R319" s="14"/>
      <c r="S319" s="14"/>
      <c r="T319" s="14"/>
      <c r="U319" s="13"/>
      <c r="V319" s="13"/>
      <c r="W319" s="13"/>
      <c r="X319" s="13"/>
      <c r="Y319" s="13"/>
      <c r="Z319" s="13"/>
      <c r="AA319" s="13"/>
      <c r="AB319" s="13"/>
      <c r="AC319" s="13"/>
      <c r="AD319" s="13"/>
      <c r="AE319" s="13"/>
      <c r="AF319" s="13"/>
      <c r="AG319" s="13"/>
      <c r="AH319" s="13"/>
      <c r="AI319" s="13"/>
      <c r="AJ319" s="15"/>
    </row>
    <row r="320" spans="4:36">
      <c r="D320" s="314" t="s">
        <v>730</v>
      </c>
      <c r="E320" s="117"/>
      <c r="F320" s="117"/>
      <c r="G320" s="117"/>
      <c r="H320" s="117"/>
      <c r="I320" s="117"/>
      <c r="J320" s="117"/>
      <c r="K320" s="117"/>
      <c r="L320" s="117"/>
      <c r="M320" s="117"/>
      <c r="N320" s="117"/>
      <c r="O320" s="117"/>
      <c r="P320" s="117"/>
      <c r="Q320" s="117"/>
      <c r="R320" s="117"/>
      <c r="S320" s="117"/>
      <c r="T320" s="117"/>
      <c r="U320" s="117"/>
      <c r="V320" s="117"/>
      <c r="W320" s="117"/>
      <c r="X320" s="117"/>
      <c r="Y320" s="117"/>
      <c r="Z320" s="117"/>
      <c r="AA320" s="117"/>
      <c r="AB320" s="117"/>
      <c r="AC320" s="117"/>
      <c r="AD320" s="117"/>
      <c r="AE320" s="117"/>
      <c r="AF320" s="117"/>
      <c r="AG320" s="117"/>
      <c r="AH320" s="117"/>
      <c r="AI320" s="117"/>
      <c r="AJ320" s="315"/>
    </row>
    <row r="321" spans="2:36">
      <c r="D321" s="12"/>
      <c r="E321" s="13" t="s">
        <v>731</v>
      </c>
      <c r="G321" s="13"/>
      <c r="H321" s="13"/>
      <c r="I321" s="13"/>
      <c r="J321" s="13"/>
      <c r="K321" s="13"/>
      <c r="L321" s="13"/>
      <c r="M321" s="13"/>
      <c r="N321" s="13"/>
      <c r="O321" s="13"/>
      <c r="W321" s="13"/>
      <c r="X321" s="13"/>
      <c r="Y321" s="13"/>
      <c r="Z321" s="13"/>
      <c r="AA321" s="13"/>
      <c r="AB321" s="13"/>
      <c r="AC321" s="13"/>
      <c r="AD321" s="13"/>
      <c r="AE321" s="13"/>
      <c r="AF321" s="13"/>
      <c r="AG321" s="13"/>
      <c r="AH321" s="13"/>
      <c r="AI321" s="13"/>
      <c r="AJ321" s="15"/>
    </row>
    <row r="322" spans="2:36" s="234" customFormat="1">
      <c r="D322" s="12"/>
      <c r="E322" s="13"/>
      <c r="F322" s="1"/>
      <c r="G322" s="852" t="s">
        <v>284</v>
      </c>
      <c r="H322" s="465"/>
      <c r="I322" s="449" t="s">
        <v>2</v>
      </c>
      <c r="J322" s="466" t="s">
        <v>718</v>
      </c>
      <c r="K322" s="466"/>
      <c r="L322" s="144"/>
      <c r="M322" s="449" t="s">
        <v>2</v>
      </c>
      <c r="N322" s="17"/>
      <c r="O322" s="17"/>
      <c r="P322" s="452">
        <f>AD67</f>
        <v>205.1357788947935</v>
      </c>
      <c r="Q322" s="452"/>
      <c r="R322" s="452"/>
      <c r="S322" s="17" t="s">
        <v>27</v>
      </c>
      <c r="T322" s="617">
        <v>1000</v>
      </c>
      <c r="U322" s="617"/>
      <c r="V322" s="617"/>
      <c r="W322" s="17"/>
      <c r="X322" s="17"/>
      <c r="Y322" s="17"/>
      <c r="Z322" s="13"/>
      <c r="AA322" s="13"/>
      <c r="AB322" s="13"/>
      <c r="AC322" s="13"/>
      <c r="AD322" s="13"/>
      <c r="AE322" s="13"/>
      <c r="AF322" s="13"/>
      <c r="AG322" s="13"/>
      <c r="AH322" s="13"/>
      <c r="AI322" s="13"/>
      <c r="AJ322" s="15"/>
    </row>
    <row r="323" spans="2:36">
      <c r="D323" s="12"/>
      <c r="E323" s="13"/>
      <c r="G323" s="465"/>
      <c r="H323" s="465"/>
      <c r="I323" s="449"/>
      <c r="J323" s="467" t="s">
        <v>285</v>
      </c>
      <c r="K323" s="467"/>
      <c r="L323" s="145"/>
      <c r="M323" s="449"/>
      <c r="N323" s="1" t="s">
        <v>69</v>
      </c>
      <c r="O323" s="847">
        <f>'1.設計条件'!W56</f>
        <v>350</v>
      </c>
      <c r="P323" s="847"/>
      <c r="Q323" s="31" t="s">
        <v>263</v>
      </c>
      <c r="R323" s="31">
        <v>2</v>
      </c>
      <c r="S323" s="31" t="s">
        <v>27</v>
      </c>
      <c r="T323" s="847">
        <f>'1.設計条件'!W59</f>
        <v>19</v>
      </c>
      <c r="U323" s="847"/>
      <c r="V323" s="13" t="s">
        <v>83</v>
      </c>
      <c r="W323" s="13" t="s">
        <v>27</v>
      </c>
      <c r="X323" s="847">
        <f>'1.設計条件'!W58</f>
        <v>12</v>
      </c>
      <c r="Y323" s="847"/>
      <c r="AG323" s="13"/>
      <c r="AH323" s="13"/>
      <c r="AI323" s="13"/>
      <c r="AJ323" s="15"/>
    </row>
    <row r="324" spans="2:36">
      <c r="D324" s="12"/>
      <c r="E324" s="13"/>
      <c r="G324" s="36"/>
      <c r="H324" s="36"/>
      <c r="I324" s="28"/>
      <c r="J324" s="35"/>
      <c r="K324" s="35"/>
      <c r="L324" s="145"/>
      <c r="M324" s="28"/>
      <c r="N324" s="27"/>
      <c r="O324" s="27"/>
      <c r="P324" s="27"/>
      <c r="Q324" s="13"/>
      <c r="R324" s="27"/>
      <c r="S324" s="27"/>
      <c r="T324" s="13"/>
      <c r="U324" s="13"/>
      <c r="V324" s="13"/>
      <c r="W324" s="13"/>
      <c r="X324" s="13"/>
      <c r="Y324" s="13"/>
      <c r="Z324" s="13"/>
      <c r="AA324" s="13"/>
      <c r="AB324" s="13"/>
      <c r="AC324" s="13"/>
      <c r="AD324" s="13"/>
      <c r="AE324" s="13"/>
      <c r="AF324" s="13"/>
      <c r="AG324" s="13"/>
      <c r="AH324" s="13"/>
      <c r="AI324" s="13"/>
      <c r="AJ324" s="15"/>
    </row>
    <row r="325" spans="2:36" ht="20.25">
      <c r="D325" s="12"/>
      <c r="E325" s="13"/>
      <c r="F325" s="13"/>
      <c r="G325" s="13"/>
      <c r="H325" s="13"/>
      <c r="I325" s="13" t="s">
        <v>2</v>
      </c>
      <c r="J325" s="462">
        <f>P322*T322/(O323-R323*T323)/X323</f>
        <v>54.790539234720484</v>
      </c>
      <c r="K325" s="463"/>
      <c r="L325" s="464"/>
      <c r="M325" s="13" t="s">
        <v>48</v>
      </c>
      <c r="N325" s="13"/>
      <c r="O325" s="13"/>
      <c r="P325" s="13"/>
      <c r="Q325" s="13" t="str">
        <f>IF(J325&lt;=U325, "≦","&gt;")</f>
        <v>≦</v>
      </c>
      <c r="R325" s="359" t="s">
        <v>296</v>
      </c>
      <c r="S325" s="360"/>
      <c r="T325" s="13" t="s">
        <v>2</v>
      </c>
      <c r="U325" s="436">
        <f>'1.設計条件'!N65</f>
        <v>120</v>
      </c>
      <c r="V325" s="436"/>
      <c r="W325" s="436"/>
      <c r="X325" s="13" t="s">
        <v>48</v>
      </c>
      <c r="Y325" s="13"/>
      <c r="Z325" s="13"/>
      <c r="AA325" s="13"/>
      <c r="AB325" s="462" t="str">
        <f>IF(Q325="≦","OK","NG")</f>
        <v>OK</v>
      </c>
      <c r="AC325" s="463"/>
      <c r="AD325" s="464"/>
      <c r="AE325" s="13"/>
      <c r="AF325" s="13"/>
      <c r="AG325" s="13"/>
      <c r="AH325" s="13"/>
      <c r="AI325" s="13"/>
      <c r="AJ325" s="15"/>
    </row>
    <row r="326" spans="2:36">
      <c r="D326" s="12"/>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5"/>
    </row>
    <row r="327" spans="2:36">
      <c r="D327" s="16"/>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c r="AD327" s="17"/>
      <c r="AE327" s="17"/>
      <c r="AF327" s="17"/>
      <c r="AG327" s="17"/>
      <c r="AH327" s="17"/>
      <c r="AI327" s="17"/>
      <c r="AJ327" s="19"/>
    </row>
    <row r="329" spans="2:36">
      <c r="D329" s="234"/>
    </row>
    <row r="331" spans="2:36">
      <c r="B331" s="234"/>
      <c r="C331" s="234"/>
    </row>
  </sheetData>
  <sheetProtection sheet="1" objects="1" scenarios="1"/>
  <mergeCells count="567">
    <mergeCell ref="AG53:AG54"/>
    <mergeCell ref="AC53:AC54"/>
    <mergeCell ref="Z53:Z54"/>
    <mergeCell ref="S53:U53"/>
    <mergeCell ref="N53:N54"/>
    <mergeCell ref="O53:P53"/>
    <mergeCell ref="O54:P54"/>
    <mergeCell ref="AD49:AF50"/>
    <mergeCell ref="AG49:AI50"/>
    <mergeCell ref="H9:I9"/>
    <mergeCell ref="K9:M9"/>
    <mergeCell ref="E14:AJ15"/>
    <mergeCell ref="M17:N17"/>
    <mergeCell ref="P17:R17"/>
    <mergeCell ref="H7:I7"/>
    <mergeCell ref="K7:M7"/>
    <mergeCell ref="T19:U19"/>
    <mergeCell ref="X19:Y19"/>
    <mergeCell ref="AC19:AE19"/>
    <mergeCell ref="P20:R20"/>
    <mergeCell ref="F21:L21"/>
    <mergeCell ref="M21:N21"/>
    <mergeCell ref="P21:R21"/>
    <mergeCell ref="F18:L18"/>
    <mergeCell ref="M18:N18"/>
    <mergeCell ref="P18:R18"/>
    <mergeCell ref="F19:L19"/>
    <mergeCell ref="M19:N19"/>
    <mergeCell ref="P19:Q19"/>
    <mergeCell ref="R33:T33"/>
    <mergeCell ref="F31:N31"/>
    <mergeCell ref="F30:N30"/>
    <mergeCell ref="E28:AJ29"/>
    <mergeCell ref="M24:N24"/>
    <mergeCell ref="P24:Q24"/>
    <mergeCell ref="S24:T24"/>
    <mergeCell ref="P25:Q25"/>
    <mergeCell ref="S25:T25"/>
    <mergeCell ref="P26:Q26"/>
    <mergeCell ref="R32:S32"/>
    <mergeCell ref="U31:V31"/>
    <mergeCell ref="R31:S31"/>
    <mergeCell ref="R30:T30"/>
    <mergeCell ref="O31:P31"/>
    <mergeCell ref="O30:P30"/>
    <mergeCell ref="X31:Y31"/>
    <mergeCell ref="U32:V32"/>
    <mergeCell ref="X32:Y32"/>
    <mergeCell ref="N40:O40"/>
    <mergeCell ref="Q40:R40"/>
    <mergeCell ref="G44:H44"/>
    <mergeCell ref="K44:L44"/>
    <mergeCell ref="N44:O44"/>
    <mergeCell ref="Q44:R44"/>
    <mergeCell ref="T35:U36"/>
    <mergeCell ref="V35:V36"/>
    <mergeCell ref="W35:X36"/>
    <mergeCell ref="J37:J38"/>
    <mergeCell ref="K37:L38"/>
    <mergeCell ref="H35:I36"/>
    <mergeCell ref="K45:M45"/>
    <mergeCell ref="O45:P45"/>
    <mergeCell ref="R45:T45"/>
    <mergeCell ref="J46:L46"/>
    <mergeCell ref="G49:H50"/>
    <mergeCell ref="I49:I50"/>
    <mergeCell ref="R49:R50"/>
    <mergeCell ref="W49:X49"/>
    <mergeCell ref="AC49:AC50"/>
    <mergeCell ref="J50:M50"/>
    <mergeCell ref="S50:X50"/>
    <mergeCell ref="V45:W45"/>
    <mergeCell ref="Z49:Z50"/>
    <mergeCell ref="S49:U49"/>
    <mergeCell ref="N49:N50"/>
    <mergeCell ref="O49:P49"/>
    <mergeCell ref="O50:P50"/>
    <mergeCell ref="G53:H54"/>
    <mergeCell ref="I53:I54"/>
    <mergeCell ref="R53:R54"/>
    <mergeCell ref="W53:X53"/>
    <mergeCell ref="AD53:AF54"/>
    <mergeCell ref="J54:L54"/>
    <mergeCell ref="S54:X54"/>
    <mergeCell ref="G58:H58"/>
    <mergeCell ref="K58:L58"/>
    <mergeCell ref="N58:O58"/>
    <mergeCell ref="Q58:R58"/>
    <mergeCell ref="K59:M59"/>
    <mergeCell ref="O59:P59"/>
    <mergeCell ref="R59:T59"/>
    <mergeCell ref="J60:L60"/>
    <mergeCell ref="W59:X59"/>
    <mergeCell ref="G63:H64"/>
    <mergeCell ref="I63:I64"/>
    <mergeCell ref="R63:R64"/>
    <mergeCell ref="W63:X63"/>
    <mergeCell ref="AC63:AC64"/>
    <mergeCell ref="AD63:AF64"/>
    <mergeCell ref="AG63:AI64"/>
    <mergeCell ref="J64:M64"/>
    <mergeCell ref="S63:U63"/>
    <mergeCell ref="S64:V64"/>
    <mergeCell ref="N63:N64"/>
    <mergeCell ref="O63:P63"/>
    <mergeCell ref="O64:P64"/>
    <mergeCell ref="Z63:Z64"/>
    <mergeCell ref="G67:H68"/>
    <mergeCell ref="I67:I68"/>
    <mergeCell ref="R67:R68"/>
    <mergeCell ref="W67:X67"/>
    <mergeCell ref="AD67:AF68"/>
    <mergeCell ref="J68:L68"/>
    <mergeCell ref="AG67:AG68"/>
    <mergeCell ref="AC67:AC68"/>
    <mergeCell ref="Z67:Z68"/>
    <mergeCell ref="S67:U67"/>
    <mergeCell ref="S68:V68"/>
    <mergeCell ref="N67:N68"/>
    <mergeCell ref="O67:P67"/>
    <mergeCell ref="O68:P68"/>
    <mergeCell ref="G77:H77"/>
    <mergeCell ref="I77:I78"/>
    <mergeCell ref="N77:O77"/>
    <mergeCell ref="T77:T78"/>
    <mergeCell ref="Y77:Z77"/>
    <mergeCell ref="AF77:AF78"/>
    <mergeCell ref="AG77:AG78"/>
    <mergeCell ref="G78:H78"/>
    <mergeCell ref="J78:K78"/>
    <mergeCell ref="N78:O78"/>
    <mergeCell ref="Q78:R78"/>
    <mergeCell ref="U78:V78"/>
    <mergeCell ref="Y78:Z78"/>
    <mergeCell ref="AB78:AC78"/>
    <mergeCell ref="AD82:AE83"/>
    <mergeCell ref="L83:M83"/>
    <mergeCell ref="O83:P83"/>
    <mergeCell ref="U83:V83"/>
    <mergeCell ref="X83:Y83"/>
    <mergeCell ref="H86:I86"/>
    <mergeCell ref="G82:H83"/>
    <mergeCell ref="I82:I83"/>
    <mergeCell ref="M82:N82"/>
    <mergeCell ref="R82:R83"/>
    <mergeCell ref="V82:W82"/>
    <mergeCell ref="AC82:AC83"/>
    <mergeCell ref="W87:X88"/>
    <mergeCell ref="O88:Q88"/>
    <mergeCell ref="S88:T88"/>
    <mergeCell ref="F92:G92"/>
    <mergeCell ref="H92:I92"/>
    <mergeCell ref="J92:AI92"/>
    <mergeCell ref="H87:I88"/>
    <mergeCell ref="J87:J88"/>
    <mergeCell ref="N87:N88"/>
    <mergeCell ref="O87:Q87"/>
    <mergeCell ref="S87:T87"/>
    <mergeCell ref="V87:V88"/>
    <mergeCell ref="J93:AI93"/>
    <mergeCell ref="H94:I95"/>
    <mergeCell ref="J94:J95"/>
    <mergeCell ref="K94:L94"/>
    <mergeCell ref="N94:N95"/>
    <mergeCell ref="O94:Q94"/>
    <mergeCell ref="S94:U94"/>
    <mergeCell ref="K95:L95"/>
    <mergeCell ref="O95:Q95"/>
    <mergeCell ref="S95:T95"/>
    <mergeCell ref="X106:Y106"/>
    <mergeCell ref="N108:O108"/>
    <mergeCell ref="K110:L110"/>
    <mergeCell ref="J96:J97"/>
    <mergeCell ref="K96:L97"/>
    <mergeCell ref="H99:I99"/>
    <mergeCell ref="K99:L99"/>
    <mergeCell ref="H103:I103"/>
    <mergeCell ref="P104:Q104"/>
    <mergeCell ref="L111:M111"/>
    <mergeCell ref="O111:P111"/>
    <mergeCell ref="M114:M115"/>
    <mergeCell ref="N114:O114"/>
    <mergeCell ref="Q114:S114"/>
    <mergeCell ref="U114:U115"/>
    <mergeCell ref="L105:S105"/>
    <mergeCell ref="O106:P106"/>
    <mergeCell ref="R106:S106"/>
    <mergeCell ref="V114:W115"/>
    <mergeCell ref="N115:O115"/>
    <mergeCell ref="Q115:S115"/>
    <mergeCell ref="I117:R117"/>
    <mergeCell ref="U117:V117"/>
    <mergeCell ref="H118:I118"/>
    <mergeCell ref="L118:M118"/>
    <mergeCell ref="O118:P118"/>
    <mergeCell ref="R118:S118"/>
    <mergeCell ref="W118:X118"/>
    <mergeCell ref="K120:M120"/>
    <mergeCell ref="H124:I124"/>
    <mergeCell ref="O125:P125"/>
    <mergeCell ref="R125:S125"/>
    <mergeCell ref="K126:L126"/>
    <mergeCell ref="V126:W126"/>
    <mergeCell ref="AA118:AB118"/>
    <mergeCell ref="L119:M119"/>
    <mergeCell ref="O119:P119"/>
    <mergeCell ref="R119:U119"/>
    <mergeCell ref="W119:X119"/>
    <mergeCell ref="AA119:AB119"/>
    <mergeCell ref="K129:L129"/>
    <mergeCell ref="L130:M130"/>
    <mergeCell ref="O130:P130"/>
    <mergeCell ref="K133:L133"/>
    <mergeCell ref="M133:M134"/>
    <mergeCell ref="N133:O133"/>
    <mergeCell ref="Y126:Z126"/>
    <mergeCell ref="AB126:AC126"/>
    <mergeCell ref="AE126:AG126"/>
    <mergeCell ref="K127:L127"/>
    <mergeCell ref="M127:R127"/>
    <mergeCell ref="S127:T127"/>
    <mergeCell ref="W127:X127"/>
    <mergeCell ref="AG127:AI127"/>
    <mergeCell ref="Y136:Z136"/>
    <mergeCell ref="H137:I137"/>
    <mergeCell ref="L137:M137"/>
    <mergeCell ref="O137:P137"/>
    <mergeCell ref="R137:S137"/>
    <mergeCell ref="W137:X137"/>
    <mergeCell ref="Q133:S133"/>
    <mergeCell ref="U133:U134"/>
    <mergeCell ref="V133:W134"/>
    <mergeCell ref="K134:L134"/>
    <mergeCell ref="P134:Q134"/>
    <mergeCell ref="I136:R136"/>
    <mergeCell ref="S136:T136"/>
    <mergeCell ref="V136:W136"/>
    <mergeCell ref="K139:M139"/>
    <mergeCell ref="H143:I143"/>
    <mergeCell ref="J144:K144"/>
    <mergeCell ref="M144:N144"/>
    <mergeCell ref="H148:I148"/>
    <mergeCell ref="J149:K149"/>
    <mergeCell ref="M149:N149"/>
    <mergeCell ref="AA137:AB137"/>
    <mergeCell ref="L138:M138"/>
    <mergeCell ref="O138:P138"/>
    <mergeCell ref="R138:U138"/>
    <mergeCell ref="W138:X138"/>
    <mergeCell ref="AA138:AB138"/>
    <mergeCell ref="AE154:AH154"/>
    <mergeCell ref="U155:W155"/>
    <mergeCell ref="Y155:Z155"/>
    <mergeCell ref="AE155:AH155"/>
    <mergeCell ref="P150:Q150"/>
    <mergeCell ref="F153:G153"/>
    <mergeCell ref="H153:I153"/>
    <mergeCell ref="J154:K155"/>
    <mergeCell ref="L154:L155"/>
    <mergeCell ref="M154:Q154"/>
    <mergeCell ref="M157:O157"/>
    <mergeCell ref="J159:K160"/>
    <mergeCell ref="L159:L160"/>
    <mergeCell ref="M159:Q159"/>
    <mergeCell ref="S159:S160"/>
    <mergeCell ref="T159:X159"/>
    <mergeCell ref="S154:S155"/>
    <mergeCell ref="T154:X154"/>
    <mergeCell ref="AD154:AD155"/>
    <mergeCell ref="O165:P165"/>
    <mergeCell ref="R165:S165"/>
    <mergeCell ref="V165:X165"/>
    <mergeCell ref="O168:P168"/>
    <mergeCell ref="R168:S168"/>
    <mergeCell ref="V168:X168"/>
    <mergeCell ref="AD159:AD160"/>
    <mergeCell ref="AE159:AH159"/>
    <mergeCell ref="U160:W160"/>
    <mergeCell ref="Y160:Z160"/>
    <mergeCell ref="AE160:AH160"/>
    <mergeCell ref="M162:O162"/>
    <mergeCell ref="AA174:AB174"/>
    <mergeCell ref="G175:H175"/>
    <mergeCell ref="J175:K175"/>
    <mergeCell ref="N175:O175"/>
    <mergeCell ref="Q175:T175"/>
    <mergeCell ref="W175:X175"/>
    <mergeCell ref="AA175:AB175"/>
    <mergeCell ref="O169:P169"/>
    <mergeCell ref="R169:S169"/>
    <mergeCell ref="V169:X169"/>
    <mergeCell ref="G174:H174"/>
    <mergeCell ref="I174:I175"/>
    <mergeCell ref="N174:O174"/>
    <mergeCell ref="V174:V175"/>
    <mergeCell ref="Q178:T178"/>
    <mergeCell ref="W178:X178"/>
    <mergeCell ref="AA178:AB178"/>
    <mergeCell ref="AD178:AE178"/>
    <mergeCell ref="G180:H180"/>
    <mergeCell ref="J180:S180"/>
    <mergeCell ref="U180:AD180"/>
    <mergeCell ref="AD175:AE175"/>
    <mergeCell ref="F177:F178"/>
    <mergeCell ref="G177:H177"/>
    <mergeCell ref="I177:I178"/>
    <mergeCell ref="N177:O177"/>
    <mergeCell ref="V177:V178"/>
    <mergeCell ref="AA177:AB177"/>
    <mergeCell ref="G178:H178"/>
    <mergeCell ref="J178:K178"/>
    <mergeCell ref="N178:O178"/>
    <mergeCell ref="F188:F189"/>
    <mergeCell ref="G188:H189"/>
    <mergeCell ref="I188:I189"/>
    <mergeCell ref="M188:N188"/>
    <mergeCell ref="T188:T189"/>
    <mergeCell ref="G182:H182"/>
    <mergeCell ref="M182:O182"/>
    <mergeCell ref="G185:H186"/>
    <mergeCell ref="I185:I186"/>
    <mergeCell ref="M185:N185"/>
    <mergeCell ref="T185:T186"/>
    <mergeCell ref="X188:Y188"/>
    <mergeCell ref="L189:M189"/>
    <mergeCell ref="O189:R189"/>
    <mergeCell ref="W189:X189"/>
    <mergeCell ref="Z189:AA189"/>
    <mergeCell ref="G191:H191"/>
    <mergeCell ref="J191:Q191"/>
    <mergeCell ref="S191:Z191"/>
    <mergeCell ref="X185:Y185"/>
    <mergeCell ref="L186:M186"/>
    <mergeCell ref="O186:R186"/>
    <mergeCell ref="W186:X186"/>
    <mergeCell ref="Z186:AA186"/>
    <mergeCell ref="J199:K199"/>
    <mergeCell ref="O199:P199"/>
    <mergeCell ref="T199:U199"/>
    <mergeCell ref="X199:Y199"/>
    <mergeCell ref="J201:L201"/>
    <mergeCell ref="R201:S201"/>
    <mergeCell ref="U201:W201"/>
    <mergeCell ref="G193:I193"/>
    <mergeCell ref="L193:M193"/>
    <mergeCell ref="O193:Q193"/>
    <mergeCell ref="R193:T193"/>
    <mergeCell ref="G198:H199"/>
    <mergeCell ref="I198:I199"/>
    <mergeCell ref="J198:K198"/>
    <mergeCell ref="M198:M199"/>
    <mergeCell ref="P198:R198"/>
    <mergeCell ref="T198:V198"/>
    <mergeCell ref="AB201:AD201"/>
    <mergeCell ref="H210:I210"/>
    <mergeCell ref="H211:I212"/>
    <mergeCell ref="J211:J212"/>
    <mergeCell ref="N211:N212"/>
    <mergeCell ref="O211:Q211"/>
    <mergeCell ref="S211:T211"/>
    <mergeCell ref="V211:V212"/>
    <mergeCell ref="W211:X212"/>
    <mergeCell ref="O212:Q212"/>
    <mergeCell ref="S212:T212"/>
    <mergeCell ref="U241:V241"/>
    <mergeCell ref="H242:I242"/>
    <mergeCell ref="L242:M242"/>
    <mergeCell ref="O242:P242"/>
    <mergeCell ref="R242:S242"/>
    <mergeCell ref="F216:G216"/>
    <mergeCell ref="H216:I216"/>
    <mergeCell ref="J216:AI216"/>
    <mergeCell ref="J217:AI217"/>
    <mergeCell ref="H218:I219"/>
    <mergeCell ref="J218:J219"/>
    <mergeCell ref="K218:L218"/>
    <mergeCell ref="N218:N219"/>
    <mergeCell ref="O218:Q218"/>
    <mergeCell ref="S218:U218"/>
    <mergeCell ref="K219:L219"/>
    <mergeCell ref="O219:Q219"/>
    <mergeCell ref="S219:T219"/>
    <mergeCell ref="J220:J221"/>
    <mergeCell ref="K220:L221"/>
    <mergeCell ref="P228:Q228"/>
    <mergeCell ref="L229:S229"/>
    <mergeCell ref="O230:P230"/>
    <mergeCell ref="R230:S230"/>
    <mergeCell ref="F277:G277"/>
    <mergeCell ref="H277:I277"/>
    <mergeCell ref="H267:I267"/>
    <mergeCell ref="J268:K268"/>
    <mergeCell ref="M268:N268"/>
    <mergeCell ref="H272:I272"/>
    <mergeCell ref="O289:P289"/>
    <mergeCell ref="H223:I223"/>
    <mergeCell ref="K223:L223"/>
    <mergeCell ref="H227:I227"/>
    <mergeCell ref="H248:I248"/>
    <mergeCell ref="I241:R241"/>
    <mergeCell ref="K250:L250"/>
    <mergeCell ref="K253:L253"/>
    <mergeCell ref="L254:M254"/>
    <mergeCell ref="O254:P254"/>
    <mergeCell ref="K257:L257"/>
    <mergeCell ref="M257:M258"/>
    <mergeCell ref="N257:O257"/>
    <mergeCell ref="Q257:S257"/>
    <mergeCell ref="G299:H299"/>
    <mergeCell ref="J299:K299"/>
    <mergeCell ref="N299:O299"/>
    <mergeCell ref="Q299:T299"/>
    <mergeCell ref="W299:X299"/>
    <mergeCell ref="AA299:AB299"/>
    <mergeCell ref="M286:O286"/>
    <mergeCell ref="G298:H298"/>
    <mergeCell ref="I298:I299"/>
    <mergeCell ref="N298:O298"/>
    <mergeCell ref="V298:V299"/>
    <mergeCell ref="R289:S289"/>
    <mergeCell ref="V289:X289"/>
    <mergeCell ref="O292:P292"/>
    <mergeCell ref="R292:S292"/>
    <mergeCell ref="V292:X292"/>
    <mergeCell ref="O293:P293"/>
    <mergeCell ref="R293:S293"/>
    <mergeCell ref="V293:X293"/>
    <mergeCell ref="F301:F302"/>
    <mergeCell ref="G301:H301"/>
    <mergeCell ref="I301:I302"/>
    <mergeCell ref="N301:O301"/>
    <mergeCell ref="V301:V302"/>
    <mergeCell ref="AA301:AB301"/>
    <mergeCell ref="G302:H302"/>
    <mergeCell ref="J302:K302"/>
    <mergeCell ref="N302:O302"/>
    <mergeCell ref="G306:H306"/>
    <mergeCell ref="M306:O306"/>
    <mergeCell ref="G309:H310"/>
    <mergeCell ref="I309:I310"/>
    <mergeCell ref="M309:N309"/>
    <mergeCell ref="T309:T310"/>
    <mergeCell ref="Q302:T302"/>
    <mergeCell ref="W302:X302"/>
    <mergeCell ref="AA302:AB302"/>
    <mergeCell ref="G304:H304"/>
    <mergeCell ref="J304:S304"/>
    <mergeCell ref="U304:AD304"/>
    <mergeCell ref="G315:H315"/>
    <mergeCell ref="J315:Q315"/>
    <mergeCell ref="S315:Z315"/>
    <mergeCell ref="X309:Y309"/>
    <mergeCell ref="L310:M310"/>
    <mergeCell ref="O310:R310"/>
    <mergeCell ref="W310:X310"/>
    <mergeCell ref="Z310:AA310"/>
    <mergeCell ref="F312:F313"/>
    <mergeCell ref="G312:H313"/>
    <mergeCell ref="I312:I313"/>
    <mergeCell ref="M312:N312"/>
    <mergeCell ref="T312:T313"/>
    <mergeCell ref="G317:I317"/>
    <mergeCell ref="L317:M317"/>
    <mergeCell ref="O317:Q317"/>
    <mergeCell ref="R317:T317"/>
    <mergeCell ref="G322:H323"/>
    <mergeCell ref="I322:I323"/>
    <mergeCell ref="J322:K322"/>
    <mergeCell ref="M322:M323"/>
    <mergeCell ref="P322:R322"/>
    <mergeCell ref="T322:V322"/>
    <mergeCell ref="AB325:AD325"/>
    <mergeCell ref="R35:R36"/>
    <mergeCell ref="O35:P36"/>
    <mergeCell ref="N35:N36"/>
    <mergeCell ref="L35:M36"/>
    <mergeCell ref="J35:J36"/>
    <mergeCell ref="J323:K323"/>
    <mergeCell ref="O323:P323"/>
    <mergeCell ref="T323:U323"/>
    <mergeCell ref="X323:Y323"/>
    <mergeCell ref="J325:L325"/>
    <mergeCell ref="R325:S325"/>
    <mergeCell ref="U325:W325"/>
    <mergeCell ref="X312:Y312"/>
    <mergeCell ref="L313:M313"/>
    <mergeCell ref="O313:R313"/>
    <mergeCell ref="W313:X313"/>
    <mergeCell ref="Z313:AA313"/>
    <mergeCell ref="AD302:AE302"/>
    <mergeCell ref="AD299:AE299"/>
    <mergeCell ref="AA298:AB298"/>
    <mergeCell ref="J273:K273"/>
    <mergeCell ref="M273:N273"/>
    <mergeCell ref="P274:Q274"/>
    <mergeCell ref="X230:Y230"/>
    <mergeCell ref="N232:O232"/>
    <mergeCell ref="K234:L234"/>
    <mergeCell ref="L235:M235"/>
    <mergeCell ref="O235:P235"/>
    <mergeCell ref="M238:M239"/>
    <mergeCell ref="N238:O238"/>
    <mergeCell ref="Q238:S238"/>
    <mergeCell ref="U238:U239"/>
    <mergeCell ref="V238:W239"/>
    <mergeCell ref="N239:O239"/>
    <mergeCell ref="Q239:S239"/>
    <mergeCell ref="W242:X242"/>
    <mergeCell ref="AA242:AB242"/>
    <mergeCell ref="L243:M243"/>
    <mergeCell ref="O243:P243"/>
    <mergeCell ref="R243:U243"/>
    <mergeCell ref="W243:X243"/>
    <mergeCell ref="AA243:AB243"/>
    <mergeCell ref="K244:M244"/>
    <mergeCell ref="O249:P249"/>
    <mergeCell ref="R249:S249"/>
    <mergeCell ref="V250:W250"/>
    <mergeCell ref="Y250:Z250"/>
    <mergeCell ref="AB250:AC250"/>
    <mergeCell ref="AE250:AG250"/>
    <mergeCell ref="K251:L251"/>
    <mergeCell ref="M251:R251"/>
    <mergeCell ref="S251:T251"/>
    <mergeCell ref="W251:X251"/>
    <mergeCell ref="AG251:AI251"/>
    <mergeCell ref="U257:U258"/>
    <mergeCell ref="V257:W258"/>
    <mergeCell ref="K258:L258"/>
    <mergeCell ref="P258:Q258"/>
    <mergeCell ref="I260:R260"/>
    <mergeCell ref="S260:T260"/>
    <mergeCell ref="V260:W260"/>
    <mergeCell ref="Y260:Z260"/>
    <mergeCell ref="H261:I261"/>
    <mergeCell ref="L261:M261"/>
    <mergeCell ref="O261:P261"/>
    <mergeCell ref="R261:S261"/>
    <mergeCell ref="W261:X261"/>
    <mergeCell ref="AA261:AB261"/>
    <mergeCell ref="L262:M262"/>
    <mergeCell ref="O262:P262"/>
    <mergeCell ref="R262:U262"/>
    <mergeCell ref="W262:X262"/>
    <mergeCell ref="AA262:AB262"/>
    <mergeCell ref="K263:M263"/>
    <mergeCell ref="J278:K279"/>
    <mergeCell ref="L278:L279"/>
    <mergeCell ref="M278:Q278"/>
    <mergeCell ref="S278:S279"/>
    <mergeCell ref="T278:X278"/>
    <mergeCell ref="AE278:AH278"/>
    <mergeCell ref="U279:W279"/>
    <mergeCell ref="Y279:Z279"/>
    <mergeCell ref="AE279:AH279"/>
    <mergeCell ref="M281:O281"/>
    <mergeCell ref="J283:K284"/>
    <mergeCell ref="L283:L284"/>
    <mergeCell ref="M283:Q283"/>
    <mergeCell ref="S283:S284"/>
    <mergeCell ref="T283:X283"/>
    <mergeCell ref="AD283:AD284"/>
    <mergeCell ref="AE283:AH283"/>
    <mergeCell ref="U284:W284"/>
    <mergeCell ref="Y284:Z284"/>
    <mergeCell ref="AE284:AH284"/>
    <mergeCell ref="AD278:AD279"/>
  </mergeCells>
  <phoneticPr fontId="3"/>
  <pageMargins left="0.70866141732283472" right="0.70866141732283472" top="0.74803149606299213" bottom="0.74803149606299213" header="0.31496062992125984" footer="0.31496062992125984"/>
  <pageSetup paperSize="9" scale="7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D8DB2-BD35-4381-BC61-6E5E5B71E414}">
  <dimension ref="A2:AI300"/>
  <sheetViews>
    <sheetView showOutlineSymbols="0" zoomScaleNormal="100" workbookViewId="0"/>
  </sheetViews>
  <sheetFormatPr defaultRowHeight="18.75"/>
  <cols>
    <col min="1" max="35" width="3" style="1" customWidth="1"/>
    <col min="36" max="36" width="1.625" style="1" customWidth="1"/>
    <col min="37" max="16384" width="9" style="1"/>
  </cols>
  <sheetData>
    <row r="2" spans="1:35">
      <c r="A2" s="1" t="s">
        <v>752</v>
      </c>
      <c r="W2" t="s">
        <v>297</v>
      </c>
    </row>
    <row r="3" spans="1:35">
      <c r="B3" s="1" t="s">
        <v>767</v>
      </c>
      <c r="W3"/>
    </row>
    <row r="4" spans="1:35">
      <c r="C4" s="9"/>
      <c r="D4" s="10" t="s">
        <v>760</v>
      </c>
      <c r="E4" s="10"/>
      <c r="F4" s="10"/>
      <c r="G4" s="10"/>
      <c r="H4" s="10"/>
      <c r="I4" s="10"/>
      <c r="J4" s="10"/>
      <c r="K4" s="10"/>
      <c r="L4" s="10"/>
      <c r="M4" s="319"/>
      <c r="N4" s="319"/>
      <c r="O4" s="10"/>
      <c r="P4" s="327"/>
      <c r="Q4" s="327"/>
      <c r="R4" s="10"/>
      <c r="S4" s="10"/>
      <c r="T4" s="10"/>
      <c r="U4" s="326"/>
      <c r="V4" s="10"/>
      <c r="W4" s="10"/>
      <c r="X4" s="10"/>
      <c r="Y4" s="10"/>
      <c r="Z4" s="10"/>
      <c r="AA4" s="10"/>
      <c r="AB4" s="10"/>
      <c r="AC4" s="10"/>
      <c r="AD4" s="10"/>
      <c r="AE4" s="10"/>
      <c r="AF4" s="10"/>
      <c r="AG4" s="10"/>
      <c r="AH4" s="10"/>
      <c r="AI4" s="11"/>
    </row>
    <row r="5" spans="1:35">
      <c r="C5" s="12"/>
      <c r="D5" s="13"/>
      <c r="E5" s="13" t="s">
        <v>761</v>
      </c>
      <c r="F5" s="13"/>
      <c r="G5" s="13"/>
      <c r="H5" s="360" t="s">
        <v>763</v>
      </c>
      <c r="I5" s="360"/>
      <c r="J5" s="13" t="s">
        <v>2</v>
      </c>
      <c r="K5" s="437">
        <f>'5.腹起一般'!K31</f>
        <v>121.64567066132668</v>
      </c>
      <c r="L5" s="438"/>
      <c r="M5" s="439"/>
      <c r="N5" s="13" t="s">
        <v>276</v>
      </c>
      <c r="O5" s="13"/>
      <c r="P5" s="320"/>
      <c r="Q5" s="320"/>
      <c r="R5" s="13"/>
      <c r="S5" s="13"/>
      <c r="T5" s="13"/>
      <c r="U5" s="32"/>
      <c r="V5" s="13"/>
      <c r="W5" s="13"/>
      <c r="X5" s="13"/>
      <c r="Y5" s="13"/>
      <c r="Z5" s="13"/>
      <c r="AA5" s="13"/>
      <c r="AB5" s="13"/>
      <c r="AC5" s="13"/>
      <c r="AD5" s="13"/>
      <c r="AE5" s="13"/>
      <c r="AF5" s="13"/>
      <c r="AG5" s="13"/>
      <c r="AH5" s="13"/>
      <c r="AI5" s="15"/>
    </row>
    <row r="6" spans="1:35">
      <c r="C6" s="12"/>
      <c r="D6" s="13"/>
      <c r="E6" s="13" t="s">
        <v>762</v>
      </c>
      <c r="F6" s="13"/>
      <c r="G6" s="13"/>
      <c r="H6" s="360" t="s">
        <v>764</v>
      </c>
      <c r="I6" s="360"/>
      <c r="J6" s="13" t="s">
        <v>2</v>
      </c>
      <c r="K6" s="437">
        <f>'5.腹起一般'!K40</f>
        <v>157.79675299599501</v>
      </c>
      <c r="L6" s="438"/>
      <c r="M6" s="439"/>
      <c r="N6" s="13" t="s">
        <v>276</v>
      </c>
      <c r="O6" s="13"/>
      <c r="P6" s="320"/>
      <c r="Q6" s="320"/>
      <c r="R6" s="13"/>
      <c r="S6" s="13"/>
      <c r="T6" s="13"/>
      <c r="U6" s="32"/>
      <c r="V6" s="13"/>
      <c r="W6" s="13"/>
      <c r="X6" s="13"/>
      <c r="Y6" s="13"/>
      <c r="Z6" s="13"/>
      <c r="AA6" s="13"/>
      <c r="AB6" s="13"/>
      <c r="AC6" s="13"/>
      <c r="AD6" s="13"/>
      <c r="AE6" s="13"/>
      <c r="AF6" s="13"/>
      <c r="AG6" s="13"/>
      <c r="AH6" s="13"/>
      <c r="AI6" s="15"/>
    </row>
    <row r="7" spans="1:35">
      <c r="C7" s="12"/>
      <c r="D7" s="13"/>
      <c r="E7" s="13"/>
      <c r="F7" s="13"/>
      <c r="G7" s="13"/>
      <c r="H7" s="13"/>
      <c r="I7" s="13"/>
      <c r="J7" s="13"/>
      <c r="K7" s="13"/>
      <c r="L7" s="13"/>
      <c r="M7" s="35"/>
      <c r="N7" s="35"/>
      <c r="O7" s="13"/>
      <c r="P7" s="146"/>
      <c r="Q7" s="146"/>
      <c r="R7" s="13"/>
      <c r="S7" s="13"/>
      <c r="T7" s="13"/>
      <c r="U7" s="32"/>
      <c r="V7" s="13"/>
      <c r="W7" s="13"/>
      <c r="X7" s="13"/>
      <c r="Y7" s="13"/>
      <c r="Z7" s="13"/>
      <c r="AA7" s="13"/>
      <c r="AB7" s="13"/>
      <c r="AC7" s="13"/>
      <c r="AD7" s="13"/>
      <c r="AE7" s="13"/>
      <c r="AF7" s="13"/>
      <c r="AG7" s="13"/>
      <c r="AH7" s="13"/>
      <c r="AI7" s="15"/>
    </row>
    <row r="8" spans="1:35">
      <c r="C8" s="12"/>
      <c r="D8" s="13" t="s">
        <v>311</v>
      </c>
      <c r="E8" s="13"/>
      <c r="F8" s="13"/>
      <c r="G8" s="13"/>
      <c r="H8" s="13"/>
      <c r="I8" s="13"/>
      <c r="J8" s="13"/>
      <c r="K8" s="13"/>
      <c r="L8" s="13"/>
      <c r="M8" s="13"/>
      <c r="N8" s="13"/>
      <c r="O8" s="146"/>
      <c r="P8" s="146"/>
      <c r="Q8" s="13"/>
      <c r="R8" s="13"/>
      <c r="S8" s="13"/>
      <c r="T8" s="13"/>
      <c r="U8" s="32"/>
      <c r="V8" s="14"/>
      <c r="W8" s="14"/>
      <c r="X8" s="14"/>
      <c r="Y8" s="13"/>
      <c r="Z8" s="13"/>
      <c r="AA8" s="13"/>
      <c r="AB8" s="13"/>
      <c r="AC8" s="13"/>
      <c r="AD8" s="13"/>
      <c r="AE8" s="13"/>
      <c r="AF8" s="13"/>
      <c r="AG8" s="13"/>
      <c r="AH8" s="13"/>
      <c r="AI8" s="15"/>
    </row>
    <row r="9" spans="1:35">
      <c r="C9" s="12"/>
      <c r="D9" s="13" t="s">
        <v>312</v>
      </c>
      <c r="E9" s="13"/>
      <c r="F9" s="13"/>
      <c r="G9" s="13"/>
      <c r="H9" s="13"/>
      <c r="I9" s="13"/>
      <c r="J9" s="13"/>
      <c r="K9" s="13"/>
      <c r="L9" s="13"/>
      <c r="M9" s="13"/>
      <c r="N9" s="13"/>
      <c r="O9" s="374">
        <v>5</v>
      </c>
      <c r="P9" s="376"/>
      <c r="Q9" s="13" t="s">
        <v>276</v>
      </c>
      <c r="R9" s="13"/>
      <c r="S9" s="13"/>
      <c r="T9" s="13" t="s">
        <v>313</v>
      </c>
      <c r="U9" s="32"/>
      <c r="V9" s="14"/>
      <c r="W9" s="14"/>
      <c r="X9" s="14"/>
      <c r="Y9" s="13"/>
      <c r="Z9" s="13"/>
      <c r="AA9" s="13"/>
      <c r="AB9" s="13"/>
      <c r="AC9" s="13"/>
      <c r="AD9" s="13"/>
      <c r="AE9" s="13"/>
      <c r="AF9" s="13"/>
      <c r="AG9" s="13"/>
      <c r="AH9" s="13"/>
      <c r="AI9" s="15"/>
    </row>
    <row r="10" spans="1:35">
      <c r="C10" s="12"/>
      <c r="D10" s="13"/>
      <c r="E10" s="13"/>
      <c r="F10" s="13"/>
      <c r="G10" s="13"/>
      <c r="H10" s="360" t="s">
        <v>476</v>
      </c>
      <c r="I10" s="360"/>
      <c r="J10" s="13" t="s">
        <v>2</v>
      </c>
      <c r="K10" s="437">
        <f>O9</f>
        <v>5</v>
      </c>
      <c r="L10" s="438"/>
      <c r="M10" s="439"/>
      <c r="N10" s="13" t="s">
        <v>276</v>
      </c>
      <c r="O10" s="320"/>
      <c r="P10" s="320"/>
      <c r="Q10" s="13"/>
      <c r="R10" s="13"/>
      <c r="S10" s="13"/>
      <c r="T10" s="13"/>
      <c r="U10" s="32"/>
      <c r="V10" s="14"/>
      <c r="W10" s="14"/>
      <c r="X10" s="14"/>
      <c r="Y10" s="13"/>
      <c r="Z10" s="13"/>
      <c r="AA10" s="13"/>
      <c r="AB10" s="13"/>
      <c r="AC10" s="13"/>
      <c r="AD10" s="13"/>
      <c r="AE10" s="13"/>
      <c r="AF10" s="13"/>
      <c r="AG10" s="13"/>
      <c r="AH10" s="13"/>
      <c r="AI10" s="15"/>
    </row>
    <row r="11" spans="1:35">
      <c r="C11" s="12"/>
      <c r="D11" s="13"/>
      <c r="E11" s="13"/>
      <c r="F11" s="13"/>
      <c r="G11" s="13"/>
      <c r="H11" s="35"/>
      <c r="I11" s="35"/>
      <c r="J11" s="13"/>
      <c r="K11" s="24"/>
      <c r="L11" s="24"/>
      <c r="M11" s="24"/>
      <c r="N11" s="13"/>
      <c r="O11" s="320"/>
      <c r="P11" s="320"/>
      <c r="Q11" s="13"/>
      <c r="R11" s="13"/>
      <c r="S11" s="13"/>
      <c r="T11" s="13"/>
      <c r="U11" s="32"/>
      <c r="V11" s="14"/>
      <c r="W11" s="14"/>
      <c r="X11" s="14"/>
      <c r="Y11" s="13"/>
      <c r="Z11" s="13"/>
      <c r="AA11" s="13"/>
      <c r="AB11" s="13"/>
      <c r="AC11" s="13"/>
      <c r="AD11" s="13"/>
      <c r="AE11" s="13"/>
      <c r="AF11" s="13"/>
      <c r="AG11" s="13"/>
      <c r="AH11" s="13"/>
      <c r="AI11" s="15"/>
    </row>
    <row r="12" spans="1:35">
      <c r="C12" s="143"/>
      <c r="D12" s="13" t="s">
        <v>309</v>
      </c>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308"/>
    </row>
    <row r="13" spans="1:35">
      <c r="C13" s="12"/>
      <c r="D13" s="13" t="s">
        <v>314</v>
      </c>
      <c r="E13" s="13"/>
      <c r="F13" s="13"/>
      <c r="G13" s="13"/>
      <c r="H13" s="13"/>
      <c r="I13" s="13"/>
      <c r="J13" s="13"/>
      <c r="K13" s="13"/>
      <c r="L13" s="13"/>
      <c r="M13" s="360" t="s">
        <v>307</v>
      </c>
      <c r="N13" s="360"/>
      <c r="O13" s="13" t="s">
        <v>2</v>
      </c>
      <c r="P13" s="374">
        <v>150</v>
      </c>
      <c r="Q13" s="376"/>
      <c r="R13" s="13" t="s">
        <v>257</v>
      </c>
      <c r="S13" s="13"/>
      <c r="T13" s="13"/>
      <c r="U13" s="32" t="s">
        <v>315</v>
      </c>
      <c r="V13" s="13"/>
      <c r="W13" s="13"/>
      <c r="X13" s="13"/>
      <c r="Y13" s="13"/>
      <c r="Z13" s="13"/>
      <c r="AA13" s="13"/>
      <c r="AB13" s="13"/>
      <c r="AC13" s="13"/>
      <c r="AD13" s="13"/>
      <c r="AE13" s="13"/>
      <c r="AF13" s="13"/>
      <c r="AG13" s="13"/>
      <c r="AH13" s="13"/>
      <c r="AI13" s="15"/>
    </row>
    <row r="14" spans="1:35">
      <c r="C14" s="16"/>
      <c r="D14" s="17"/>
      <c r="E14" s="17"/>
      <c r="F14" s="17"/>
      <c r="G14" s="17"/>
      <c r="H14" s="17"/>
      <c r="I14" s="17"/>
      <c r="J14" s="17"/>
      <c r="K14" s="17"/>
      <c r="L14" s="17"/>
      <c r="M14" s="151"/>
      <c r="N14" s="151"/>
      <c r="O14" s="17"/>
      <c r="P14" s="328"/>
      <c r="Q14" s="328"/>
      <c r="R14" s="17"/>
      <c r="S14" s="17"/>
      <c r="T14" s="17"/>
      <c r="U14" s="179"/>
      <c r="V14" s="17"/>
      <c r="W14" s="17"/>
      <c r="X14" s="17"/>
      <c r="Y14" s="17"/>
      <c r="Z14" s="17"/>
      <c r="AA14" s="17"/>
      <c r="AB14" s="17"/>
      <c r="AC14" s="17"/>
      <c r="AD14" s="17"/>
      <c r="AE14" s="17"/>
      <c r="AF14" s="17"/>
      <c r="AG14" s="17"/>
      <c r="AH14" s="17"/>
      <c r="AI14" s="19"/>
    </row>
    <row r="15" spans="1:35">
      <c r="W15"/>
    </row>
    <row r="16" spans="1:35">
      <c r="B16" s="1" t="s">
        <v>768</v>
      </c>
      <c r="W16"/>
    </row>
    <row r="17" spans="3:35" ht="18.75" customHeight="1">
      <c r="C17" s="9"/>
      <c r="D17" s="10" t="s">
        <v>308</v>
      </c>
      <c r="E17" s="329"/>
      <c r="F17" s="329"/>
      <c r="G17" s="329"/>
      <c r="H17" s="329"/>
      <c r="I17" s="329"/>
      <c r="J17" s="329"/>
      <c r="K17" s="329"/>
      <c r="L17" s="329"/>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30"/>
    </row>
    <row r="18" spans="3:35" ht="18.75" customHeight="1">
      <c r="C18" s="12"/>
      <c r="D18" s="13"/>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308"/>
    </row>
    <row r="19" spans="3:35" ht="18.75" customHeight="1">
      <c r="C19" s="12"/>
      <c r="D19" s="13" t="s">
        <v>754</v>
      </c>
      <c r="E19" s="116"/>
      <c r="F19" s="116"/>
      <c r="G19" s="116"/>
      <c r="H19" s="116"/>
      <c r="I19" s="116"/>
      <c r="J19" s="116"/>
      <c r="K19" s="116"/>
      <c r="L19" s="116"/>
      <c r="Q19" s="797" t="s">
        <v>695</v>
      </c>
      <c r="R19" s="797"/>
      <c r="S19" s="116" t="s">
        <v>2</v>
      </c>
      <c r="T19" s="797" t="s">
        <v>686</v>
      </c>
      <c r="U19" s="797"/>
      <c r="V19" s="116" t="s">
        <v>2</v>
      </c>
      <c r="W19" s="874">
        <f>'1.設計条件'!Q71</f>
        <v>5</v>
      </c>
      <c r="X19" s="875"/>
      <c r="Y19" s="876"/>
      <c r="Z19" s="116" t="s">
        <v>3</v>
      </c>
      <c r="AA19" s="116"/>
      <c r="AB19" s="116"/>
      <c r="AC19" s="116"/>
      <c r="AD19" s="116"/>
      <c r="AE19" s="116"/>
      <c r="AF19" s="116"/>
      <c r="AG19" s="116"/>
      <c r="AH19" s="116"/>
      <c r="AI19" s="308"/>
    </row>
    <row r="20" spans="3:35" ht="18.75" customHeight="1">
      <c r="C20" s="12"/>
      <c r="D20" s="13" t="s">
        <v>753</v>
      </c>
      <c r="E20" s="116"/>
      <c r="F20" s="116"/>
      <c r="G20" s="116"/>
      <c r="H20" s="116"/>
      <c r="I20" s="116"/>
      <c r="J20" s="116"/>
      <c r="K20" s="116"/>
      <c r="L20" s="116"/>
      <c r="M20" s="116"/>
      <c r="N20" s="116"/>
      <c r="O20" s="116"/>
      <c r="P20" s="116"/>
      <c r="Q20" s="920" t="s">
        <v>756</v>
      </c>
      <c r="R20" s="920"/>
      <c r="S20" s="116" t="s">
        <v>2</v>
      </c>
      <c r="T20" s="874">
        <f>'1.設計条件'!Q72</f>
        <v>6.3</v>
      </c>
      <c r="U20" s="875"/>
      <c r="V20" s="876"/>
      <c r="W20" s="116" t="s">
        <v>3</v>
      </c>
      <c r="X20" s="116"/>
      <c r="Y20" s="116"/>
      <c r="Z20" s="116"/>
      <c r="AA20" s="116"/>
      <c r="AB20" s="116"/>
      <c r="AC20" s="116"/>
      <c r="AD20" s="116"/>
      <c r="AE20" s="116"/>
      <c r="AF20" s="116"/>
      <c r="AG20" s="116"/>
      <c r="AH20" s="116"/>
      <c r="AI20" s="308"/>
    </row>
    <row r="21" spans="3:35" ht="18.75" customHeight="1">
      <c r="C21" s="12"/>
      <c r="D21" s="117" t="s">
        <v>755</v>
      </c>
      <c r="E21" s="325"/>
      <c r="F21" s="325"/>
      <c r="G21" s="325"/>
      <c r="H21" s="325"/>
      <c r="I21" s="325"/>
      <c r="J21" s="325"/>
      <c r="K21" s="325"/>
      <c r="L21" s="325"/>
      <c r="M21" s="325"/>
      <c r="N21" s="325"/>
      <c r="O21" s="325"/>
      <c r="P21" s="325"/>
      <c r="Q21" s="920" t="s">
        <v>757</v>
      </c>
      <c r="R21" s="920"/>
      <c r="S21" s="116" t="s">
        <v>2</v>
      </c>
      <c r="T21" s="438">
        <f>T20</f>
        <v>6.3</v>
      </c>
      <c r="U21" s="438"/>
      <c r="V21" s="1" t="s">
        <v>263</v>
      </c>
      <c r="W21" s="116" t="s">
        <v>69</v>
      </c>
      <c r="X21" s="872">
        <f>'1.設計条件'!T87</f>
        <v>1.5</v>
      </c>
      <c r="Y21" s="872"/>
      <c r="Z21" s="1" t="s">
        <v>27</v>
      </c>
      <c r="AA21" s="872" t="s">
        <v>758</v>
      </c>
      <c r="AB21" s="872"/>
      <c r="AC21" s="873">
        <f>'1.設計条件'!T89</f>
        <v>45</v>
      </c>
      <c r="AD21" s="873"/>
      <c r="AE21" s="116" t="s">
        <v>759</v>
      </c>
      <c r="AF21" s="116" t="s">
        <v>27</v>
      </c>
      <c r="AG21" s="312">
        <v>2</v>
      </c>
      <c r="AH21" s="116"/>
      <c r="AI21" s="308"/>
    </row>
    <row r="22" spans="3:35" ht="18.75" customHeight="1">
      <c r="C22" s="12"/>
      <c r="D22" s="117"/>
      <c r="E22" s="325"/>
      <c r="F22" s="325"/>
      <c r="G22" s="325"/>
      <c r="H22" s="325"/>
      <c r="I22" s="325"/>
      <c r="J22" s="325"/>
      <c r="K22" s="325"/>
      <c r="L22" s="325"/>
      <c r="M22" s="325"/>
      <c r="N22" s="325"/>
      <c r="O22" s="325"/>
      <c r="P22" s="325"/>
      <c r="Q22" s="324"/>
      <c r="R22" s="324"/>
      <c r="S22" s="116"/>
      <c r="T22" s="874">
        <f>T21-(X21*TAN(AC21/180*PI()))*2</f>
        <v>3.3000000000000003</v>
      </c>
      <c r="U22" s="875"/>
      <c r="V22" s="876"/>
      <c r="W22" s="116" t="s">
        <v>3</v>
      </c>
      <c r="X22" s="116"/>
      <c r="AA22" s="312"/>
      <c r="AB22" s="116"/>
      <c r="AC22" s="116"/>
      <c r="AD22" s="116"/>
      <c r="AE22" s="116"/>
      <c r="AF22" s="116"/>
      <c r="AG22" s="116"/>
      <c r="AH22" s="116"/>
      <c r="AI22" s="308"/>
    </row>
    <row r="23" spans="3:35">
      <c r="C23" s="12" t="s">
        <v>769</v>
      </c>
      <c r="D23" s="13"/>
      <c r="E23" s="13"/>
      <c r="F23" s="13"/>
      <c r="G23" s="13"/>
      <c r="H23" s="13"/>
      <c r="I23" s="13"/>
      <c r="J23" s="13"/>
      <c r="K23" s="13"/>
      <c r="L23" s="13"/>
      <c r="M23" s="13"/>
      <c r="N23" s="13"/>
      <c r="O23" s="146"/>
      <c r="P23" s="146"/>
      <c r="Q23" s="13"/>
      <c r="R23" s="13"/>
      <c r="S23" s="13"/>
      <c r="T23" s="13"/>
      <c r="U23" s="32"/>
      <c r="V23" s="14"/>
      <c r="W23" s="14"/>
      <c r="X23" s="14"/>
      <c r="Y23" s="13"/>
      <c r="Z23" s="13"/>
      <c r="AA23" s="13"/>
      <c r="AB23" s="13"/>
      <c r="AC23" s="13"/>
      <c r="AD23" s="13"/>
      <c r="AE23" s="13"/>
      <c r="AF23" s="13"/>
      <c r="AG23" s="13"/>
      <c r="AH23" s="13"/>
      <c r="AI23" s="15"/>
    </row>
    <row r="24" spans="3:35">
      <c r="C24" s="12"/>
      <c r="D24" s="13" t="s">
        <v>705</v>
      </c>
      <c r="E24" s="13"/>
      <c r="F24" s="13"/>
      <c r="G24" s="13"/>
      <c r="H24" s="13"/>
      <c r="I24" s="13"/>
      <c r="J24" s="13"/>
      <c r="K24" s="13"/>
      <c r="L24" s="13"/>
      <c r="M24" s="13"/>
      <c r="N24" s="13"/>
      <c r="O24" s="13"/>
      <c r="P24" s="13"/>
      <c r="Q24" s="13"/>
      <c r="R24" s="13"/>
      <c r="S24" s="13"/>
      <c r="T24" s="13"/>
      <c r="U24" s="32"/>
      <c r="V24" s="14"/>
      <c r="W24" s="14"/>
      <c r="X24" s="14"/>
      <c r="Y24" s="13"/>
      <c r="Z24" s="13"/>
      <c r="AA24" s="13"/>
      <c r="AB24" s="13"/>
      <c r="AC24" s="13"/>
      <c r="AD24" s="13"/>
      <c r="AE24" s="13"/>
      <c r="AF24" s="13"/>
      <c r="AG24" s="13"/>
      <c r="AH24" s="13"/>
      <c r="AI24" s="15"/>
    </row>
    <row r="25" spans="3:35">
      <c r="C25" s="12"/>
      <c r="D25" s="13"/>
      <c r="E25" s="13"/>
      <c r="F25" s="465" t="s">
        <v>837</v>
      </c>
      <c r="G25" s="465"/>
      <c r="H25" s="449" t="s">
        <v>2</v>
      </c>
      <c r="I25" s="916" t="s">
        <v>763</v>
      </c>
      <c r="J25" s="916"/>
      <c r="K25" s="917" t="s">
        <v>66</v>
      </c>
      <c r="L25" s="919" t="s">
        <v>695</v>
      </c>
      <c r="M25" s="919"/>
      <c r="N25" s="17" t="s">
        <v>68</v>
      </c>
      <c r="O25" s="919" t="s">
        <v>686</v>
      </c>
      <c r="P25" s="919"/>
      <c r="Q25" s="449" t="s">
        <v>68</v>
      </c>
      <c r="R25" s="465" t="s">
        <v>307</v>
      </c>
      <c r="S25" s="465"/>
      <c r="T25" s="13"/>
      <c r="U25" s="13"/>
      <c r="V25" s="13"/>
      <c r="W25" s="13"/>
      <c r="X25" s="13"/>
      <c r="Y25" s="13"/>
      <c r="Z25" s="13"/>
      <c r="AA25" s="13"/>
      <c r="AE25" s="13"/>
      <c r="AF25" s="13"/>
      <c r="AG25" s="13"/>
      <c r="AH25" s="13"/>
      <c r="AI25" s="15"/>
    </row>
    <row r="26" spans="3:35">
      <c r="C26" s="12"/>
      <c r="D26" s="13"/>
      <c r="E26" s="13"/>
      <c r="F26" s="465"/>
      <c r="G26" s="465"/>
      <c r="H26" s="449"/>
      <c r="I26" s="916"/>
      <c r="J26" s="916"/>
      <c r="K26" s="918"/>
      <c r="L26" s="915">
        <v>2</v>
      </c>
      <c r="M26" s="915"/>
      <c r="N26" s="915"/>
      <c r="O26" s="915"/>
      <c r="P26" s="915"/>
      <c r="Q26" s="449"/>
      <c r="R26" s="465"/>
      <c r="S26" s="465"/>
      <c r="T26" s="13"/>
      <c r="U26" s="13"/>
      <c r="V26" s="13"/>
      <c r="W26" s="13"/>
      <c r="X26" s="13"/>
      <c r="Y26" s="13"/>
      <c r="Z26" s="13"/>
      <c r="AA26" s="13"/>
      <c r="AE26" s="13"/>
      <c r="AF26" s="13"/>
      <c r="AG26" s="13"/>
      <c r="AH26" s="13"/>
      <c r="AI26" s="15"/>
    </row>
    <row r="27" spans="3:35">
      <c r="C27" s="12"/>
      <c r="D27" s="13"/>
      <c r="E27" s="13"/>
      <c r="F27" s="13"/>
      <c r="G27" s="13"/>
      <c r="H27" s="449" t="s">
        <v>2</v>
      </c>
      <c r="I27" s="921">
        <f>K5</f>
        <v>121.64567066132668</v>
      </c>
      <c r="J27" s="921"/>
      <c r="K27" s="921"/>
      <c r="L27" s="449" t="s">
        <v>27</v>
      </c>
      <c r="M27" s="788">
        <f>W19</f>
        <v>5</v>
      </c>
      <c r="N27" s="788"/>
      <c r="O27" s="17" t="s">
        <v>68</v>
      </c>
      <c r="P27" s="788">
        <f>W19</f>
        <v>5</v>
      </c>
      <c r="Q27" s="788"/>
      <c r="R27" s="449" t="s">
        <v>68</v>
      </c>
      <c r="S27" s="906">
        <f>P13</f>
        <v>150</v>
      </c>
      <c r="T27" s="906"/>
      <c r="U27" s="906"/>
      <c r="V27" s="14"/>
      <c r="W27" s="14"/>
      <c r="X27" s="14"/>
      <c r="Y27" s="13"/>
      <c r="Z27" s="13"/>
      <c r="AA27" s="13"/>
      <c r="AB27" s="13"/>
      <c r="AC27" s="13"/>
      <c r="AH27" s="13"/>
      <c r="AI27" s="15"/>
    </row>
    <row r="28" spans="3:35">
      <c r="C28" s="12"/>
      <c r="D28" s="13"/>
      <c r="E28" s="13"/>
      <c r="F28" s="13"/>
      <c r="G28" s="13"/>
      <c r="H28" s="449"/>
      <c r="I28" s="775"/>
      <c r="J28" s="775"/>
      <c r="K28" s="775"/>
      <c r="L28" s="449"/>
      <c r="M28" s="915">
        <v>2</v>
      </c>
      <c r="N28" s="915"/>
      <c r="O28" s="915"/>
      <c r="P28" s="915"/>
      <c r="Q28" s="915"/>
      <c r="R28" s="449"/>
      <c r="S28" s="906"/>
      <c r="T28" s="906"/>
      <c r="U28" s="906"/>
      <c r="V28" s="14"/>
      <c r="W28" s="14"/>
      <c r="X28" s="14"/>
      <c r="Y28" s="13"/>
      <c r="Z28" s="13"/>
      <c r="AA28" s="13"/>
      <c r="AB28" s="13"/>
      <c r="AC28" s="13"/>
      <c r="AH28" s="13"/>
      <c r="AI28" s="15"/>
    </row>
    <row r="29" spans="3:35">
      <c r="C29" s="12"/>
      <c r="D29" s="13"/>
      <c r="E29" s="13"/>
      <c r="F29" s="13"/>
      <c r="G29" s="13"/>
      <c r="H29" s="13" t="s">
        <v>2</v>
      </c>
      <c r="I29" s="462">
        <f>I27*(M27+P27)/M28+S27</f>
        <v>758.22835330663338</v>
      </c>
      <c r="J29" s="463"/>
      <c r="K29" s="464"/>
      <c r="L29" s="13" t="s">
        <v>257</v>
      </c>
      <c r="M29" s="13"/>
      <c r="N29" s="13"/>
      <c r="O29" s="146"/>
      <c r="P29" s="146"/>
      <c r="Q29" s="13"/>
      <c r="R29" s="13"/>
      <c r="S29" s="13"/>
      <c r="T29" s="13"/>
      <c r="U29" s="32"/>
      <c r="V29" s="14"/>
      <c r="W29" s="14"/>
      <c r="X29" s="14"/>
      <c r="Y29" s="13"/>
      <c r="Z29" s="13"/>
      <c r="AA29" s="13"/>
      <c r="AB29" s="13"/>
      <c r="AC29" s="13"/>
      <c r="AD29" s="13"/>
      <c r="AE29" s="13"/>
      <c r="AF29" s="13"/>
      <c r="AG29" s="13"/>
      <c r="AH29" s="13"/>
      <c r="AI29" s="15"/>
    </row>
    <row r="30" spans="3:35">
      <c r="C30" s="12"/>
      <c r="D30" s="13"/>
      <c r="E30" s="13"/>
      <c r="F30" s="13"/>
      <c r="G30" s="13"/>
      <c r="H30" s="13"/>
      <c r="I30" s="14"/>
      <c r="J30" s="14"/>
      <c r="K30" s="14"/>
      <c r="L30" s="13"/>
      <c r="M30" s="13"/>
      <c r="N30" s="13"/>
      <c r="O30" s="146"/>
      <c r="P30" s="146"/>
      <c r="Q30" s="13"/>
      <c r="R30" s="13"/>
      <c r="S30" s="13"/>
      <c r="T30" s="13"/>
      <c r="U30" s="32"/>
      <c r="V30" s="14"/>
      <c r="W30" s="14"/>
      <c r="X30" s="14"/>
      <c r="Y30" s="13"/>
      <c r="Z30" s="13"/>
      <c r="AA30" s="13"/>
      <c r="AB30" s="13"/>
      <c r="AC30" s="13"/>
      <c r="AD30" s="13"/>
      <c r="AE30" s="13"/>
      <c r="AF30" s="13"/>
      <c r="AG30" s="13"/>
      <c r="AH30" s="13"/>
      <c r="AI30" s="15"/>
    </row>
    <row r="31" spans="3:35">
      <c r="C31" s="12"/>
      <c r="D31" s="13" t="s">
        <v>766</v>
      </c>
      <c r="E31" s="13"/>
      <c r="F31" s="13"/>
      <c r="G31" s="13"/>
      <c r="H31" s="13"/>
      <c r="I31" s="13"/>
      <c r="J31" s="13"/>
      <c r="K31" s="13"/>
      <c r="L31" s="13"/>
      <c r="M31" s="13"/>
      <c r="N31" s="13"/>
      <c r="O31" s="146"/>
      <c r="P31" s="146"/>
      <c r="Q31" s="13"/>
      <c r="R31" s="13"/>
      <c r="S31" s="13"/>
      <c r="T31" s="13"/>
      <c r="U31" s="32"/>
      <c r="V31" s="14"/>
      <c r="W31" s="14"/>
      <c r="X31" s="14"/>
      <c r="Y31" s="13"/>
      <c r="Z31" s="13"/>
      <c r="AA31" s="13"/>
      <c r="AB31" s="13"/>
      <c r="AC31" s="13"/>
      <c r="AD31" s="13"/>
      <c r="AE31" s="13"/>
      <c r="AF31" s="13"/>
      <c r="AG31" s="13"/>
      <c r="AH31" s="13"/>
      <c r="AI31" s="15"/>
    </row>
    <row r="32" spans="3:35" ht="20.25">
      <c r="C32" s="12"/>
      <c r="D32" s="13"/>
      <c r="E32" s="13"/>
      <c r="F32" s="465" t="s">
        <v>715</v>
      </c>
      <c r="G32" s="465"/>
      <c r="H32" s="449" t="s">
        <v>2</v>
      </c>
      <c r="I32" s="766" t="s">
        <v>765</v>
      </c>
      <c r="J32" s="766"/>
      <c r="K32" s="766"/>
      <c r="L32" s="766"/>
      <c r="M32" s="13"/>
      <c r="N32" s="449" t="s">
        <v>2</v>
      </c>
      <c r="O32" s="681">
        <f>K10</f>
        <v>5</v>
      </c>
      <c r="P32" s="681"/>
      <c r="Q32" s="141" t="s">
        <v>27</v>
      </c>
      <c r="R32" s="877">
        <f>T20</f>
        <v>6.3</v>
      </c>
      <c r="S32" s="877"/>
      <c r="T32" s="142" t="s">
        <v>281</v>
      </c>
      <c r="U32" s="32"/>
      <c r="V32" s="14"/>
      <c r="W32" s="14"/>
      <c r="X32" s="14"/>
      <c r="Y32" s="13"/>
      <c r="Z32" s="13"/>
      <c r="AA32" s="13"/>
      <c r="AB32" s="13"/>
      <c r="AC32" s="13"/>
      <c r="AD32" s="13"/>
      <c r="AE32" s="13"/>
      <c r="AF32" s="13"/>
      <c r="AG32" s="13"/>
      <c r="AH32" s="13"/>
      <c r="AI32" s="15"/>
    </row>
    <row r="33" spans="3:35">
      <c r="C33" s="12"/>
      <c r="D33" s="13"/>
      <c r="E33" s="13"/>
      <c r="F33" s="465"/>
      <c r="G33" s="465"/>
      <c r="H33" s="449"/>
      <c r="I33" s="870">
        <v>8</v>
      </c>
      <c r="J33" s="870"/>
      <c r="K33" s="870"/>
      <c r="L33" s="870"/>
      <c r="M33" s="13"/>
      <c r="N33" s="449"/>
      <c r="O33" s="870">
        <f>I33</f>
        <v>8</v>
      </c>
      <c r="P33" s="870"/>
      <c r="Q33" s="870"/>
      <c r="R33" s="870"/>
      <c r="S33" s="870"/>
      <c r="T33" s="870"/>
      <c r="U33" s="32"/>
      <c r="V33" s="14"/>
      <c r="W33" s="14"/>
      <c r="X33" s="14"/>
      <c r="Y33" s="13"/>
      <c r="Z33" s="13"/>
      <c r="AA33" s="13"/>
      <c r="AB33" s="13"/>
      <c r="AC33" s="13"/>
      <c r="AD33" s="13"/>
      <c r="AE33" s="13"/>
      <c r="AF33" s="13"/>
      <c r="AG33" s="13"/>
      <c r="AH33" s="13"/>
      <c r="AI33" s="15"/>
    </row>
    <row r="34" spans="3:35">
      <c r="C34" s="12"/>
      <c r="D34" s="13"/>
      <c r="E34" s="13"/>
      <c r="F34" s="13"/>
      <c r="G34" s="13"/>
      <c r="H34" s="13" t="s">
        <v>2</v>
      </c>
      <c r="I34" s="462">
        <f>O32*R32^2/O33</f>
        <v>24.806249999999999</v>
      </c>
      <c r="J34" s="463"/>
      <c r="K34" s="464"/>
      <c r="L34" s="13" t="s">
        <v>270</v>
      </c>
      <c r="M34" s="13"/>
      <c r="N34" s="13"/>
      <c r="O34" s="13"/>
      <c r="P34" s="13"/>
      <c r="Q34" s="13"/>
      <c r="R34" s="13"/>
      <c r="S34" s="13"/>
      <c r="T34" s="13"/>
      <c r="U34" s="32"/>
      <c r="V34" s="14"/>
      <c r="W34" s="14"/>
      <c r="X34" s="14"/>
      <c r="Y34" s="13"/>
      <c r="Z34" s="13"/>
      <c r="AA34" s="13"/>
      <c r="AB34" s="13"/>
      <c r="AC34" s="13"/>
      <c r="AD34" s="13"/>
      <c r="AE34" s="13"/>
      <c r="AF34" s="13"/>
      <c r="AG34" s="13"/>
      <c r="AH34" s="13"/>
      <c r="AI34" s="15"/>
    </row>
    <row r="35" spans="3:35">
      <c r="C35" s="12"/>
      <c r="D35" s="13"/>
      <c r="E35" s="13"/>
      <c r="F35" s="13"/>
      <c r="G35" s="13"/>
      <c r="H35" s="13"/>
      <c r="I35" s="24"/>
      <c r="J35" s="24"/>
      <c r="K35" s="24"/>
      <c r="L35" s="13"/>
      <c r="M35" s="13"/>
      <c r="N35" s="13"/>
      <c r="O35" s="13"/>
      <c r="P35" s="13"/>
      <c r="Q35" s="13"/>
      <c r="R35" s="13"/>
      <c r="S35" s="13"/>
      <c r="T35" s="13"/>
      <c r="U35" s="32"/>
      <c r="V35" s="14"/>
      <c r="W35" s="14"/>
      <c r="X35" s="14"/>
      <c r="Y35" s="13"/>
      <c r="Z35" s="13"/>
      <c r="AA35" s="13"/>
      <c r="AB35" s="13"/>
      <c r="AC35" s="13"/>
      <c r="AD35" s="13"/>
      <c r="AE35" s="13"/>
      <c r="AF35" s="13"/>
      <c r="AG35" s="13"/>
      <c r="AH35" s="13"/>
      <c r="AI35" s="15"/>
    </row>
    <row r="36" spans="3:35">
      <c r="C36" s="12" t="s">
        <v>770</v>
      </c>
      <c r="D36" s="13"/>
      <c r="E36" s="13"/>
      <c r="F36" s="13"/>
      <c r="G36" s="13"/>
      <c r="H36" s="13"/>
      <c r="I36" s="13"/>
      <c r="J36" s="13"/>
      <c r="K36" s="13"/>
      <c r="L36" s="13"/>
      <c r="M36" s="13"/>
      <c r="N36" s="13"/>
      <c r="O36" s="146"/>
      <c r="P36" s="146"/>
      <c r="Q36" s="13"/>
      <c r="R36" s="13"/>
      <c r="S36" s="13"/>
      <c r="T36" s="13"/>
      <c r="U36" s="32"/>
      <c r="V36" s="14"/>
      <c r="W36" s="14"/>
      <c r="X36" s="14"/>
      <c r="Y36" s="13"/>
      <c r="Z36" s="13"/>
      <c r="AA36" s="13"/>
      <c r="AB36" s="13"/>
      <c r="AC36" s="13"/>
      <c r="AD36" s="13"/>
      <c r="AE36" s="13"/>
      <c r="AF36" s="13"/>
      <c r="AG36" s="13"/>
      <c r="AH36" s="13"/>
      <c r="AI36" s="15"/>
    </row>
    <row r="37" spans="3:35">
      <c r="C37" s="12"/>
      <c r="D37" s="13" t="s">
        <v>705</v>
      </c>
      <c r="E37" s="13"/>
      <c r="F37" s="13"/>
      <c r="G37" s="13"/>
      <c r="H37" s="13"/>
      <c r="I37" s="13"/>
      <c r="J37" s="13"/>
      <c r="K37" s="13"/>
      <c r="L37" s="13"/>
      <c r="M37" s="13"/>
      <c r="N37" s="13"/>
      <c r="O37" s="13"/>
      <c r="P37" s="13"/>
      <c r="Q37" s="13"/>
      <c r="R37" s="13"/>
      <c r="S37" s="13"/>
      <c r="T37" s="13"/>
      <c r="U37" s="32"/>
      <c r="V37" s="14"/>
      <c r="W37" s="14"/>
      <c r="X37" s="14"/>
      <c r="Y37" s="13"/>
      <c r="Z37" s="13"/>
      <c r="AA37" s="13"/>
      <c r="AB37" s="13"/>
      <c r="AC37" s="13"/>
      <c r="AD37" s="13"/>
      <c r="AE37" s="13"/>
      <c r="AF37" s="13"/>
      <c r="AG37" s="13"/>
      <c r="AH37" s="13"/>
      <c r="AI37" s="15"/>
    </row>
    <row r="38" spans="3:35">
      <c r="C38" s="12"/>
      <c r="D38" s="13"/>
      <c r="E38" s="13"/>
      <c r="F38" s="465" t="s">
        <v>838</v>
      </c>
      <c r="G38" s="465"/>
      <c r="H38" s="449" t="s">
        <v>2</v>
      </c>
      <c r="I38" s="916" t="s">
        <v>764</v>
      </c>
      <c r="J38" s="916"/>
      <c r="K38" s="917" t="s">
        <v>66</v>
      </c>
      <c r="L38" s="919" t="s">
        <v>695</v>
      </c>
      <c r="M38" s="919"/>
      <c r="N38" s="17" t="s">
        <v>68</v>
      </c>
      <c r="O38" s="919" t="s">
        <v>686</v>
      </c>
      <c r="P38" s="919"/>
      <c r="Q38" s="449" t="s">
        <v>68</v>
      </c>
      <c r="R38" s="465" t="s">
        <v>307</v>
      </c>
      <c r="S38" s="465"/>
      <c r="T38" s="13"/>
      <c r="U38" s="13"/>
      <c r="V38" s="13"/>
      <c r="W38" s="13"/>
      <c r="X38" s="13"/>
      <c r="Y38" s="13"/>
      <c r="Z38" s="13"/>
      <c r="AA38" s="13"/>
      <c r="AE38" s="13"/>
      <c r="AF38" s="13"/>
      <c r="AG38" s="13"/>
      <c r="AH38" s="13"/>
      <c r="AI38" s="15"/>
    </row>
    <row r="39" spans="3:35">
      <c r="C39" s="12"/>
      <c r="D39" s="13"/>
      <c r="E39" s="13"/>
      <c r="F39" s="465"/>
      <c r="G39" s="465"/>
      <c r="H39" s="449"/>
      <c r="I39" s="916"/>
      <c r="J39" s="916"/>
      <c r="K39" s="918"/>
      <c r="L39" s="915">
        <v>2</v>
      </c>
      <c r="M39" s="915"/>
      <c r="N39" s="915"/>
      <c r="O39" s="915"/>
      <c r="P39" s="915"/>
      <c r="Q39" s="449"/>
      <c r="R39" s="465"/>
      <c r="S39" s="465"/>
      <c r="T39" s="13"/>
      <c r="U39" s="13"/>
      <c r="V39" s="13"/>
      <c r="W39" s="13"/>
      <c r="X39" s="13"/>
      <c r="Y39" s="13"/>
      <c r="Z39" s="13"/>
      <c r="AA39" s="13"/>
      <c r="AE39" s="13"/>
      <c r="AF39" s="13"/>
      <c r="AG39" s="13"/>
      <c r="AH39" s="13"/>
      <c r="AI39" s="15"/>
    </row>
    <row r="40" spans="3:35">
      <c r="C40" s="12"/>
      <c r="D40" s="13"/>
      <c r="E40" s="13"/>
      <c r="F40" s="13"/>
      <c r="G40" s="13"/>
      <c r="H40" s="449" t="s">
        <v>2</v>
      </c>
      <c r="I40" s="921">
        <f>K6</f>
        <v>157.79675299599501</v>
      </c>
      <c r="J40" s="921"/>
      <c r="K40" s="921"/>
      <c r="L40" s="449" t="s">
        <v>27</v>
      </c>
      <c r="M40" s="788">
        <f>W19</f>
        <v>5</v>
      </c>
      <c r="N40" s="788"/>
      <c r="O40" s="17" t="s">
        <v>68</v>
      </c>
      <c r="P40" s="788">
        <f>W19</f>
        <v>5</v>
      </c>
      <c r="Q40" s="788"/>
      <c r="R40" s="449" t="s">
        <v>68</v>
      </c>
      <c r="S40" s="906">
        <f>P13</f>
        <v>150</v>
      </c>
      <c r="T40" s="906"/>
      <c r="U40" s="906"/>
      <c r="V40" s="14"/>
      <c r="W40" s="14"/>
      <c r="X40" s="14"/>
      <c r="Y40" s="13"/>
      <c r="Z40" s="13"/>
      <c r="AA40" s="13"/>
      <c r="AB40" s="13"/>
      <c r="AC40" s="13"/>
      <c r="AH40" s="13"/>
      <c r="AI40" s="15"/>
    </row>
    <row r="41" spans="3:35">
      <c r="C41" s="12"/>
      <c r="D41" s="13"/>
      <c r="E41" s="13"/>
      <c r="F41" s="13"/>
      <c r="G41" s="13"/>
      <c r="H41" s="449"/>
      <c r="I41" s="775"/>
      <c r="J41" s="775"/>
      <c r="K41" s="775"/>
      <c r="L41" s="449"/>
      <c r="M41" s="915">
        <v>2</v>
      </c>
      <c r="N41" s="915"/>
      <c r="O41" s="915"/>
      <c r="P41" s="915"/>
      <c r="Q41" s="915"/>
      <c r="R41" s="449"/>
      <c r="S41" s="906"/>
      <c r="T41" s="906"/>
      <c r="U41" s="906"/>
      <c r="V41" s="14"/>
      <c r="W41" s="14"/>
      <c r="X41" s="14"/>
      <c r="Y41" s="13"/>
      <c r="Z41" s="13"/>
      <c r="AA41" s="13"/>
      <c r="AB41" s="13"/>
      <c r="AC41" s="13"/>
      <c r="AH41" s="13"/>
      <c r="AI41" s="15"/>
    </row>
    <row r="42" spans="3:35">
      <c r="C42" s="12"/>
      <c r="D42" s="13"/>
      <c r="E42" s="13"/>
      <c r="F42" s="13"/>
      <c r="G42" s="13"/>
      <c r="H42" s="13" t="s">
        <v>2</v>
      </c>
      <c r="I42" s="462">
        <f>I40*(M40+P40)/M41+S40</f>
        <v>938.98376497997504</v>
      </c>
      <c r="J42" s="463"/>
      <c r="K42" s="464"/>
      <c r="L42" s="13" t="s">
        <v>257</v>
      </c>
      <c r="M42" s="13"/>
      <c r="N42" s="13"/>
      <c r="O42" s="146"/>
      <c r="P42" s="146"/>
      <c r="Q42" s="13"/>
      <c r="R42" s="13"/>
      <c r="S42" s="13"/>
      <c r="T42" s="13"/>
      <c r="U42" s="32"/>
      <c r="V42" s="14"/>
      <c r="W42" s="14"/>
      <c r="X42" s="14"/>
      <c r="Y42" s="13"/>
      <c r="Z42" s="13"/>
      <c r="AA42" s="13"/>
      <c r="AB42" s="13"/>
      <c r="AC42" s="13"/>
      <c r="AD42" s="13"/>
      <c r="AE42" s="13"/>
      <c r="AF42" s="13"/>
      <c r="AG42" s="13"/>
      <c r="AH42" s="13"/>
      <c r="AI42" s="15"/>
    </row>
    <row r="43" spans="3:35">
      <c r="C43" s="12"/>
      <c r="D43" s="13"/>
      <c r="E43" s="13"/>
      <c r="F43" s="13"/>
      <c r="G43" s="13"/>
      <c r="H43" s="13"/>
      <c r="I43" s="14"/>
      <c r="J43" s="14"/>
      <c r="K43" s="14"/>
      <c r="L43" s="13"/>
      <c r="M43" s="13"/>
      <c r="N43" s="13"/>
      <c r="O43" s="146"/>
      <c r="P43" s="146"/>
      <c r="Q43" s="13"/>
      <c r="R43" s="13"/>
      <c r="S43" s="13"/>
      <c r="T43" s="13"/>
      <c r="U43" s="32"/>
      <c r="V43" s="14"/>
      <c r="W43" s="14"/>
      <c r="X43" s="14"/>
      <c r="Y43" s="13"/>
      <c r="Z43" s="13"/>
      <c r="AA43" s="13"/>
      <c r="AB43" s="13"/>
      <c r="AC43" s="13"/>
      <c r="AD43" s="13"/>
      <c r="AE43" s="13"/>
      <c r="AF43" s="13"/>
      <c r="AG43" s="13"/>
      <c r="AH43" s="13"/>
      <c r="AI43" s="15"/>
    </row>
    <row r="44" spans="3:35">
      <c r="C44" s="12"/>
      <c r="D44" s="13" t="s">
        <v>766</v>
      </c>
      <c r="E44" s="13"/>
      <c r="F44" s="13"/>
      <c r="G44" s="13"/>
      <c r="H44" s="13"/>
      <c r="I44" s="13"/>
      <c r="J44" s="13"/>
      <c r="K44" s="13"/>
      <c r="L44" s="13"/>
      <c r="M44" s="13"/>
      <c r="N44" s="13"/>
      <c r="O44" s="146"/>
      <c r="P44" s="146"/>
      <c r="Q44" s="13"/>
      <c r="R44" s="13"/>
      <c r="S44" s="13"/>
      <c r="T44" s="13"/>
      <c r="U44" s="32"/>
      <c r="V44" s="14"/>
      <c r="W44" s="14"/>
      <c r="X44" s="14"/>
      <c r="Y44" s="13"/>
      <c r="Z44" s="13"/>
      <c r="AA44" s="13"/>
      <c r="AB44" s="13"/>
      <c r="AC44" s="13"/>
      <c r="AD44" s="13"/>
      <c r="AE44" s="13"/>
      <c r="AF44" s="13"/>
      <c r="AG44" s="13"/>
      <c r="AH44" s="13"/>
      <c r="AI44" s="15"/>
    </row>
    <row r="45" spans="3:35" ht="20.25">
      <c r="C45" s="12"/>
      <c r="D45" s="13"/>
      <c r="E45" s="13"/>
      <c r="F45" s="465" t="s">
        <v>717</v>
      </c>
      <c r="G45" s="465"/>
      <c r="H45" s="449" t="s">
        <v>2</v>
      </c>
      <c r="I45" s="766" t="s">
        <v>765</v>
      </c>
      <c r="J45" s="766"/>
      <c r="K45" s="766"/>
      <c r="L45" s="766"/>
      <c r="M45" s="13"/>
      <c r="N45" s="449" t="s">
        <v>2</v>
      </c>
      <c r="O45" s="681">
        <f>K10</f>
        <v>5</v>
      </c>
      <c r="P45" s="681"/>
      <c r="Q45" s="141" t="s">
        <v>27</v>
      </c>
      <c r="R45" s="877">
        <f>T20</f>
        <v>6.3</v>
      </c>
      <c r="S45" s="877"/>
      <c r="T45" s="142" t="s">
        <v>281</v>
      </c>
      <c r="U45" s="32"/>
      <c r="V45" s="14"/>
      <c r="W45" s="14"/>
      <c r="X45" s="14"/>
      <c r="Y45" s="13"/>
      <c r="Z45" s="13"/>
      <c r="AA45" s="13"/>
      <c r="AB45" s="13"/>
      <c r="AC45" s="13"/>
      <c r="AD45" s="13"/>
      <c r="AE45" s="13"/>
      <c r="AF45" s="13"/>
      <c r="AG45" s="13"/>
      <c r="AH45" s="13"/>
      <c r="AI45" s="15"/>
    </row>
    <row r="46" spans="3:35">
      <c r="C46" s="12"/>
      <c r="D46" s="13"/>
      <c r="E46" s="13"/>
      <c r="F46" s="465"/>
      <c r="G46" s="465"/>
      <c r="H46" s="449"/>
      <c r="I46" s="870">
        <v>8</v>
      </c>
      <c r="J46" s="870"/>
      <c r="K46" s="870"/>
      <c r="L46" s="870"/>
      <c r="M46" s="13"/>
      <c r="N46" s="449"/>
      <c r="O46" s="870">
        <f>I46</f>
        <v>8</v>
      </c>
      <c r="P46" s="870"/>
      <c r="Q46" s="870"/>
      <c r="R46" s="870"/>
      <c r="S46" s="870"/>
      <c r="T46" s="870"/>
      <c r="U46" s="32"/>
      <c r="V46" s="14"/>
      <c r="W46" s="14"/>
      <c r="X46" s="14"/>
      <c r="Y46" s="13"/>
      <c r="Z46" s="13"/>
      <c r="AA46" s="13"/>
      <c r="AB46" s="13"/>
      <c r="AC46" s="13"/>
      <c r="AD46" s="13"/>
      <c r="AE46" s="13"/>
      <c r="AF46" s="13"/>
      <c r="AG46" s="13"/>
      <c r="AH46" s="13"/>
      <c r="AI46" s="15"/>
    </row>
    <row r="47" spans="3:35">
      <c r="C47" s="12"/>
      <c r="D47" s="13"/>
      <c r="E47" s="13"/>
      <c r="F47" s="13"/>
      <c r="G47" s="13"/>
      <c r="H47" s="13" t="s">
        <v>2</v>
      </c>
      <c r="I47" s="462">
        <f>O45*R45^2/O46</f>
        <v>24.806249999999999</v>
      </c>
      <c r="J47" s="463"/>
      <c r="K47" s="464"/>
      <c r="L47" s="13" t="s">
        <v>270</v>
      </c>
      <c r="M47" s="13"/>
      <c r="N47" s="13"/>
      <c r="O47" s="13"/>
      <c r="P47" s="13"/>
      <c r="Q47" s="13"/>
      <c r="R47" s="13"/>
      <c r="S47" s="13"/>
      <c r="T47" s="13"/>
      <c r="U47" s="32"/>
      <c r="V47" s="14"/>
      <c r="W47" s="14"/>
      <c r="X47" s="14"/>
      <c r="Y47" s="13"/>
      <c r="Z47" s="13"/>
      <c r="AA47" s="13"/>
      <c r="AB47" s="13"/>
      <c r="AC47" s="13"/>
      <c r="AD47" s="13"/>
      <c r="AE47" s="13"/>
      <c r="AF47" s="13"/>
      <c r="AG47" s="13"/>
      <c r="AH47" s="13"/>
      <c r="AI47" s="15"/>
    </row>
    <row r="48" spans="3:35">
      <c r="C48" s="16"/>
      <c r="D48" s="17"/>
      <c r="E48" s="17"/>
      <c r="F48" s="17"/>
      <c r="G48" s="17"/>
      <c r="H48" s="17"/>
      <c r="I48" s="18"/>
      <c r="J48" s="18"/>
      <c r="K48" s="18"/>
      <c r="L48" s="17"/>
      <c r="M48" s="17"/>
      <c r="N48" s="17"/>
      <c r="O48" s="17"/>
      <c r="P48" s="17"/>
      <c r="Q48" s="17"/>
      <c r="R48" s="17"/>
      <c r="S48" s="17"/>
      <c r="T48" s="17"/>
      <c r="U48" s="179"/>
      <c r="V48" s="18"/>
      <c r="W48" s="18"/>
      <c r="X48" s="18"/>
      <c r="Y48" s="17"/>
      <c r="Z48" s="17"/>
      <c r="AA48" s="17"/>
      <c r="AB48" s="17"/>
      <c r="AC48" s="17"/>
      <c r="AD48" s="17"/>
      <c r="AE48" s="17"/>
      <c r="AF48" s="17"/>
      <c r="AG48" s="17"/>
      <c r="AH48" s="17"/>
      <c r="AI48" s="19"/>
    </row>
    <row r="49" spans="2:35">
      <c r="C49" s="13"/>
      <c r="D49" s="13"/>
      <c r="E49" s="13"/>
      <c r="F49" s="13"/>
      <c r="G49" s="13"/>
      <c r="H49" s="13"/>
      <c r="I49" s="14"/>
      <c r="J49" s="14"/>
      <c r="K49" s="14"/>
      <c r="L49" s="13"/>
      <c r="M49" s="13"/>
      <c r="N49" s="13"/>
      <c r="O49" s="13"/>
      <c r="P49" s="13"/>
      <c r="Q49" s="13"/>
      <c r="R49" s="13"/>
      <c r="S49" s="13"/>
      <c r="T49" s="13"/>
      <c r="U49" s="32"/>
      <c r="V49" s="14"/>
      <c r="W49" s="14"/>
      <c r="X49" s="14"/>
      <c r="Y49" s="13"/>
      <c r="Z49" s="13"/>
      <c r="AA49" s="13"/>
      <c r="AB49" s="13"/>
      <c r="AC49" s="13"/>
      <c r="AD49" s="13"/>
      <c r="AE49" s="13"/>
      <c r="AF49" s="13"/>
      <c r="AG49" s="13"/>
      <c r="AH49" s="13"/>
      <c r="AI49" s="13"/>
    </row>
    <row r="50" spans="2:35">
      <c r="B50" s="1" t="s">
        <v>771</v>
      </c>
      <c r="C50" s="13"/>
      <c r="D50" s="13"/>
      <c r="E50" s="13"/>
      <c r="F50" s="13"/>
      <c r="G50" s="13"/>
      <c r="H50" s="13"/>
      <c r="I50" s="14"/>
      <c r="J50" s="14"/>
      <c r="K50" s="14"/>
      <c r="L50" s="13"/>
      <c r="M50" s="13"/>
      <c r="N50" s="13"/>
      <c r="O50" s="13"/>
      <c r="P50" s="13"/>
      <c r="Q50" s="13"/>
      <c r="R50" s="13"/>
      <c r="S50" s="13"/>
      <c r="T50" s="13"/>
      <c r="U50" s="32"/>
      <c r="V50" s="14"/>
      <c r="W50" s="14"/>
      <c r="X50" s="14"/>
      <c r="Y50" s="13"/>
      <c r="Z50" s="13"/>
      <c r="AA50" s="13"/>
      <c r="AB50" s="13"/>
      <c r="AC50" s="13"/>
      <c r="AD50" s="13"/>
      <c r="AE50" s="13"/>
      <c r="AF50" s="13"/>
      <c r="AG50" s="13"/>
      <c r="AH50" s="13"/>
      <c r="AI50" s="13"/>
    </row>
    <row r="51" spans="2:35">
      <c r="C51" s="9" t="s">
        <v>729</v>
      </c>
      <c r="D51" s="10"/>
      <c r="E51" s="10"/>
      <c r="F51" s="10"/>
      <c r="G51" s="10"/>
      <c r="H51" s="10"/>
      <c r="I51" s="10"/>
      <c r="J51" s="10"/>
      <c r="K51" s="10"/>
      <c r="L51" s="10"/>
      <c r="M51" s="10"/>
      <c r="N51" s="10"/>
      <c r="O51" s="10"/>
      <c r="P51" s="10"/>
      <c r="Q51" s="10"/>
      <c r="R51" s="10"/>
      <c r="S51" s="10"/>
      <c r="T51" s="10"/>
      <c r="U51" s="10"/>
      <c r="V51" s="10"/>
      <c r="W51" s="3" t="s">
        <v>316</v>
      </c>
      <c r="X51" s="10"/>
      <c r="Y51" s="10"/>
      <c r="Z51" s="10"/>
      <c r="AA51" s="10"/>
      <c r="AB51" s="10"/>
      <c r="AC51" s="10"/>
      <c r="AD51" s="10"/>
      <c r="AE51" s="10"/>
      <c r="AF51" s="10"/>
      <c r="AG51" s="10"/>
      <c r="AH51" s="10"/>
      <c r="AI51" s="11"/>
    </row>
    <row r="52" spans="2:35">
      <c r="C52" s="12"/>
      <c r="D52" s="13"/>
      <c r="E52" s="13"/>
      <c r="F52" s="13"/>
      <c r="G52" s="13"/>
      <c r="H52" s="13"/>
      <c r="I52" s="13"/>
      <c r="J52" s="13"/>
      <c r="K52" s="13"/>
      <c r="L52" s="13"/>
      <c r="M52" s="13"/>
      <c r="N52" s="13"/>
      <c r="O52" s="13"/>
      <c r="P52" s="13"/>
      <c r="Q52" s="13"/>
      <c r="R52" s="13"/>
      <c r="S52" s="13"/>
      <c r="T52" s="13"/>
      <c r="U52" s="13"/>
      <c r="V52" s="13"/>
      <c r="W52"/>
      <c r="X52" s="13"/>
      <c r="Y52" s="13"/>
      <c r="Z52" s="13"/>
      <c r="AA52" s="13"/>
      <c r="AB52" s="13"/>
      <c r="AC52" s="13"/>
      <c r="AD52" s="13"/>
      <c r="AE52" s="13"/>
      <c r="AF52" s="13"/>
      <c r="AG52" s="13"/>
      <c r="AH52" s="13"/>
      <c r="AI52" s="15"/>
    </row>
    <row r="53" spans="2:35">
      <c r="C53" s="12"/>
      <c r="D53" s="1" t="s">
        <v>399</v>
      </c>
      <c r="AI53" s="15"/>
    </row>
    <row r="54" spans="2:35">
      <c r="C54" s="12"/>
      <c r="AI54" s="15"/>
    </row>
    <row r="55" spans="2:35">
      <c r="C55" s="12"/>
      <c r="E55" s="13" t="s">
        <v>383</v>
      </c>
      <c r="F55" s="13"/>
      <c r="G55" s="13"/>
      <c r="H55" s="13"/>
      <c r="I55" s="13"/>
      <c r="J55" s="13"/>
      <c r="K55" s="13"/>
      <c r="L55" s="13"/>
      <c r="M55" s="13"/>
      <c r="N55" s="13"/>
      <c r="O55" s="13"/>
      <c r="P55" s="13"/>
      <c r="Q55" s="13"/>
      <c r="R55" s="13"/>
      <c r="S55" s="13"/>
      <c r="T55" s="13"/>
      <c r="U55" s="13"/>
      <c r="V55" s="13"/>
      <c r="W55"/>
      <c r="X55" s="13"/>
      <c r="Y55" s="13"/>
      <c r="Z55" s="13"/>
      <c r="AA55" s="13"/>
      <c r="AB55" s="13"/>
      <c r="AC55" s="13"/>
      <c r="AI55" s="15"/>
    </row>
    <row r="56" spans="2:35">
      <c r="C56" s="12"/>
      <c r="D56" s="13"/>
      <c r="E56" s="13"/>
      <c r="F56" s="466" t="s">
        <v>318</v>
      </c>
      <c r="G56" s="466"/>
      <c r="H56" s="449" t="s">
        <v>68</v>
      </c>
      <c r="I56" s="17"/>
      <c r="J56" s="17"/>
      <c r="K56" s="17"/>
      <c r="L56" s="17"/>
      <c r="M56" s="466" t="s">
        <v>317</v>
      </c>
      <c r="N56" s="466"/>
      <c r="O56" s="17"/>
      <c r="P56" s="17"/>
      <c r="Q56" s="17"/>
      <c r="R56" s="17"/>
      <c r="S56" s="449" t="s">
        <v>68</v>
      </c>
      <c r="T56" s="17"/>
      <c r="U56" s="17"/>
      <c r="V56" s="17"/>
      <c r="W56" s="17"/>
      <c r="X56" s="466" t="s">
        <v>323</v>
      </c>
      <c r="Y56" s="466"/>
      <c r="Z56" s="17"/>
      <c r="AA56" s="17"/>
      <c r="AB56" s="17"/>
      <c r="AC56" s="17"/>
      <c r="AE56" s="883" t="s">
        <v>326</v>
      </c>
      <c r="AF56" s="884">
        <v>1</v>
      </c>
      <c r="AI56" s="15"/>
    </row>
    <row r="57" spans="2:35">
      <c r="C57" s="12"/>
      <c r="D57" s="13"/>
      <c r="E57" s="13"/>
      <c r="F57" s="360" t="s">
        <v>319</v>
      </c>
      <c r="G57" s="360"/>
      <c r="H57" s="449"/>
      <c r="I57" s="360" t="s">
        <v>322</v>
      </c>
      <c r="J57" s="360"/>
      <c r="K57" s="41" t="s">
        <v>320</v>
      </c>
      <c r="L57" s="13" t="s">
        <v>263</v>
      </c>
      <c r="M57" s="360" t="s">
        <v>318</v>
      </c>
      <c r="N57" s="360"/>
      <c r="O57" s="13" t="s">
        <v>70</v>
      </c>
      <c r="P57" s="360" t="s">
        <v>321</v>
      </c>
      <c r="Q57" s="360"/>
      <c r="R57" s="13" t="s">
        <v>83</v>
      </c>
      <c r="S57" s="449"/>
      <c r="T57" s="360" t="s">
        <v>324</v>
      </c>
      <c r="U57" s="360"/>
      <c r="V57" s="41" t="s">
        <v>320</v>
      </c>
      <c r="W57" s="13" t="s">
        <v>263</v>
      </c>
      <c r="X57" s="360" t="s">
        <v>318</v>
      </c>
      <c r="Y57" s="360"/>
      <c r="Z57" s="13" t="s">
        <v>70</v>
      </c>
      <c r="AA57" s="360" t="s">
        <v>325</v>
      </c>
      <c r="AB57" s="360"/>
      <c r="AC57" s="13" t="s">
        <v>83</v>
      </c>
      <c r="AE57" s="883"/>
      <c r="AF57" s="884"/>
      <c r="AI57" s="15"/>
    </row>
    <row r="58" spans="2:35">
      <c r="C58" s="12"/>
      <c r="AI58" s="15"/>
    </row>
    <row r="59" spans="2:35">
      <c r="C59" s="12"/>
      <c r="AI59" s="15"/>
    </row>
    <row r="60" spans="2:35">
      <c r="C60" s="12"/>
      <c r="E60" s="13" t="s">
        <v>384</v>
      </c>
      <c r="F60" s="13"/>
      <c r="G60" s="13"/>
      <c r="H60" s="13"/>
      <c r="I60" s="13"/>
      <c r="J60" s="13"/>
      <c r="K60" s="13"/>
      <c r="L60" s="13"/>
      <c r="M60" s="13"/>
      <c r="N60" s="13"/>
      <c r="O60" s="13"/>
      <c r="P60" s="13"/>
      <c r="Q60" s="13"/>
      <c r="R60" s="13"/>
      <c r="S60" s="13"/>
      <c r="T60" s="13"/>
      <c r="U60" s="13"/>
      <c r="V60" s="13"/>
      <c r="W60"/>
      <c r="X60" s="13"/>
      <c r="Y60" s="13"/>
      <c r="AI60" s="15"/>
    </row>
    <row r="61" spans="2:35" ht="20.25" customHeight="1">
      <c r="C61" s="12"/>
      <c r="D61" s="13"/>
      <c r="E61" s="13"/>
      <c r="F61" s="465" t="s">
        <v>318</v>
      </c>
      <c r="G61" s="465"/>
      <c r="H61" s="449" t="s">
        <v>68</v>
      </c>
      <c r="I61" s="17"/>
      <c r="J61" s="17"/>
      <c r="K61" s="17"/>
      <c r="L61" s="466" t="s">
        <v>317</v>
      </c>
      <c r="M61" s="466"/>
      <c r="N61" s="17"/>
      <c r="O61" s="17"/>
      <c r="P61" s="17"/>
      <c r="Q61" s="449" t="s">
        <v>68</v>
      </c>
      <c r="R61" s="17"/>
      <c r="S61" s="17"/>
      <c r="T61" s="17"/>
      <c r="U61" s="466" t="s">
        <v>323</v>
      </c>
      <c r="V61" s="466"/>
      <c r="W61" s="17"/>
      <c r="X61" s="17"/>
      <c r="Y61" s="17"/>
      <c r="AB61" s="883" t="s">
        <v>326</v>
      </c>
      <c r="AC61" s="465" t="s">
        <v>327</v>
      </c>
      <c r="AD61" s="465"/>
      <c r="AI61" s="15"/>
    </row>
    <row r="62" spans="2:35">
      <c r="C62" s="12"/>
      <c r="D62" s="13"/>
      <c r="E62" s="13"/>
      <c r="F62" s="465"/>
      <c r="G62" s="465"/>
      <c r="H62" s="449"/>
      <c r="I62" s="13" t="s">
        <v>320</v>
      </c>
      <c r="J62" s="13" t="s">
        <v>263</v>
      </c>
      <c r="K62" s="360" t="s">
        <v>318</v>
      </c>
      <c r="L62" s="360"/>
      <c r="M62" s="13" t="s">
        <v>70</v>
      </c>
      <c r="N62" s="360" t="s">
        <v>321</v>
      </c>
      <c r="O62" s="360"/>
      <c r="P62" s="13" t="s">
        <v>83</v>
      </c>
      <c r="Q62" s="449"/>
      <c r="R62" s="13" t="s">
        <v>320</v>
      </c>
      <c r="S62" s="13" t="s">
        <v>263</v>
      </c>
      <c r="T62" s="360" t="s">
        <v>318</v>
      </c>
      <c r="U62" s="360"/>
      <c r="V62" s="13" t="s">
        <v>70</v>
      </c>
      <c r="W62" s="360" t="s">
        <v>325</v>
      </c>
      <c r="X62" s="360"/>
      <c r="Y62" s="13" t="s">
        <v>83</v>
      </c>
      <c r="AB62" s="883"/>
      <c r="AC62" s="465"/>
      <c r="AD62" s="465"/>
      <c r="AI62" s="15"/>
    </row>
    <row r="63" spans="2:35">
      <c r="C63" s="12"/>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5"/>
    </row>
    <row r="64" spans="2:35">
      <c r="C64" s="12"/>
      <c r="D64" s="13"/>
      <c r="E64" s="13" t="s">
        <v>42</v>
      </c>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5"/>
    </row>
    <row r="65" spans="3:35" ht="20.25">
      <c r="C65" s="12"/>
      <c r="D65" s="13"/>
      <c r="E65" s="9"/>
      <c r="F65" s="10"/>
      <c r="G65" s="467" t="s">
        <v>318</v>
      </c>
      <c r="H65" s="467"/>
      <c r="I65" s="10" t="s">
        <v>328</v>
      </c>
      <c r="J65" s="10"/>
      <c r="K65" s="10"/>
      <c r="L65" s="10"/>
      <c r="M65" s="10"/>
      <c r="N65" s="10"/>
      <c r="O65" s="10"/>
      <c r="P65" s="10"/>
      <c r="Q65" s="10"/>
      <c r="R65" s="10"/>
      <c r="S65" s="10"/>
      <c r="T65" s="10"/>
      <c r="U65" s="10"/>
      <c r="V65" s="10"/>
      <c r="W65" s="3"/>
      <c r="X65" s="10"/>
      <c r="Y65" s="10"/>
      <c r="Z65" s="10"/>
      <c r="AA65" s="10"/>
      <c r="AB65" s="10"/>
      <c r="AC65" s="10"/>
      <c r="AD65" s="10"/>
      <c r="AE65" s="10"/>
      <c r="AF65" s="10"/>
      <c r="AG65" s="10"/>
      <c r="AH65" s="11"/>
      <c r="AI65" s="15"/>
    </row>
    <row r="66" spans="3:35">
      <c r="C66" s="12"/>
      <c r="D66" s="13"/>
      <c r="E66" s="12"/>
      <c r="F66" s="13"/>
      <c r="G66" s="865" t="s">
        <v>318</v>
      </c>
      <c r="H66" s="865"/>
      <c r="I66" s="449" t="s">
        <v>2</v>
      </c>
      <c r="J66" s="161" t="s">
        <v>310</v>
      </c>
      <c r="K66" s="34"/>
      <c r="L66" s="13"/>
      <c r="M66" s="449" t="s">
        <v>2</v>
      </c>
      <c r="N66" s="451">
        <f>I29</f>
        <v>758.22835330663338</v>
      </c>
      <c r="O66" s="451"/>
      <c r="P66" s="451"/>
      <c r="Q66" s="17" t="s">
        <v>27</v>
      </c>
      <c r="R66" s="617">
        <v>1000</v>
      </c>
      <c r="S66" s="617"/>
      <c r="T66" s="13"/>
      <c r="U66" s="449" t="s">
        <v>2</v>
      </c>
      <c r="V66" s="554">
        <f>N66*R66/N67/R67</f>
        <v>72.35003371246502</v>
      </c>
      <c r="W66" s="555"/>
      <c r="X66" s="13"/>
      <c r="Y66" s="13"/>
      <c r="Z66" s="13"/>
      <c r="AA66" s="13"/>
      <c r="AB66" s="13"/>
      <c r="AC66" s="13"/>
      <c r="AD66" s="13"/>
      <c r="AE66" s="13"/>
      <c r="AF66" s="13"/>
      <c r="AG66" s="13"/>
      <c r="AH66" s="15"/>
      <c r="AI66" s="15"/>
    </row>
    <row r="67" spans="3:35">
      <c r="C67" s="12"/>
      <c r="D67" s="13"/>
      <c r="E67" s="12"/>
      <c r="F67" s="13"/>
      <c r="G67" s="865"/>
      <c r="H67" s="865"/>
      <c r="I67" s="449"/>
      <c r="J67" s="35" t="s">
        <v>240</v>
      </c>
      <c r="K67" s="13"/>
      <c r="L67" s="13"/>
      <c r="M67" s="449"/>
      <c r="N67" s="913">
        <f>'1.設計条件'!Q79</f>
        <v>104.8</v>
      </c>
      <c r="O67" s="913"/>
      <c r="P67" s="913"/>
      <c r="Q67" s="13" t="s">
        <v>27</v>
      </c>
      <c r="R67" s="458">
        <v>100</v>
      </c>
      <c r="S67" s="458"/>
      <c r="T67" s="13"/>
      <c r="U67" s="449"/>
      <c r="V67" s="556"/>
      <c r="W67" s="557"/>
      <c r="X67" s="13"/>
      <c r="Y67" s="13"/>
      <c r="Z67" s="13"/>
      <c r="AA67" s="13"/>
      <c r="AB67" s="13"/>
      <c r="AC67" s="13"/>
      <c r="AD67" s="13"/>
      <c r="AE67" s="13"/>
      <c r="AF67" s="13"/>
      <c r="AG67" s="13"/>
      <c r="AH67" s="15"/>
      <c r="AI67" s="15"/>
    </row>
    <row r="68" spans="3:35">
      <c r="C68" s="12"/>
      <c r="D68" s="13"/>
      <c r="E68" s="16"/>
      <c r="F68" s="17"/>
      <c r="G68" s="168"/>
      <c r="H68" s="168"/>
      <c r="I68" s="169"/>
      <c r="J68" s="151"/>
      <c r="K68" s="17"/>
      <c r="L68" s="17"/>
      <c r="M68" s="169"/>
      <c r="N68" s="150"/>
      <c r="O68" s="150"/>
      <c r="P68" s="150"/>
      <c r="Q68" s="17"/>
      <c r="R68" s="152"/>
      <c r="S68" s="152"/>
      <c r="T68" s="17"/>
      <c r="U68" s="169"/>
      <c r="V68" s="169"/>
      <c r="W68" s="169"/>
      <c r="X68" s="17"/>
      <c r="Y68" s="17"/>
      <c r="Z68" s="17"/>
      <c r="AA68" s="17"/>
      <c r="AB68" s="17"/>
      <c r="AC68" s="17"/>
      <c r="AD68" s="17"/>
      <c r="AE68" s="17"/>
      <c r="AF68" s="17"/>
      <c r="AG68" s="17"/>
      <c r="AH68" s="19"/>
      <c r="AI68" s="15"/>
    </row>
    <row r="69" spans="3:35">
      <c r="C69" s="12"/>
      <c r="D69" s="13"/>
      <c r="E69" s="13"/>
      <c r="F69" s="13"/>
      <c r="G69" s="160"/>
      <c r="H69" s="160"/>
      <c r="I69" s="28"/>
      <c r="J69" s="35"/>
      <c r="K69" s="13"/>
      <c r="L69" s="13"/>
      <c r="M69" s="28"/>
      <c r="N69" s="24"/>
      <c r="O69" s="24"/>
      <c r="P69" s="24"/>
      <c r="Q69" s="13"/>
      <c r="R69" s="27"/>
      <c r="S69" s="27"/>
      <c r="T69" s="13"/>
      <c r="U69" s="28"/>
      <c r="V69" s="28"/>
      <c r="W69" s="28"/>
      <c r="X69" s="13"/>
      <c r="Y69" s="13"/>
      <c r="Z69" s="13"/>
      <c r="AA69" s="13"/>
      <c r="AB69" s="13"/>
      <c r="AC69" s="13"/>
      <c r="AD69" s="13"/>
      <c r="AE69" s="13"/>
      <c r="AF69" s="13"/>
      <c r="AG69" s="13"/>
      <c r="AH69" s="13"/>
      <c r="AI69" s="15"/>
    </row>
    <row r="70" spans="3:35">
      <c r="C70" s="12"/>
      <c r="D70" s="13"/>
      <c r="E70" s="13"/>
      <c r="F70" s="13"/>
      <c r="G70" s="35"/>
      <c r="H70" s="35"/>
      <c r="I70" s="160"/>
      <c r="J70" s="160"/>
      <c r="K70" s="28"/>
      <c r="L70" s="35"/>
      <c r="M70" s="13"/>
      <c r="N70" s="13"/>
      <c r="O70" s="28"/>
      <c r="P70" s="24"/>
      <c r="Q70" s="24"/>
      <c r="R70" s="24"/>
      <c r="S70" s="13"/>
      <c r="T70" s="27"/>
      <c r="U70" s="27"/>
      <c r="V70" s="13"/>
      <c r="W70" s="28"/>
      <c r="X70" s="28"/>
      <c r="Y70" s="28"/>
      <c r="Z70" s="13"/>
      <c r="AA70" s="13"/>
      <c r="AB70" s="13"/>
      <c r="AC70" s="13"/>
      <c r="AD70" s="13"/>
      <c r="AE70" s="13"/>
      <c r="AF70" s="13"/>
      <c r="AG70" s="13"/>
      <c r="AH70" s="13"/>
      <c r="AI70" s="15"/>
    </row>
    <row r="71" spans="3:35">
      <c r="C71" s="12"/>
      <c r="D71" s="13"/>
      <c r="E71" s="856" t="s">
        <v>317</v>
      </c>
      <c r="F71" s="857"/>
      <c r="G71" s="858" t="s">
        <v>342</v>
      </c>
      <c r="H71" s="858"/>
      <c r="I71" s="862" t="s">
        <v>370</v>
      </c>
      <c r="J71" s="862"/>
      <c r="K71" s="862"/>
      <c r="L71" s="862"/>
      <c r="M71" s="862"/>
      <c r="N71" s="862"/>
      <c r="O71" s="862"/>
      <c r="P71" s="862"/>
      <c r="Q71" s="862"/>
      <c r="R71" s="862"/>
      <c r="S71" s="862"/>
      <c r="T71" s="862"/>
      <c r="U71" s="862"/>
      <c r="V71" s="862"/>
      <c r="W71" s="862"/>
      <c r="X71" s="862"/>
      <c r="Y71" s="862"/>
      <c r="Z71" s="862"/>
      <c r="AA71" s="862"/>
      <c r="AB71" s="862"/>
      <c r="AC71" s="862"/>
      <c r="AD71" s="862"/>
      <c r="AE71" s="862"/>
      <c r="AF71" s="862"/>
      <c r="AG71" s="862"/>
      <c r="AH71" s="863"/>
      <c r="AI71" s="170"/>
    </row>
    <row r="72" spans="3:35">
      <c r="C72" s="12"/>
      <c r="D72" s="13"/>
      <c r="E72" s="171"/>
      <c r="F72" s="153"/>
      <c r="G72" s="155"/>
      <c r="H72" s="155"/>
      <c r="I72" s="596" t="s">
        <v>415</v>
      </c>
      <c r="J72" s="596"/>
      <c r="K72" s="596"/>
      <c r="L72" s="596"/>
      <c r="M72" s="596"/>
      <c r="N72" s="596"/>
      <c r="O72" s="596"/>
      <c r="P72" s="596"/>
      <c r="Q72" s="596"/>
      <c r="R72" s="596"/>
      <c r="S72" s="596"/>
      <c r="T72" s="596"/>
      <c r="U72" s="596"/>
      <c r="V72" s="596"/>
      <c r="W72" s="596"/>
      <c r="X72" s="596"/>
      <c r="Y72" s="596"/>
      <c r="Z72" s="596"/>
      <c r="AA72" s="596"/>
      <c r="AB72" s="596"/>
      <c r="AC72" s="596"/>
      <c r="AD72" s="596"/>
      <c r="AE72" s="596"/>
      <c r="AF72" s="596"/>
      <c r="AG72" s="596"/>
      <c r="AH72" s="864"/>
      <c r="AI72" s="170"/>
    </row>
    <row r="73" spans="3:35">
      <c r="C73" s="12"/>
      <c r="D73" s="13"/>
      <c r="E73" s="171"/>
      <c r="F73" s="153"/>
      <c r="G73" s="865" t="s">
        <v>317</v>
      </c>
      <c r="H73" s="865"/>
      <c r="I73" s="449" t="s">
        <v>2</v>
      </c>
      <c r="J73" s="866" t="s">
        <v>269</v>
      </c>
      <c r="K73" s="866"/>
      <c r="L73" s="57"/>
      <c r="M73" s="449" t="s">
        <v>2</v>
      </c>
      <c r="N73" s="770">
        <f>I34</f>
        <v>24.806249999999999</v>
      </c>
      <c r="O73" s="770"/>
      <c r="P73" s="770"/>
      <c r="Q73" s="17" t="s">
        <v>27</v>
      </c>
      <c r="R73" s="867">
        <v>1000000</v>
      </c>
      <c r="S73" s="867"/>
      <c r="T73" s="867"/>
      <c r="U73" s="13"/>
      <c r="V73" s="13"/>
      <c r="W73" s="13"/>
      <c r="X73" s="13"/>
      <c r="Y73" s="13"/>
      <c r="Z73" s="57"/>
      <c r="AA73" s="57"/>
      <c r="AB73" s="57"/>
      <c r="AC73" s="57"/>
      <c r="AD73" s="57"/>
      <c r="AE73" s="57"/>
      <c r="AF73" s="57"/>
      <c r="AG73" s="57"/>
      <c r="AH73" s="154"/>
      <c r="AI73" s="154"/>
    </row>
    <row r="74" spans="3:35">
      <c r="C74" s="12"/>
      <c r="D74" s="13"/>
      <c r="E74" s="171"/>
      <c r="F74" s="153"/>
      <c r="G74" s="865"/>
      <c r="H74" s="865"/>
      <c r="I74" s="449"/>
      <c r="J74" s="360" t="s">
        <v>59</v>
      </c>
      <c r="K74" s="360"/>
      <c r="L74" s="57"/>
      <c r="M74" s="449"/>
      <c r="N74" s="868">
        <f>'1.設計条件'!Q82</f>
        <v>1150</v>
      </c>
      <c r="O74" s="868"/>
      <c r="P74" s="868"/>
      <c r="Q74" s="13" t="s">
        <v>27</v>
      </c>
      <c r="R74" s="458">
        <v>1000</v>
      </c>
      <c r="S74" s="458"/>
      <c r="T74" s="57"/>
      <c r="U74" s="13"/>
      <c r="V74" s="13"/>
      <c r="W74" s="13"/>
      <c r="X74" s="13"/>
      <c r="Y74" s="13"/>
      <c r="Z74" s="57"/>
      <c r="AA74" s="57"/>
      <c r="AB74" s="57"/>
      <c r="AC74" s="57"/>
      <c r="AD74" s="57"/>
      <c r="AE74" s="57"/>
      <c r="AF74" s="57"/>
      <c r="AG74" s="57"/>
      <c r="AH74" s="154"/>
      <c r="AI74" s="154"/>
    </row>
    <row r="75" spans="3:35">
      <c r="C75" s="12"/>
      <c r="D75" s="13"/>
      <c r="E75" s="171"/>
      <c r="F75" s="153"/>
      <c r="G75" s="160"/>
      <c r="H75" s="160"/>
      <c r="I75" s="449" t="s">
        <v>2</v>
      </c>
      <c r="J75" s="554">
        <f>N73*R73/N74/R74</f>
        <v>21.570652173913043</v>
      </c>
      <c r="K75" s="555"/>
      <c r="L75" s="57"/>
      <c r="M75" s="28"/>
      <c r="N75" s="158"/>
      <c r="O75" s="158"/>
      <c r="P75" s="158"/>
      <c r="Q75" s="13"/>
      <c r="R75" s="27"/>
      <c r="S75" s="27"/>
      <c r="T75" s="57"/>
      <c r="U75" s="28"/>
      <c r="V75" s="28"/>
      <c r="W75" s="28"/>
      <c r="X75" s="13"/>
      <c r="Y75" s="13"/>
      <c r="Z75" s="57"/>
      <c r="AA75" s="57"/>
      <c r="AB75" s="57"/>
      <c r="AC75" s="57"/>
      <c r="AD75" s="57"/>
      <c r="AE75" s="57"/>
      <c r="AF75" s="57"/>
      <c r="AG75" s="57"/>
      <c r="AH75" s="154"/>
      <c r="AI75" s="154"/>
    </row>
    <row r="76" spans="3:35">
      <c r="C76" s="12"/>
      <c r="D76" s="13"/>
      <c r="E76" s="171"/>
      <c r="F76" s="153"/>
      <c r="G76" s="160"/>
      <c r="H76" s="160"/>
      <c r="I76" s="449"/>
      <c r="J76" s="556"/>
      <c r="K76" s="557"/>
      <c r="L76" s="57"/>
      <c r="M76" s="28"/>
      <c r="N76" s="158"/>
      <c r="O76" s="158"/>
      <c r="P76" s="158"/>
      <c r="Q76" s="13"/>
      <c r="R76" s="27"/>
      <c r="S76" s="27"/>
      <c r="T76" s="57"/>
      <c r="U76" s="28"/>
      <c r="V76" s="28"/>
      <c r="W76" s="28"/>
      <c r="X76" s="13"/>
      <c r="Y76" s="13"/>
      <c r="Z76" s="57"/>
      <c r="AA76" s="57"/>
      <c r="AB76" s="57"/>
      <c r="AC76" s="57"/>
      <c r="AD76" s="57"/>
      <c r="AE76" s="57"/>
      <c r="AF76" s="57"/>
      <c r="AG76" s="57"/>
      <c r="AH76" s="154"/>
      <c r="AI76" s="154"/>
    </row>
    <row r="77" spans="3:35">
      <c r="C77" s="12"/>
      <c r="D77" s="13"/>
      <c r="E77" s="171"/>
      <c r="F77" s="153"/>
      <c r="G77" s="160"/>
      <c r="H77" s="160"/>
      <c r="I77" s="28"/>
      <c r="J77" s="35"/>
      <c r="K77" s="35"/>
      <c r="L77" s="57"/>
      <c r="M77" s="28"/>
      <c r="N77" s="158"/>
      <c r="O77" s="158"/>
      <c r="P77" s="158"/>
      <c r="Q77" s="13"/>
      <c r="R77" s="27"/>
      <c r="S77" s="27"/>
      <c r="T77" s="57"/>
      <c r="U77" s="28"/>
      <c r="V77" s="28"/>
      <c r="W77" s="28"/>
      <c r="X77" s="13"/>
      <c r="Y77" s="13"/>
      <c r="Z77" s="57"/>
      <c r="AA77" s="57"/>
      <c r="AB77" s="57"/>
      <c r="AC77" s="57"/>
      <c r="AD77" s="57"/>
      <c r="AE77" s="57"/>
      <c r="AF77" s="57"/>
      <c r="AG77" s="57"/>
      <c r="AH77" s="154"/>
      <c r="AI77" s="154"/>
    </row>
    <row r="78" spans="3:35">
      <c r="C78" s="12"/>
      <c r="D78" s="13"/>
      <c r="E78" s="171"/>
      <c r="F78" s="153"/>
      <c r="G78" s="859" t="s">
        <v>323</v>
      </c>
      <c r="H78" s="859"/>
      <c r="I78" s="57" t="s">
        <v>2</v>
      </c>
      <c r="J78" s="860">
        <v>0</v>
      </c>
      <c r="K78" s="861"/>
      <c r="L78" s="57"/>
      <c r="M78" s="28"/>
      <c r="N78" s="158"/>
      <c r="O78" s="158"/>
      <c r="P78" s="158"/>
      <c r="Q78" s="13"/>
      <c r="R78" s="27"/>
      <c r="S78" s="27"/>
      <c r="T78" s="57"/>
      <c r="U78" s="28"/>
      <c r="V78" s="28"/>
      <c r="W78" s="28"/>
      <c r="X78" s="13"/>
      <c r="Y78" s="13"/>
      <c r="Z78" s="57"/>
      <c r="AA78" s="57"/>
      <c r="AB78" s="57"/>
      <c r="AC78" s="57"/>
      <c r="AD78" s="57"/>
      <c r="AE78" s="57"/>
      <c r="AF78" s="57"/>
      <c r="AG78" s="57"/>
      <c r="AH78" s="154"/>
      <c r="AI78" s="154"/>
    </row>
    <row r="79" spans="3:35">
      <c r="C79" s="12"/>
      <c r="D79" s="13"/>
      <c r="E79" s="172"/>
      <c r="F79" s="173"/>
      <c r="G79" s="174"/>
      <c r="H79" s="174"/>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75"/>
      <c r="AI79" s="154"/>
    </row>
    <row r="80" spans="3:35">
      <c r="C80" s="12"/>
      <c r="D80" s="13"/>
      <c r="E80" s="153"/>
      <c r="F80" s="153"/>
      <c r="G80" s="155"/>
      <c r="H80" s="155"/>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154"/>
    </row>
    <row r="81" spans="3:35">
      <c r="C81" s="12"/>
      <c r="D81" s="13"/>
      <c r="E81" s="153"/>
      <c r="F81" s="153"/>
      <c r="L81" s="13"/>
      <c r="M81" s="13"/>
      <c r="N81" s="57"/>
      <c r="O81" s="57"/>
      <c r="P81" s="13"/>
      <c r="Q81" s="13"/>
      <c r="R81" s="13"/>
      <c r="S81" s="13"/>
      <c r="T81" s="13"/>
      <c r="U81" s="57"/>
      <c r="V81" s="57"/>
      <c r="W81" s="57"/>
      <c r="X81" s="57"/>
      <c r="Y81" s="57"/>
      <c r="Z81" s="57"/>
      <c r="AA81" s="57"/>
      <c r="AB81" s="57"/>
      <c r="AC81" s="57"/>
      <c r="AD81" s="57"/>
      <c r="AE81" s="57"/>
      <c r="AF81" s="57"/>
      <c r="AG81" s="57"/>
      <c r="AH81" s="57"/>
      <c r="AI81" s="154"/>
    </row>
    <row r="82" spans="3:35" ht="20.25">
      <c r="C82" s="12"/>
      <c r="D82" s="13"/>
      <c r="E82" s="9"/>
      <c r="F82" s="10"/>
      <c r="G82" s="467" t="s">
        <v>319</v>
      </c>
      <c r="H82" s="467"/>
      <c r="I82" s="10" t="s">
        <v>329</v>
      </c>
      <c r="J82" s="10"/>
      <c r="K82" s="10"/>
      <c r="L82" s="10"/>
      <c r="M82" s="10"/>
      <c r="N82" s="10"/>
      <c r="O82" s="10"/>
      <c r="P82" s="10"/>
      <c r="Q82" s="10"/>
      <c r="R82" s="10"/>
      <c r="S82" s="10"/>
      <c r="T82" s="10"/>
      <c r="U82" s="10"/>
      <c r="V82" s="10"/>
      <c r="W82" s="3"/>
      <c r="X82" s="10"/>
      <c r="Y82" s="10"/>
      <c r="Z82" s="10"/>
      <c r="AA82" s="10"/>
      <c r="AB82" s="10"/>
      <c r="AC82" s="10"/>
      <c r="AD82" s="10"/>
      <c r="AE82" s="10"/>
      <c r="AF82" s="10"/>
      <c r="AG82" s="10"/>
      <c r="AH82" s="11"/>
      <c r="AI82" s="15"/>
    </row>
    <row r="83" spans="3:35">
      <c r="C83" s="12"/>
      <c r="D83" s="13"/>
      <c r="E83" s="12"/>
      <c r="F83" s="13"/>
      <c r="G83" s="13"/>
      <c r="H83" s="13"/>
      <c r="I83" s="13"/>
      <c r="J83" s="13" t="s">
        <v>330</v>
      </c>
      <c r="K83" s="13"/>
      <c r="L83" s="13"/>
      <c r="M83" s="34" t="s">
        <v>331</v>
      </c>
      <c r="N83" s="13" t="s">
        <v>326</v>
      </c>
      <c r="O83" s="436">
        <v>13.1</v>
      </c>
      <c r="P83" s="436"/>
      <c r="Q83" s="34" t="s">
        <v>332</v>
      </c>
      <c r="R83" s="13" t="s">
        <v>315</v>
      </c>
      <c r="S83" s="13"/>
      <c r="T83" s="13"/>
      <c r="U83" s="13"/>
      <c r="V83" s="13"/>
      <c r="W83"/>
      <c r="X83" s="13"/>
      <c r="Y83" s="13"/>
      <c r="Z83" s="13"/>
      <c r="AA83" s="13"/>
      <c r="AB83" s="13"/>
      <c r="AC83" s="13"/>
      <c r="AD83" s="13"/>
      <c r="AE83" s="13"/>
      <c r="AF83" s="13"/>
      <c r="AG83" s="13"/>
      <c r="AH83" s="15"/>
      <c r="AI83" s="15"/>
    </row>
    <row r="84" spans="3:35">
      <c r="C84" s="12"/>
      <c r="D84" s="13"/>
      <c r="E84" s="12"/>
      <c r="F84" s="13"/>
      <c r="G84" s="13"/>
      <c r="H84" s="13"/>
      <c r="I84" s="13"/>
      <c r="J84" s="34" t="s">
        <v>331</v>
      </c>
      <c r="K84" s="596" t="s">
        <v>347</v>
      </c>
      <c r="L84" s="596"/>
      <c r="M84" s="596"/>
      <c r="N84" s="596"/>
      <c r="O84" s="596"/>
      <c r="P84" s="596"/>
      <c r="Q84" s="596"/>
      <c r="R84" s="596"/>
      <c r="S84" s="13"/>
      <c r="T84" s="13"/>
      <c r="U84" s="13"/>
      <c r="V84" s="13"/>
      <c r="W84" s="13"/>
      <c r="X84" s="13"/>
      <c r="Y84" s="13"/>
      <c r="Z84" s="13"/>
      <c r="AA84" s="13"/>
      <c r="AB84" s="13"/>
      <c r="AC84" s="13"/>
      <c r="AD84" s="13"/>
      <c r="AE84" s="13"/>
      <c r="AF84" s="13"/>
      <c r="AG84" s="13"/>
      <c r="AH84" s="15"/>
      <c r="AI84" s="15"/>
    </row>
    <row r="85" spans="3:35">
      <c r="C85" s="12"/>
      <c r="D85" s="13"/>
      <c r="E85" s="12"/>
      <c r="F85" s="13"/>
      <c r="G85" s="13"/>
      <c r="H85" s="13"/>
      <c r="I85" s="13"/>
      <c r="J85" s="13"/>
      <c r="K85" s="34" t="s">
        <v>331</v>
      </c>
      <c r="L85" s="13" t="s">
        <v>2</v>
      </c>
      <c r="M85" s="13" t="s">
        <v>69</v>
      </c>
      <c r="N85" s="888">
        <f>'1.設計条件'!Q76</f>
        <v>300</v>
      </c>
      <c r="O85" s="888"/>
      <c r="P85" s="13" t="s">
        <v>263</v>
      </c>
      <c r="Q85" s="458">
        <f>'1.設計条件'!Q77</f>
        <v>10</v>
      </c>
      <c r="R85" s="458"/>
      <c r="S85" s="13" t="s">
        <v>176</v>
      </c>
      <c r="T85" s="31">
        <v>2</v>
      </c>
      <c r="U85" s="13"/>
      <c r="V85" s="13" t="s">
        <v>2</v>
      </c>
      <c r="W85" s="471">
        <f>(N85-Q85)/T85</f>
        <v>145</v>
      </c>
      <c r="X85" s="473"/>
      <c r="Y85" s="13" t="s">
        <v>290</v>
      </c>
      <c r="Z85" s="13"/>
      <c r="AA85" s="13"/>
      <c r="AB85" s="13"/>
      <c r="AC85" s="13"/>
      <c r="AD85" s="13"/>
      <c r="AE85" s="13"/>
      <c r="AF85" s="13"/>
      <c r="AG85" s="13"/>
      <c r="AH85" s="15"/>
      <c r="AI85" s="15"/>
    </row>
    <row r="86" spans="3:35">
      <c r="C86" s="12"/>
      <c r="D86" s="13"/>
      <c r="E86" s="12"/>
      <c r="F86" s="13"/>
      <c r="G86" s="13"/>
      <c r="H86" s="13"/>
      <c r="I86" s="34"/>
      <c r="J86" s="34" t="s">
        <v>332</v>
      </c>
      <c r="K86" s="13" t="s">
        <v>348</v>
      </c>
      <c r="L86" s="27"/>
      <c r="M86" s="27"/>
      <c r="N86" s="13"/>
      <c r="O86" s="34"/>
      <c r="P86" s="13"/>
      <c r="Q86" s="13"/>
      <c r="R86" s="31"/>
      <c r="S86" s="13"/>
      <c r="T86" s="13"/>
      <c r="U86" s="13"/>
      <c r="V86" s="13"/>
      <c r="W86" s="13"/>
      <c r="X86" s="13"/>
      <c r="Y86" s="13"/>
      <c r="Z86" s="13"/>
      <c r="AA86" s="13"/>
      <c r="AB86" s="13"/>
      <c r="AC86" s="13"/>
      <c r="AD86" s="13"/>
      <c r="AE86" s="13"/>
      <c r="AF86" s="13"/>
      <c r="AG86" s="13"/>
      <c r="AH86" s="15"/>
      <c r="AI86" s="15"/>
    </row>
    <row r="87" spans="3:35">
      <c r="C87" s="12"/>
      <c r="D87" s="13"/>
      <c r="E87" s="12"/>
      <c r="F87" s="13"/>
      <c r="G87" s="13"/>
      <c r="H87" s="13"/>
      <c r="I87" s="35"/>
      <c r="J87" s="13"/>
      <c r="K87" s="34" t="s">
        <v>332</v>
      </c>
      <c r="L87" s="13" t="s">
        <v>2</v>
      </c>
      <c r="M87" s="471">
        <f>'1.設計条件'!Q78</f>
        <v>15</v>
      </c>
      <c r="N87" s="473"/>
      <c r="O87" s="13" t="s">
        <v>290</v>
      </c>
      <c r="P87" s="13"/>
      <c r="Q87" s="13"/>
      <c r="R87" s="13"/>
      <c r="S87" s="13"/>
      <c r="T87" s="13"/>
      <c r="U87" s="13"/>
      <c r="V87" s="13"/>
      <c r="W87" s="13"/>
      <c r="X87" s="13"/>
      <c r="Y87" s="13"/>
      <c r="Z87" s="13"/>
      <c r="AA87" s="13"/>
      <c r="AB87" s="13"/>
      <c r="AC87" s="13"/>
      <c r="AD87" s="13"/>
      <c r="AE87" s="13"/>
      <c r="AF87" s="13"/>
      <c r="AG87" s="13"/>
      <c r="AH87" s="15"/>
      <c r="AI87" s="15"/>
    </row>
    <row r="88" spans="3:35">
      <c r="C88" s="12"/>
      <c r="D88" s="13"/>
      <c r="E88" s="12"/>
      <c r="F88" s="13"/>
      <c r="G88" s="13"/>
      <c r="H88" s="13"/>
      <c r="I88" s="35"/>
      <c r="J88" s="13"/>
      <c r="K88" s="34"/>
      <c r="L88" s="13"/>
      <c r="M88" s="27"/>
      <c r="N88" s="27"/>
      <c r="O88" s="13"/>
      <c r="P88" s="13"/>
      <c r="Q88" s="13"/>
      <c r="R88" s="13"/>
      <c r="S88" s="13"/>
      <c r="T88" s="13"/>
      <c r="U88" s="13"/>
      <c r="V88" s="13"/>
      <c r="W88" s="13"/>
      <c r="X88" s="13"/>
      <c r="Y88" s="13"/>
      <c r="Z88" s="13"/>
      <c r="AA88" s="13"/>
      <c r="AB88" s="13"/>
      <c r="AC88" s="13"/>
      <c r="AD88" s="13"/>
      <c r="AE88" s="13"/>
      <c r="AF88" s="13"/>
      <c r="AG88" s="13"/>
      <c r="AH88" s="15"/>
      <c r="AI88" s="15"/>
    </row>
    <row r="89" spans="3:35">
      <c r="C89" s="12"/>
      <c r="D89" s="13"/>
      <c r="E89" s="12"/>
      <c r="F89" s="13"/>
      <c r="G89" s="13"/>
      <c r="H89" s="13"/>
      <c r="I89" s="35"/>
      <c r="J89" s="436" t="s">
        <v>357</v>
      </c>
      <c r="K89" s="436"/>
      <c r="L89" s="13" t="s">
        <v>350</v>
      </c>
      <c r="M89" s="13"/>
      <c r="N89" s="13"/>
      <c r="O89" s="13"/>
      <c r="P89" s="13"/>
      <c r="Q89" s="27"/>
      <c r="R89" s="27"/>
      <c r="S89" s="13"/>
      <c r="T89" s="13"/>
      <c r="U89" s="13"/>
      <c r="V89" s="13"/>
      <c r="W89" s="13"/>
      <c r="X89" s="13"/>
      <c r="Y89" s="13"/>
      <c r="Z89" s="13"/>
      <c r="AA89" s="13"/>
      <c r="AB89" s="13"/>
      <c r="AC89" s="13"/>
      <c r="AD89" s="13"/>
      <c r="AE89" s="13"/>
      <c r="AF89" s="13"/>
      <c r="AG89" s="13"/>
      <c r="AH89" s="15"/>
      <c r="AI89" s="15"/>
    </row>
    <row r="90" spans="3:35">
      <c r="C90" s="12"/>
      <c r="D90" s="13"/>
      <c r="E90" s="12"/>
      <c r="F90" s="13"/>
      <c r="G90" s="13"/>
      <c r="H90" s="13"/>
      <c r="I90" s="35"/>
      <c r="J90" s="35"/>
      <c r="K90" s="436" t="s">
        <v>357</v>
      </c>
      <c r="L90" s="436"/>
      <c r="M90" s="13" t="s">
        <v>2</v>
      </c>
      <c r="N90" s="437">
        <f>T22</f>
        <v>3.3000000000000003</v>
      </c>
      <c r="O90" s="439"/>
      <c r="P90" s="37" t="s">
        <v>3</v>
      </c>
      <c r="Q90" s="13"/>
      <c r="R90" s="31" t="s">
        <v>351</v>
      </c>
      <c r="S90" s="13"/>
      <c r="T90" s="13"/>
      <c r="U90" s="13"/>
      <c r="V90" s="13"/>
      <c r="W90"/>
      <c r="X90" s="13"/>
      <c r="Y90" s="13"/>
      <c r="Z90" s="13"/>
      <c r="AA90" s="13"/>
      <c r="AB90" s="13"/>
      <c r="AC90" s="13"/>
      <c r="AD90" s="13"/>
      <c r="AE90" s="13"/>
      <c r="AF90" s="13"/>
      <c r="AG90" s="13"/>
      <c r="AH90" s="15"/>
      <c r="AI90" s="15"/>
    </row>
    <row r="91" spans="3:35">
      <c r="C91" s="12"/>
      <c r="D91" s="13"/>
      <c r="E91" s="12"/>
      <c r="F91" s="13"/>
      <c r="G91" s="13"/>
      <c r="H91" s="13"/>
      <c r="I91" s="35"/>
      <c r="J91" s="35"/>
      <c r="K91" s="14"/>
      <c r="L91" s="14"/>
      <c r="M91" s="13"/>
      <c r="N91" s="14"/>
      <c r="O91" s="14"/>
      <c r="P91" s="37"/>
      <c r="Q91" s="13"/>
      <c r="R91" s="31"/>
      <c r="S91" s="13"/>
      <c r="T91" s="13"/>
      <c r="U91" s="13"/>
      <c r="V91" s="13"/>
      <c r="W91"/>
      <c r="X91" s="13"/>
      <c r="Y91" s="13"/>
      <c r="Z91" s="13"/>
      <c r="AA91" s="13"/>
      <c r="AB91" s="13"/>
      <c r="AC91" s="13"/>
      <c r="AD91" s="13"/>
      <c r="AE91" s="13"/>
      <c r="AF91" s="13"/>
      <c r="AG91" s="13"/>
      <c r="AH91" s="15"/>
      <c r="AI91" s="15"/>
    </row>
    <row r="92" spans="3:35">
      <c r="C92" s="12"/>
      <c r="D92" s="13"/>
      <c r="E92" s="12"/>
      <c r="F92" s="13"/>
      <c r="G92" s="13"/>
      <c r="H92" s="13"/>
      <c r="I92" s="35"/>
      <c r="J92" s="13" t="s">
        <v>352</v>
      </c>
      <c r="K92" s="13"/>
      <c r="L92" s="13"/>
      <c r="M92" s="13"/>
      <c r="N92" s="13"/>
      <c r="O92" s="13"/>
      <c r="P92" s="34"/>
      <c r="Q92" s="13"/>
      <c r="R92" s="31"/>
      <c r="S92" s="13"/>
      <c r="T92" s="13"/>
      <c r="U92" s="13"/>
      <c r="V92" s="13"/>
      <c r="W92"/>
      <c r="X92" s="13"/>
      <c r="Y92" s="13"/>
      <c r="Z92" s="13"/>
      <c r="AA92" s="13"/>
      <c r="AB92" s="13"/>
      <c r="AC92" s="13"/>
      <c r="AD92" s="13"/>
      <c r="AE92" s="13"/>
      <c r="AF92" s="13"/>
      <c r="AG92" s="13"/>
      <c r="AH92" s="15"/>
      <c r="AI92" s="15"/>
    </row>
    <row r="93" spans="3:35">
      <c r="C93" s="12"/>
      <c r="D93" s="13"/>
      <c r="E93" s="12"/>
      <c r="F93" s="13"/>
      <c r="G93" s="13"/>
      <c r="H93" s="13"/>
      <c r="I93" s="35"/>
      <c r="J93" s="35"/>
      <c r="K93" s="17" t="s">
        <v>357</v>
      </c>
      <c r="L93" s="449" t="s">
        <v>2</v>
      </c>
      <c r="M93" s="452">
        <f>N90</f>
        <v>3.3000000000000003</v>
      </c>
      <c r="N93" s="452"/>
      <c r="O93" s="17" t="s">
        <v>27</v>
      </c>
      <c r="P93" s="889">
        <v>1000</v>
      </c>
      <c r="Q93" s="889"/>
      <c r="R93" s="889"/>
      <c r="S93" s="13"/>
      <c r="T93" s="449" t="s">
        <v>2</v>
      </c>
      <c r="U93" s="554">
        <f>M93*P93/M94/P94</f>
        <v>43.941411451398139</v>
      </c>
      <c r="V93" s="555"/>
      <c r="W93"/>
      <c r="X93" s="13"/>
      <c r="Y93" s="13"/>
      <c r="Z93" s="13"/>
      <c r="AA93" s="13"/>
      <c r="AB93" s="13"/>
      <c r="AC93" s="13"/>
      <c r="AD93" s="13"/>
      <c r="AE93" s="13"/>
      <c r="AF93" s="13"/>
      <c r="AG93" s="13"/>
      <c r="AH93" s="15"/>
      <c r="AI93" s="15"/>
    </row>
    <row r="94" spans="3:35">
      <c r="C94" s="12"/>
      <c r="D94" s="13"/>
      <c r="E94" s="12"/>
      <c r="F94" s="13"/>
      <c r="G94" s="13"/>
      <c r="H94" s="13"/>
      <c r="I94" s="35"/>
      <c r="J94" s="35"/>
      <c r="K94" s="34" t="s">
        <v>303</v>
      </c>
      <c r="L94" s="449"/>
      <c r="M94" s="853">
        <f>'1.設計条件'!Q81</f>
        <v>7.51</v>
      </c>
      <c r="N94" s="853"/>
      <c r="O94" s="13" t="s">
        <v>27</v>
      </c>
      <c r="P94" s="888">
        <v>10</v>
      </c>
      <c r="Q94" s="888"/>
      <c r="R94" s="888"/>
      <c r="S94" s="13"/>
      <c r="T94" s="449"/>
      <c r="U94" s="556"/>
      <c r="V94" s="557"/>
      <c r="W94"/>
      <c r="X94" s="13"/>
      <c r="Y94" s="13"/>
      <c r="Z94" s="13"/>
      <c r="AA94" s="13"/>
      <c r="AB94" s="13"/>
      <c r="AC94" s="13"/>
      <c r="AD94" s="13"/>
      <c r="AE94" s="13"/>
      <c r="AF94" s="13"/>
      <c r="AG94" s="13"/>
      <c r="AH94" s="15"/>
      <c r="AI94" s="15"/>
    </row>
    <row r="95" spans="3:35">
      <c r="C95" s="12"/>
      <c r="D95" s="13"/>
      <c r="E95" s="12"/>
      <c r="F95" s="13"/>
      <c r="G95" s="13"/>
      <c r="H95" s="13"/>
      <c r="I95" s="35"/>
      <c r="J95" s="35"/>
      <c r="K95" s="34"/>
      <c r="L95" s="28"/>
      <c r="M95" s="147"/>
      <c r="N95" s="147"/>
      <c r="O95" s="13"/>
      <c r="P95" s="157"/>
      <c r="Q95" s="157"/>
      <c r="S95" s="13"/>
      <c r="T95" s="32"/>
      <c r="U95" s="32"/>
      <c r="W95"/>
      <c r="Y95" s="13"/>
      <c r="Z95" s="13"/>
      <c r="AA95" s="13"/>
      <c r="AB95" s="13"/>
      <c r="AC95" s="13"/>
      <c r="AD95" s="13"/>
      <c r="AE95" s="13"/>
      <c r="AF95" s="13"/>
      <c r="AG95" s="13"/>
      <c r="AH95" s="15"/>
      <c r="AI95" s="15"/>
    </row>
    <row r="96" spans="3:35" s="234" customFormat="1">
      <c r="C96" s="314"/>
      <c r="D96" s="117"/>
      <c r="E96" s="314"/>
      <c r="F96" s="117"/>
      <c r="G96" s="117"/>
      <c r="H96" s="891" t="s">
        <v>356</v>
      </c>
      <c r="I96" s="891"/>
      <c r="J96" s="891"/>
      <c r="K96" s="891"/>
      <c r="L96" s="891"/>
      <c r="M96" s="891"/>
      <c r="N96" s="891"/>
      <c r="O96" s="891"/>
      <c r="P96" s="891"/>
      <c r="Q96" s="891"/>
      <c r="R96" s="331">
        <v>18</v>
      </c>
      <c r="S96" s="117" t="s">
        <v>353</v>
      </c>
      <c r="T96" s="914" t="s">
        <v>354</v>
      </c>
      <c r="U96" s="914"/>
      <c r="V96" s="234" t="s">
        <v>326</v>
      </c>
      <c r="W96" s="321">
        <v>92</v>
      </c>
      <c r="X96" s="332" t="s">
        <v>355</v>
      </c>
      <c r="Y96" s="117"/>
      <c r="Z96" s="117" t="s">
        <v>416</v>
      </c>
      <c r="AA96" s="117"/>
      <c r="AB96" s="117"/>
      <c r="AC96" s="117"/>
      <c r="AD96" s="117"/>
      <c r="AE96" s="117"/>
      <c r="AF96" s="117"/>
      <c r="AG96" s="117"/>
      <c r="AH96" s="315"/>
      <c r="AI96" s="315"/>
    </row>
    <row r="97" spans="3:35" ht="20.25">
      <c r="C97" s="12"/>
      <c r="D97" s="13"/>
      <c r="E97" s="12"/>
      <c r="F97" s="13"/>
      <c r="G97" s="465" t="s">
        <v>727</v>
      </c>
      <c r="H97" s="465"/>
      <c r="I97" s="32" t="s">
        <v>2</v>
      </c>
      <c r="J97" s="148" t="s">
        <v>364</v>
      </c>
      <c r="K97" s="890">
        <v>140</v>
      </c>
      <c r="L97" s="890"/>
      <c r="M97" s="148" t="s">
        <v>263</v>
      </c>
      <c r="N97" s="675">
        <v>0.82</v>
      </c>
      <c r="O97" s="675"/>
      <c r="P97" s="148" t="s">
        <v>69</v>
      </c>
      <c r="Q97" s="436" t="s">
        <v>166</v>
      </c>
      <c r="R97" s="436"/>
      <c r="S97" s="147" t="s">
        <v>70</v>
      </c>
      <c r="T97" s="34" t="s">
        <v>303</v>
      </c>
      <c r="U97" s="13" t="s">
        <v>263</v>
      </c>
      <c r="V97" s="906">
        <v>18</v>
      </c>
      <c r="W97" s="906"/>
      <c r="X97" s="27" t="s">
        <v>365</v>
      </c>
      <c r="Y97" s="27" t="s">
        <v>27</v>
      </c>
      <c r="Z97" s="449">
        <v>1.5</v>
      </c>
      <c r="AA97" s="449"/>
      <c r="AB97" s="13"/>
      <c r="AC97" s="13"/>
      <c r="AD97" s="13"/>
      <c r="AE97" s="13"/>
      <c r="AF97" s="27"/>
      <c r="AG97" s="27"/>
      <c r="AH97" s="177"/>
      <c r="AI97" s="15"/>
    </row>
    <row r="98" spans="3:35">
      <c r="C98" s="12"/>
      <c r="D98" s="13"/>
      <c r="E98" s="12"/>
      <c r="F98" s="13"/>
      <c r="G98" s="164"/>
      <c r="H98" s="164"/>
      <c r="I98" s="32" t="s">
        <v>2</v>
      </c>
      <c r="J98" s="148" t="s">
        <v>364</v>
      </c>
      <c r="K98" s="890">
        <v>140</v>
      </c>
      <c r="L98" s="890"/>
      <c r="M98" s="148" t="s">
        <v>263</v>
      </c>
      <c r="N98" s="675">
        <v>0.82</v>
      </c>
      <c r="O98" s="675"/>
      <c r="P98" s="148" t="s">
        <v>69</v>
      </c>
      <c r="Q98" s="436">
        <f>U93</f>
        <v>43.941411451398139</v>
      </c>
      <c r="R98" s="436"/>
      <c r="S98" s="436"/>
      <c r="T98" s="436"/>
      <c r="U98" s="13" t="s">
        <v>263</v>
      </c>
      <c r="V98" s="906">
        <v>18</v>
      </c>
      <c r="W98" s="906"/>
      <c r="X98" s="27" t="s">
        <v>365</v>
      </c>
      <c r="Y98" s="27" t="s">
        <v>27</v>
      </c>
      <c r="Z98" s="449">
        <v>1.5</v>
      </c>
      <c r="AA98" s="449"/>
      <c r="AB98" s="13"/>
      <c r="AC98" s="13"/>
      <c r="AD98" s="13"/>
      <c r="AE98" s="13"/>
      <c r="AF98" s="27"/>
      <c r="AG98" s="27"/>
      <c r="AH98" s="177"/>
      <c r="AI98" s="15"/>
    </row>
    <row r="99" spans="3:35" ht="20.25">
      <c r="C99" s="12"/>
      <c r="D99" s="13"/>
      <c r="E99" s="12"/>
      <c r="F99" s="13"/>
      <c r="G99" s="13"/>
      <c r="H99" s="13"/>
      <c r="I99" s="35" t="s">
        <v>2</v>
      </c>
      <c r="J99" s="849">
        <f>(K98-N98*(Q98-V98))*Z98</f>
        <v>178.09206391478028</v>
      </c>
      <c r="K99" s="850"/>
      <c r="L99" s="851"/>
      <c r="M99" s="163" t="s">
        <v>48</v>
      </c>
      <c r="N99" s="147"/>
      <c r="O99" s="13"/>
      <c r="P99" s="157"/>
      <c r="Q99" s="157"/>
      <c r="R99" s="157"/>
      <c r="S99" s="13"/>
      <c r="T99" s="28"/>
      <c r="U99" s="28"/>
      <c r="V99" s="28"/>
      <c r="W99"/>
      <c r="X99" s="13"/>
      <c r="Y99" s="13"/>
      <c r="Z99" s="13"/>
      <c r="AA99" s="13"/>
      <c r="AB99" s="13"/>
      <c r="AC99" s="13"/>
      <c r="AD99" s="13"/>
      <c r="AE99" s="13"/>
      <c r="AF99" s="13"/>
      <c r="AG99" s="13"/>
      <c r="AH99" s="15"/>
      <c r="AI99" s="15"/>
    </row>
    <row r="100" spans="3:35">
      <c r="C100" s="12"/>
      <c r="D100" s="13"/>
      <c r="E100" s="16"/>
      <c r="F100" s="17"/>
      <c r="G100" s="17"/>
      <c r="H100" s="17"/>
      <c r="I100" s="151"/>
      <c r="J100" s="162"/>
      <c r="K100" s="162"/>
      <c r="L100" s="162"/>
      <c r="M100" s="176"/>
      <c r="N100" s="162"/>
      <c r="O100" s="17"/>
      <c r="P100" s="293"/>
      <c r="Q100" s="293"/>
      <c r="R100" s="293"/>
      <c r="S100" s="17"/>
      <c r="T100" s="169"/>
      <c r="U100" s="169"/>
      <c r="V100" s="169"/>
      <c r="W100" s="25"/>
      <c r="X100" s="17"/>
      <c r="Y100" s="17"/>
      <c r="Z100" s="17"/>
      <c r="AA100" s="17"/>
      <c r="AB100" s="17"/>
      <c r="AC100" s="17"/>
      <c r="AD100" s="17"/>
      <c r="AE100" s="17"/>
      <c r="AF100" s="17"/>
      <c r="AG100" s="17"/>
      <c r="AH100" s="19"/>
      <c r="AI100" s="15"/>
    </row>
    <row r="101" spans="3:35">
      <c r="C101" s="12"/>
      <c r="D101" s="13"/>
      <c r="E101" s="13"/>
      <c r="F101" s="13"/>
      <c r="G101" s="13"/>
      <c r="H101" s="13"/>
      <c r="I101" s="35"/>
      <c r="J101" s="147"/>
      <c r="K101" s="147"/>
      <c r="L101" s="147"/>
      <c r="M101" s="163"/>
      <c r="N101" s="147"/>
      <c r="O101" s="13"/>
      <c r="P101" s="157"/>
      <c r="Q101" s="157"/>
      <c r="R101" s="157"/>
      <c r="S101" s="13"/>
      <c r="T101" s="28"/>
      <c r="U101" s="28"/>
      <c r="V101" s="28"/>
      <c r="W101"/>
      <c r="X101" s="13"/>
      <c r="Y101" s="13"/>
      <c r="Z101" s="13"/>
      <c r="AA101" s="13"/>
      <c r="AB101" s="13"/>
      <c r="AC101" s="13"/>
      <c r="AD101" s="13"/>
      <c r="AE101" s="13"/>
      <c r="AF101" s="13"/>
      <c r="AG101" s="13"/>
      <c r="AH101" s="13"/>
      <c r="AI101" s="15"/>
    </row>
    <row r="102" spans="3:35">
      <c r="C102" s="12"/>
      <c r="D102" s="13"/>
      <c r="E102" s="13"/>
      <c r="F102" s="13"/>
      <c r="G102" s="13"/>
      <c r="H102" s="13"/>
      <c r="I102" s="13"/>
      <c r="J102" s="13"/>
      <c r="K102" s="13"/>
      <c r="L102" s="13"/>
      <c r="M102" s="13"/>
      <c r="N102" s="13"/>
      <c r="O102" s="13"/>
      <c r="P102" s="13"/>
      <c r="Q102" s="13"/>
      <c r="R102" s="13"/>
      <c r="S102" s="13"/>
      <c r="T102" s="13"/>
      <c r="U102" s="13"/>
      <c r="V102" s="13"/>
      <c r="W102"/>
      <c r="X102" s="13"/>
      <c r="Y102" s="13"/>
      <c r="Z102" s="13"/>
      <c r="AA102" s="13"/>
      <c r="AB102" s="13"/>
      <c r="AC102" s="13"/>
      <c r="AD102" s="13"/>
      <c r="AE102" s="13"/>
      <c r="AF102" s="13"/>
      <c r="AG102" s="13"/>
      <c r="AH102" s="13"/>
      <c r="AI102" s="15"/>
    </row>
    <row r="103" spans="3:35" ht="20.25">
      <c r="C103" s="12"/>
      <c r="D103" s="13"/>
      <c r="E103" s="9"/>
      <c r="F103" s="10"/>
      <c r="G103" s="467" t="s">
        <v>322</v>
      </c>
      <c r="H103" s="467"/>
      <c r="I103" s="10" t="s">
        <v>333</v>
      </c>
      <c r="J103" s="10"/>
      <c r="K103" s="10"/>
      <c r="L103" s="10"/>
      <c r="M103" s="10"/>
      <c r="N103" s="10"/>
      <c r="O103" s="10"/>
      <c r="P103" s="10"/>
      <c r="Q103" s="10"/>
      <c r="R103" s="10"/>
      <c r="S103" s="10"/>
      <c r="T103" s="10"/>
      <c r="U103" s="10"/>
      <c r="V103" s="10"/>
      <c r="W103" s="3"/>
      <c r="X103" s="10"/>
      <c r="Y103" s="10"/>
      <c r="Z103" s="10"/>
      <c r="AA103" s="10"/>
      <c r="AB103" s="10"/>
      <c r="AC103" s="10"/>
      <c r="AD103" s="10"/>
      <c r="AE103" s="10"/>
      <c r="AF103" s="10"/>
      <c r="AG103" s="10"/>
      <c r="AH103" s="11"/>
      <c r="AI103" s="15"/>
    </row>
    <row r="104" spans="3:35">
      <c r="C104" s="12"/>
      <c r="D104" s="13"/>
      <c r="E104" s="12"/>
      <c r="F104" s="13"/>
      <c r="G104" s="13"/>
      <c r="H104" s="13"/>
      <c r="I104" s="13"/>
      <c r="J104" s="13" t="s">
        <v>330</v>
      </c>
      <c r="K104" s="13"/>
      <c r="L104" s="13"/>
      <c r="M104" s="31">
        <v>2</v>
      </c>
      <c r="N104" s="909" t="s">
        <v>334</v>
      </c>
      <c r="O104" s="909"/>
      <c r="P104" s="13" t="s">
        <v>335</v>
      </c>
      <c r="Q104" s="908" t="s">
        <v>285</v>
      </c>
      <c r="R104" s="908"/>
      <c r="S104" s="13"/>
      <c r="T104" s="13"/>
      <c r="U104" s="13"/>
      <c r="V104" s="13"/>
      <c r="W104" s="13"/>
      <c r="X104" s="13"/>
      <c r="Y104" s="13"/>
      <c r="Z104" s="13"/>
      <c r="AA104" s="13"/>
      <c r="AB104" s="13"/>
      <c r="AC104" s="13"/>
      <c r="AD104" s="13"/>
      <c r="AE104" s="13"/>
      <c r="AF104" s="13"/>
      <c r="AG104" s="13"/>
      <c r="AH104" s="15"/>
      <c r="AI104" s="15"/>
    </row>
    <row r="105" spans="3:35">
      <c r="C105" s="12"/>
      <c r="D105" s="13"/>
      <c r="E105" s="12"/>
      <c r="F105" s="13"/>
      <c r="G105" s="13"/>
      <c r="H105" s="13"/>
      <c r="I105" s="13"/>
      <c r="J105" s="892" t="s">
        <v>334</v>
      </c>
      <c r="K105" s="892"/>
      <c r="L105" s="13" t="s">
        <v>336</v>
      </c>
      <c r="M105" s="13"/>
      <c r="N105" s="13"/>
      <c r="O105" s="13"/>
      <c r="P105" s="13"/>
      <c r="Q105" s="13"/>
      <c r="R105" s="13"/>
      <c r="S105" s="13"/>
      <c r="T105" s="13"/>
      <c r="U105" s="892" t="s">
        <v>334</v>
      </c>
      <c r="V105" s="892"/>
      <c r="W105" s="13" t="s">
        <v>2</v>
      </c>
      <c r="X105" s="458">
        <f>'1.設計条件'!Q76</f>
        <v>300</v>
      </c>
      <c r="Y105" s="458"/>
      <c r="Z105" s="13" t="s">
        <v>27</v>
      </c>
      <c r="AA105" s="458">
        <f>'1.設計条件'!Q78</f>
        <v>15</v>
      </c>
      <c r="AB105" s="458"/>
      <c r="AC105" s="13" t="s">
        <v>2</v>
      </c>
      <c r="AD105" s="471">
        <f>X105*AA105</f>
        <v>4500</v>
      </c>
      <c r="AE105" s="472"/>
      <c r="AF105" s="907"/>
      <c r="AG105" s="13"/>
      <c r="AH105" s="15"/>
      <c r="AI105" s="15"/>
    </row>
    <row r="106" spans="3:35">
      <c r="C106" s="12"/>
      <c r="D106" s="13"/>
      <c r="E106" s="12"/>
      <c r="F106" s="13"/>
      <c r="G106" s="13"/>
      <c r="H106" s="13"/>
      <c r="I106" s="13"/>
      <c r="J106" s="892" t="s">
        <v>285</v>
      </c>
      <c r="K106" s="892"/>
      <c r="L106" s="596" t="s">
        <v>349</v>
      </c>
      <c r="M106" s="596"/>
      <c r="N106" s="596"/>
      <c r="O106" s="596"/>
      <c r="P106" s="596"/>
      <c r="Q106" s="596"/>
      <c r="R106" s="892" t="s">
        <v>285</v>
      </c>
      <c r="S106" s="892"/>
      <c r="T106" s="13" t="s">
        <v>2</v>
      </c>
      <c r="U106" s="13" t="s">
        <v>69</v>
      </c>
      <c r="V106" s="458">
        <f>'1.設計条件'!Q75</f>
        <v>300</v>
      </c>
      <c r="W106" s="458"/>
      <c r="X106" s="13" t="s">
        <v>263</v>
      </c>
      <c r="Y106" s="31">
        <v>2</v>
      </c>
      <c r="Z106" s="13" t="s">
        <v>27</v>
      </c>
      <c r="AA106" s="31">
        <f>'1.設計条件'!Q78</f>
        <v>15</v>
      </c>
      <c r="AB106" s="13" t="s">
        <v>83</v>
      </c>
      <c r="AC106" s="13" t="s">
        <v>27</v>
      </c>
      <c r="AD106" s="31">
        <f>'1.設計条件'!Q77</f>
        <v>10</v>
      </c>
      <c r="AE106" s="31" t="s">
        <v>2</v>
      </c>
      <c r="AF106" s="471">
        <f>(V106-Y106*AA106)*AD106</f>
        <v>2700</v>
      </c>
      <c r="AG106" s="472"/>
      <c r="AH106" s="473"/>
      <c r="AI106" s="15"/>
    </row>
    <row r="107" spans="3:35">
      <c r="C107" s="12"/>
      <c r="D107" s="13"/>
      <c r="E107" s="12"/>
      <c r="F107" s="13"/>
      <c r="G107" s="13"/>
      <c r="H107" s="13"/>
      <c r="I107" s="13"/>
      <c r="J107" s="156"/>
      <c r="K107" s="156"/>
      <c r="L107" s="57"/>
      <c r="M107" s="57"/>
      <c r="N107" s="57"/>
      <c r="O107" s="57"/>
      <c r="P107" s="57"/>
      <c r="Q107" s="57"/>
      <c r="R107" s="156"/>
      <c r="S107" s="156"/>
      <c r="T107" s="13"/>
      <c r="U107" s="13"/>
      <c r="V107" s="27"/>
      <c r="W107" s="27"/>
      <c r="X107" s="13"/>
      <c r="Y107" s="31"/>
      <c r="Z107" s="13"/>
      <c r="AA107" s="31"/>
      <c r="AB107" s="13"/>
      <c r="AC107" s="13"/>
      <c r="AD107" s="31"/>
      <c r="AE107" s="31"/>
      <c r="AF107" s="27"/>
      <c r="AG107" s="27"/>
      <c r="AH107" s="177"/>
      <c r="AI107" s="15"/>
    </row>
    <row r="108" spans="3:35">
      <c r="C108" s="12"/>
      <c r="D108" s="13"/>
      <c r="E108" s="12"/>
      <c r="F108" s="13"/>
      <c r="G108" s="13"/>
      <c r="H108" s="13"/>
      <c r="I108" s="35"/>
      <c r="J108" s="436" t="s">
        <v>359</v>
      </c>
      <c r="K108" s="436"/>
      <c r="L108" s="13" t="s">
        <v>360</v>
      </c>
      <c r="M108" s="13"/>
      <c r="N108" s="13"/>
      <c r="O108" s="13"/>
      <c r="P108" s="13"/>
      <c r="Q108" s="27"/>
      <c r="R108" s="27"/>
      <c r="S108" s="13"/>
      <c r="T108" s="13"/>
      <c r="U108" s="13"/>
      <c r="V108" s="13"/>
      <c r="W108" s="13"/>
      <c r="X108" s="13"/>
      <c r="Y108" s="13"/>
      <c r="Z108" s="13"/>
      <c r="AA108" s="13"/>
      <c r="AB108" s="13"/>
      <c r="AC108" s="13"/>
      <c r="AD108" s="31"/>
      <c r="AE108" s="31"/>
      <c r="AF108" s="27"/>
      <c r="AG108" s="27"/>
      <c r="AH108" s="177"/>
      <c r="AI108" s="15"/>
    </row>
    <row r="109" spans="3:35">
      <c r="C109" s="12"/>
      <c r="D109" s="13"/>
      <c r="E109" s="12"/>
      <c r="F109" s="13"/>
      <c r="G109" s="13"/>
      <c r="H109" s="13"/>
      <c r="I109" s="35"/>
      <c r="J109" s="35"/>
      <c r="K109" s="436" t="s">
        <v>359</v>
      </c>
      <c r="L109" s="436"/>
      <c r="M109" s="13" t="s">
        <v>2</v>
      </c>
      <c r="N109" s="437">
        <f>T20</f>
        <v>6.3</v>
      </c>
      <c r="O109" s="439"/>
      <c r="P109" s="37" t="s">
        <v>3</v>
      </c>
      <c r="Q109" s="13"/>
      <c r="R109" s="31" t="s">
        <v>351</v>
      </c>
      <c r="S109" s="13"/>
      <c r="T109" s="13"/>
      <c r="U109" s="13"/>
      <c r="V109" s="13"/>
      <c r="W109"/>
      <c r="X109" s="13"/>
      <c r="Y109" s="13"/>
      <c r="Z109" s="13"/>
      <c r="AA109" s="13"/>
      <c r="AB109" s="13"/>
      <c r="AC109" s="13"/>
      <c r="AD109" s="31"/>
      <c r="AE109" s="31"/>
      <c r="AF109" s="27"/>
      <c r="AG109" s="27"/>
      <c r="AH109" s="177"/>
      <c r="AI109" s="15"/>
    </row>
    <row r="110" spans="3:35">
      <c r="C110" s="12"/>
      <c r="D110" s="13"/>
      <c r="E110" s="12"/>
      <c r="F110" s="13"/>
      <c r="G110" s="13"/>
      <c r="H110" s="13"/>
      <c r="I110" s="35"/>
      <c r="J110" s="35"/>
      <c r="K110" s="14"/>
      <c r="L110" s="14"/>
      <c r="M110" s="13"/>
      <c r="N110" s="14"/>
      <c r="O110" s="14"/>
      <c r="P110" s="37"/>
      <c r="Q110" s="13"/>
      <c r="R110" s="31"/>
      <c r="S110" s="13"/>
      <c r="T110" s="13"/>
      <c r="U110" s="13"/>
      <c r="V110" s="13"/>
      <c r="W110"/>
      <c r="X110" s="13"/>
      <c r="Y110" s="13"/>
      <c r="Z110" s="13"/>
      <c r="AA110" s="13"/>
      <c r="AB110" s="13"/>
      <c r="AC110" s="13"/>
      <c r="AD110" s="31"/>
      <c r="AE110" s="31"/>
      <c r="AF110" s="27"/>
      <c r="AG110" s="27"/>
      <c r="AH110" s="177"/>
      <c r="AI110" s="15"/>
    </row>
    <row r="111" spans="3:35">
      <c r="C111" s="12"/>
      <c r="D111" s="13"/>
      <c r="E111" s="12"/>
      <c r="F111" s="13"/>
      <c r="G111" s="13"/>
      <c r="H111" s="13"/>
      <c r="I111" s="35"/>
      <c r="J111" s="13" t="s">
        <v>361</v>
      </c>
      <c r="K111" s="13"/>
      <c r="L111" s="13"/>
      <c r="M111" s="13"/>
      <c r="N111" s="13"/>
      <c r="O111" s="13"/>
      <c r="P111" s="34"/>
      <c r="Q111" s="13"/>
      <c r="R111" s="31"/>
      <c r="S111" s="13"/>
      <c r="T111" s="13"/>
      <c r="U111" s="13"/>
      <c r="V111" s="13"/>
      <c r="W111"/>
      <c r="X111" s="13"/>
      <c r="Y111" s="13"/>
      <c r="Z111" s="13"/>
      <c r="AA111" s="13"/>
      <c r="AB111" s="13"/>
      <c r="AC111" s="13"/>
      <c r="AD111" s="31"/>
      <c r="AE111" s="31"/>
      <c r="AF111" s="27"/>
      <c r="AG111" s="27"/>
      <c r="AH111" s="177"/>
      <c r="AI111" s="15"/>
    </row>
    <row r="112" spans="3:35" ht="20.25">
      <c r="C112" s="12"/>
      <c r="D112" s="13"/>
      <c r="E112" s="12"/>
      <c r="F112" s="13"/>
      <c r="G112" s="13"/>
      <c r="H112" s="13"/>
      <c r="I112" s="35"/>
      <c r="J112" s="451" t="s">
        <v>358</v>
      </c>
      <c r="K112" s="451"/>
      <c r="L112" s="449" t="s">
        <v>2</v>
      </c>
      <c r="M112" s="452">
        <f>N109</f>
        <v>6.3</v>
      </c>
      <c r="N112" s="452"/>
      <c r="O112" s="17" t="s">
        <v>27</v>
      </c>
      <c r="P112" s="889">
        <v>1000</v>
      </c>
      <c r="Q112" s="889"/>
      <c r="R112" s="889"/>
      <c r="S112" s="13"/>
      <c r="T112" s="449" t="s">
        <v>2</v>
      </c>
      <c r="U112" s="554">
        <f>M112*P112/O113</f>
        <v>21</v>
      </c>
      <c r="V112" s="555"/>
      <c r="W112"/>
      <c r="X112" s="13"/>
      <c r="Y112" s="13"/>
      <c r="Z112" s="13"/>
      <c r="AA112" s="13"/>
      <c r="AB112" s="13"/>
      <c r="AC112" s="13"/>
      <c r="AD112" s="31"/>
      <c r="AE112" s="31"/>
      <c r="AF112" s="27"/>
      <c r="AG112" s="27"/>
      <c r="AH112" s="177"/>
      <c r="AI112" s="15"/>
    </row>
    <row r="113" spans="3:35">
      <c r="C113" s="12"/>
      <c r="D113" s="13"/>
      <c r="E113" s="12"/>
      <c r="F113" s="13"/>
      <c r="G113" s="13"/>
      <c r="H113" s="13"/>
      <c r="I113" s="35"/>
      <c r="J113" s="467" t="s">
        <v>195</v>
      </c>
      <c r="K113" s="467"/>
      <c r="L113" s="449"/>
      <c r="M113" s="13"/>
      <c r="N113" s="13"/>
      <c r="O113" s="888">
        <f>'1.設計条件'!Q76</f>
        <v>300</v>
      </c>
      <c r="P113" s="888"/>
      <c r="Q113" s="145"/>
      <c r="R113" s="145"/>
      <c r="S113" s="13"/>
      <c r="T113" s="449"/>
      <c r="U113" s="556"/>
      <c r="V113" s="557"/>
      <c r="W113"/>
      <c r="X113" s="13"/>
      <c r="Y113" s="13"/>
      <c r="Z113" s="13"/>
      <c r="AA113" s="13"/>
      <c r="AB113" s="13"/>
      <c r="AC113" s="13"/>
      <c r="AD113" s="31"/>
      <c r="AE113" s="31"/>
      <c r="AF113" s="27"/>
      <c r="AG113" s="27"/>
      <c r="AH113" s="177"/>
      <c r="AI113" s="15"/>
    </row>
    <row r="114" spans="3:35">
      <c r="C114" s="12"/>
      <c r="D114" s="13"/>
      <c r="E114" s="12"/>
      <c r="F114" s="13"/>
      <c r="G114" s="13"/>
      <c r="H114" s="13"/>
      <c r="I114" s="35"/>
      <c r="J114" s="35"/>
      <c r="K114" s="34"/>
      <c r="L114" s="28"/>
      <c r="M114" s="147"/>
      <c r="N114" s="147"/>
      <c r="O114" s="13"/>
      <c r="P114" s="157"/>
      <c r="Q114" s="157"/>
      <c r="R114" s="157"/>
      <c r="S114" s="13"/>
      <c r="T114" s="28"/>
      <c r="U114" s="28"/>
      <c r="V114" s="28"/>
      <c r="W114"/>
      <c r="X114" s="13"/>
      <c r="Y114" s="13"/>
      <c r="Z114" s="13"/>
      <c r="AA114" s="13"/>
      <c r="AB114" s="13"/>
      <c r="AC114" s="13"/>
      <c r="AD114" s="31"/>
      <c r="AE114" s="31"/>
      <c r="AF114" s="27"/>
      <c r="AG114" s="27"/>
      <c r="AH114" s="177"/>
      <c r="AI114" s="15"/>
    </row>
    <row r="115" spans="3:35">
      <c r="C115" s="12"/>
      <c r="D115" s="13"/>
      <c r="E115" s="12"/>
      <c r="F115" s="13"/>
      <c r="G115" s="13"/>
      <c r="H115" s="433" t="s">
        <v>362</v>
      </c>
      <c r="I115" s="433"/>
      <c r="J115" s="433"/>
      <c r="K115" s="433"/>
      <c r="L115" s="433"/>
      <c r="M115" s="433"/>
      <c r="N115" s="433"/>
      <c r="O115" s="433"/>
      <c r="P115" s="433"/>
      <c r="Q115" s="433"/>
      <c r="R115" s="380">
        <v>4.5</v>
      </c>
      <c r="S115" s="380"/>
      <c r="T115" s="13" t="s">
        <v>353</v>
      </c>
      <c r="U115" s="449" t="s">
        <v>363</v>
      </c>
      <c r="V115" s="449"/>
      <c r="W115" s="13" t="s">
        <v>326</v>
      </c>
      <c r="X115" s="458">
        <v>30</v>
      </c>
      <c r="Y115" s="458"/>
      <c r="Z115" s="33" t="s">
        <v>355</v>
      </c>
      <c r="AA115"/>
      <c r="AB115" s="13" t="s">
        <v>416</v>
      </c>
      <c r="AC115" s="13"/>
      <c r="AD115" s="13"/>
      <c r="AE115" s="13"/>
      <c r="AF115" s="27"/>
      <c r="AG115" s="27"/>
      <c r="AH115" s="177"/>
      <c r="AI115" s="15"/>
    </row>
    <row r="116" spans="3:35">
      <c r="C116" s="12"/>
      <c r="D116" s="13"/>
      <c r="E116" s="12"/>
      <c r="F116" s="13"/>
      <c r="G116" s="465" t="s">
        <v>322</v>
      </c>
      <c r="H116" s="465"/>
      <c r="I116" s="32" t="s">
        <v>2</v>
      </c>
      <c r="J116" s="148" t="s">
        <v>364</v>
      </c>
      <c r="K116" s="890">
        <v>140</v>
      </c>
      <c r="L116" s="890"/>
      <c r="M116" s="148" t="s">
        <v>263</v>
      </c>
      <c r="N116" s="433">
        <v>2.4</v>
      </c>
      <c r="O116" s="433"/>
      <c r="P116" s="148" t="s">
        <v>69</v>
      </c>
      <c r="Q116" s="436" t="s">
        <v>359</v>
      </c>
      <c r="R116" s="436"/>
      <c r="S116" s="147" t="s">
        <v>70</v>
      </c>
      <c r="T116" s="34" t="s">
        <v>195</v>
      </c>
      <c r="U116" s="13" t="s">
        <v>263</v>
      </c>
      <c r="V116" s="449">
        <v>4.5</v>
      </c>
      <c r="W116" s="449"/>
      <c r="X116" s="27" t="s">
        <v>365</v>
      </c>
      <c r="Y116" s="27" t="s">
        <v>27</v>
      </c>
      <c r="Z116" s="449">
        <v>1.5</v>
      </c>
      <c r="AA116" s="449"/>
      <c r="AB116" s="13"/>
      <c r="AC116" s="13"/>
      <c r="AD116" s="13"/>
      <c r="AE116" s="13"/>
      <c r="AF116" s="27"/>
      <c r="AG116" s="27"/>
      <c r="AH116" s="177"/>
      <c r="AI116" s="15"/>
    </row>
    <row r="117" spans="3:35">
      <c r="C117" s="12"/>
      <c r="D117" s="13"/>
      <c r="E117" s="12"/>
      <c r="F117" s="13"/>
      <c r="G117" s="164"/>
      <c r="H117" s="164"/>
      <c r="I117" s="32" t="s">
        <v>2</v>
      </c>
      <c r="J117" s="148" t="s">
        <v>364</v>
      </c>
      <c r="K117" s="890">
        <v>140</v>
      </c>
      <c r="L117" s="890"/>
      <c r="M117" s="148" t="s">
        <v>263</v>
      </c>
      <c r="N117" s="433">
        <v>2.4</v>
      </c>
      <c r="O117" s="433"/>
      <c r="P117" s="148" t="s">
        <v>69</v>
      </c>
      <c r="Q117" s="436">
        <f>U112</f>
        <v>21</v>
      </c>
      <c r="R117" s="436"/>
      <c r="S117" s="436"/>
      <c r="T117" s="436"/>
      <c r="U117" s="13" t="s">
        <v>263</v>
      </c>
      <c r="V117" s="449">
        <v>4.5</v>
      </c>
      <c r="W117" s="449"/>
      <c r="X117" s="27" t="s">
        <v>365</v>
      </c>
      <c r="Y117" s="27" t="s">
        <v>27</v>
      </c>
      <c r="Z117" s="449">
        <v>1.5</v>
      </c>
      <c r="AA117" s="449"/>
      <c r="AB117" s="13"/>
      <c r="AC117" s="13"/>
      <c r="AD117" s="13"/>
      <c r="AE117" s="13"/>
      <c r="AF117" s="27"/>
      <c r="AG117" s="27"/>
      <c r="AH117" s="177"/>
      <c r="AI117" s="15"/>
    </row>
    <row r="118" spans="3:35" ht="20.25">
      <c r="C118" s="12"/>
      <c r="D118" s="13"/>
      <c r="E118" s="12"/>
      <c r="F118" s="13"/>
      <c r="G118" s="13"/>
      <c r="H118" s="148"/>
      <c r="I118" s="32" t="s">
        <v>2</v>
      </c>
      <c r="J118" s="885">
        <f>(K117-N117*(Q117-V117))*Z117</f>
        <v>150.60000000000002</v>
      </c>
      <c r="K118" s="886"/>
      <c r="L118" s="887"/>
      <c r="M118" s="163" t="s">
        <v>48</v>
      </c>
      <c r="N118" s="148"/>
      <c r="O118" s="148"/>
      <c r="P118" s="148"/>
      <c r="Q118" s="148"/>
      <c r="R118" s="147"/>
      <c r="S118" s="147"/>
      <c r="T118" s="13"/>
      <c r="U118" s="28"/>
      <c r="V118" s="28"/>
      <c r="W118" s="13"/>
      <c r="X118" s="27"/>
      <c r="Y118" s="27"/>
      <c r="Z118" s="33"/>
      <c r="AA118"/>
      <c r="AB118" s="13"/>
      <c r="AC118" s="13"/>
      <c r="AD118" s="13"/>
      <c r="AE118" s="13"/>
      <c r="AF118" s="27"/>
      <c r="AG118" s="27"/>
      <c r="AH118" s="177"/>
      <c r="AI118" s="15"/>
    </row>
    <row r="119" spans="3:35">
      <c r="C119" s="12"/>
      <c r="D119" s="13"/>
      <c r="E119" s="16"/>
      <c r="F119" s="17"/>
      <c r="G119" s="17"/>
      <c r="H119" s="178"/>
      <c r="I119" s="179"/>
      <c r="J119" s="178"/>
      <c r="K119" s="178"/>
      <c r="L119" s="178"/>
      <c r="M119" s="176"/>
      <c r="N119" s="178"/>
      <c r="O119" s="178"/>
      <c r="P119" s="178"/>
      <c r="Q119" s="178"/>
      <c r="R119" s="162"/>
      <c r="S119" s="162"/>
      <c r="T119" s="17"/>
      <c r="U119" s="169"/>
      <c r="V119" s="169"/>
      <c r="W119" s="17"/>
      <c r="X119" s="152"/>
      <c r="Y119" s="152"/>
      <c r="Z119" s="180"/>
      <c r="AA119" s="25"/>
      <c r="AB119" s="17"/>
      <c r="AC119" s="17"/>
      <c r="AD119" s="17"/>
      <c r="AE119" s="17"/>
      <c r="AF119" s="152"/>
      <c r="AG119" s="152"/>
      <c r="AH119" s="181"/>
      <c r="AI119" s="15"/>
    </row>
    <row r="120" spans="3:35">
      <c r="C120" s="12"/>
      <c r="D120" s="13"/>
      <c r="E120" s="13"/>
      <c r="F120" s="13"/>
      <c r="G120" s="13"/>
      <c r="H120" s="148"/>
      <c r="I120" s="32"/>
      <c r="J120" s="148"/>
      <c r="K120" s="148"/>
      <c r="L120" s="148"/>
      <c r="M120" s="163"/>
      <c r="N120" s="148"/>
      <c r="O120" s="148"/>
      <c r="P120" s="148"/>
      <c r="Q120" s="148"/>
      <c r="R120" s="147"/>
      <c r="S120" s="147"/>
      <c r="T120" s="13"/>
      <c r="U120" s="28"/>
      <c r="V120" s="28"/>
      <c r="W120" s="13"/>
      <c r="X120" s="27"/>
      <c r="Y120" s="27"/>
      <c r="Z120" s="33"/>
      <c r="AA120"/>
      <c r="AB120" s="13"/>
      <c r="AC120" s="13"/>
      <c r="AD120" s="13"/>
      <c r="AE120" s="13"/>
      <c r="AF120" s="27"/>
      <c r="AG120" s="27"/>
      <c r="AH120" s="27"/>
      <c r="AI120" s="15"/>
    </row>
    <row r="121" spans="3:35">
      <c r="C121" s="12"/>
      <c r="D121" s="13"/>
      <c r="E121" s="13"/>
      <c r="F121" s="13"/>
      <c r="G121" s="13"/>
      <c r="H121" s="148"/>
      <c r="I121" s="148"/>
      <c r="J121" s="148"/>
      <c r="K121" s="148"/>
      <c r="L121" s="148"/>
      <c r="M121" s="148"/>
      <c r="N121" s="148"/>
      <c r="O121" s="148"/>
      <c r="P121" s="148"/>
      <c r="Q121" s="148"/>
      <c r="R121" s="147"/>
      <c r="S121" s="147"/>
      <c r="T121" s="13"/>
      <c r="U121" s="28"/>
      <c r="V121" s="28"/>
      <c r="W121" s="13"/>
      <c r="X121" s="27"/>
      <c r="Y121" s="27"/>
      <c r="Z121" s="33"/>
      <c r="AA121"/>
      <c r="AB121" s="13"/>
      <c r="AC121" s="13"/>
      <c r="AD121" s="13"/>
      <c r="AE121" s="13"/>
      <c r="AF121" s="27"/>
      <c r="AG121" s="27"/>
      <c r="AH121" s="27"/>
      <c r="AI121" s="15"/>
    </row>
    <row r="122" spans="3:35">
      <c r="C122" s="12"/>
      <c r="D122" s="13"/>
      <c r="E122" s="9"/>
      <c r="F122" s="10"/>
      <c r="G122" s="467" t="s">
        <v>324</v>
      </c>
      <c r="H122" s="467"/>
      <c r="I122" s="10" t="s">
        <v>339</v>
      </c>
      <c r="J122" s="10"/>
      <c r="K122" s="10"/>
      <c r="L122" s="10"/>
      <c r="M122" s="10"/>
      <c r="N122" s="10"/>
      <c r="O122" s="10"/>
      <c r="P122" s="10"/>
      <c r="Q122" s="10"/>
      <c r="R122" s="10"/>
      <c r="S122" s="10"/>
      <c r="T122" s="10"/>
      <c r="U122" s="10"/>
      <c r="V122" s="10"/>
      <c r="W122" s="3"/>
      <c r="X122" s="10"/>
      <c r="Y122" s="10"/>
      <c r="Z122" s="10"/>
      <c r="AA122" s="10"/>
      <c r="AB122" s="10"/>
      <c r="AC122" s="10"/>
      <c r="AD122" s="10"/>
      <c r="AE122" s="10"/>
      <c r="AF122" s="10"/>
      <c r="AG122" s="10"/>
      <c r="AH122" s="11"/>
      <c r="AI122" s="15"/>
    </row>
    <row r="123" spans="3:35" ht="20.25">
      <c r="C123" s="12"/>
      <c r="D123" s="13"/>
      <c r="E123" s="12"/>
      <c r="F123" s="13"/>
      <c r="G123" s="13"/>
      <c r="H123" s="13"/>
      <c r="I123" s="360" t="s">
        <v>324</v>
      </c>
      <c r="J123" s="360"/>
      <c r="K123" s="13" t="s">
        <v>2</v>
      </c>
      <c r="L123" s="374">
        <v>210</v>
      </c>
      <c r="M123" s="376"/>
      <c r="N123" s="13" t="s">
        <v>48</v>
      </c>
      <c r="O123" s="13"/>
      <c r="P123" s="13"/>
      <c r="Q123" s="13" t="s">
        <v>340</v>
      </c>
      <c r="R123" s="13"/>
      <c r="S123" s="13"/>
      <c r="T123" s="13"/>
      <c r="U123" s="13"/>
      <c r="V123" s="13"/>
      <c r="W123"/>
      <c r="X123" s="13"/>
      <c r="Y123" s="13"/>
      <c r="Z123" s="13"/>
      <c r="AA123" s="13"/>
      <c r="AB123" s="13"/>
      <c r="AC123" s="13"/>
      <c r="AD123" s="13"/>
      <c r="AE123" s="13"/>
      <c r="AF123" s="13"/>
      <c r="AG123" s="13"/>
      <c r="AH123" s="15"/>
      <c r="AI123" s="15"/>
    </row>
    <row r="124" spans="3:35">
      <c r="C124" s="12"/>
      <c r="D124" s="13"/>
      <c r="E124" s="16"/>
      <c r="F124" s="17"/>
      <c r="G124" s="17"/>
      <c r="H124" s="17"/>
      <c r="I124" s="151"/>
      <c r="J124" s="151"/>
      <c r="K124" s="17"/>
      <c r="L124" s="182"/>
      <c r="M124" s="182"/>
      <c r="N124" s="17"/>
      <c r="O124" s="17"/>
      <c r="P124" s="17"/>
      <c r="Q124" s="17"/>
      <c r="R124" s="17"/>
      <c r="S124" s="17"/>
      <c r="T124" s="17"/>
      <c r="U124" s="17"/>
      <c r="V124" s="17"/>
      <c r="W124" s="25"/>
      <c r="X124" s="17"/>
      <c r="Y124" s="17"/>
      <c r="Z124" s="17"/>
      <c r="AA124" s="17"/>
      <c r="AB124" s="17"/>
      <c r="AC124" s="17"/>
      <c r="AD124" s="17"/>
      <c r="AE124" s="17"/>
      <c r="AF124" s="17"/>
      <c r="AG124" s="17"/>
      <c r="AH124" s="19"/>
      <c r="AI124" s="15"/>
    </row>
    <row r="125" spans="3:35">
      <c r="C125" s="12"/>
      <c r="D125" s="13"/>
      <c r="E125" s="13"/>
      <c r="F125" s="13"/>
      <c r="G125" s="13"/>
      <c r="H125" s="13"/>
      <c r="I125" s="35"/>
      <c r="J125" s="35"/>
      <c r="K125" s="13"/>
      <c r="L125" s="146"/>
      <c r="M125" s="146"/>
      <c r="N125" s="13"/>
      <c r="O125" s="13"/>
      <c r="P125" s="13"/>
      <c r="Q125" s="13"/>
      <c r="R125" s="13"/>
      <c r="S125" s="13"/>
      <c r="T125" s="13"/>
      <c r="U125" s="13"/>
      <c r="V125" s="13"/>
      <c r="W125"/>
      <c r="X125" s="13"/>
      <c r="Y125" s="13"/>
      <c r="Z125" s="13"/>
      <c r="AA125" s="13"/>
      <c r="AB125" s="13"/>
      <c r="AC125" s="13"/>
      <c r="AD125" s="13"/>
      <c r="AE125" s="13"/>
      <c r="AF125" s="13"/>
      <c r="AG125" s="13"/>
      <c r="AH125" s="13"/>
      <c r="AI125" s="15"/>
    </row>
    <row r="126" spans="3:35">
      <c r="C126" s="12"/>
      <c r="D126" s="13"/>
      <c r="E126" s="13"/>
      <c r="F126" s="13"/>
      <c r="G126" s="13"/>
      <c r="H126" s="13"/>
      <c r="I126" s="13"/>
      <c r="J126" s="13"/>
      <c r="K126" s="13"/>
      <c r="L126" s="13"/>
      <c r="M126" s="13"/>
      <c r="N126" s="13"/>
      <c r="O126" s="13"/>
      <c r="P126" s="13"/>
      <c r="Q126" s="13"/>
      <c r="R126" s="13"/>
      <c r="S126" s="13"/>
      <c r="T126" s="13"/>
      <c r="U126" s="13"/>
      <c r="V126" s="13"/>
      <c r="W126"/>
      <c r="X126" s="13"/>
      <c r="Y126" s="13"/>
      <c r="Z126" s="13"/>
      <c r="AA126" s="13"/>
      <c r="AB126" s="13"/>
      <c r="AC126" s="13"/>
      <c r="AD126" s="13"/>
      <c r="AE126" s="13"/>
      <c r="AF126" s="13"/>
      <c r="AG126" s="13"/>
      <c r="AH126" s="13"/>
      <c r="AI126" s="15"/>
    </row>
    <row r="127" spans="3:35">
      <c r="C127" s="12"/>
      <c r="D127" s="13"/>
      <c r="E127" s="9"/>
      <c r="F127" s="10"/>
      <c r="G127" s="467" t="s">
        <v>366</v>
      </c>
      <c r="H127" s="467"/>
      <c r="I127" s="10" t="s">
        <v>367</v>
      </c>
      <c r="J127" s="10"/>
      <c r="K127" s="10"/>
      <c r="L127" s="10"/>
      <c r="M127" s="10"/>
      <c r="N127" s="10"/>
      <c r="O127" s="10"/>
      <c r="P127" s="10"/>
      <c r="Q127" s="10"/>
      <c r="R127" s="10"/>
      <c r="S127" s="10"/>
      <c r="T127" s="10"/>
      <c r="U127" s="10"/>
      <c r="V127" s="10"/>
      <c r="W127" s="3"/>
      <c r="X127" s="10"/>
      <c r="Y127" s="10"/>
      <c r="Z127" s="10"/>
      <c r="AA127" s="10"/>
      <c r="AB127" s="10"/>
      <c r="AC127" s="10"/>
      <c r="AD127" s="10"/>
      <c r="AE127" s="10"/>
      <c r="AF127" s="10"/>
      <c r="AG127" s="10"/>
      <c r="AH127" s="11"/>
      <c r="AI127" s="15"/>
    </row>
    <row r="128" spans="3:35" ht="20.25">
      <c r="C128" s="12"/>
      <c r="D128" s="13"/>
      <c r="E128" s="12"/>
      <c r="F128" s="13"/>
      <c r="G128" s="13"/>
      <c r="H128" s="13"/>
      <c r="I128" s="360" t="s">
        <v>366</v>
      </c>
      <c r="J128" s="360"/>
      <c r="K128" s="13" t="s">
        <v>2</v>
      </c>
      <c r="L128" s="374">
        <v>210</v>
      </c>
      <c r="M128" s="376"/>
      <c r="N128" s="13" t="s">
        <v>48</v>
      </c>
      <c r="O128" s="13"/>
      <c r="P128" s="13"/>
      <c r="Q128" s="13" t="s">
        <v>340</v>
      </c>
      <c r="R128" s="13"/>
      <c r="S128" s="13"/>
      <c r="T128" s="13"/>
      <c r="U128" s="13"/>
      <c r="V128" s="13"/>
      <c r="W128"/>
      <c r="X128" s="13"/>
      <c r="Y128" s="13"/>
      <c r="Z128" s="13"/>
      <c r="AA128" s="13"/>
      <c r="AB128" s="13"/>
      <c r="AC128" s="13"/>
      <c r="AD128" s="13"/>
      <c r="AE128" s="13"/>
      <c r="AF128" s="13"/>
      <c r="AG128" s="13"/>
      <c r="AH128" s="15"/>
      <c r="AI128" s="15"/>
    </row>
    <row r="129" spans="3:35">
      <c r="C129" s="12"/>
      <c r="D129" s="13"/>
      <c r="E129" s="16"/>
      <c r="F129" s="17"/>
      <c r="G129" s="17"/>
      <c r="H129" s="17"/>
      <c r="I129" s="17"/>
      <c r="J129" s="17" t="s">
        <v>330</v>
      </c>
      <c r="K129" s="17"/>
      <c r="L129" s="17"/>
      <c r="M129" s="123" t="s">
        <v>331</v>
      </c>
      <c r="N129" s="17" t="s">
        <v>326</v>
      </c>
      <c r="O129" s="451">
        <v>13.1</v>
      </c>
      <c r="P129" s="451"/>
      <c r="Q129" s="123" t="s">
        <v>332</v>
      </c>
      <c r="R129" s="17" t="s">
        <v>315</v>
      </c>
      <c r="S129" s="17"/>
      <c r="T129" s="17"/>
      <c r="U129" s="17"/>
      <c r="V129" s="17"/>
      <c r="W129" s="25"/>
      <c r="X129" s="17"/>
      <c r="Y129" s="17"/>
      <c r="Z129" s="17"/>
      <c r="AA129" s="17"/>
      <c r="AB129" s="17"/>
      <c r="AC129" s="17"/>
      <c r="AD129" s="17"/>
      <c r="AE129" s="17"/>
      <c r="AF129" s="17"/>
      <c r="AG129" s="17"/>
      <c r="AH129" s="19"/>
      <c r="AI129" s="15"/>
    </row>
    <row r="130" spans="3:35">
      <c r="C130" s="12"/>
      <c r="D130" s="13"/>
      <c r="E130" s="13"/>
      <c r="F130" s="13"/>
      <c r="G130" s="13"/>
      <c r="H130" s="13"/>
      <c r="I130" s="13"/>
      <c r="J130" s="13"/>
      <c r="K130" s="13"/>
      <c r="L130" s="13"/>
      <c r="M130" s="34"/>
      <c r="N130" s="13"/>
      <c r="O130" s="14"/>
      <c r="P130" s="14"/>
      <c r="Q130" s="34"/>
      <c r="R130" s="13"/>
      <c r="S130" s="13"/>
      <c r="T130" s="13"/>
      <c r="U130" s="13"/>
      <c r="V130" s="13"/>
      <c r="W130"/>
      <c r="X130" s="13"/>
      <c r="Y130" s="13"/>
      <c r="Z130" s="13"/>
      <c r="AA130" s="13"/>
      <c r="AB130" s="13"/>
      <c r="AC130" s="13"/>
      <c r="AD130" s="13"/>
      <c r="AE130" s="13"/>
      <c r="AF130" s="13"/>
      <c r="AG130" s="13"/>
      <c r="AH130" s="13"/>
      <c r="AI130" s="15"/>
    </row>
    <row r="131" spans="3:35">
      <c r="C131" s="12"/>
      <c r="D131" s="13"/>
      <c r="E131" s="13"/>
      <c r="F131" s="13"/>
      <c r="G131" s="13"/>
      <c r="H131" s="13"/>
      <c r="I131" s="13"/>
      <c r="J131" s="13"/>
      <c r="K131" s="13"/>
      <c r="L131" s="13"/>
      <c r="M131" s="34"/>
      <c r="N131" s="13"/>
      <c r="O131" s="14"/>
      <c r="P131" s="14"/>
      <c r="Q131" s="34"/>
      <c r="R131" s="13"/>
      <c r="S131" s="13"/>
      <c r="T131" s="13"/>
      <c r="U131" s="13"/>
      <c r="V131" s="13"/>
      <c r="W131"/>
      <c r="X131" s="13"/>
      <c r="Y131" s="13"/>
      <c r="Z131" s="13"/>
      <c r="AA131" s="13"/>
      <c r="AB131" s="13"/>
      <c r="AC131" s="13"/>
      <c r="AD131" s="13"/>
      <c r="AE131" s="13"/>
      <c r="AF131" s="13"/>
      <c r="AG131" s="13"/>
      <c r="AH131" s="13"/>
      <c r="AI131" s="15"/>
    </row>
    <row r="132" spans="3:35" ht="20.25">
      <c r="C132" s="12"/>
      <c r="D132" s="13"/>
      <c r="E132" s="856" t="s">
        <v>321</v>
      </c>
      <c r="F132" s="857"/>
      <c r="G132" s="858" t="s">
        <v>341</v>
      </c>
      <c r="H132" s="858"/>
      <c r="I132" s="10" t="s">
        <v>417</v>
      </c>
      <c r="J132" s="10"/>
      <c r="K132" s="10"/>
      <c r="L132" s="10"/>
      <c r="M132" s="10"/>
      <c r="N132" s="10"/>
      <c r="O132" s="10"/>
      <c r="P132" s="10"/>
      <c r="Q132" s="10"/>
      <c r="R132" s="10"/>
      <c r="S132" s="10"/>
      <c r="T132" s="10"/>
      <c r="U132" s="10"/>
      <c r="V132" s="10"/>
      <c r="W132" s="3"/>
      <c r="X132" s="10"/>
      <c r="Y132" s="10"/>
      <c r="Z132" s="10"/>
      <c r="AA132" s="10"/>
      <c r="AB132" s="10"/>
      <c r="AC132" s="10"/>
      <c r="AD132" s="10"/>
      <c r="AE132" s="10"/>
      <c r="AF132" s="10"/>
      <c r="AG132" s="10"/>
      <c r="AH132" s="11"/>
      <c r="AI132" s="15"/>
    </row>
    <row r="133" spans="3:35">
      <c r="C133" s="12"/>
      <c r="D133" s="13"/>
      <c r="E133" s="12"/>
      <c r="F133" s="13"/>
      <c r="G133" s="13"/>
      <c r="H133" s="13"/>
      <c r="I133" s="465" t="s">
        <v>321</v>
      </c>
      <c r="J133" s="465"/>
      <c r="K133" s="449" t="s">
        <v>2</v>
      </c>
      <c r="L133" s="867">
        <v>1200000</v>
      </c>
      <c r="M133" s="867"/>
      <c r="N133" s="867"/>
      <c r="O133" s="867"/>
      <c r="P133" s="867"/>
      <c r="Q133" s="13"/>
      <c r="R133" s="449" t="s">
        <v>2</v>
      </c>
      <c r="S133" s="867">
        <v>1200000</v>
      </c>
      <c r="T133" s="867"/>
      <c r="U133" s="867"/>
      <c r="V133" s="867"/>
      <c r="W133" s="867"/>
      <c r="X133" s="17"/>
      <c r="Y133" s="17"/>
      <c r="Z133" s="17"/>
      <c r="AA133" s="17"/>
      <c r="AB133" s="13"/>
      <c r="AC133" s="449" t="s">
        <v>2</v>
      </c>
      <c r="AD133" s="617">
        <f>S133</f>
        <v>1200000</v>
      </c>
      <c r="AE133" s="617"/>
      <c r="AF133" s="617"/>
      <c r="AG133" s="617"/>
      <c r="AH133" s="15"/>
      <c r="AI133" s="15"/>
    </row>
    <row r="134" spans="3:35" ht="21">
      <c r="C134" s="12"/>
      <c r="D134" s="13"/>
      <c r="E134" s="12"/>
      <c r="F134" s="13"/>
      <c r="G134" s="13"/>
      <c r="H134" s="13"/>
      <c r="I134" s="465"/>
      <c r="J134" s="465"/>
      <c r="K134" s="449"/>
      <c r="L134" s="461" t="s">
        <v>841</v>
      </c>
      <c r="M134" s="461"/>
      <c r="N134" s="13" t="s">
        <v>70</v>
      </c>
      <c r="O134" s="34" t="s">
        <v>302</v>
      </c>
      <c r="P134" s="13" t="s">
        <v>344</v>
      </c>
      <c r="Q134" s="13"/>
      <c r="R134" s="449"/>
      <c r="S134" s="13" t="s">
        <v>69</v>
      </c>
      <c r="T134" s="458">
        <f>U144</f>
        <v>6300</v>
      </c>
      <c r="U134" s="458"/>
      <c r="V134" s="458"/>
      <c r="W134" s="13" t="s">
        <v>70</v>
      </c>
      <c r="X134" s="436">
        <f>U148</f>
        <v>129</v>
      </c>
      <c r="Y134" s="436"/>
      <c r="Z134" s="13"/>
      <c r="AA134" s="13" t="s">
        <v>344</v>
      </c>
      <c r="AB134" s="13"/>
      <c r="AC134" s="449"/>
      <c r="AD134" s="436">
        <f>(T134/X134)^2</f>
        <v>2385.0730124391566</v>
      </c>
      <c r="AE134" s="436"/>
      <c r="AF134" s="436"/>
      <c r="AG134" s="436"/>
      <c r="AH134" s="15"/>
      <c r="AI134" s="15"/>
    </row>
    <row r="135" spans="3:35">
      <c r="C135" s="12"/>
      <c r="D135" s="13"/>
      <c r="E135" s="12"/>
      <c r="F135" s="13"/>
      <c r="G135" s="13"/>
      <c r="H135" s="13"/>
      <c r="I135" s="36"/>
      <c r="J135" s="36"/>
      <c r="K135" s="28"/>
      <c r="L135" s="13"/>
      <c r="M135" s="13"/>
      <c r="N135" s="13"/>
      <c r="O135" s="34"/>
      <c r="P135" s="13"/>
      <c r="Q135" s="13"/>
      <c r="R135" s="28"/>
      <c r="S135" s="13"/>
      <c r="T135" s="27"/>
      <c r="U135" s="27"/>
      <c r="V135" s="27"/>
      <c r="W135" s="13"/>
      <c r="X135" s="14"/>
      <c r="Y135" s="14"/>
      <c r="Z135" s="13"/>
      <c r="AA135" s="13"/>
      <c r="AB135" s="13"/>
      <c r="AC135" s="28"/>
      <c r="AD135" s="14"/>
      <c r="AE135" s="14"/>
      <c r="AF135" s="14"/>
      <c r="AG135" s="14"/>
      <c r="AH135" s="15"/>
      <c r="AI135" s="15"/>
    </row>
    <row r="136" spans="3:35">
      <c r="C136" s="12"/>
      <c r="D136" s="13"/>
      <c r="E136" s="12"/>
      <c r="F136" s="13"/>
      <c r="G136" s="13"/>
      <c r="H136" s="13"/>
      <c r="I136" s="36"/>
      <c r="J136" s="36"/>
      <c r="K136" s="28" t="s">
        <v>2</v>
      </c>
      <c r="L136" s="462">
        <f>AD133/AD134</f>
        <v>503.12925170068019</v>
      </c>
      <c r="M136" s="463"/>
      <c r="N136" s="464"/>
      <c r="O136" s="34"/>
      <c r="P136" s="13"/>
      <c r="Q136" s="13"/>
      <c r="R136" s="13"/>
      <c r="S136" s="28"/>
      <c r="T136" s="13"/>
      <c r="U136" s="27"/>
      <c r="V136" s="27"/>
      <c r="W136" s="27"/>
      <c r="X136" s="13"/>
      <c r="Y136" s="14"/>
      <c r="Z136" s="14"/>
      <c r="AA136" s="13"/>
      <c r="AB136" s="31"/>
      <c r="AC136" s="13"/>
      <c r="AD136" s="13"/>
      <c r="AE136" s="13"/>
      <c r="AF136" s="13"/>
      <c r="AG136" s="13"/>
      <c r="AH136" s="15"/>
      <c r="AI136" s="15"/>
    </row>
    <row r="137" spans="3:35">
      <c r="C137" s="12"/>
      <c r="D137" s="13"/>
      <c r="E137" s="12"/>
      <c r="F137" s="13"/>
      <c r="G137" s="13"/>
      <c r="H137" s="13"/>
      <c r="I137" s="13"/>
      <c r="J137" s="13"/>
      <c r="K137" s="13"/>
      <c r="L137" s="13"/>
      <c r="M137" s="13"/>
      <c r="N137" s="13"/>
      <c r="O137" s="13"/>
      <c r="P137" s="13"/>
      <c r="Q137" s="13"/>
      <c r="R137" s="13"/>
      <c r="S137" s="13"/>
      <c r="T137" s="13"/>
      <c r="U137" s="13"/>
      <c r="V137" s="13"/>
      <c r="W137"/>
      <c r="X137" s="13"/>
      <c r="Y137" s="13"/>
      <c r="Z137" s="13"/>
      <c r="AA137" s="13"/>
      <c r="AB137" s="13"/>
      <c r="AC137" s="13"/>
      <c r="AD137" s="13"/>
      <c r="AE137" s="13"/>
      <c r="AF137" s="13"/>
      <c r="AG137" s="13"/>
      <c r="AH137" s="15"/>
      <c r="AI137" s="15"/>
    </row>
    <row r="138" spans="3:35">
      <c r="C138" s="12"/>
      <c r="D138" s="13"/>
      <c r="E138" s="12"/>
      <c r="F138" s="13"/>
      <c r="G138" s="13"/>
      <c r="H138" s="13"/>
      <c r="I138" s="465" t="s">
        <v>325</v>
      </c>
      <c r="J138" s="465"/>
      <c r="K138" s="449" t="s">
        <v>2</v>
      </c>
      <c r="L138" s="867">
        <v>1200000</v>
      </c>
      <c r="M138" s="867"/>
      <c r="N138" s="867"/>
      <c r="O138" s="867"/>
      <c r="P138" s="867"/>
      <c r="Q138" s="13"/>
      <c r="R138" s="449" t="s">
        <v>2</v>
      </c>
      <c r="S138" s="867">
        <v>1200000</v>
      </c>
      <c r="T138" s="867"/>
      <c r="U138" s="867"/>
      <c r="V138" s="867"/>
      <c r="W138" s="867"/>
      <c r="X138" s="17"/>
      <c r="Y138" s="17"/>
      <c r="Z138" s="17"/>
      <c r="AA138" s="17"/>
      <c r="AB138" s="13"/>
      <c r="AC138" s="449" t="s">
        <v>2</v>
      </c>
      <c r="AD138" s="617">
        <f>S138</f>
        <v>1200000</v>
      </c>
      <c r="AE138" s="617"/>
      <c r="AF138" s="617"/>
      <c r="AG138" s="617"/>
      <c r="AH138" s="15"/>
      <c r="AI138" s="15"/>
    </row>
    <row r="139" spans="3:35" ht="21">
      <c r="C139" s="12"/>
      <c r="D139" s="13"/>
      <c r="E139" s="12"/>
      <c r="F139" s="13"/>
      <c r="G139" s="13"/>
      <c r="H139" s="13"/>
      <c r="I139" s="465"/>
      <c r="J139" s="465"/>
      <c r="K139" s="449"/>
      <c r="L139" s="461" t="s">
        <v>842</v>
      </c>
      <c r="M139" s="461"/>
      <c r="N139" s="13" t="s">
        <v>70</v>
      </c>
      <c r="O139" s="34" t="s">
        <v>303</v>
      </c>
      <c r="P139" s="13" t="s">
        <v>344</v>
      </c>
      <c r="Q139" s="13"/>
      <c r="R139" s="449"/>
      <c r="S139" s="13" t="s">
        <v>69</v>
      </c>
      <c r="T139" s="458">
        <f>U145</f>
        <v>3300.0000000000005</v>
      </c>
      <c r="U139" s="458"/>
      <c r="V139" s="458"/>
      <c r="W139" s="13" t="s">
        <v>70</v>
      </c>
      <c r="X139" s="436">
        <f>U149</f>
        <v>75.099999999999994</v>
      </c>
      <c r="Y139" s="436"/>
      <c r="Z139" s="13"/>
      <c r="AA139" s="13" t="s">
        <v>344</v>
      </c>
      <c r="AB139" s="13"/>
      <c r="AC139" s="449"/>
      <c r="AD139" s="436">
        <f>(T139/X139)^2</f>
        <v>1930.8476403410641</v>
      </c>
      <c r="AE139" s="436"/>
      <c r="AF139" s="436"/>
      <c r="AG139" s="436"/>
      <c r="AH139" s="15"/>
      <c r="AI139" s="15"/>
    </row>
    <row r="140" spans="3:35">
      <c r="C140" s="12"/>
      <c r="D140" s="13"/>
      <c r="E140" s="12"/>
      <c r="F140" s="13"/>
      <c r="G140" s="13"/>
      <c r="H140" s="13"/>
      <c r="I140" s="36"/>
      <c r="J140" s="36"/>
      <c r="K140" s="28"/>
      <c r="L140" s="13"/>
      <c r="M140" s="13"/>
      <c r="N140" s="13"/>
      <c r="O140" s="34"/>
      <c r="P140" s="13"/>
      <c r="Q140" s="13"/>
      <c r="R140" s="28"/>
      <c r="S140" s="13"/>
      <c r="T140" s="27"/>
      <c r="U140" s="27"/>
      <c r="V140" s="27"/>
      <c r="W140" s="13"/>
      <c r="X140" s="14"/>
      <c r="Y140" s="14"/>
      <c r="Z140" s="13"/>
      <c r="AA140" s="13"/>
      <c r="AB140" s="13"/>
      <c r="AC140" s="28"/>
      <c r="AD140" s="14"/>
      <c r="AE140" s="14"/>
      <c r="AF140" s="14"/>
      <c r="AG140" s="14"/>
      <c r="AH140" s="15"/>
      <c r="AI140" s="15"/>
    </row>
    <row r="141" spans="3:35">
      <c r="C141" s="12"/>
      <c r="D141" s="13"/>
      <c r="E141" s="12"/>
      <c r="F141" s="13"/>
      <c r="G141" s="13"/>
      <c r="H141" s="13"/>
      <c r="I141" s="36"/>
      <c r="J141" s="36"/>
      <c r="K141" s="28" t="s">
        <v>2</v>
      </c>
      <c r="L141" s="462">
        <f>AD138/AD139</f>
        <v>621.48870523415951</v>
      </c>
      <c r="M141" s="463"/>
      <c r="N141" s="464"/>
      <c r="O141" s="34"/>
      <c r="P141" s="13"/>
      <c r="Q141" s="13"/>
      <c r="R141" s="13"/>
      <c r="S141" s="28"/>
      <c r="T141" s="13"/>
      <c r="U141" s="27"/>
      <c r="V141" s="27"/>
      <c r="W141" s="27"/>
      <c r="X141" s="13"/>
      <c r="Y141" s="14"/>
      <c r="Z141" s="14"/>
      <c r="AA141" s="13"/>
      <c r="AB141" s="31"/>
      <c r="AC141" s="13"/>
      <c r="AD141" s="13"/>
      <c r="AE141" s="13"/>
      <c r="AF141" s="13"/>
      <c r="AG141" s="13"/>
      <c r="AH141" s="15"/>
      <c r="AI141" s="15"/>
    </row>
    <row r="142" spans="3:35">
      <c r="C142" s="12"/>
      <c r="D142" s="13"/>
      <c r="E142" s="12"/>
      <c r="F142" s="13"/>
      <c r="G142" s="13"/>
      <c r="H142" s="13"/>
      <c r="I142" s="13"/>
      <c r="J142" s="13"/>
      <c r="K142" s="13"/>
      <c r="L142" s="13"/>
      <c r="M142" s="13"/>
      <c r="N142" s="13"/>
      <c r="O142" s="13"/>
      <c r="P142" s="13"/>
      <c r="Q142" s="13"/>
      <c r="R142" s="13"/>
      <c r="S142" s="13"/>
      <c r="T142" s="13"/>
      <c r="U142" s="13"/>
      <c r="V142" s="13"/>
      <c r="W142"/>
      <c r="X142" s="13"/>
      <c r="Y142" s="13"/>
      <c r="Z142" s="13"/>
      <c r="AA142" s="13"/>
      <c r="AB142" s="13"/>
      <c r="AC142" s="13"/>
      <c r="AD142" s="13"/>
      <c r="AE142" s="13"/>
      <c r="AF142" s="13"/>
      <c r="AG142" s="13"/>
      <c r="AH142" s="15"/>
      <c r="AI142" s="15"/>
    </row>
    <row r="143" spans="3:35">
      <c r="C143" s="12"/>
      <c r="D143" s="13"/>
      <c r="E143" s="12"/>
      <c r="F143" s="13"/>
      <c r="G143" s="13"/>
      <c r="H143" s="13"/>
      <c r="I143" s="13"/>
      <c r="J143" s="13"/>
      <c r="K143" s="13" t="s">
        <v>343</v>
      </c>
      <c r="L143" s="13" t="s">
        <v>346</v>
      </c>
      <c r="M143" s="13"/>
      <c r="N143" s="13"/>
      <c r="O143" s="13"/>
      <c r="P143" s="13"/>
      <c r="Q143" s="13"/>
      <c r="R143" s="13"/>
      <c r="S143" s="13"/>
      <c r="T143" s="13"/>
      <c r="U143" s="13"/>
      <c r="V143" s="13"/>
      <c r="W143"/>
      <c r="X143" s="13"/>
      <c r="Y143" s="13"/>
      <c r="Z143" s="13"/>
      <c r="AA143" s="13"/>
      <c r="AB143" s="13"/>
      <c r="AC143" s="13"/>
      <c r="AD143" s="13"/>
      <c r="AE143" s="13"/>
      <c r="AF143" s="13"/>
      <c r="AG143" s="13"/>
      <c r="AH143" s="15"/>
      <c r="AI143" s="15"/>
    </row>
    <row r="144" spans="3:35" ht="20.25">
      <c r="C144" s="12"/>
      <c r="D144" s="13"/>
      <c r="E144" s="12"/>
      <c r="F144" s="13"/>
      <c r="G144" s="13"/>
      <c r="H144" s="13"/>
      <c r="I144" s="13"/>
      <c r="J144" s="13"/>
      <c r="K144" s="461" t="s">
        <v>839</v>
      </c>
      <c r="L144" s="461"/>
      <c r="M144" s="13" t="s">
        <v>2</v>
      </c>
      <c r="N144" s="448">
        <f>T20</f>
        <v>6.3</v>
      </c>
      <c r="O144" s="448"/>
      <c r="P144" s="13" t="s">
        <v>27</v>
      </c>
      <c r="Q144" s="869">
        <v>1000</v>
      </c>
      <c r="R144" s="869"/>
      <c r="S144" s="13"/>
      <c r="T144" s="13" t="s">
        <v>2</v>
      </c>
      <c r="U144" s="471">
        <f>N144*Q144</f>
        <v>6300</v>
      </c>
      <c r="V144" s="472"/>
      <c r="W144" s="473"/>
      <c r="X144" s="13"/>
      <c r="Y144" s="13"/>
      <c r="Z144" s="13"/>
      <c r="AA144" s="13"/>
      <c r="AB144" s="13"/>
      <c r="AC144" s="13"/>
      <c r="AD144" s="13"/>
      <c r="AE144" s="13"/>
      <c r="AF144" s="13"/>
      <c r="AG144" s="13"/>
      <c r="AH144" s="15"/>
      <c r="AI144" s="15"/>
    </row>
    <row r="145" spans="3:35" ht="20.25">
      <c r="C145" s="12"/>
      <c r="D145" s="13"/>
      <c r="E145" s="12"/>
      <c r="F145" s="13"/>
      <c r="G145" s="13"/>
      <c r="H145" s="13"/>
      <c r="I145" s="13"/>
      <c r="J145" s="13"/>
      <c r="K145" s="461" t="s">
        <v>840</v>
      </c>
      <c r="L145" s="461"/>
      <c r="M145" s="13" t="s">
        <v>2</v>
      </c>
      <c r="N145" s="448">
        <f>T22</f>
        <v>3.3000000000000003</v>
      </c>
      <c r="O145" s="448"/>
      <c r="P145" s="13" t="s">
        <v>27</v>
      </c>
      <c r="Q145" s="869">
        <v>1000</v>
      </c>
      <c r="R145" s="869"/>
      <c r="S145" s="13"/>
      <c r="T145" s="13" t="s">
        <v>2</v>
      </c>
      <c r="U145" s="471">
        <f>N145*Q145</f>
        <v>3300.0000000000005</v>
      </c>
      <c r="V145" s="472"/>
      <c r="W145" s="473"/>
      <c r="X145" s="13"/>
      <c r="Y145" s="13"/>
      <c r="Z145" s="13"/>
      <c r="AA145" s="13"/>
      <c r="AB145" s="13"/>
      <c r="AC145" s="13"/>
      <c r="AD145" s="13"/>
      <c r="AE145" s="13"/>
      <c r="AF145" s="13"/>
      <c r="AG145" s="13"/>
      <c r="AH145" s="15"/>
      <c r="AI145" s="15"/>
    </row>
    <row r="146" spans="3:35">
      <c r="C146" s="12"/>
      <c r="D146" s="13"/>
      <c r="E146" s="12"/>
      <c r="F146" s="13"/>
      <c r="G146" s="13"/>
      <c r="H146" s="13"/>
      <c r="I146" s="13"/>
      <c r="J146" s="13"/>
      <c r="K146" s="13"/>
      <c r="L146" s="13"/>
      <c r="M146" s="13"/>
      <c r="N146" s="14"/>
      <c r="O146" s="14"/>
      <c r="P146" s="13"/>
      <c r="Q146" s="158"/>
      <c r="R146" s="158"/>
      <c r="S146" s="13"/>
      <c r="T146" s="13"/>
      <c r="U146" s="27"/>
      <c r="V146" s="27"/>
      <c r="W146" s="27"/>
      <c r="X146" s="13"/>
      <c r="Y146" s="13"/>
      <c r="Z146" s="13"/>
      <c r="AA146" s="13"/>
      <c r="AB146" s="13"/>
      <c r="AC146" s="13"/>
      <c r="AD146" s="13"/>
      <c r="AE146" s="13"/>
      <c r="AF146" s="13"/>
      <c r="AG146" s="13"/>
      <c r="AH146" s="15"/>
      <c r="AI146" s="15"/>
    </row>
    <row r="147" spans="3:35">
      <c r="C147" s="12"/>
      <c r="D147" s="13"/>
      <c r="E147" s="12"/>
      <c r="F147" s="13"/>
      <c r="G147" s="13"/>
      <c r="H147" s="13"/>
      <c r="I147" s="13"/>
      <c r="J147" s="34" t="s">
        <v>302</v>
      </c>
      <c r="K147" s="34" t="s">
        <v>303</v>
      </c>
      <c r="L147" s="13" t="s">
        <v>345</v>
      </c>
      <c r="M147" s="13"/>
      <c r="N147" s="13"/>
      <c r="O147" s="13"/>
      <c r="P147" s="13"/>
      <c r="Q147" s="13"/>
      <c r="R147" s="13"/>
      <c r="S147" s="13"/>
      <c r="T147" s="13"/>
      <c r="U147" s="13"/>
      <c r="V147" s="13"/>
      <c r="W147"/>
      <c r="X147" s="13"/>
      <c r="Y147" s="13"/>
      <c r="Z147" s="13"/>
      <c r="AA147" s="13"/>
      <c r="AB147" s="13"/>
      <c r="AC147" s="13"/>
      <c r="AD147" s="13"/>
      <c r="AE147" s="13"/>
      <c r="AF147" s="13"/>
      <c r="AG147" s="13"/>
      <c r="AH147" s="15"/>
      <c r="AI147" s="15"/>
    </row>
    <row r="148" spans="3:35">
      <c r="C148" s="12"/>
      <c r="D148" s="13"/>
      <c r="E148" s="12"/>
      <c r="F148" s="13"/>
      <c r="G148" s="13"/>
      <c r="H148" s="13"/>
      <c r="I148" s="13"/>
      <c r="J148" s="13"/>
      <c r="K148" s="13"/>
      <c r="L148" s="34" t="s">
        <v>302</v>
      </c>
      <c r="M148" s="13" t="s">
        <v>2</v>
      </c>
      <c r="N148" s="448">
        <f>'1.設計条件'!Q80</f>
        <v>12.9</v>
      </c>
      <c r="O148" s="448"/>
      <c r="P148" s="13" t="s">
        <v>27</v>
      </c>
      <c r="Q148" s="869">
        <v>10</v>
      </c>
      <c r="R148" s="869"/>
      <c r="S148" s="13"/>
      <c r="T148" s="13" t="s">
        <v>2</v>
      </c>
      <c r="U148" s="462">
        <f>N148*Q148</f>
        <v>129</v>
      </c>
      <c r="V148" s="463"/>
      <c r="W148" s="464"/>
      <c r="X148" s="13"/>
      <c r="Y148" s="13"/>
      <c r="Z148" s="13"/>
      <c r="AA148" s="13"/>
      <c r="AB148" s="13"/>
      <c r="AC148" s="13"/>
      <c r="AD148" s="13"/>
      <c r="AE148" s="13"/>
      <c r="AF148" s="13"/>
      <c r="AG148" s="13"/>
      <c r="AH148" s="15"/>
      <c r="AI148" s="15"/>
    </row>
    <row r="149" spans="3:35">
      <c r="C149" s="12"/>
      <c r="D149" s="13"/>
      <c r="E149" s="12"/>
      <c r="F149" s="13"/>
      <c r="G149" s="13"/>
      <c r="H149" s="13"/>
      <c r="I149" s="13"/>
      <c r="J149" s="13"/>
      <c r="K149" s="13"/>
      <c r="L149" s="34" t="s">
        <v>303</v>
      </c>
      <c r="M149" s="13" t="s">
        <v>2</v>
      </c>
      <c r="N149" s="448">
        <f>'1.設計条件'!Q81</f>
        <v>7.51</v>
      </c>
      <c r="O149" s="448"/>
      <c r="P149" s="13" t="s">
        <v>27</v>
      </c>
      <c r="Q149" s="869">
        <v>10</v>
      </c>
      <c r="R149" s="869"/>
      <c r="S149" s="13"/>
      <c r="T149" s="13" t="s">
        <v>2</v>
      </c>
      <c r="U149" s="462">
        <f>N149*Q149</f>
        <v>75.099999999999994</v>
      </c>
      <c r="V149" s="463"/>
      <c r="W149" s="464"/>
      <c r="X149" s="13"/>
      <c r="Y149" s="13"/>
      <c r="Z149" s="13"/>
      <c r="AA149" s="13"/>
      <c r="AB149" s="13"/>
      <c r="AC149" s="13"/>
      <c r="AD149" s="13"/>
      <c r="AE149" s="13"/>
      <c r="AF149" s="13"/>
      <c r="AG149" s="13"/>
      <c r="AH149" s="15"/>
      <c r="AI149" s="15"/>
    </row>
    <row r="150" spans="3:35">
      <c r="C150" s="12"/>
      <c r="D150" s="13"/>
      <c r="E150" s="16"/>
      <c r="F150" s="17"/>
      <c r="G150" s="17"/>
      <c r="H150" s="17"/>
      <c r="I150" s="17"/>
      <c r="J150" s="17"/>
      <c r="K150" s="17"/>
      <c r="L150" s="123"/>
      <c r="M150" s="17"/>
      <c r="N150" s="150"/>
      <c r="O150" s="150"/>
      <c r="P150" s="17"/>
      <c r="Q150" s="159"/>
      <c r="R150" s="159"/>
      <c r="S150" s="17"/>
      <c r="T150" s="17"/>
      <c r="U150" s="18"/>
      <c r="V150" s="18"/>
      <c r="W150" s="18"/>
      <c r="X150" s="17"/>
      <c r="Y150" s="17"/>
      <c r="Z150" s="17"/>
      <c r="AA150" s="17"/>
      <c r="AB150" s="17"/>
      <c r="AC150" s="17"/>
      <c r="AD150" s="17"/>
      <c r="AE150" s="17"/>
      <c r="AF150" s="17"/>
      <c r="AG150" s="17"/>
      <c r="AH150" s="19"/>
      <c r="AI150" s="15"/>
    </row>
    <row r="151" spans="3:35">
      <c r="C151" s="12"/>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5"/>
    </row>
    <row r="152" spans="3:35">
      <c r="C152" s="12" t="s">
        <v>67</v>
      </c>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5"/>
    </row>
    <row r="153" spans="3:35">
      <c r="C153" s="12"/>
      <c r="D153" s="13" t="s">
        <v>383</v>
      </c>
      <c r="F153" s="13"/>
      <c r="G153" s="13"/>
      <c r="H153" s="13"/>
      <c r="I153" s="13"/>
      <c r="J153" s="13"/>
      <c r="K153" s="13"/>
      <c r="L153" s="13"/>
      <c r="M153" s="13"/>
      <c r="N153" s="13"/>
      <c r="O153" s="13"/>
      <c r="P153" s="13"/>
      <c r="Q153" s="13"/>
      <c r="R153" s="13"/>
      <c r="S153" s="13"/>
      <c r="T153" s="13"/>
      <c r="U153" s="13"/>
      <c r="V153" s="13"/>
      <c r="W153"/>
      <c r="X153" s="13"/>
      <c r="Y153" s="13"/>
      <c r="Z153" s="13"/>
      <c r="AA153" s="13"/>
      <c r="AB153" s="13"/>
      <c r="AC153" s="13"/>
      <c r="AD153" s="13"/>
      <c r="AE153" s="13"/>
      <c r="AF153" s="13"/>
      <c r="AG153" s="13"/>
      <c r="AH153" s="13"/>
      <c r="AI153" s="15"/>
    </row>
    <row r="154" spans="3:35">
      <c r="C154" s="12"/>
      <c r="D154" s="13"/>
      <c r="E154" s="13"/>
      <c r="F154" s="466" t="s">
        <v>318</v>
      </c>
      <c r="G154" s="466"/>
      <c r="H154" s="449" t="s">
        <v>68</v>
      </c>
      <c r="I154" s="17"/>
      <c r="J154" s="17"/>
      <c r="K154" s="17"/>
      <c r="L154" s="17"/>
      <c r="M154" s="466" t="s">
        <v>317</v>
      </c>
      <c r="N154" s="466"/>
      <c r="O154" s="17"/>
      <c r="P154" s="17"/>
      <c r="Q154" s="17"/>
      <c r="R154" s="17"/>
      <c r="S154" s="449" t="s">
        <v>68</v>
      </c>
      <c r="T154" s="17"/>
      <c r="U154" s="17"/>
      <c r="V154" s="17"/>
      <c r="W154" s="17"/>
      <c r="X154" s="466" t="s">
        <v>323</v>
      </c>
      <c r="Y154" s="466"/>
      <c r="Z154" s="17"/>
      <c r="AA154" s="17"/>
      <c r="AB154" s="17"/>
      <c r="AC154" s="17"/>
      <c r="AD154" s="32"/>
      <c r="AE154" s="313"/>
      <c r="AF154" s="13"/>
      <c r="AG154" s="13"/>
      <c r="AH154" s="13"/>
      <c r="AI154" s="15"/>
    </row>
    <row r="155" spans="3:35">
      <c r="C155" s="12"/>
      <c r="D155" s="13"/>
      <c r="E155" s="13"/>
      <c r="F155" s="360" t="s">
        <v>319</v>
      </c>
      <c r="G155" s="360"/>
      <c r="H155" s="449"/>
      <c r="I155" s="360" t="s">
        <v>322</v>
      </c>
      <c r="J155" s="360"/>
      <c r="K155" s="41" t="s">
        <v>320</v>
      </c>
      <c r="L155" s="13" t="s">
        <v>263</v>
      </c>
      <c r="M155" s="360" t="s">
        <v>318</v>
      </c>
      <c r="N155" s="360"/>
      <c r="O155" s="13" t="s">
        <v>70</v>
      </c>
      <c r="P155" s="360" t="s">
        <v>321</v>
      </c>
      <c r="Q155" s="360"/>
      <c r="R155" s="13" t="s">
        <v>83</v>
      </c>
      <c r="S155" s="449"/>
      <c r="T155" s="360" t="s">
        <v>324</v>
      </c>
      <c r="U155" s="360"/>
      <c r="V155" s="41" t="s">
        <v>320</v>
      </c>
      <c r="W155" s="13" t="s">
        <v>263</v>
      </c>
      <c r="X155" s="360" t="s">
        <v>318</v>
      </c>
      <c r="Y155" s="360"/>
      <c r="Z155" s="13" t="s">
        <v>70</v>
      </c>
      <c r="AA155" s="360" t="s">
        <v>325</v>
      </c>
      <c r="AB155" s="360"/>
      <c r="AC155" s="13" t="s">
        <v>83</v>
      </c>
      <c r="AD155" s="32"/>
      <c r="AE155" s="313"/>
      <c r="AF155" s="13"/>
      <c r="AG155" s="13"/>
      <c r="AH155" s="13"/>
      <c r="AI155" s="15"/>
    </row>
    <row r="156" spans="3:35">
      <c r="C156" s="12"/>
      <c r="D156" s="13"/>
      <c r="E156" s="13"/>
      <c r="F156" s="35"/>
      <c r="G156" s="35"/>
      <c r="H156" s="28"/>
      <c r="I156" s="35"/>
      <c r="J156" s="35"/>
      <c r="K156" s="41"/>
      <c r="L156" s="13"/>
      <c r="M156" s="35"/>
      <c r="N156" s="35"/>
      <c r="O156" s="13"/>
      <c r="P156" s="35"/>
      <c r="Q156" s="35"/>
      <c r="R156" s="13"/>
      <c r="S156" s="28"/>
      <c r="T156" s="35"/>
      <c r="U156" s="35"/>
      <c r="V156" s="41"/>
      <c r="W156" s="13"/>
      <c r="X156" s="35"/>
      <c r="Y156" s="35"/>
      <c r="Z156" s="13"/>
      <c r="AA156" s="35"/>
      <c r="AB156" s="35"/>
      <c r="AC156" s="13"/>
      <c r="AD156" s="28"/>
      <c r="AE156" s="149"/>
      <c r="AF156" s="13"/>
      <c r="AG156" s="13"/>
      <c r="AH156" s="13"/>
      <c r="AI156" s="15"/>
    </row>
    <row r="157" spans="3:35">
      <c r="C157" s="12"/>
      <c r="D157" s="13"/>
      <c r="E157" s="449" t="s">
        <v>2</v>
      </c>
      <c r="F157" s="457">
        <f>V66</f>
        <v>72.35003371246502</v>
      </c>
      <c r="G157" s="457"/>
      <c r="H157" s="449" t="s">
        <v>68</v>
      </c>
      <c r="I157" s="17"/>
      <c r="J157" s="17"/>
      <c r="K157" s="17"/>
      <c r="L157" s="17"/>
      <c r="M157" s="457">
        <f>J75</f>
        <v>21.570652173913043</v>
      </c>
      <c r="N157" s="457"/>
      <c r="O157" s="17"/>
      <c r="P157" s="17"/>
      <c r="Q157" s="17"/>
      <c r="R157" s="17"/>
      <c r="S157" s="449" t="s">
        <v>68</v>
      </c>
      <c r="T157" s="17"/>
      <c r="U157" s="17"/>
      <c r="V157" s="17"/>
      <c r="W157" s="17"/>
      <c r="X157" s="457">
        <f>J78</f>
        <v>0</v>
      </c>
      <c r="Y157" s="457"/>
      <c r="Z157" s="17"/>
      <c r="AA157" s="17"/>
      <c r="AB157" s="17"/>
      <c r="AC157" s="17"/>
      <c r="AD157" s="28"/>
      <c r="AE157" s="149"/>
      <c r="AF157" s="13"/>
      <c r="AG157" s="13"/>
      <c r="AH157" s="13"/>
      <c r="AI157" s="15"/>
    </row>
    <row r="158" spans="3:35">
      <c r="C158" s="12"/>
      <c r="D158" s="13"/>
      <c r="E158" s="449"/>
      <c r="F158" s="380">
        <f>J99</f>
        <v>178.09206391478028</v>
      </c>
      <c r="G158" s="380"/>
      <c r="H158" s="449"/>
      <c r="I158" s="433">
        <f>J118</f>
        <v>150.60000000000002</v>
      </c>
      <c r="J158" s="433"/>
      <c r="K158" s="41" t="s">
        <v>320</v>
      </c>
      <c r="L158" s="13" t="s">
        <v>263</v>
      </c>
      <c r="M158" s="380">
        <f>V66</f>
        <v>72.35003371246502</v>
      </c>
      <c r="N158" s="380"/>
      <c r="O158" s="13" t="s">
        <v>70</v>
      </c>
      <c r="P158" s="380">
        <f>L136</f>
        <v>503.12925170068019</v>
      </c>
      <c r="Q158" s="380"/>
      <c r="R158" s="13" t="s">
        <v>83</v>
      </c>
      <c r="S158" s="449"/>
      <c r="T158" s="433">
        <f>L123</f>
        <v>210</v>
      </c>
      <c r="U158" s="433"/>
      <c r="V158" s="41" t="s">
        <v>320</v>
      </c>
      <c r="W158" s="13" t="s">
        <v>263</v>
      </c>
      <c r="X158" s="380">
        <f>V66</f>
        <v>72.35003371246502</v>
      </c>
      <c r="Y158" s="380"/>
      <c r="Z158" s="13" t="s">
        <v>70</v>
      </c>
      <c r="AA158" s="380">
        <f>L141</f>
        <v>621.48870523415951</v>
      </c>
      <c r="AB158" s="380"/>
      <c r="AC158" s="13" t="s">
        <v>83</v>
      </c>
      <c r="AD158" s="28"/>
      <c r="AE158" s="149"/>
      <c r="AF158" s="13"/>
      <c r="AG158" s="13"/>
      <c r="AH158" s="13"/>
      <c r="AI158" s="15"/>
    </row>
    <row r="159" spans="3:35">
      <c r="C159" s="12"/>
      <c r="D159" s="13"/>
      <c r="E159" s="28"/>
      <c r="F159" s="35"/>
      <c r="G159" s="35"/>
      <c r="H159" s="28"/>
      <c r="I159" s="35"/>
      <c r="J159" s="35"/>
      <c r="K159" s="41"/>
      <c r="L159" s="13"/>
      <c r="M159" s="35"/>
      <c r="N159" s="35"/>
      <c r="O159" s="13"/>
      <c r="P159" s="35"/>
      <c r="Q159" s="35"/>
      <c r="R159" s="13"/>
      <c r="S159" s="28"/>
      <c r="T159" s="35"/>
      <c r="U159" s="35"/>
      <c r="V159" s="41"/>
      <c r="W159" s="13"/>
      <c r="X159" s="35"/>
      <c r="Y159" s="35"/>
      <c r="Z159" s="13"/>
      <c r="AA159" s="35"/>
      <c r="AB159" s="35"/>
      <c r="AC159" s="13"/>
      <c r="AD159" s="28"/>
      <c r="AE159" s="149"/>
      <c r="AF159" s="13"/>
      <c r="AG159" s="13"/>
      <c r="AH159" s="13"/>
      <c r="AI159" s="15"/>
    </row>
    <row r="160" spans="3:35">
      <c r="C160" s="12"/>
      <c r="D160" s="13"/>
      <c r="E160" s="13" t="s">
        <v>2</v>
      </c>
      <c r="F160" s="853">
        <f>F157/F158</f>
        <v>0.4062507453846208</v>
      </c>
      <c r="G160" s="853"/>
      <c r="H160" s="28" t="s">
        <v>68</v>
      </c>
      <c r="I160" s="853">
        <f>M157/(I158*(1-M158/P158))</f>
        <v>0.16728736027849553</v>
      </c>
      <c r="J160" s="853"/>
      <c r="K160" s="853"/>
      <c r="L160" s="853"/>
      <c r="M160" s="853"/>
      <c r="N160" s="853"/>
      <c r="O160" s="853"/>
      <c r="P160" s="853"/>
      <c r="Q160" s="853"/>
      <c r="R160" s="853"/>
      <c r="S160" s="28" t="s">
        <v>68</v>
      </c>
      <c r="T160" s="853">
        <f>X157/(T158*(1-X158/AA158))</f>
        <v>0</v>
      </c>
      <c r="U160" s="853"/>
      <c r="V160" s="853"/>
      <c r="W160" s="853"/>
      <c r="X160" s="853"/>
      <c r="Y160" s="853"/>
      <c r="Z160" s="853"/>
      <c r="AA160" s="853"/>
      <c r="AB160" s="853"/>
      <c r="AC160" s="853"/>
      <c r="AD160" s="28"/>
      <c r="AE160" s="149"/>
      <c r="AF160" s="13"/>
      <c r="AG160" s="13"/>
      <c r="AH160" s="13"/>
      <c r="AI160" s="15"/>
    </row>
    <row r="161" spans="2:35">
      <c r="C161" s="12"/>
      <c r="D161" s="13"/>
      <c r="E161" s="13"/>
      <c r="F161" s="165"/>
      <c r="G161" s="165"/>
      <c r="H161" s="28"/>
      <c r="I161" s="165"/>
      <c r="J161" s="165"/>
      <c r="K161" s="165"/>
      <c r="L161" s="165"/>
      <c r="M161" s="165"/>
      <c r="N161" s="165"/>
      <c r="O161" s="165"/>
      <c r="P161" s="165"/>
      <c r="Q161" s="165"/>
      <c r="R161" s="165"/>
      <c r="S161" s="28"/>
      <c r="T161" s="165"/>
      <c r="U161" s="165"/>
      <c r="V161" s="165"/>
      <c r="W161" s="165"/>
      <c r="X161" s="165"/>
      <c r="Y161" s="165"/>
      <c r="Z161" s="165"/>
      <c r="AA161" s="165"/>
      <c r="AB161" s="165"/>
      <c r="AC161" s="165"/>
      <c r="AD161" s="28"/>
      <c r="AE161" s="149"/>
      <c r="AF161" s="13"/>
      <c r="AG161" s="13"/>
      <c r="AH161" s="13"/>
      <c r="AI161" s="15"/>
    </row>
    <row r="162" spans="2:35">
      <c r="C162" s="12"/>
      <c r="D162" s="13"/>
      <c r="E162" s="13" t="s">
        <v>2</v>
      </c>
      <c r="F162" s="854">
        <f>F160+I160+T160</f>
        <v>0.57353810566311636</v>
      </c>
      <c r="G162" s="855"/>
      <c r="H162" s="28"/>
      <c r="I162" s="13" t="str">
        <f>IF(F162&lt;=J162, "≦","&gt;")</f>
        <v>≦</v>
      </c>
      <c r="J162" s="31">
        <v>1</v>
      </c>
      <c r="K162" s="165"/>
      <c r="L162" s="462" t="str">
        <f>IF(I162="≦","OK","NG")</f>
        <v>OK</v>
      </c>
      <c r="M162" s="463"/>
      <c r="N162" s="464"/>
      <c r="O162" s="34"/>
      <c r="P162" s="13"/>
      <c r="Q162" s="13"/>
      <c r="R162" s="13"/>
      <c r="S162" s="31"/>
      <c r="T162" s="13"/>
      <c r="U162" s="13"/>
      <c r="V162" s="13"/>
      <c r="W162" s="13"/>
      <c r="X162" s="13"/>
      <c r="Y162" s="13"/>
      <c r="Z162" s="13"/>
      <c r="AA162" s="165"/>
      <c r="AB162" s="165"/>
      <c r="AC162" s="165"/>
      <c r="AD162" s="28"/>
      <c r="AE162" s="149"/>
      <c r="AF162" s="13"/>
      <c r="AG162" s="13"/>
      <c r="AH162" s="13"/>
      <c r="AI162" s="15"/>
    </row>
    <row r="163" spans="2:35">
      <c r="C163" s="12"/>
      <c r="D163" s="13"/>
      <c r="E163" s="13"/>
      <c r="F163" s="13"/>
      <c r="G163" s="13"/>
      <c r="H163" s="13"/>
      <c r="I163" s="13"/>
      <c r="J163" s="13"/>
      <c r="K163" s="13"/>
      <c r="L163" s="13"/>
      <c r="M163" s="13"/>
      <c r="N163" s="13"/>
      <c r="O163" s="13"/>
      <c r="P163" s="13"/>
      <c r="Q163" s="13"/>
      <c r="R163" s="13"/>
      <c r="S163" s="13"/>
      <c r="T163" s="13"/>
      <c r="U163" s="13"/>
      <c r="V163" s="13"/>
      <c r="W163"/>
      <c r="X163" s="13"/>
      <c r="Y163" s="13"/>
      <c r="Z163" s="13"/>
      <c r="AA163" s="13"/>
      <c r="AB163" s="13"/>
      <c r="AC163" s="13"/>
      <c r="AD163" s="13"/>
      <c r="AE163" s="13"/>
      <c r="AF163" s="13"/>
      <c r="AG163" s="13"/>
      <c r="AH163" s="13"/>
      <c r="AI163" s="15"/>
    </row>
    <row r="164" spans="2:35">
      <c r="C164" s="12"/>
      <c r="D164" s="13" t="s">
        <v>384</v>
      </c>
      <c r="E164" s="13"/>
      <c r="F164" s="13"/>
      <c r="G164" s="13"/>
      <c r="H164" s="13"/>
      <c r="I164" s="13"/>
      <c r="J164" s="13"/>
      <c r="K164" s="13"/>
      <c r="L164" s="13"/>
      <c r="M164" s="13"/>
      <c r="N164" s="13"/>
      <c r="O164" s="13"/>
      <c r="P164" s="13"/>
      <c r="Q164" s="13"/>
      <c r="R164" s="13"/>
      <c r="S164" s="13"/>
      <c r="T164" s="13"/>
      <c r="U164" s="13"/>
      <c r="V164" s="13"/>
      <c r="W164"/>
      <c r="X164" s="13"/>
      <c r="Y164" s="13"/>
      <c r="Z164" s="13"/>
      <c r="AA164" s="13"/>
      <c r="AB164" s="13"/>
      <c r="AC164" s="13"/>
      <c r="AD164" s="13"/>
      <c r="AE164" s="13"/>
      <c r="AF164" s="13"/>
      <c r="AG164" s="13"/>
      <c r="AH164" s="13"/>
      <c r="AI164" s="15"/>
    </row>
    <row r="165" spans="2:35">
      <c r="C165" s="12"/>
      <c r="D165" s="13"/>
      <c r="E165" s="13"/>
      <c r="F165" s="465" t="s">
        <v>318</v>
      </c>
      <c r="G165" s="465"/>
      <c r="H165" s="449" t="s">
        <v>68</v>
      </c>
      <c r="I165" s="17"/>
      <c r="J165" s="17"/>
      <c r="K165" s="17"/>
      <c r="L165" s="466" t="s">
        <v>317</v>
      </c>
      <c r="M165" s="466"/>
      <c r="N165" s="17"/>
      <c r="O165" s="17"/>
      <c r="P165" s="17"/>
      <c r="Q165" s="449" t="s">
        <v>68</v>
      </c>
      <c r="R165" s="17"/>
      <c r="S165" s="17"/>
      <c r="T165" s="17"/>
      <c r="U165" s="466" t="s">
        <v>323</v>
      </c>
      <c r="V165" s="466"/>
      <c r="W165" s="17"/>
      <c r="X165" s="17"/>
      <c r="Y165" s="17"/>
      <c r="Z165" s="32"/>
      <c r="AA165" s="13"/>
      <c r="AB165" s="13"/>
      <c r="AC165" s="13"/>
      <c r="AD165" s="13"/>
      <c r="AE165" s="13"/>
      <c r="AF165" s="13"/>
      <c r="AG165" s="13"/>
      <c r="AH165" s="13"/>
      <c r="AI165" s="15"/>
    </row>
    <row r="166" spans="2:35">
      <c r="C166" s="12"/>
      <c r="D166" s="13"/>
      <c r="E166" s="13"/>
      <c r="F166" s="465"/>
      <c r="G166" s="465"/>
      <c r="H166" s="449"/>
      <c r="I166" s="13" t="s">
        <v>320</v>
      </c>
      <c r="J166" s="13" t="s">
        <v>263</v>
      </c>
      <c r="K166" s="360" t="s">
        <v>318</v>
      </c>
      <c r="L166" s="360"/>
      <c r="M166" s="13" t="s">
        <v>70</v>
      </c>
      <c r="N166" s="360" t="s">
        <v>321</v>
      </c>
      <c r="O166" s="360"/>
      <c r="P166" s="13" t="s">
        <v>83</v>
      </c>
      <c r="Q166" s="449"/>
      <c r="R166" s="13" t="s">
        <v>320</v>
      </c>
      <c r="S166" s="13" t="s">
        <v>263</v>
      </c>
      <c r="T166" s="360" t="s">
        <v>318</v>
      </c>
      <c r="U166" s="360"/>
      <c r="V166" s="13" t="s">
        <v>70</v>
      </c>
      <c r="W166" s="360" t="s">
        <v>325</v>
      </c>
      <c r="X166" s="360"/>
      <c r="Y166" s="13" t="s">
        <v>83</v>
      </c>
      <c r="Z166" s="32"/>
      <c r="AA166" s="164"/>
      <c r="AB166" s="164"/>
      <c r="AC166" s="13"/>
      <c r="AD166" s="13"/>
      <c r="AE166" s="13"/>
      <c r="AF166" s="13"/>
      <c r="AG166" s="13"/>
      <c r="AH166" s="13"/>
      <c r="AI166" s="15"/>
    </row>
    <row r="167" spans="2:35">
      <c r="C167" s="12"/>
      <c r="D167" s="13"/>
      <c r="E167" s="13"/>
      <c r="F167" s="13"/>
      <c r="G167" s="13"/>
      <c r="H167" s="13"/>
      <c r="I167" s="13"/>
      <c r="J167" s="13"/>
      <c r="K167" s="13"/>
      <c r="L167" s="13"/>
      <c r="M167" s="13"/>
      <c r="N167" s="13"/>
      <c r="O167" s="13"/>
      <c r="P167" s="13"/>
      <c r="Q167" s="13"/>
      <c r="R167" s="13"/>
      <c r="S167" s="13"/>
      <c r="T167" s="13"/>
      <c r="U167" s="13"/>
      <c r="V167" s="13"/>
      <c r="W167"/>
      <c r="X167" s="13"/>
      <c r="Y167" s="13"/>
      <c r="Z167" s="13"/>
      <c r="AA167" s="13"/>
      <c r="AB167" s="13"/>
      <c r="AC167" s="13"/>
      <c r="AD167" s="13"/>
      <c r="AE167" s="13"/>
      <c r="AF167" s="13"/>
      <c r="AG167" s="13"/>
      <c r="AH167" s="13"/>
      <c r="AI167" s="15"/>
    </row>
    <row r="168" spans="2:35">
      <c r="C168" s="12"/>
      <c r="D168" s="13"/>
      <c r="E168" s="449" t="s">
        <v>2</v>
      </c>
      <c r="F168" s="456">
        <f>V66</f>
        <v>72.35003371246502</v>
      </c>
      <c r="G168" s="456"/>
      <c r="H168" s="449" t="s">
        <v>68</v>
      </c>
      <c r="I168" s="17"/>
      <c r="J168" s="17"/>
      <c r="K168" s="17"/>
      <c r="L168" s="457">
        <f>J75</f>
        <v>21.570652173913043</v>
      </c>
      <c r="M168" s="457"/>
      <c r="N168" s="17"/>
      <c r="O168" s="17"/>
      <c r="P168" s="17"/>
      <c r="Q168" s="449" t="s">
        <v>68</v>
      </c>
      <c r="R168" s="17"/>
      <c r="S168" s="17"/>
      <c r="T168" s="17"/>
      <c r="U168" s="457">
        <f>J78</f>
        <v>0</v>
      </c>
      <c r="V168" s="457"/>
      <c r="W168" s="17"/>
      <c r="X168" s="17"/>
      <c r="Y168" s="17"/>
      <c r="Z168" s="32"/>
      <c r="AA168" s="313"/>
      <c r="AB168" s="313"/>
      <c r="AC168" s="13"/>
      <c r="AD168" s="13"/>
      <c r="AE168" s="13"/>
      <c r="AF168" s="13"/>
      <c r="AG168" s="13"/>
      <c r="AH168" s="13"/>
      <c r="AI168" s="15"/>
    </row>
    <row r="169" spans="2:35">
      <c r="C169" s="12"/>
      <c r="D169" s="13"/>
      <c r="E169" s="449"/>
      <c r="F169" s="456"/>
      <c r="G169" s="456"/>
      <c r="H169" s="449"/>
      <c r="I169" s="13" t="s">
        <v>320</v>
      </c>
      <c r="J169" s="13" t="s">
        <v>263</v>
      </c>
      <c r="K169" s="380">
        <f>V66</f>
        <v>72.35003371246502</v>
      </c>
      <c r="L169" s="380"/>
      <c r="M169" s="13" t="s">
        <v>70</v>
      </c>
      <c r="N169" s="380">
        <f>L136</f>
        <v>503.12925170068019</v>
      </c>
      <c r="O169" s="380"/>
      <c r="P169" s="13" t="s">
        <v>83</v>
      </c>
      <c r="Q169" s="449"/>
      <c r="R169" s="13" t="s">
        <v>320</v>
      </c>
      <c r="S169" s="13" t="s">
        <v>263</v>
      </c>
      <c r="T169" s="380">
        <f>V66</f>
        <v>72.35003371246502</v>
      </c>
      <c r="U169" s="380"/>
      <c r="V169" s="13" t="s">
        <v>70</v>
      </c>
      <c r="W169" s="380">
        <f>L141</f>
        <v>621.48870523415951</v>
      </c>
      <c r="X169" s="380"/>
      <c r="Y169" s="13" t="s">
        <v>83</v>
      </c>
      <c r="Z169" s="32"/>
      <c r="AA169" s="313"/>
      <c r="AB169" s="313"/>
      <c r="AC169" s="13"/>
      <c r="AD169" s="13"/>
      <c r="AE169" s="13"/>
      <c r="AF169" s="13"/>
      <c r="AG169" s="13"/>
      <c r="AH169" s="13"/>
      <c r="AI169" s="15"/>
    </row>
    <row r="170" spans="2:35">
      <c r="C170" s="12"/>
      <c r="D170" s="13"/>
      <c r="E170" s="13"/>
      <c r="F170" s="13"/>
      <c r="G170" s="13"/>
      <c r="H170" s="13"/>
      <c r="I170" s="13"/>
      <c r="J170" s="13"/>
      <c r="K170" s="13"/>
      <c r="L170" s="13"/>
      <c r="M170" s="13"/>
      <c r="N170" s="13"/>
      <c r="O170" s="13"/>
      <c r="P170" s="13"/>
      <c r="Q170" s="13"/>
      <c r="R170" s="13"/>
      <c r="S170" s="13"/>
      <c r="T170" s="13"/>
      <c r="U170" s="13"/>
      <c r="V170" s="13"/>
      <c r="W170"/>
      <c r="X170" s="13"/>
      <c r="Y170" s="13"/>
      <c r="Z170" s="13"/>
      <c r="AA170" s="13"/>
      <c r="AB170" s="13"/>
      <c r="AC170" s="13"/>
      <c r="AD170" s="13"/>
      <c r="AE170" s="13"/>
      <c r="AF170" s="13"/>
      <c r="AG170" s="13"/>
      <c r="AH170" s="13"/>
      <c r="AI170" s="15"/>
    </row>
    <row r="171" spans="2:35">
      <c r="C171" s="12"/>
      <c r="D171" s="13"/>
      <c r="E171" s="13" t="s">
        <v>2</v>
      </c>
      <c r="F171" s="436">
        <f>F168</f>
        <v>72.35003371246502</v>
      </c>
      <c r="G171" s="436"/>
      <c r="H171" s="13" t="s">
        <v>68</v>
      </c>
      <c r="I171" s="436">
        <f>L168/(1-K169/N169)</f>
        <v>25.193476457941433</v>
      </c>
      <c r="J171" s="436"/>
      <c r="K171" s="436"/>
      <c r="L171" s="436"/>
      <c r="M171" s="436"/>
      <c r="N171" s="436"/>
      <c r="O171" s="436"/>
      <c r="P171" s="436"/>
      <c r="Q171" s="13" t="s">
        <v>68</v>
      </c>
      <c r="R171" s="436">
        <f>U168/(1-T169/W169)</f>
        <v>0</v>
      </c>
      <c r="S171" s="436"/>
      <c r="T171" s="436"/>
      <c r="U171" s="436"/>
      <c r="V171" s="436"/>
      <c r="W171" s="436"/>
      <c r="X171" s="436"/>
      <c r="Y171" s="436"/>
      <c r="Z171" s="13"/>
      <c r="AA171" s="13"/>
      <c r="AB171" s="13"/>
      <c r="AC171" s="13"/>
      <c r="AD171" s="13"/>
      <c r="AE171" s="13"/>
      <c r="AF171" s="13"/>
      <c r="AG171" s="13"/>
      <c r="AH171" s="13"/>
      <c r="AI171" s="15"/>
    </row>
    <row r="172" spans="2:35">
      <c r="C172" s="12"/>
      <c r="D172" s="13"/>
      <c r="E172" s="13"/>
      <c r="F172" s="13"/>
      <c r="G172" s="13"/>
      <c r="H172" s="13"/>
      <c r="I172" s="13"/>
      <c r="J172" s="13"/>
      <c r="K172" s="13"/>
      <c r="L172" s="13"/>
      <c r="M172" s="13"/>
      <c r="N172" s="13"/>
      <c r="O172" s="13"/>
      <c r="P172" s="13"/>
      <c r="Q172" s="13"/>
      <c r="R172" s="13"/>
      <c r="S172" s="13"/>
      <c r="T172" s="13"/>
      <c r="U172" s="13"/>
      <c r="V172" s="13"/>
      <c r="W172"/>
      <c r="X172" s="13"/>
      <c r="Y172" s="13"/>
      <c r="Z172" s="13"/>
      <c r="AA172" s="13"/>
      <c r="AB172" s="13"/>
      <c r="AC172" s="13"/>
      <c r="AD172" s="13"/>
      <c r="AE172" s="13"/>
      <c r="AF172" s="13"/>
      <c r="AG172" s="13"/>
      <c r="AH172" s="13"/>
      <c r="AI172" s="15"/>
    </row>
    <row r="173" spans="2:35" ht="20.25">
      <c r="C173" s="12"/>
      <c r="D173" s="13"/>
      <c r="E173" s="13" t="s">
        <v>2</v>
      </c>
      <c r="F173" s="849">
        <f>F171+I171+R171</f>
        <v>97.543510170406449</v>
      </c>
      <c r="G173" s="850"/>
      <c r="H173" s="851"/>
      <c r="I173" s="13"/>
      <c r="J173" s="13" t="str">
        <f>IF(F173&lt;=N173, "≦","&gt;")</f>
        <v>≦</v>
      </c>
      <c r="K173" s="465" t="s">
        <v>327</v>
      </c>
      <c r="L173" s="465"/>
      <c r="M173" s="13" t="s">
        <v>2</v>
      </c>
      <c r="N173" s="436">
        <f>L128</f>
        <v>210</v>
      </c>
      <c r="O173" s="436"/>
      <c r="P173" s="436"/>
      <c r="Q173" s="462" t="str">
        <f>IF(J173="≦","OK","NG")</f>
        <v>OK</v>
      </c>
      <c r="R173" s="463"/>
      <c r="S173" s="464"/>
      <c r="T173" s="13"/>
      <c r="U173" s="13"/>
      <c r="V173" s="13"/>
      <c r="W173" s="13"/>
      <c r="X173" s="13"/>
      <c r="Y173" s="13"/>
      <c r="Z173" s="13"/>
      <c r="AA173" s="13"/>
      <c r="AB173" s="13"/>
      <c r="AC173" s="13"/>
      <c r="AD173" s="13"/>
      <c r="AE173" s="13"/>
      <c r="AF173" s="13"/>
      <c r="AG173" s="13"/>
      <c r="AH173" s="13"/>
      <c r="AI173" s="15"/>
    </row>
    <row r="174" spans="2:35">
      <c r="C174" s="16"/>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17"/>
      <c r="AB174" s="17"/>
      <c r="AC174" s="17"/>
      <c r="AD174" s="17"/>
      <c r="AE174" s="17"/>
      <c r="AF174" s="17"/>
      <c r="AG174" s="17"/>
      <c r="AH174" s="17"/>
      <c r="AI174" s="19"/>
    </row>
    <row r="176" spans="2:35">
      <c r="B176" s="1" t="s">
        <v>773</v>
      </c>
      <c r="C176" s="13"/>
      <c r="D176" s="13"/>
      <c r="E176" s="13"/>
      <c r="F176" s="13"/>
      <c r="G176" s="13"/>
      <c r="H176" s="13"/>
      <c r="I176" s="14"/>
      <c r="J176" s="14"/>
      <c r="K176" s="14"/>
      <c r="L176" s="13"/>
      <c r="M176" s="13"/>
      <c r="N176" s="13"/>
      <c r="O176" s="13"/>
      <c r="P176" s="13"/>
      <c r="Q176" s="13"/>
      <c r="R176" s="13"/>
      <c r="S176" s="13"/>
      <c r="T176" s="13"/>
      <c r="U176" s="32"/>
      <c r="V176" s="14"/>
      <c r="W176" s="14"/>
      <c r="X176" s="14"/>
      <c r="Y176" s="13"/>
      <c r="Z176" s="13"/>
      <c r="AA176" s="13"/>
      <c r="AB176" s="13"/>
      <c r="AC176" s="13"/>
      <c r="AD176" s="13"/>
      <c r="AE176" s="13"/>
      <c r="AF176" s="13"/>
      <c r="AG176" s="13"/>
      <c r="AH176" s="13"/>
      <c r="AI176" s="13"/>
    </row>
    <row r="177" spans="3:35">
      <c r="C177" s="9" t="s">
        <v>729</v>
      </c>
      <c r="D177" s="10"/>
      <c r="E177" s="10"/>
      <c r="F177" s="10"/>
      <c r="G177" s="10"/>
      <c r="H177" s="10"/>
      <c r="I177" s="10"/>
      <c r="J177" s="10"/>
      <c r="K177" s="10"/>
      <c r="L177" s="10"/>
      <c r="M177" s="10"/>
      <c r="N177" s="10"/>
      <c r="O177" s="10"/>
      <c r="P177" s="10"/>
      <c r="Q177" s="10"/>
      <c r="R177" s="10"/>
      <c r="S177" s="10"/>
      <c r="T177" s="10"/>
      <c r="U177" s="10"/>
      <c r="V177" s="10"/>
      <c r="W177" s="3" t="s">
        <v>316</v>
      </c>
      <c r="X177" s="10"/>
      <c r="Y177" s="10"/>
      <c r="Z177" s="10"/>
      <c r="AA177" s="10"/>
      <c r="AB177" s="10"/>
      <c r="AC177" s="10"/>
      <c r="AD177" s="10"/>
      <c r="AE177" s="10"/>
      <c r="AF177" s="10"/>
      <c r="AG177" s="10"/>
      <c r="AH177" s="10"/>
      <c r="AI177" s="11"/>
    </row>
    <row r="178" spans="3:35">
      <c r="C178" s="12"/>
      <c r="D178" s="13"/>
      <c r="E178" s="13"/>
      <c r="F178" s="13"/>
      <c r="G178" s="13"/>
      <c r="H178" s="13"/>
      <c r="I178" s="13"/>
      <c r="J178" s="13"/>
      <c r="K178" s="13"/>
      <c r="L178" s="13"/>
      <c r="M178" s="13"/>
      <c r="N178" s="13"/>
      <c r="O178" s="13"/>
      <c r="P178" s="13"/>
      <c r="Q178" s="13"/>
      <c r="R178" s="13"/>
      <c r="S178" s="13"/>
      <c r="T178" s="13"/>
      <c r="U178" s="13"/>
      <c r="V178" s="13"/>
      <c r="W178"/>
      <c r="X178" s="13"/>
      <c r="Y178" s="13"/>
      <c r="Z178" s="13"/>
      <c r="AA178" s="13"/>
      <c r="AB178" s="13"/>
      <c r="AC178" s="13"/>
      <c r="AD178" s="13"/>
      <c r="AE178" s="13"/>
      <c r="AF178" s="13"/>
      <c r="AG178" s="13"/>
      <c r="AH178" s="13"/>
      <c r="AI178" s="15"/>
    </row>
    <row r="179" spans="3:35">
      <c r="C179" s="12"/>
      <c r="D179" s="1" t="s">
        <v>399</v>
      </c>
      <c r="AI179" s="15"/>
    </row>
    <row r="180" spans="3:35">
      <c r="C180" s="12"/>
      <c r="AI180" s="15"/>
    </row>
    <row r="181" spans="3:35">
      <c r="C181" s="12"/>
      <c r="E181" s="13" t="s">
        <v>383</v>
      </c>
      <c r="F181" s="13"/>
      <c r="G181" s="13"/>
      <c r="H181" s="13"/>
      <c r="I181" s="13"/>
      <c r="J181" s="13"/>
      <c r="K181" s="13"/>
      <c r="L181" s="13"/>
      <c r="M181" s="13"/>
      <c r="N181" s="13"/>
      <c r="O181" s="13"/>
      <c r="P181" s="13"/>
      <c r="Q181" s="13"/>
      <c r="R181" s="13"/>
      <c r="S181" s="13"/>
      <c r="T181" s="13"/>
      <c r="U181" s="13"/>
      <c r="V181" s="13"/>
      <c r="W181"/>
      <c r="X181" s="13"/>
      <c r="Y181" s="13"/>
      <c r="Z181" s="13"/>
      <c r="AA181" s="13"/>
      <c r="AB181" s="13"/>
      <c r="AC181" s="13"/>
      <c r="AI181" s="15"/>
    </row>
    <row r="182" spans="3:35">
      <c r="C182" s="12"/>
      <c r="D182" s="13"/>
      <c r="E182" s="13"/>
      <c r="F182" s="466" t="s">
        <v>318</v>
      </c>
      <c r="G182" s="466"/>
      <c r="H182" s="449" t="s">
        <v>68</v>
      </c>
      <c r="I182" s="17"/>
      <c r="J182" s="17"/>
      <c r="K182" s="17"/>
      <c r="L182" s="17"/>
      <c r="M182" s="466" t="s">
        <v>317</v>
      </c>
      <c r="N182" s="466"/>
      <c r="O182" s="17"/>
      <c r="P182" s="17"/>
      <c r="Q182" s="17"/>
      <c r="R182" s="17"/>
      <c r="S182" s="449" t="s">
        <v>68</v>
      </c>
      <c r="T182" s="17"/>
      <c r="U182" s="17"/>
      <c r="V182" s="17"/>
      <c r="W182" s="17"/>
      <c r="X182" s="466" t="s">
        <v>323</v>
      </c>
      <c r="Y182" s="466"/>
      <c r="Z182" s="17"/>
      <c r="AA182" s="17"/>
      <c r="AB182" s="17"/>
      <c r="AC182" s="17"/>
      <c r="AE182" s="883" t="s">
        <v>326</v>
      </c>
      <c r="AF182" s="884">
        <v>1</v>
      </c>
      <c r="AI182" s="15"/>
    </row>
    <row r="183" spans="3:35">
      <c r="C183" s="12"/>
      <c r="D183" s="13"/>
      <c r="E183" s="13"/>
      <c r="F183" s="360" t="s">
        <v>319</v>
      </c>
      <c r="G183" s="360"/>
      <c r="H183" s="449"/>
      <c r="I183" s="360" t="s">
        <v>322</v>
      </c>
      <c r="J183" s="360"/>
      <c r="K183" s="41" t="s">
        <v>320</v>
      </c>
      <c r="L183" s="13" t="s">
        <v>263</v>
      </c>
      <c r="M183" s="360" t="s">
        <v>318</v>
      </c>
      <c r="N183" s="360"/>
      <c r="O183" s="13" t="s">
        <v>70</v>
      </c>
      <c r="P183" s="360" t="s">
        <v>321</v>
      </c>
      <c r="Q183" s="360"/>
      <c r="R183" s="13" t="s">
        <v>83</v>
      </c>
      <c r="S183" s="449"/>
      <c r="T183" s="360" t="s">
        <v>324</v>
      </c>
      <c r="U183" s="360"/>
      <c r="V183" s="41" t="s">
        <v>320</v>
      </c>
      <c r="W183" s="13" t="s">
        <v>263</v>
      </c>
      <c r="X183" s="360" t="s">
        <v>318</v>
      </c>
      <c r="Y183" s="360"/>
      <c r="Z183" s="13" t="s">
        <v>70</v>
      </c>
      <c r="AA183" s="360" t="s">
        <v>325</v>
      </c>
      <c r="AB183" s="360"/>
      <c r="AC183" s="13" t="s">
        <v>83</v>
      </c>
      <c r="AE183" s="883"/>
      <c r="AF183" s="884"/>
      <c r="AI183" s="15"/>
    </row>
    <row r="184" spans="3:35">
      <c r="C184" s="12"/>
      <c r="AI184" s="15"/>
    </row>
    <row r="185" spans="3:35">
      <c r="C185" s="12"/>
      <c r="AI185" s="15"/>
    </row>
    <row r="186" spans="3:35">
      <c r="C186" s="12"/>
      <c r="E186" s="13" t="s">
        <v>384</v>
      </c>
      <c r="F186" s="13"/>
      <c r="G186" s="13"/>
      <c r="H186" s="13"/>
      <c r="I186" s="13"/>
      <c r="J186" s="13"/>
      <c r="K186" s="13"/>
      <c r="L186" s="13"/>
      <c r="M186" s="13"/>
      <c r="N186" s="13"/>
      <c r="O186" s="13"/>
      <c r="P186" s="13"/>
      <c r="Q186" s="13"/>
      <c r="R186" s="13"/>
      <c r="S186" s="13"/>
      <c r="T186" s="13"/>
      <c r="U186" s="13"/>
      <c r="V186" s="13"/>
      <c r="W186"/>
      <c r="X186" s="13"/>
      <c r="Y186" s="13"/>
      <c r="AI186" s="15"/>
    </row>
    <row r="187" spans="3:35" ht="20.25" customHeight="1">
      <c r="C187" s="12"/>
      <c r="D187" s="13"/>
      <c r="E187" s="13"/>
      <c r="F187" s="465" t="s">
        <v>318</v>
      </c>
      <c r="G187" s="465"/>
      <c r="H187" s="449" t="s">
        <v>68</v>
      </c>
      <c r="I187" s="17"/>
      <c r="J187" s="17"/>
      <c r="K187" s="17"/>
      <c r="L187" s="466" t="s">
        <v>317</v>
      </c>
      <c r="M187" s="466"/>
      <c r="N187" s="17"/>
      <c r="O187" s="17"/>
      <c r="P187" s="17"/>
      <c r="Q187" s="449" t="s">
        <v>68</v>
      </c>
      <c r="R187" s="17"/>
      <c r="S187" s="17"/>
      <c r="T187" s="17"/>
      <c r="U187" s="466" t="s">
        <v>323</v>
      </c>
      <c r="V187" s="466"/>
      <c r="W187" s="17"/>
      <c r="X187" s="17"/>
      <c r="Y187" s="17"/>
      <c r="AB187" s="883" t="s">
        <v>326</v>
      </c>
      <c r="AC187" s="465" t="s">
        <v>327</v>
      </c>
      <c r="AD187" s="465"/>
      <c r="AI187" s="15"/>
    </row>
    <row r="188" spans="3:35">
      <c r="C188" s="12"/>
      <c r="D188" s="13"/>
      <c r="E188" s="13"/>
      <c r="F188" s="465"/>
      <c r="G188" s="465"/>
      <c r="H188" s="449"/>
      <c r="I188" s="13" t="s">
        <v>320</v>
      </c>
      <c r="J188" s="13" t="s">
        <v>263</v>
      </c>
      <c r="K188" s="360" t="s">
        <v>318</v>
      </c>
      <c r="L188" s="360"/>
      <c r="M188" s="13" t="s">
        <v>70</v>
      </c>
      <c r="N188" s="360" t="s">
        <v>321</v>
      </c>
      <c r="O188" s="360"/>
      <c r="P188" s="13" t="s">
        <v>83</v>
      </c>
      <c r="Q188" s="449"/>
      <c r="R188" s="13" t="s">
        <v>320</v>
      </c>
      <c r="S188" s="13" t="s">
        <v>263</v>
      </c>
      <c r="T188" s="360" t="s">
        <v>318</v>
      </c>
      <c r="U188" s="360"/>
      <c r="V188" s="13" t="s">
        <v>70</v>
      </c>
      <c r="W188" s="360" t="s">
        <v>325</v>
      </c>
      <c r="X188" s="360"/>
      <c r="Y188" s="13" t="s">
        <v>83</v>
      </c>
      <c r="AB188" s="883"/>
      <c r="AC188" s="465"/>
      <c r="AD188" s="465"/>
      <c r="AI188" s="15"/>
    </row>
    <row r="189" spans="3:35">
      <c r="C189" s="12"/>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5"/>
    </row>
    <row r="190" spans="3:35">
      <c r="C190" s="12"/>
      <c r="D190" s="13"/>
      <c r="E190" s="13" t="s">
        <v>42</v>
      </c>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5"/>
    </row>
    <row r="191" spans="3:35" ht="20.25">
      <c r="C191" s="12"/>
      <c r="D191" s="13"/>
      <c r="E191" s="9"/>
      <c r="F191" s="10"/>
      <c r="G191" s="467" t="s">
        <v>318</v>
      </c>
      <c r="H191" s="467"/>
      <c r="I191" s="10" t="s">
        <v>328</v>
      </c>
      <c r="J191" s="10"/>
      <c r="K191" s="10"/>
      <c r="L191" s="10"/>
      <c r="M191" s="10"/>
      <c r="N191" s="10"/>
      <c r="O191" s="10"/>
      <c r="P191" s="10"/>
      <c r="Q191" s="10"/>
      <c r="R191" s="10"/>
      <c r="S191" s="10"/>
      <c r="T191" s="10"/>
      <c r="U191" s="10"/>
      <c r="V191" s="10"/>
      <c r="W191" s="3"/>
      <c r="X191" s="10"/>
      <c r="Y191" s="10"/>
      <c r="Z191" s="10"/>
      <c r="AA191" s="10"/>
      <c r="AB191" s="10"/>
      <c r="AC191" s="10"/>
      <c r="AD191" s="10"/>
      <c r="AE191" s="10"/>
      <c r="AF191" s="10"/>
      <c r="AG191" s="10"/>
      <c r="AH191" s="11"/>
      <c r="AI191" s="15"/>
    </row>
    <row r="192" spans="3:35">
      <c r="C192" s="12"/>
      <c r="D192" s="13"/>
      <c r="E192" s="12"/>
      <c r="F192" s="13"/>
      <c r="G192" s="865" t="s">
        <v>318</v>
      </c>
      <c r="H192" s="865"/>
      <c r="I192" s="449" t="s">
        <v>2</v>
      </c>
      <c r="J192" s="161" t="s">
        <v>310</v>
      </c>
      <c r="K192" s="34"/>
      <c r="L192" s="13"/>
      <c r="M192" s="449" t="s">
        <v>2</v>
      </c>
      <c r="N192" s="451">
        <f>I42</f>
        <v>938.98376497997504</v>
      </c>
      <c r="O192" s="451"/>
      <c r="P192" s="451"/>
      <c r="Q192" s="17" t="s">
        <v>27</v>
      </c>
      <c r="R192" s="617">
        <v>1000</v>
      </c>
      <c r="S192" s="617"/>
      <c r="T192" s="13"/>
      <c r="U192" s="449" t="s">
        <v>2</v>
      </c>
      <c r="V192" s="554">
        <f>N192*R192/N193/R193</f>
        <v>89.597687498089215</v>
      </c>
      <c r="W192" s="555"/>
      <c r="X192" s="13"/>
      <c r="Y192" s="13"/>
      <c r="Z192" s="13"/>
      <c r="AA192" s="13"/>
      <c r="AB192" s="13"/>
      <c r="AC192" s="13"/>
      <c r="AD192" s="13"/>
      <c r="AE192" s="13"/>
      <c r="AF192" s="13"/>
      <c r="AG192" s="13"/>
      <c r="AH192" s="15"/>
      <c r="AI192" s="15"/>
    </row>
    <row r="193" spans="3:35">
      <c r="C193" s="12"/>
      <c r="D193" s="13"/>
      <c r="E193" s="12"/>
      <c r="F193" s="13"/>
      <c r="G193" s="865"/>
      <c r="H193" s="865"/>
      <c r="I193" s="449"/>
      <c r="J193" s="35" t="s">
        <v>240</v>
      </c>
      <c r="K193" s="13"/>
      <c r="L193" s="13"/>
      <c r="M193" s="449"/>
      <c r="N193" s="913">
        <f>'1.設計条件'!T79</f>
        <v>104.8</v>
      </c>
      <c r="O193" s="913"/>
      <c r="P193" s="913"/>
      <c r="Q193" s="13" t="s">
        <v>27</v>
      </c>
      <c r="R193" s="458">
        <v>100</v>
      </c>
      <c r="S193" s="458"/>
      <c r="T193" s="13"/>
      <c r="U193" s="449"/>
      <c r="V193" s="556"/>
      <c r="W193" s="557"/>
      <c r="X193" s="13"/>
      <c r="Y193" s="13"/>
      <c r="Z193" s="13"/>
      <c r="AA193" s="13"/>
      <c r="AB193" s="13"/>
      <c r="AC193" s="13"/>
      <c r="AD193" s="13"/>
      <c r="AE193" s="13"/>
      <c r="AF193" s="13"/>
      <c r="AG193" s="13"/>
      <c r="AH193" s="15"/>
      <c r="AI193" s="15"/>
    </row>
    <row r="194" spans="3:35">
      <c r="C194" s="12"/>
      <c r="D194" s="13"/>
      <c r="E194" s="16"/>
      <c r="F194" s="17"/>
      <c r="G194" s="168"/>
      <c r="H194" s="168"/>
      <c r="I194" s="169"/>
      <c r="J194" s="151"/>
      <c r="K194" s="17"/>
      <c r="L194" s="17"/>
      <c r="M194" s="169"/>
      <c r="N194" s="150"/>
      <c r="O194" s="150"/>
      <c r="P194" s="150"/>
      <c r="Q194" s="17"/>
      <c r="R194" s="152"/>
      <c r="S194" s="152"/>
      <c r="T194" s="17"/>
      <c r="U194" s="169"/>
      <c r="V194" s="169"/>
      <c r="W194" s="169"/>
      <c r="X194" s="17"/>
      <c r="Y194" s="17"/>
      <c r="Z194" s="17"/>
      <c r="AA194" s="17"/>
      <c r="AB194" s="17"/>
      <c r="AC194" s="17"/>
      <c r="AD194" s="17"/>
      <c r="AE194" s="17"/>
      <c r="AF194" s="17"/>
      <c r="AG194" s="17"/>
      <c r="AH194" s="19"/>
      <c r="AI194" s="15"/>
    </row>
    <row r="195" spans="3:35">
      <c r="C195" s="12"/>
      <c r="D195" s="13"/>
      <c r="E195" s="13"/>
      <c r="F195" s="13"/>
      <c r="G195" s="160"/>
      <c r="H195" s="160"/>
      <c r="I195" s="28"/>
      <c r="J195" s="35"/>
      <c r="K195" s="13"/>
      <c r="L195" s="13"/>
      <c r="M195" s="28"/>
      <c r="N195" s="24"/>
      <c r="O195" s="24"/>
      <c r="P195" s="24"/>
      <c r="Q195" s="13"/>
      <c r="R195" s="27"/>
      <c r="S195" s="27"/>
      <c r="T195" s="13"/>
      <c r="U195" s="28"/>
      <c r="V195" s="28"/>
      <c r="W195" s="28"/>
      <c r="X195" s="13"/>
      <c r="Y195" s="13"/>
      <c r="Z195" s="13"/>
      <c r="AA195" s="13"/>
      <c r="AB195" s="13"/>
      <c r="AC195" s="13"/>
      <c r="AD195" s="13"/>
      <c r="AE195" s="13"/>
      <c r="AF195" s="13"/>
      <c r="AG195" s="13"/>
      <c r="AH195" s="13"/>
      <c r="AI195" s="15"/>
    </row>
    <row r="196" spans="3:35">
      <c r="C196" s="12"/>
      <c r="D196" s="13"/>
      <c r="E196" s="13"/>
      <c r="F196" s="13"/>
      <c r="G196" s="35"/>
      <c r="H196" s="35"/>
      <c r="I196" s="160"/>
      <c r="J196" s="160"/>
      <c r="K196" s="28"/>
      <c r="L196" s="35"/>
      <c r="M196" s="13"/>
      <c r="N196" s="13"/>
      <c r="O196" s="28"/>
      <c r="P196" s="24"/>
      <c r="Q196" s="24"/>
      <c r="R196" s="24"/>
      <c r="S196" s="13"/>
      <c r="T196" s="27"/>
      <c r="U196" s="27"/>
      <c r="V196" s="13"/>
      <c r="W196" s="28"/>
      <c r="X196" s="28"/>
      <c r="Y196" s="28"/>
      <c r="Z196" s="13"/>
      <c r="AA196" s="13"/>
      <c r="AB196" s="13"/>
      <c r="AC196" s="13"/>
      <c r="AD196" s="13"/>
      <c r="AE196" s="13"/>
      <c r="AF196" s="13"/>
      <c r="AG196" s="13"/>
      <c r="AH196" s="13"/>
      <c r="AI196" s="15"/>
    </row>
    <row r="197" spans="3:35">
      <c r="C197" s="12"/>
      <c r="D197" s="13"/>
      <c r="E197" s="856" t="s">
        <v>317</v>
      </c>
      <c r="F197" s="857"/>
      <c r="G197" s="858" t="s">
        <v>342</v>
      </c>
      <c r="H197" s="858"/>
      <c r="I197" s="862" t="s">
        <v>370</v>
      </c>
      <c r="J197" s="862"/>
      <c r="K197" s="862"/>
      <c r="L197" s="862"/>
      <c r="M197" s="862"/>
      <c r="N197" s="862"/>
      <c r="O197" s="862"/>
      <c r="P197" s="862"/>
      <c r="Q197" s="862"/>
      <c r="R197" s="862"/>
      <c r="S197" s="862"/>
      <c r="T197" s="862"/>
      <c r="U197" s="862"/>
      <c r="V197" s="862"/>
      <c r="W197" s="862"/>
      <c r="X197" s="862"/>
      <c r="Y197" s="862"/>
      <c r="Z197" s="862"/>
      <c r="AA197" s="862"/>
      <c r="AB197" s="862"/>
      <c r="AC197" s="862"/>
      <c r="AD197" s="862"/>
      <c r="AE197" s="862"/>
      <c r="AF197" s="862"/>
      <c r="AG197" s="862"/>
      <c r="AH197" s="863"/>
      <c r="AI197" s="170"/>
    </row>
    <row r="198" spans="3:35">
      <c r="C198" s="12"/>
      <c r="D198" s="13"/>
      <c r="E198" s="171"/>
      <c r="F198" s="153"/>
      <c r="G198" s="155"/>
      <c r="H198" s="155"/>
      <c r="I198" s="596" t="s">
        <v>415</v>
      </c>
      <c r="J198" s="596"/>
      <c r="K198" s="596"/>
      <c r="L198" s="596"/>
      <c r="M198" s="596"/>
      <c r="N198" s="596"/>
      <c r="O198" s="596"/>
      <c r="P198" s="596"/>
      <c r="Q198" s="596"/>
      <c r="R198" s="596"/>
      <c r="S198" s="596"/>
      <c r="T198" s="596"/>
      <c r="U198" s="596"/>
      <c r="V198" s="596"/>
      <c r="W198" s="596"/>
      <c r="X198" s="596"/>
      <c r="Y198" s="596"/>
      <c r="Z198" s="596"/>
      <c r="AA198" s="596"/>
      <c r="AB198" s="596"/>
      <c r="AC198" s="596"/>
      <c r="AD198" s="596"/>
      <c r="AE198" s="596"/>
      <c r="AF198" s="596"/>
      <c r="AG198" s="596"/>
      <c r="AH198" s="864"/>
      <c r="AI198" s="170"/>
    </row>
    <row r="199" spans="3:35">
      <c r="C199" s="12"/>
      <c r="D199" s="13"/>
      <c r="E199" s="171"/>
      <c r="F199" s="153"/>
      <c r="G199" s="865" t="s">
        <v>317</v>
      </c>
      <c r="H199" s="865"/>
      <c r="I199" s="449" t="s">
        <v>2</v>
      </c>
      <c r="J199" s="866" t="s">
        <v>269</v>
      </c>
      <c r="K199" s="866"/>
      <c r="L199" s="57"/>
      <c r="M199" s="449" t="s">
        <v>2</v>
      </c>
      <c r="N199" s="770">
        <f>I47</f>
        <v>24.806249999999999</v>
      </c>
      <c r="O199" s="770"/>
      <c r="P199" s="770"/>
      <c r="Q199" s="17" t="s">
        <v>27</v>
      </c>
      <c r="R199" s="867">
        <v>1000000</v>
      </c>
      <c r="S199" s="867"/>
      <c r="T199" s="867"/>
      <c r="U199" s="13"/>
      <c r="V199" s="13"/>
      <c r="W199" s="13"/>
      <c r="X199" s="13"/>
      <c r="Y199" s="13"/>
      <c r="Z199" s="57"/>
      <c r="AA199" s="57"/>
      <c r="AB199" s="57"/>
      <c r="AC199" s="57"/>
      <c r="AD199" s="57"/>
      <c r="AE199" s="57"/>
      <c r="AF199" s="57"/>
      <c r="AG199" s="57"/>
      <c r="AH199" s="154"/>
      <c r="AI199" s="154"/>
    </row>
    <row r="200" spans="3:35">
      <c r="C200" s="12"/>
      <c r="D200" s="13"/>
      <c r="E200" s="171"/>
      <c r="F200" s="153"/>
      <c r="G200" s="865"/>
      <c r="H200" s="865"/>
      <c r="I200" s="449"/>
      <c r="J200" s="360" t="s">
        <v>59</v>
      </c>
      <c r="K200" s="360"/>
      <c r="L200" s="57"/>
      <c r="M200" s="449"/>
      <c r="N200" s="868">
        <f>'1.設計条件'!T82</f>
        <v>1150</v>
      </c>
      <c r="O200" s="868"/>
      <c r="P200" s="868"/>
      <c r="Q200" s="13" t="s">
        <v>27</v>
      </c>
      <c r="R200" s="458">
        <v>1000</v>
      </c>
      <c r="S200" s="458"/>
      <c r="T200" s="57"/>
      <c r="U200" s="13"/>
      <c r="V200" s="13"/>
      <c r="W200" s="13"/>
      <c r="X200" s="13"/>
      <c r="Y200" s="13"/>
      <c r="Z200" s="57"/>
      <c r="AA200" s="57"/>
      <c r="AB200" s="57"/>
      <c r="AC200" s="57"/>
      <c r="AD200" s="57"/>
      <c r="AE200" s="57"/>
      <c r="AF200" s="57"/>
      <c r="AG200" s="57"/>
      <c r="AH200" s="154"/>
      <c r="AI200" s="154"/>
    </row>
    <row r="201" spans="3:35">
      <c r="C201" s="12"/>
      <c r="D201" s="13"/>
      <c r="E201" s="171"/>
      <c r="F201" s="153"/>
      <c r="G201" s="160"/>
      <c r="H201" s="160"/>
      <c r="I201" s="449" t="s">
        <v>2</v>
      </c>
      <c r="J201" s="554">
        <f>N199*R199/N200/R200</f>
        <v>21.570652173913043</v>
      </c>
      <c r="K201" s="555"/>
      <c r="L201" s="57"/>
      <c r="M201" s="28"/>
      <c r="N201" s="158"/>
      <c r="O201" s="158"/>
      <c r="P201" s="158"/>
      <c r="Q201" s="13"/>
      <c r="R201" s="27"/>
      <c r="S201" s="27"/>
      <c r="T201" s="57"/>
      <c r="U201" s="28"/>
      <c r="V201" s="28"/>
      <c r="W201" s="28"/>
      <c r="X201" s="13"/>
      <c r="Y201" s="13"/>
      <c r="Z201" s="57"/>
      <c r="AA201" s="57"/>
      <c r="AB201" s="57"/>
      <c r="AC201" s="57"/>
      <c r="AD201" s="57"/>
      <c r="AE201" s="57"/>
      <c r="AF201" s="57"/>
      <c r="AG201" s="57"/>
      <c r="AH201" s="154"/>
      <c r="AI201" s="154"/>
    </row>
    <row r="202" spans="3:35">
      <c r="C202" s="12"/>
      <c r="D202" s="13"/>
      <c r="E202" s="171"/>
      <c r="F202" s="153"/>
      <c r="G202" s="160"/>
      <c r="H202" s="160"/>
      <c r="I202" s="449"/>
      <c r="J202" s="556"/>
      <c r="K202" s="557"/>
      <c r="L202" s="57"/>
      <c r="M202" s="28"/>
      <c r="N202" s="158"/>
      <c r="O202" s="158"/>
      <c r="P202" s="158"/>
      <c r="Q202" s="13"/>
      <c r="R202" s="27"/>
      <c r="S202" s="27"/>
      <c r="T202" s="57"/>
      <c r="U202" s="28"/>
      <c r="V202" s="28"/>
      <c r="W202" s="28"/>
      <c r="X202" s="13"/>
      <c r="Y202" s="13"/>
      <c r="Z202" s="57"/>
      <c r="AA202" s="57"/>
      <c r="AB202" s="57"/>
      <c r="AC202" s="57"/>
      <c r="AD202" s="57"/>
      <c r="AE202" s="57"/>
      <c r="AF202" s="57"/>
      <c r="AG202" s="57"/>
      <c r="AH202" s="154"/>
      <c r="AI202" s="154"/>
    </row>
    <row r="203" spans="3:35">
      <c r="C203" s="12"/>
      <c r="D203" s="13"/>
      <c r="E203" s="171"/>
      <c r="F203" s="153"/>
      <c r="G203" s="160"/>
      <c r="H203" s="160"/>
      <c r="I203" s="28"/>
      <c r="J203" s="35"/>
      <c r="K203" s="35"/>
      <c r="L203" s="57"/>
      <c r="M203" s="28"/>
      <c r="N203" s="158"/>
      <c r="O203" s="158"/>
      <c r="P203" s="158"/>
      <c r="Q203" s="13"/>
      <c r="R203" s="27"/>
      <c r="S203" s="27"/>
      <c r="T203" s="57"/>
      <c r="U203" s="28"/>
      <c r="V203" s="28"/>
      <c r="W203" s="28"/>
      <c r="X203" s="13"/>
      <c r="Y203" s="13"/>
      <c r="Z203" s="57"/>
      <c r="AA203" s="57"/>
      <c r="AB203" s="57"/>
      <c r="AC203" s="57"/>
      <c r="AD203" s="57"/>
      <c r="AE203" s="57"/>
      <c r="AF203" s="57"/>
      <c r="AG203" s="57"/>
      <c r="AH203" s="154"/>
      <c r="AI203" s="154"/>
    </row>
    <row r="204" spans="3:35">
      <c r="C204" s="12"/>
      <c r="D204" s="13"/>
      <c r="E204" s="171"/>
      <c r="F204" s="153"/>
      <c r="G204" s="859" t="s">
        <v>323</v>
      </c>
      <c r="H204" s="859"/>
      <c r="I204" s="57" t="s">
        <v>2</v>
      </c>
      <c r="J204" s="860">
        <v>0</v>
      </c>
      <c r="K204" s="861"/>
      <c r="L204" s="57"/>
      <c r="M204" s="28"/>
      <c r="N204" s="158"/>
      <c r="O204" s="158"/>
      <c r="P204" s="158"/>
      <c r="Q204" s="13"/>
      <c r="R204" s="27"/>
      <c r="S204" s="27"/>
      <c r="T204" s="57"/>
      <c r="U204" s="28"/>
      <c r="V204" s="28"/>
      <c r="W204" s="28"/>
      <c r="X204" s="13"/>
      <c r="Y204" s="13"/>
      <c r="Z204" s="57"/>
      <c r="AA204" s="57"/>
      <c r="AB204" s="57"/>
      <c r="AC204" s="57"/>
      <c r="AD204" s="57"/>
      <c r="AE204" s="57"/>
      <c r="AF204" s="57"/>
      <c r="AG204" s="57"/>
      <c r="AH204" s="154"/>
      <c r="AI204" s="154"/>
    </row>
    <row r="205" spans="3:35">
      <c r="C205" s="12"/>
      <c r="D205" s="13"/>
      <c r="E205" s="172"/>
      <c r="F205" s="173"/>
      <c r="G205" s="174"/>
      <c r="H205" s="174"/>
      <c r="I205" s="106"/>
      <c r="J205" s="106"/>
      <c r="K205" s="106"/>
      <c r="L205" s="106"/>
      <c r="M205" s="106"/>
      <c r="N205" s="106"/>
      <c r="O205" s="106"/>
      <c r="P205" s="106"/>
      <c r="Q205" s="106"/>
      <c r="R205" s="106"/>
      <c r="S205" s="106"/>
      <c r="T205" s="106"/>
      <c r="U205" s="106"/>
      <c r="V205" s="106"/>
      <c r="W205" s="106"/>
      <c r="X205" s="106"/>
      <c r="Y205" s="106"/>
      <c r="Z205" s="106"/>
      <c r="AA205" s="106"/>
      <c r="AB205" s="106"/>
      <c r="AC205" s="106"/>
      <c r="AD205" s="106"/>
      <c r="AE205" s="106"/>
      <c r="AF205" s="106"/>
      <c r="AG205" s="106"/>
      <c r="AH205" s="175"/>
      <c r="AI205" s="154"/>
    </row>
    <row r="206" spans="3:35">
      <c r="C206" s="12"/>
      <c r="D206" s="13"/>
      <c r="E206" s="153"/>
      <c r="F206" s="153"/>
      <c r="G206" s="155"/>
      <c r="H206" s="155"/>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7"/>
      <c r="AI206" s="154"/>
    </row>
    <row r="207" spans="3:35">
      <c r="C207" s="12"/>
      <c r="D207" s="13"/>
      <c r="E207" s="153"/>
      <c r="F207" s="153"/>
      <c r="L207" s="13"/>
      <c r="M207" s="13"/>
      <c r="N207" s="57"/>
      <c r="O207" s="57"/>
      <c r="P207" s="13"/>
      <c r="Q207" s="13"/>
      <c r="R207" s="13"/>
      <c r="S207" s="13"/>
      <c r="T207" s="13"/>
      <c r="U207" s="57"/>
      <c r="V207" s="57"/>
      <c r="W207" s="57"/>
      <c r="X207" s="57"/>
      <c r="Y207" s="57"/>
      <c r="Z207" s="57"/>
      <c r="AA207" s="57"/>
      <c r="AB207" s="57"/>
      <c r="AC207" s="57"/>
      <c r="AD207" s="57"/>
      <c r="AE207" s="57"/>
      <c r="AF207" s="57"/>
      <c r="AG207" s="57"/>
      <c r="AH207" s="57"/>
      <c r="AI207" s="154"/>
    </row>
    <row r="208" spans="3:35" ht="20.25">
      <c r="C208" s="12"/>
      <c r="D208" s="13"/>
      <c r="E208" s="9"/>
      <c r="F208" s="10"/>
      <c r="G208" s="467" t="s">
        <v>319</v>
      </c>
      <c r="H208" s="467"/>
      <c r="I208" s="10" t="s">
        <v>329</v>
      </c>
      <c r="J208" s="10"/>
      <c r="K208" s="10"/>
      <c r="L208" s="10"/>
      <c r="M208" s="10"/>
      <c r="N208" s="10"/>
      <c r="O208" s="10"/>
      <c r="P208" s="10"/>
      <c r="Q208" s="10"/>
      <c r="R208" s="10"/>
      <c r="S208" s="10"/>
      <c r="T208" s="10"/>
      <c r="U208" s="10"/>
      <c r="V208" s="10"/>
      <c r="W208" s="3"/>
      <c r="X208" s="10"/>
      <c r="Y208" s="10"/>
      <c r="Z208" s="10"/>
      <c r="AA208" s="10"/>
      <c r="AB208" s="10"/>
      <c r="AC208" s="10"/>
      <c r="AD208" s="10"/>
      <c r="AE208" s="10"/>
      <c r="AF208" s="10"/>
      <c r="AG208" s="10"/>
      <c r="AH208" s="11"/>
      <c r="AI208" s="15"/>
    </row>
    <row r="209" spans="3:35">
      <c r="C209" s="12"/>
      <c r="D209" s="13"/>
      <c r="E209" s="12"/>
      <c r="F209" s="13"/>
      <c r="G209" s="13"/>
      <c r="H209" s="13"/>
      <c r="I209" s="13"/>
      <c r="J209" s="13" t="s">
        <v>330</v>
      </c>
      <c r="K209" s="13"/>
      <c r="L209" s="13"/>
      <c r="M209" s="34" t="s">
        <v>331</v>
      </c>
      <c r="N209" s="13" t="s">
        <v>326</v>
      </c>
      <c r="O209" s="436">
        <v>13.1</v>
      </c>
      <c r="P209" s="436"/>
      <c r="Q209" s="34" t="s">
        <v>332</v>
      </c>
      <c r="R209" s="13" t="s">
        <v>315</v>
      </c>
      <c r="S209" s="13"/>
      <c r="T209" s="13"/>
      <c r="U209" s="13"/>
      <c r="V209" s="13"/>
      <c r="W209"/>
      <c r="X209" s="13"/>
      <c r="Y209" s="13"/>
      <c r="Z209" s="13"/>
      <c r="AA209" s="13"/>
      <c r="AB209" s="13"/>
      <c r="AC209" s="13"/>
      <c r="AD209" s="13"/>
      <c r="AE209" s="13"/>
      <c r="AF209" s="13"/>
      <c r="AG209" s="13"/>
      <c r="AH209" s="15"/>
      <c r="AI209" s="15"/>
    </row>
    <row r="210" spans="3:35">
      <c r="C210" s="12"/>
      <c r="D210" s="13"/>
      <c r="E210" s="12"/>
      <c r="F210" s="13"/>
      <c r="G210" s="13"/>
      <c r="H210" s="13"/>
      <c r="I210" s="13"/>
      <c r="J210" s="34" t="s">
        <v>331</v>
      </c>
      <c r="K210" s="596" t="s">
        <v>347</v>
      </c>
      <c r="L210" s="596"/>
      <c r="M210" s="596"/>
      <c r="N210" s="596"/>
      <c r="O210" s="596"/>
      <c r="P210" s="596"/>
      <c r="Q210" s="596"/>
      <c r="R210" s="596"/>
      <c r="S210" s="13"/>
      <c r="T210" s="13"/>
      <c r="U210" s="13"/>
      <c r="V210" s="13"/>
      <c r="W210" s="13"/>
      <c r="X210" s="13"/>
      <c r="Y210" s="13"/>
      <c r="Z210" s="13"/>
      <c r="AA210" s="13"/>
      <c r="AB210" s="13"/>
      <c r="AC210" s="13"/>
      <c r="AD210" s="13"/>
      <c r="AE210" s="13"/>
      <c r="AF210" s="13"/>
      <c r="AG210" s="13"/>
      <c r="AH210" s="15"/>
      <c r="AI210" s="15"/>
    </row>
    <row r="211" spans="3:35">
      <c r="C211" s="12"/>
      <c r="D211" s="13"/>
      <c r="E211" s="12"/>
      <c r="F211" s="13"/>
      <c r="G211" s="13"/>
      <c r="H211" s="13"/>
      <c r="I211" s="13"/>
      <c r="J211" s="13"/>
      <c r="K211" s="34" t="s">
        <v>331</v>
      </c>
      <c r="L211" s="13" t="s">
        <v>2</v>
      </c>
      <c r="M211" s="13" t="s">
        <v>69</v>
      </c>
      <c r="N211" s="888">
        <f>'1.設計条件'!T76</f>
        <v>300</v>
      </c>
      <c r="O211" s="888"/>
      <c r="P211" s="13" t="s">
        <v>263</v>
      </c>
      <c r="Q211" s="458">
        <f>'1.設計条件'!T77</f>
        <v>10</v>
      </c>
      <c r="R211" s="458"/>
      <c r="S211" s="13" t="s">
        <v>176</v>
      </c>
      <c r="T211" s="31">
        <v>2</v>
      </c>
      <c r="U211" s="13"/>
      <c r="V211" s="13" t="s">
        <v>2</v>
      </c>
      <c r="W211" s="471">
        <f>(N211-Q211)/T211</f>
        <v>145</v>
      </c>
      <c r="X211" s="473"/>
      <c r="Y211" s="13" t="s">
        <v>290</v>
      </c>
      <c r="Z211" s="13"/>
      <c r="AA211" s="13"/>
      <c r="AB211" s="13"/>
      <c r="AC211" s="13"/>
      <c r="AD211" s="13"/>
      <c r="AE211" s="13"/>
      <c r="AF211" s="13"/>
      <c r="AG211" s="13"/>
      <c r="AH211" s="15"/>
      <c r="AI211" s="15"/>
    </row>
    <row r="212" spans="3:35">
      <c r="C212" s="12"/>
      <c r="D212" s="13"/>
      <c r="E212" s="12"/>
      <c r="F212" s="13"/>
      <c r="G212" s="13"/>
      <c r="H212" s="13"/>
      <c r="I212" s="34"/>
      <c r="J212" s="34" t="s">
        <v>332</v>
      </c>
      <c r="K212" s="13" t="s">
        <v>348</v>
      </c>
      <c r="L212" s="27"/>
      <c r="M212" s="27"/>
      <c r="N212" s="13"/>
      <c r="O212" s="34"/>
      <c r="P212" s="13"/>
      <c r="Q212" s="13"/>
      <c r="R212" s="31"/>
      <c r="S212" s="13"/>
      <c r="T212" s="13"/>
      <c r="U212" s="13"/>
      <c r="V212" s="13"/>
      <c r="W212" s="13"/>
      <c r="X212" s="13"/>
      <c r="Y212" s="13"/>
      <c r="Z212" s="13"/>
      <c r="AA212" s="13"/>
      <c r="AB212" s="13"/>
      <c r="AC212" s="13"/>
      <c r="AD212" s="13"/>
      <c r="AE212" s="13"/>
      <c r="AF212" s="13"/>
      <c r="AG212" s="13"/>
      <c r="AH212" s="15"/>
      <c r="AI212" s="15"/>
    </row>
    <row r="213" spans="3:35">
      <c r="C213" s="12"/>
      <c r="D213" s="13"/>
      <c r="E213" s="12"/>
      <c r="F213" s="13"/>
      <c r="G213" s="13"/>
      <c r="H213" s="13"/>
      <c r="I213" s="35"/>
      <c r="J213" s="13"/>
      <c r="K213" s="34" t="s">
        <v>332</v>
      </c>
      <c r="L213" s="13" t="s">
        <v>2</v>
      </c>
      <c r="M213" s="471">
        <f>'1.設計条件'!T78</f>
        <v>15</v>
      </c>
      <c r="N213" s="473"/>
      <c r="O213" s="13" t="s">
        <v>290</v>
      </c>
      <c r="P213" s="13"/>
      <c r="Q213" s="13"/>
      <c r="R213" s="13"/>
      <c r="S213" s="13"/>
      <c r="T213" s="13"/>
      <c r="U213" s="13"/>
      <c r="V213" s="13"/>
      <c r="W213" s="13"/>
      <c r="X213" s="13"/>
      <c r="Y213" s="13"/>
      <c r="Z213" s="13"/>
      <c r="AA213" s="13"/>
      <c r="AB213" s="13"/>
      <c r="AC213" s="13"/>
      <c r="AD213" s="13"/>
      <c r="AE213" s="13"/>
      <c r="AF213" s="13"/>
      <c r="AG213" s="13"/>
      <c r="AH213" s="15"/>
      <c r="AI213" s="15"/>
    </row>
    <row r="214" spans="3:35">
      <c r="C214" s="12"/>
      <c r="D214" s="13"/>
      <c r="E214" s="12"/>
      <c r="F214" s="13"/>
      <c r="G214" s="13"/>
      <c r="H214" s="13"/>
      <c r="I214" s="35"/>
      <c r="J214" s="13"/>
      <c r="K214" s="34"/>
      <c r="L214" s="13"/>
      <c r="M214" s="27"/>
      <c r="N214" s="27"/>
      <c r="O214" s="13"/>
      <c r="P214" s="13"/>
      <c r="Q214" s="13"/>
      <c r="R214" s="13"/>
      <c r="S214" s="13"/>
      <c r="T214" s="13"/>
      <c r="U214" s="13"/>
      <c r="V214" s="13"/>
      <c r="W214" s="13"/>
      <c r="X214" s="13"/>
      <c r="Y214" s="13"/>
      <c r="Z214" s="13"/>
      <c r="AA214" s="13"/>
      <c r="AB214" s="13"/>
      <c r="AC214" s="13"/>
      <c r="AD214" s="13"/>
      <c r="AE214" s="13"/>
      <c r="AF214" s="13"/>
      <c r="AG214" s="13"/>
      <c r="AH214" s="15"/>
      <c r="AI214" s="15"/>
    </row>
    <row r="215" spans="3:35">
      <c r="C215" s="12"/>
      <c r="D215" s="13"/>
      <c r="E215" s="12"/>
      <c r="F215" s="13"/>
      <c r="G215" s="13"/>
      <c r="H215" s="13"/>
      <c r="I215" s="35"/>
      <c r="J215" s="436" t="s">
        <v>357</v>
      </c>
      <c r="K215" s="436"/>
      <c r="L215" s="13" t="s">
        <v>350</v>
      </c>
      <c r="M215" s="13"/>
      <c r="N215" s="13"/>
      <c r="O215" s="13"/>
      <c r="P215" s="13"/>
      <c r="Q215" s="27"/>
      <c r="R215" s="27"/>
      <c r="S215" s="13"/>
      <c r="T215" s="13"/>
      <c r="U215" s="13"/>
      <c r="V215" s="13"/>
      <c r="W215" s="13"/>
      <c r="X215" s="13"/>
      <c r="Y215" s="13"/>
      <c r="Z215" s="13"/>
      <c r="AA215" s="13"/>
      <c r="AB215" s="13"/>
      <c r="AC215" s="13"/>
      <c r="AD215" s="13"/>
      <c r="AE215" s="13"/>
      <c r="AF215" s="13"/>
      <c r="AG215" s="13"/>
      <c r="AH215" s="15"/>
      <c r="AI215" s="15"/>
    </row>
    <row r="216" spans="3:35">
      <c r="C216" s="12"/>
      <c r="D216" s="13"/>
      <c r="E216" s="12"/>
      <c r="F216" s="13"/>
      <c r="G216" s="13"/>
      <c r="H216" s="13"/>
      <c r="I216" s="35"/>
      <c r="J216" s="35"/>
      <c r="K216" s="436" t="s">
        <v>357</v>
      </c>
      <c r="L216" s="436"/>
      <c r="M216" s="13" t="s">
        <v>2</v>
      </c>
      <c r="N216" s="437">
        <f>T22</f>
        <v>3.3000000000000003</v>
      </c>
      <c r="O216" s="439"/>
      <c r="P216" s="37" t="s">
        <v>3</v>
      </c>
      <c r="Q216" s="13"/>
      <c r="R216" s="31" t="s">
        <v>351</v>
      </c>
      <c r="S216" s="13"/>
      <c r="T216" s="13"/>
      <c r="U216" s="13"/>
      <c r="V216" s="13"/>
      <c r="W216"/>
      <c r="X216" s="13"/>
      <c r="Y216" s="13"/>
      <c r="Z216" s="13"/>
      <c r="AA216" s="13"/>
      <c r="AB216" s="13"/>
      <c r="AC216" s="13"/>
      <c r="AD216" s="13"/>
      <c r="AE216" s="13"/>
      <c r="AF216" s="13"/>
      <c r="AG216" s="13"/>
      <c r="AH216" s="15"/>
      <c r="AI216" s="15"/>
    </row>
    <row r="217" spans="3:35">
      <c r="C217" s="12"/>
      <c r="D217" s="13"/>
      <c r="E217" s="12"/>
      <c r="F217" s="13"/>
      <c r="G217" s="13"/>
      <c r="H217" s="13"/>
      <c r="I217" s="35"/>
      <c r="J217" s="35"/>
      <c r="K217" s="14"/>
      <c r="L217" s="14"/>
      <c r="M217" s="13"/>
      <c r="N217" s="14"/>
      <c r="O217" s="14"/>
      <c r="P217" s="37"/>
      <c r="Q217" s="13"/>
      <c r="R217" s="31"/>
      <c r="S217" s="13"/>
      <c r="T217" s="13"/>
      <c r="U217" s="13"/>
      <c r="V217" s="13"/>
      <c r="W217"/>
      <c r="X217" s="13"/>
      <c r="Y217" s="13"/>
      <c r="Z217" s="13"/>
      <c r="AA217" s="13"/>
      <c r="AB217" s="13"/>
      <c r="AC217" s="13"/>
      <c r="AD217" s="13"/>
      <c r="AE217" s="13"/>
      <c r="AF217" s="13"/>
      <c r="AG217" s="13"/>
      <c r="AH217" s="15"/>
      <c r="AI217" s="15"/>
    </row>
    <row r="218" spans="3:35">
      <c r="C218" s="12"/>
      <c r="D218" s="13"/>
      <c r="E218" s="12"/>
      <c r="F218" s="13"/>
      <c r="G218" s="13"/>
      <c r="H218" s="13"/>
      <c r="I218" s="35"/>
      <c r="J218" s="13" t="s">
        <v>352</v>
      </c>
      <c r="K218" s="13"/>
      <c r="L218" s="13"/>
      <c r="M218" s="13"/>
      <c r="N218" s="13"/>
      <c r="O218" s="13"/>
      <c r="P218" s="34"/>
      <c r="Q218" s="13"/>
      <c r="R218" s="31"/>
      <c r="S218" s="13"/>
      <c r="T218" s="13"/>
      <c r="U218" s="13"/>
      <c r="V218" s="13"/>
      <c r="W218"/>
      <c r="X218" s="13"/>
      <c r="Y218" s="13"/>
      <c r="Z218" s="13"/>
      <c r="AA218" s="13"/>
      <c r="AB218" s="13"/>
      <c r="AC218" s="13"/>
      <c r="AD218" s="13"/>
      <c r="AE218" s="13"/>
      <c r="AF218" s="13"/>
      <c r="AG218" s="13"/>
      <c r="AH218" s="15"/>
      <c r="AI218" s="15"/>
    </row>
    <row r="219" spans="3:35">
      <c r="C219" s="12"/>
      <c r="D219" s="13"/>
      <c r="E219" s="12"/>
      <c r="F219" s="13"/>
      <c r="G219" s="13"/>
      <c r="H219" s="13"/>
      <c r="I219" s="35"/>
      <c r="J219" s="35"/>
      <c r="K219" s="17" t="s">
        <v>357</v>
      </c>
      <c r="L219" s="449" t="s">
        <v>2</v>
      </c>
      <c r="M219" s="452">
        <f>N216</f>
        <v>3.3000000000000003</v>
      </c>
      <c r="N219" s="452"/>
      <c r="O219" s="17" t="s">
        <v>27</v>
      </c>
      <c r="P219" s="889">
        <v>1000</v>
      </c>
      <c r="Q219" s="889"/>
      <c r="R219" s="889"/>
      <c r="S219" s="13"/>
      <c r="T219" s="449" t="s">
        <v>2</v>
      </c>
      <c r="U219" s="554">
        <f>M219*P219/M220/P220</f>
        <v>43.941411451398139</v>
      </c>
      <c r="V219" s="555"/>
      <c r="W219"/>
      <c r="X219" s="13"/>
      <c r="Y219" s="13"/>
      <c r="Z219" s="13"/>
      <c r="AA219" s="13"/>
      <c r="AB219" s="13"/>
      <c r="AC219" s="13"/>
      <c r="AD219" s="13"/>
      <c r="AE219" s="13"/>
      <c r="AF219" s="13"/>
      <c r="AG219" s="13"/>
      <c r="AH219" s="15"/>
      <c r="AI219" s="15"/>
    </row>
    <row r="220" spans="3:35">
      <c r="C220" s="12"/>
      <c r="D220" s="13"/>
      <c r="E220" s="12"/>
      <c r="F220" s="13"/>
      <c r="G220" s="13"/>
      <c r="H220" s="13"/>
      <c r="I220" s="35"/>
      <c r="J220" s="35"/>
      <c r="K220" s="34" t="s">
        <v>303</v>
      </c>
      <c r="L220" s="449"/>
      <c r="M220" s="853">
        <f>'1.設計条件'!T81</f>
        <v>7.51</v>
      </c>
      <c r="N220" s="853"/>
      <c r="O220" s="13" t="s">
        <v>27</v>
      </c>
      <c r="P220" s="888">
        <v>10</v>
      </c>
      <c r="Q220" s="888"/>
      <c r="R220" s="888"/>
      <c r="S220" s="13"/>
      <c r="T220" s="449"/>
      <c r="U220" s="556"/>
      <c r="V220" s="557"/>
      <c r="W220"/>
      <c r="X220" s="13"/>
      <c r="Y220" s="13"/>
      <c r="Z220" s="13"/>
      <c r="AA220" s="13"/>
      <c r="AB220" s="13"/>
      <c r="AC220" s="13"/>
      <c r="AD220" s="13"/>
      <c r="AE220" s="13"/>
      <c r="AF220" s="13"/>
      <c r="AG220" s="13"/>
      <c r="AH220" s="15"/>
      <c r="AI220" s="15"/>
    </row>
    <row r="221" spans="3:35">
      <c r="C221" s="12"/>
      <c r="D221" s="13"/>
      <c r="E221" s="12"/>
      <c r="F221" s="13"/>
      <c r="G221" s="13"/>
      <c r="H221" s="13"/>
      <c r="I221" s="35"/>
      <c r="J221" s="35"/>
      <c r="K221" s="34"/>
      <c r="L221" s="28"/>
      <c r="M221" s="147"/>
      <c r="N221" s="147"/>
      <c r="O221" s="13"/>
      <c r="P221" s="157"/>
      <c r="Q221" s="157"/>
      <c r="R221" s="157"/>
      <c r="S221" s="13"/>
      <c r="T221" s="28"/>
      <c r="U221" s="28"/>
      <c r="V221" s="28"/>
      <c r="W221"/>
      <c r="X221" s="13"/>
      <c r="Y221" s="13"/>
      <c r="Z221" s="13"/>
      <c r="AA221" s="13"/>
      <c r="AB221" s="13"/>
      <c r="AC221" s="13"/>
      <c r="AD221" s="13"/>
      <c r="AE221" s="13"/>
      <c r="AF221" s="13"/>
      <c r="AG221" s="13"/>
      <c r="AH221" s="15"/>
      <c r="AI221" s="15"/>
    </row>
    <row r="222" spans="3:35" s="234" customFormat="1">
      <c r="C222" s="314"/>
      <c r="D222" s="117"/>
      <c r="E222" s="314"/>
      <c r="F222" s="117"/>
      <c r="G222" s="117"/>
      <c r="H222" s="891" t="s">
        <v>356</v>
      </c>
      <c r="I222" s="891"/>
      <c r="J222" s="891"/>
      <c r="K222" s="891"/>
      <c r="L222" s="891"/>
      <c r="M222" s="891"/>
      <c r="N222" s="891"/>
      <c r="O222" s="891"/>
      <c r="P222" s="891"/>
      <c r="Q222" s="891"/>
      <c r="R222" s="331">
        <v>18</v>
      </c>
      <c r="S222" s="117" t="s">
        <v>353</v>
      </c>
      <c r="T222" s="914" t="s">
        <v>354</v>
      </c>
      <c r="U222" s="914"/>
      <c r="V222" s="234" t="s">
        <v>326</v>
      </c>
      <c r="W222" s="321">
        <v>92</v>
      </c>
      <c r="X222" s="332" t="s">
        <v>355</v>
      </c>
      <c r="Y222" s="117"/>
      <c r="Z222" s="117" t="s">
        <v>416</v>
      </c>
      <c r="AA222" s="117"/>
      <c r="AB222" s="117"/>
      <c r="AC222" s="117"/>
      <c r="AD222" s="117"/>
      <c r="AE222" s="117"/>
      <c r="AF222" s="117"/>
      <c r="AG222" s="117"/>
      <c r="AH222" s="315"/>
      <c r="AI222" s="315"/>
    </row>
    <row r="223" spans="3:35" ht="20.25">
      <c r="C223" s="12"/>
      <c r="D223" s="13"/>
      <c r="E223" s="12"/>
      <c r="F223" s="13"/>
      <c r="G223" s="465" t="s">
        <v>727</v>
      </c>
      <c r="H223" s="465"/>
      <c r="I223" s="32" t="s">
        <v>2</v>
      </c>
      <c r="J223" s="148" t="s">
        <v>364</v>
      </c>
      <c r="K223" s="890">
        <v>140</v>
      </c>
      <c r="L223" s="890"/>
      <c r="M223" s="148" t="s">
        <v>263</v>
      </c>
      <c r="N223" s="675">
        <v>0.82</v>
      </c>
      <c r="O223" s="675"/>
      <c r="P223" s="148" t="s">
        <v>69</v>
      </c>
      <c r="Q223" s="436" t="s">
        <v>166</v>
      </c>
      <c r="R223" s="436"/>
      <c r="S223" s="147" t="s">
        <v>70</v>
      </c>
      <c r="T223" s="34" t="s">
        <v>303</v>
      </c>
      <c r="U223" s="13" t="s">
        <v>263</v>
      </c>
      <c r="V223" s="906">
        <v>18</v>
      </c>
      <c r="W223" s="906"/>
      <c r="X223" s="27" t="s">
        <v>365</v>
      </c>
      <c r="Y223" s="27" t="s">
        <v>27</v>
      </c>
      <c r="Z223" s="449">
        <v>1.5</v>
      </c>
      <c r="AA223" s="449"/>
      <c r="AB223" s="13"/>
      <c r="AC223" s="13"/>
      <c r="AD223" s="13"/>
      <c r="AE223" s="13"/>
      <c r="AF223" s="27"/>
      <c r="AG223" s="27"/>
      <c r="AH223" s="177"/>
      <c r="AI223" s="15"/>
    </row>
    <row r="224" spans="3:35">
      <c r="C224" s="12"/>
      <c r="D224" s="13"/>
      <c r="E224" s="12"/>
      <c r="F224" s="13"/>
      <c r="G224" s="164"/>
      <c r="H224" s="164"/>
      <c r="I224" s="32" t="s">
        <v>2</v>
      </c>
      <c r="J224" s="148" t="s">
        <v>364</v>
      </c>
      <c r="K224" s="890">
        <v>140</v>
      </c>
      <c r="L224" s="890"/>
      <c r="M224" s="148" t="s">
        <v>263</v>
      </c>
      <c r="N224" s="675">
        <v>0.82</v>
      </c>
      <c r="O224" s="675"/>
      <c r="P224" s="148" t="s">
        <v>69</v>
      </c>
      <c r="Q224" s="436">
        <f>U219</f>
        <v>43.941411451398139</v>
      </c>
      <c r="R224" s="436"/>
      <c r="S224" s="436"/>
      <c r="T224" s="436"/>
      <c r="U224" s="13" t="s">
        <v>263</v>
      </c>
      <c r="V224" s="906">
        <v>18</v>
      </c>
      <c r="W224" s="906"/>
      <c r="X224" s="27" t="s">
        <v>365</v>
      </c>
      <c r="Y224" s="27" t="s">
        <v>27</v>
      </c>
      <c r="Z224" s="449">
        <v>1.5</v>
      </c>
      <c r="AA224" s="449"/>
      <c r="AB224" s="13"/>
      <c r="AC224" s="13"/>
      <c r="AD224" s="13"/>
      <c r="AE224" s="13"/>
      <c r="AF224" s="27"/>
      <c r="AG224" s="27"/>
      <c r="AH224" s="177"/>
      <c r="AI224" s="15"/>
    </row>
    <row r="225" spans="3:35" ht="20.25">
      <c r="C225" s="12"/>
      <c r="D225" s="13"/>
      <c r="E225" s="12"/>
      <c r="F225" s="13"/>
      <c r="G225" s="13"/>
      <c r="H225" s="13"/>
      <c r="I225" s="35" t="s">
        <v>2</v>
      </c>
      <c r="J225" s="849">
        <f>(K224-N224*(Q224-V224))*Z224</f>
        <v>178.09206391478028</v>
      </c>
      <c r="K225" s="850"/>
      <c r="L225" s="851"/>
      <c r="M225" s="163" t="s">
        <v>48</v>
      </c>
      <c r="N225" s="147"/>
      <c r="O225" s="13"/>
      <c r="P225" s="157"/>
      <c r="Q225" s="157"/>
      <c r="R225" s="157"/>
      <c r="S225" s="13"/>
      <c r="T225" s="28"/>
      <c r="U225" s="28"/>
      <c r="V225" s="28"/>
      <c r="W225"/>
      <c r="X225" s="13"/>
      <c r="Y225" s="13"/>
      <c r="Z225" s="13"/>
      <c r="AA225" s="13"/>
      <c r="AB225" s="13"/>
      <c r="AC225" s="13"/>
      <c r="AD225" s="13"/>
      <c r="AE225" s="13"/>
      <c r="AF225" s="13"/>
      <c r="AG225" s="13"/>
      <c r="AH225" s="15"/>
      <c r="AI225" s="15"/>
    </row>
    <row r="226" spans="3:35">
      <c r="C226" s="12"/>
      <c r="D226" s="13"/>
      <c r="E226" s="16"/>
      <c r="F226" s="17"/>
      <c r="G226" s="17"/>
      <c r="H226" s="17"/>
      <c r="I226" s="151"/>
      <c r="J226" s="162"/>
      <c r="K226" s="162"/>
      <c r="L226" s="162"/>
      <c r="M226" s="176"/>
      <c r="N226" s="162"/>
      <c r="O226" s="17"/>
      <c r="P226" s="293"/>
      <c r="Q226" s="293"/>
      <c r="R226" s="293"/>
      <c r="S226" s="17"/>
      <c r="T226" s="169"/>
      <c r="U226" s="169"/>
      <c r="V226" s="169"/>
      <c r="W226" s="25"/>
      <c r="X226" s="17"/>
      <c r="Y226" s="17"/>
      <c r="Z226" s="17"/>
      <c r="AA226" s="17"/>
      <c r="AB226" s="17"/>
      <c r="AC226" s="17"/>
      <c r="AD226" s="17"/>
      <c r="AE226" s="17"/>
      <c r="AF226" s="17"/>
      <c r="AG226" s="17"/>
      <c r="AH226" s="19"/>
      <c r="AI226" s="15"/>
    </row>
    <row r="227" spans="3:35">
      <c r="C227" s="12"/>
      <c r="D227" s="13"/>
      <c r="E227" s="13"/>
      <c r="F227" s="13"/>
      <c r="G227" s="13"/>
      <c r="H227" s="13"/>
      <c r="I227" s="35"/>
      <c r="J227" s="147"/>
      <c r="K227" s="147"/>
      <c r="L227" s="147"/>
      <c r="M227" s="163"/>
      <c r="N227" s="147"/>
      <c r="O227" s="13"/>
      <c r="P227" s="157"/>
      <c r="Q227" s="157"/>
      <c r="R227" s="157"/>
      <c r="S227" s="13"/>
      <c r="T227" s="28"/>
      <c r="U227" s="28"/>
      <c r="V227" s="28"/>
      <c r="W227"/>
      <c r="X227" s="13"/>
      <c r="Y227" s="13"/>
      <c r="Z227" s="13"/>
      <c r="AA227" s="13"/>
      <c r="AB227" s="13"/>
      <c r="AC227" s="13"/>
      <c r="AD227" s="13"/>
      <c r="AE227" s="13"/>
      <c r="AF227" s="13"/>
      <c r="AG227" s="13"/>
      <c r="AH227" s="13"/>
      <c r="AI227" s="15"/>
    </row>
    <row r="228" spans="3:35">
      <c r="C228" s="12"/>
      <c r="D228" s="13"/>
      <c r="E228" s="13"/>
      <c r="F228" s="13"/>
      <c r="G228" s="13"/>
      <c r="H228" s="13"/>
      <c r="I228" s="13"/>
      <c r="J228" s="13"/>
      <c r="K228" s="13"/>
      <c r="L228" s="13"/>
      <c r="M228" s="13"/>
      <c r="N228" s="13"/>
      <c r="O228" s="13"/>
      <c r="P228" s="13"/>
      <c r="Q228" s="13"/>
      <c r="R228" s="13"/>
      <c r="S228" s="13"/>
      <c r="T228" s="13"/>
      <c r="U228" s="13"/>
      <c r="V228" s="13"/>
      <c r="W228"/>
      <c r="X228" s="13"/>
      <c r="Y228" s="13"/>
      <c r="Z228" s="13"/>
      <c r="AA228" s="13"/>
      <c r="AB228" s="13"/>
      <c r="AC228" s="13"/>
      <c r="AD228" s="13"/>
      <c r="AE228" s="13"/>
      <c r="AF228" s="13"/>
      <c r="AG228" s="13"/>
      <c r="AH228" s="13"/>
      <c r="AI228" s="15"/>
    </row>
    <row r="229" spans="3:35" ht="20.25">
      <c r="C229" s="12"/>
      <c r="D229" s="13"/>
      <c r="E229" s="9"/>
      <c r="F229" s="10"/>
      <c r="G229" s="467" t="s">
        <v>322</v>
      </c>
      <c r="H229" s="467"/>
      <c r="I229" s="10" t="s">
        <v>333</v>
      </c>
      <c r="J229" s="10"/>
      <c r="K229" s="10"/>
      <c r="L229" s="10"/>
      <c r="M229" s="10"/>
      <c r="N229" s="10"/>
      <c r="O229" s="10"/>
      <c r="P229" s="10"/>
      <c r="Q229" s="10"/>
      <c r="R229" s="10"/>
      <c r="S229" s="10"/>
      <c r="T229" s="10"/>
      <c r="U229" s="10"/>
      <c r="V229" s="10"/>
      <c r="W229" s="3"/>
      <c r="X229" s="10"/>
      <c r="Y229" s="10"/>
      <c r="Z229" s="10"/>
      <c r="AA229" s="10"/>
      <c r="AB229" s="10"/>
      <c r="AC229" s="10"/>
      <c r="AD229" s="10"/>
      <c r="AE229" s="10"/>
      <c r="AF229" s="10"/>
      <c r="AG229" s="10"/>
      <c r="AH229" s="11"/>
      <c r="AI229" s="15"/>
    </row>
    <row r="230" spans="3:35">
      <c r="C230" s="12"/>
      <c r="D230" s="13"/>
      <c r="E230" s="12"/>
      <c r="F230" s="13"/>
      <c r="G230" s="13"/>
      <c r="H230" s="13"/>
      <c r="I230" s="13"/>
      <c r="J230" s="13" t="s">
        <v>330</v>
      </c>
      <c r="K230" s="13"/>
      <c r="L230" s="13"/>
      <c r="M230" s="31">
        <v>2</v>
      </c>
      <c r="N230" s="909" t="s">
        <v>334</v>
      </c>
      <c r="O230" s="909"/>
      <c r="P230" s="13" t="s">
        <v>335</v>
      </c>
      <c r="Q230" s="908" t="s">
        <v>285</v>
      </c>
      <c r="R230" s="908"/>
      <c r="S230" s="13"/>
      <c r="T230" s="13"/>
      <c r="U230" s="13"/>
      <c r="V230" s="13"/>
      <c r="W230" s="13"/>
      <c r="X230" s="13"/>
      <c r="Y230" s="13"/>
      <c r="Z230" s="13"/>
      <c r="AA230" s="13"/>
      <c r="AB230" s="13"/>
      <c r="AC230" s="13"/>
      <c r="AD230" s="13"/>
      <c r="AE230" s="13"/>
      <c r="AF230" s="13"/>
      <c r="AG230" s="13"/>
      <c r="AH230" s="15"/>
      <c r="AI230" s="15"/>
    </row>
    <row r="231" spans="3:35">
      <c r="C231" s="12"/>
      <c r="D231" s="13"/>
      <c r="E231" s="12"/>
      <c r="F231" s="13"/>
      <c r="G231" s="13"/>
      <c r="H231" s="13"/>
      <c r="I231" s="13"/>
      <c r="J231" s="892" t="s">
        <v>334</v>
      </c>
      <c r="K231" s="892"/>
      <c r="L231" s="13" t="s">
        <v>336</v>
      </c>
      <c r="M231" s="13"/>
      <c r="N231" s="13"/>
      <c r="O231" s="13"/>
      <c r="P231" s="13"/>
      <c r="Q231" s="13"/>
      <c r="R231" s="13"/>
      <c r="S231" s="13"/>
      <c r="T231" s="13"/>
      <c r="U231" s="892" t="s">
        <v>334</v>
      </c>
      <c r="V231" s="892"/>
      <c r="W231" s="13" t="s">
        <v>2</v>
      </c>
      <c r="X231" s="458">
        <f>'1.設計条件'!T76</f>
        <v>300</v>
      </c>
      <c r="Y231" s="458"/>
      <c r="Z231" s="13" t="s">
        <v>27</v>
      </c>
      <c r="AA231" s="458">
        <f>'1.設計条件'!T78</f>
        <v>15</v>
      </c>
      <c r="AB231" s="458"/>
      <c r="AC231" s="13" t="s">
        <v>2</v>
      </c>
      <c r="AD231" s="471">
        <f>X231*AA231</f>
        <v>4500</v>
      </c>
      <c r="AE231" s="472"/>
      <c r="AF231" s="907"/>
      <c r="AG231" s="13"/>
      <c r="AH231" s="15"/>
      <c r="AI231" s="15"/>
    </row>
    <row r="232" spans="3:35">
      <c r="C232" s="12"/>
      <c r="D232" s="13"/>
      <c r="E232" s="12"/>
      <c r="F232" s="13"/>
      <c r="G232" s="13"/>
      <c r="H232" s="13"/>
      <c r="I232" s="13"/>
      <c r="J232" s="892" t="s">
        <v>285</v>
      </c>
      <c r="K232" s="892"/>
      <c r="L232" s="596" t="s">
        <v>349</v>
      </c>
      <c r="M232" s="596"/>
      <c r="N232" s="596"/>
      <c r="O232" s="596"/>
      <c r="P232" s="596"/>
      <c r="Q232" s="596"/>
      <c r="R232" s="892" t="s">
        <v>285</v>
      </c>
      <c r="S232" s="892"/>
      <c r="T232" s="13" t="s">
        <v>2</v>
      </c>
      <c r="U232" s="13" t="s">
        <v>69</v>
      </c>
      <c r="V232" s="458">
        <f>'1.設計条件'!T75</f>
        <v>300</v>
      </c>
      <c r="W232" s="458"/>
      <c r="X232" s="13" t="s">
        <v>263</v>
      </c>
      <c r="Y232" s="31">
        <v>2</v>
      </c>
      <c r="Z232" s="13" t="s">
        <v>27</v>
      </c>
      <c r="AA232" s="31">
        <f>'1.設計条件'!T78</f>
        <v>15</v>
      </c>
      <c r="AB232" s="13" t="s">
        <v>83</v>
      </c>
      <c r="AC232" s="13" t="s">
        <v>27</v>
      </c>
      <c r="AD232" s="31">
        <f>'1.設計条件'!T77</f>
        <v>10</v>
      </c>
      <c r="AE232" s="31" t="s">
        <v>2</v>
      </c>
      <c r="AF232" s="471">
        <f>(V232-Y232*AA232)*AD232</f>
        <v>2700</v>
      </c>
      <c r="AG232" s="472"/>
      <c r="AH232" s="473"/>
      <c r="AI232" s="15"/>
    </row>
    <row r="233" spans="3:35">
      <c r="C233" s="12"/>
      <c r="D233" s="13"/>
      <c r="E233" s="12"/>
      <c r="F233" s="13"/>
      <c r="G233" s="13"/>
      <c r="H233" s="13"/>
      <c r="I233" s="13"/>
      <c r="J233" s="156"/>
      <c r="K233" s="156"/>
      <c r="L233" s="57"/>
      <c r="M233" s="57"/>
      <c r="N233" s="57"/>
      <c r="O233" s="57"/>
      <c r="P233" s="57"/>
      <c r="Q233" s="57"/>
      <c r="R233" s="156"/>
      <c r="S233" s="156"/>
      <c r="T233" s="13"/>
      <c r="U233" s="13"/>
      <c r="V233" s="27"/>
      <c r="W233" s="27"/>
      <c r="X233" s="13"/>
      <c r="Y233" s="31"/>
      <c r="Z233" s="13"/>
      <c r="AA233" s="31"/>
      <c r="AB233" s="13"/>
      <c r="AC233" s="13"/>
      <c r="AD233" s="31"/>
      <c r="AE233" s="31"/>
      <c r="AF233" s="27"/>
      <c r="AG233" s="27"/>
      <c r="AH233" s="177"/>
      <c r="AI233" s="15"/>
    </row>
    <row r="234" spans="3:35">
      <c r="C234" s="12"/>
      <c r="D234" s="13"/>
      <c r="E234" s="12"/>
      <c r="F234" s="13"/>
      <c r="G234" s="13"/>
      <c r="H234" s="13"/>
      <c r="I234" s="35"/>
      <c r="J234" s="436" t="s">
        <v>359</v>
      </c>
      <c r="K234" s="436"/>
      <c r="L234" s="13" t="s">
        <v>360</v>
      </c>
      <c r="M234" s="13"/>
      <c r="N234" s="13"/>
      <c r="O234" s="13"/>
      <c r="P234" s="13"/>
      <c r="Q234" s="27"/>
      <c r="R234" s="27"/>
      <c r="S234" s="13"/>
      <c r="T234" s="13"/>
      <c r="U234" s="13"/>
      <c r="V234" s="13"/>
      <c r="W234" s="13"/>
      <c r="X234" s="13"/>
      <c r="Y234" s="13"/>
      <c r="Z234" s="13"/>
      <c r="AA234" s="13"/>
      <c r="AB234" s="13"/>
      <c r="AC234" s="13"/>
      <c r="AD234" s="31"/>
      <c r="AE234" s="31"/>
      <c r="AF234" s="27"/>
      <c r="AG234" s="27"/>
      <c r="AH234" s="177"/>
      <c r="AI234" s="15"/>
    </row>
    <row r="235" spans="3:35">
      <c r="C235" s="12"/>
      <c r="D235" s="13"/>
      <c r="E235" s="12"/>
      <c r="F235" s="13"/>
      <c r="G235" s="13"/>
      <c r="H235" s="13"/>
      <c r="I235" s="35"/>
      <c r="J235" s="35"/>
      <c r="K235" s="436" t="s">
        <v>359</v>
      </c>
      <c r="L235" s="436"/>
      <c r="M235" s="13" t="s">
        <v>2</v>
      </c>
      <c r="N235" s="437">
        <f>T20</f>
        <v>6.3</v>
      </c>
      <c r="O235" s="439"/>
      <c r="P235" s="37" t="s">
        <v>3</v>
      </c>
      <c r="Q235" s="13"/>
      <c r="R235" s="31" t="s">
        <v>351</v>
      </c>
      <c r="S235" s="13"/>
      <c r="T235" s="13"/>
      <c r="U235" s="13"/>
      <c r="V235" s="13"/>
      <c r="W235"/>
      <c r="X235" s="13"/>
      <c r="Y235" s="13"/>
      <c r="Z235" s="13"/>
      <c r="AA235" s="13"/>
      <c r="AB235" s="13"/>
      <c r="AC235" s="13"/>
      <c r="AD235" s="31"/>
      <c r="AE235" s="31"/>
      <c r="AF235" s="27"/>
      <c r="AG235" s="27"/>
      <c r="AH235" s="177"/>
      <c r="AI235" s="15"/>
    </row>
    <row r="236" spans="3:35">
      <c r="C236" s="12"/>
      <c r="D236" s="13"/>
      <c r="E236" s="12"/>
      <c r="F236" s="13"/>
      <c r="G236" s="13"/>
      <c r="H236" s="13"/>
      <c r="I236" s="35"/>
      <c r="J236" s="35"/>
      <c r="K236" s="14"/>
      <c r="L236" s="14"/>
      <c r="M236" s="13"/>
      <c r="N236" s="14"/>
      <c r="O236" s="14"/>
      <c r="P236" s="37"/>
      <c r="Q236" s="13"/>
      <c r="R236" s="31"/>
      <c r="S236" s="13"/>
      <c r="T236" s="13"/>
      <c r="U236" s="13"/>
      <c r="V236" s="13"/>
      <c r="W236"/>
      <c r="X236" s="13"/>
      <c r="Y236" s="13"/>
      <c r="Z236" s="13"/>
      <c r="AA236" s="13"/>
      <c r="AB236" s="13"/>
      <c r="AC236" s="13"/>
      <c r="AD236" s="31"/>
      <c r="AE236" s="31"/>
      <c r="AF236" s="27"/>
      <c r="AG236" s="27"/>
      <c r="AH236" s="177"/>
      <c r="AI236" s="15"/>
    </row>
    <row r="237" spans="3:35">
      <c r="C237" s="12"/>
      <c r="D237" s="13"/>
      <c r="E237" s="12"/>
      <c r="F237" s="13"/>
      <c r="G237" s="13"/>
      <c r="H237" s="13"/>
      <c r="I237" s="35"/>
      <c r="J237" s="13" t="s">
        <v>361</v>
      </c>
      <c r="K237" s="13"/>
      <c r="L237" s="13"/>
      <c r="M237" s="13"/>
      <c r="N237" s="13"/>
      <c r="O237" s="13"/>
      <c r="P237" s="34"/>
      <c r="Q237" s="13"/>
      <c r="R237" s="31"/>
      <c r="S237" s="13"/>
      <c r="T237" s="13"/>
      <c r="U237" s="13"/>
      <c r="V237" s="13"/>
      <c r="W237"/>
      <c r="X237" s="13"/>
      <c r="Y237" s="13"/>
      <c r="Z237" s="13"/>
      <c r="AA237" s="13"/>
      <c r="AB237" s="13"/>
      <c r="AC237" s="13"/>
      <c r="AD237" s="31"/>
      <c r="AE237" s="31"/>
      <c r="AF237" s="27"/>
      <c r="AG237" s="27"/>
      <c r="AH237" s="177"/>
      <c r="AI237" s="15"/>
    </row>
    <row r="238" spans="3:35" ht="20.25">
      <c r="C238" s="12"/>
      <c r="D238" s="13"/>
      <c r="E238" s="12"/>
      <c r="F238" s="13"/>
      <c r="G238" s="13"/>
      <c r="H238" s="13"/>
      <c r="I238" s="35"/>
      <c r="J238" s="451" t="s">
        <v>358</v>
      </c>
      <c r="K238" s="451"/>
      <c r="L238" s="449" t="s">
        <v>2</v>
      </c>
      <c r="M238" s="452">
        <f>N235</f>
        <v>6.3</v>
      </c>
      <c r="N238" s="452"/>
      <c r="O238" s="17" t="s">
        <v>27</v>
      </c>
      <c r="P238" s="889">
        <v>1000</v>
      </c>
      <c r="Q238" s="889"/>
      <c r="R238" s="889"/>
      <c r="S238" s="13"/>
      <c r="T238" s="449" t="s">
        <v>2</v>
      </c>
      <c r="U238" s="554">
        <f>M238*P238/O239</f>
        <v>21</v>
      </c>
      <c r="V238" s="555"/>
      <c r="W238"/>
      <c r="X238" s="13"/>
      <c r="Y238" s="13"/>
      <c r="Z238" s="13"/>
      <c r="AA238" s="13"/>
      <c r="AB238" s="13"/>
      <c r="AC238" s="13"/>
      <c r="AD238" s="31"/>
      <c r="AE238" s="31"/>
      <c r="AF238" s="27"/>
      <c r="AG238" s="27"/>
      <c r="AH238" s="177"/>
      <c r="AI238" s="15"/>
    </row>
    <row r="239" spans="3:35">
      <c r="C239" s="12"/>
      <c r="D239" s="13"/>
      <c r="E239" s="12"/>
      <c r="F239" s="13"/>
      <c r="G239" s="13"/>
      <c r="H239" s="13"/>
      <c r="I239" s="35"/>
      <c r="J239" s="467" t="s">
        <v>195</v>
      </c>
      <c r="K239" s="467"/>
      <c r="L239" s="449"/>
      <c r="M239" s="13"/>
      <c r="N239" s="13"/>
      <c r="O239" s="888">
        <f>'1.設計条件'!T76</f>
        <v>300</v>
      </c>
      <c r="P239" s="888"/>
      <c r="Q239" s="145"/>
      <c r="R239" s="145"/>
      <c r="S239" s="13"/>
      <c r="T239" s="449"/>
      <c r="U239" s="556"/>
      <c r="V239" s="557"/>
      <c r="W239"/>
      <c r="X239" s="13"/>
      <c r="Y239" s="13"/>
      <c r="Z239" s="13"/>
      <c r="AA239" s="13"/>
      <c r="AB239" s="13"/>
      <c r="AC239" s="13"/>
      <c r="AD239" s="31"/>
      <c r="AE239" s="31"/>
      <c r="AF239" s="27"/>
      <c r="AG239" s="27"/>
      <c r="AH239" s="177"/>
      <c r="AI239" s="15"/>
    </row>
    <row r="240" spans="3:35">
      <c r="C240" s="12"/>
      <c r="D240" s="13"/>
      <c r="E240" s="12"/>
      <c r="F240" s="13"/>
      <c r="G240" s="13"/>
      <c r="H240" s="13"/>
      <c r="I240" s="35"/>
      <c r="J240" s="35"/>
      <c r="K240" s="34"/>
      <c r="L240" s="28"/>
      <c r="M240" s="147"/>
      <c r="N240" s="147"/>
      <c r="O240" s="13"/>
      <c r="P240" s="157"/>
      <c r="Q240" s="157"/>
      <c r="R240" s="157"/>
      <c r="S240" s="13"/>
      <c r="T240" s="28"/>
      <c r="U240" s="28"/>
      <c r="V240" s="28"/>
      <c r="W240"/>
      <c r="X240" s="13"/>
      <c r="Y240" s="13"/>
      <c r="Z240" s="13"/>
      <c r="AA240" s="13"/>
      <c r="AB240" s="13"/>
      <c r="AC240" s="13"/>
      <c r="AD240" s="31"/>
      <c r="AE240" s="31"/>
      <c r="AF240" s="27"/>
      <c r="AG240" s="27"/>
      <c r="AH240" s="177"/>
      <c r="AI240" s="15"/>
    </row>
    <row r="241" spans="3:35">
      <c r="C241" s="12"/>
      <c r="D241" s="13"/>
      <c r="E241" s="12"/>
      <c r="F241" s="13"/>
      <c r="G241" s="13"/>
      <c r="H241" s="433" t="s">
        <v>362</v>
      </c>
      <c r="I241" s="433"/>
      <c r="J241" s="433"/>
      <c r="K241" s="433"/>
      <c r="L241" s="433"/>
      <c r="M241" s="433"/>
      <c r="N241" s="433"/>
      <c r="O241" s="433"/>
      <c r="P241" s="433"/>
      <c r="Q241" s="433"/>
      <c r="R241" s="380">
        <v>4.5</v>
      </c>
      <c r="S241" s="380"/>
      <c r="T241" s="13" t="s">
        <v>353</v>
      </c>
      <c r="U241" s="449" t="s">
        <v>363</v>
      </c>
      <c r="V241" s="449"/>
      <c r="W241" s="13" t="s">
        <v>326</v>
      </c>
      <c r="X241" s="458">
        <v>30</v>
      </c>
      <c r="Y241" s="458"/>
      <c r="Z241" s="33" t="s">
        <v>355</v>
      </c>
      <c r="AA241"/>
      <c r="AB241" s="13" t="s">
        <v>416</v>
      </c>
      <c r="AC241" s="13"/>
      <c r="AD241" s="13"/>
      <c r="AE241" s="13"/>
      <c r="AF241" s="27"/>
      <c r="AG241" s="27"/>
      <c r="AH241" s="177"/>
      <c r="AI241" s="15"/>
    </row>
    <row r="242" spans="3:35">
      <c r="C242" s="12"/>
      <c r="D242" s="13"/>
      <c r="E242" s="12"/>
      <c r="F242" s="13"/>
      <c r="G242" s="465" t="s">
        <v>322</v>
      </c>
      <c r="H242" s="465"/>
      <c r="I242" s="32" t="s">
        <v>2</v>
      </c>
      <c r="J242" s="148" t="s">
        <v>364</v>
      </c>
      <c r="K242" s="890">
        <v>140</v>
      </c>
      <c r="L242" s="890"/>
      <c r="M242" s="148" t="s">
        <v>263</v>
      </c>
      <c r="N242" s="433">
        <v>2.4</v>
      </c>
      <c r="O242" s="433"/>
      <c r="P242" s="148" t="s">
        <v>69</v>
      </c>
      <c r="Q242" s="436" t="s">
        <v>359</v>
      </c>
      <c r="R242" s="436"/>
      <c r="S242" s="147" t="s">
        <v>70</v>
      </c>
      <c r="T242" s="34" t="s">
        <v>195</v>
      </c>
      <c r="U242" s="13" t="s">
        <v>263</v>
      </c>
      <c r="V242" s="449">
        <v>4.5</v>
      </c>
      <c r="W242" s="449"/>
      <c r="X242" s="27" t="s">
        <v>365</v>
      </c>
      <c r="Y242" s="27" t="s">
        <v>27</v>
      </c>
      <c r="Z242" s="449">
        <v>1.5</v>
      </c>
      <c r="AA242" s="449"/>
      <c r="AB242" s="13"/>
      <c r="AC242" s="13"/>
      <c r="AD242" s="13"/>
      <c r="AE242" s="13"/>
      <c r="AF242" s="27"/>
      <c r="AG242" s="27"/>
      <c r="AH242" s="177"/>
      <c r="AI242" s="15"/>
    </row>
    <row r="243" spans="3:35">
      <c r="C243" s="12"/>
      <c r="D243" s="13"/>
      <c r="E243" s="12"/>
      <c r="F243" s="13"/>
      <c r="G243" s="164"/>
      <c r="H243" s="164"/>
      <c r="I243" s="32" t="s">
        <v>2</v>
      </c>
      <c r="J243" s="148" t="s">
        <v>364</v>
      </c>
      <c r="K243" s="890">
        <v>140</v>
      </c>
      <c r="L243" s="890"/>
      <c r="M243" s="148" t="s">
        <v>263</v>
      </c>
      <c r="N243" s="433">
        <v>2.4</v>
      </c>
      <c r="O243" s="433"/>
      <c r="P243" s="148" t="s">
        <v>69</v>
      </c>
      <c r="Q243" s="436">
        <f>U238</f>
        <v>21</v>
      </c>
      <c r="R243" s="436"/>
      <c r="S243" s="436"/>
      <c r="T243" s="436"/>
      <c r="U243" s="13" t="s">
        <v>263</v>
      </c>
      <c r="V243" s="449">
        <v>4.5</v>
      </c>
      <c r="W243" s="449"/>
      <c r="X243" s="27" t="s">
        <v>365</v>
      </c>
      <c r="Y243" s="27" t="s">
        <v>27</v>
      </c>
      <c r="Z243" s="449">
        <v>1.5</v>
      </c>
      <c r="AA243" s="449"/>
      <c r="AB243" s="13"/>
      <c r="AC243" s="13"/>
      <c r="AD243" s="13"/>
      <c r="AE243" s="13"/>
      <c r="AF243" s="27"/>
      <c r="AG243" s="27"/>
      <c r="AH243" s="177"/>
      <c r="AI243" s="15"/>
    </row>
    <row r="244" spans="3:35" ht="20.25">
      <c r="C244" s="12"/>
      <c r="D244" s="13"/>
      <c r="E244" s="12"/>
      <c r="F244" s="13"/>
      <c r="G244" s="13"/>
      <c r="H244" s="148"/>
      <c r="I244" s="32" t="s">
        <v>2</v>
      </c>
      <c r="J244" s="885">
        <f>(K243-N243*(Q243-V243))*Z243</f>
        <v>150.60000000000002</v>
      </c>
      <c r="K244" s="886"/>
      <c r="L244" s="887"/>
      <c r="M244" s="163" t="s">
        <v>48</v>
      </c>
      <c r="N244" s="148"/>
      <c r="O244" s="148"/>
      <c r="P244" s="148"/>
      <c r="Q244" s="148"/>
      <c r="R244" s="147"/>
      <c r="S244" s="147"/>
      <c r="T244" s="13"/>
      <c r="U244" s="28"/>
      <c r="V244" s="28"/>
      <c r="W244" s="13"/>
      <c r="X244" s="27"/>
      <c r="Y244" s="27"/>
      <c r="Z244" s="33"/>
      <c r="AA244"/>
      <c r="AB244" s="13"/>
      <c r="AC244" s="13"/>
      <c r="AD244" s="13"/>
      <c r="AE244" s="13"/>
      <c r="AF244" s="27"/>
      <c r="AG244" s="27"/>
      <c r="AH244" s="177"/>
      <c r="AI244" s="15"/>
    </row>
    <row r="245" spans="3:35">
      <c r="C245" s="12"/>
      <c r="D245" s="13"/>
      <c r="E245" s="16"/>
      <c r="F245" s="17"/>
      <c r="G245" s="17"/>
      <c r="H245" s="178"/>
      <c r="I245" s="179"/>
      <c r="J245" s="178"/>
      <c r="K245" s="178"/>
      <c r="L245" s="178"/>
      <c r="M245" s="176"/>
      <c r="N245" s="178"/>
      <c r="O245" s="178"/>
      <c r="P245" s="178"/>
      <c r="Q245" s="178"/>
      <c r="R245" s="162"/>
      <c r="S245" s="162"/>
      <c r="T245" s="17"/>
      <c r="U245" s="169"/>
      <c r="V245" s="169"/>
      <c r="W245" s="17"/>
      <c r="X245" s="152"/>
      <c r="Y245" s="152"/>
      <c r="Z245" s="180"/>
      <c r="AA245" s="25"/>
      <c r="AB245" s="17"/>
      <c r="AC245" s="17"/>
      <c r="AD245" s="17"/>
      <c r="AE245" s="17"/>
      <c r="AF245" s="152"/>
      <c r="AG245" s="152"/>
      <c r="AH245" s="181"/>
      <c r="AI245" s="15"/>
    </row>
    <row r="246" spans="3:35">
      <c r="C246" s="12"/>
      <c r="D246" s="13"/>
      <c r="E246" s="13"/>
      <c r="F246" s="13"/>
      <c r="G246" s="13"/>
      <c r="H246" s="148"/>
      <c r="I246" s="32"/>
      <c r="J246" s="148"/>
      <c r="K246" s="148"/>
      <c r="L246" s="148"/>
      <c r="M246" s="163"/>
      <c r="N246" s="148"/>
      <c r="O246" s="148"/>
      <c r="P246" s="148"/>
      <c r="Q246" s="148"/>
      <c r="R246" s="147"/>
      <c r="S246" s="147"/>
      <c r="T246" s="13"/>
      <c r="U246" s="28"/>
      <c r="V246" s="28"/>
      <c r="W246" s="13"/>
      <c r="X246" s="27"/>
      <c r="Y246" s="27"/>
      <c r="Z246" s="33"/>
      <c r="AA246"/>
      <c r="AB246" s="13"/>
      <c r="AC246" s="13"/>
      <c r="AD246" s="13"/>
      <c r="AE246" s="13"/>
      <c r="AF246" s="27"/>
      <c r="AG246" s="27"/>
      <c r="AH246" s="27"/>
      <c r="AI246" s="15"/>
    </row>
    <row r="247" spans="3:35">
      <c r="C247" s="12"/>
      <c r="D247" s="13"/>
      <c r="E247" s="13"/>
      <c r="F247" s="13"/>
      <c r="G247" s="13"/>
      <c r="H247" s="148"/>
      <c r="I247" s="148"/>
      <c r="J247" s="148"/>
      <c r="K247" s="148"/>
      <c r="L247" s="148"/>
      <c r="M247" s="148"/>
      <c r="N247" s="148"/>
      <c r="O247" s="148"/>
      <c r="P247" s="148"/>
      <c r="Q247" s="148"/>
      <c r="R247" s="147"/>
      <c r="S247" s="147"/>
      <c r="T247" s="13"/>
      <c r="U247" s="28"/>
      <c r="V247" s="28"/>
      <c r="W247" s="13"/>
      <c r="X247" s="27"/>
      <c r="Y247" s="27"/>
      <c r="Z247" s="33"/>
      <c r="AA247"/>
      <c r="AB247" s="13"/>
      <c r="AC247" s="13"/>
      <c r="AD247" s="13"/>
      <c r="AE247" s="13"/>
      <c r="AF247" s="27"/>
      <c r="AG247" s="27"/>
      <c r="AH247" s="27"/>
      <c r="AI247" s="15"/>
    </row>
    <row r="248" spans="3:35">
      <c r="C248" s="12"/>
      <c r="D248" s="13"/>
      <c r="E248" s="9"/>
      <c r="F248" s="10"/>
      <c r="G248" s="467" t="s">
        <v>324</v>
      </c>
      <c r="H248" s="467"/>
      <c r="I248" s="10" t="s">
        <v>339</v>
      </c>
      <c r="J248" s="10"/>
      <c r="K248" s="10"/>
      <c r="L248" s="10"/>
      <c r="M248" s="10"/>
      <c r="N248" s="10"/>
      <c r="O248" s="10"/>
      <c r="P248" s="10"/>
      <c r="Q248" s="10"/>
      <c r="R248" s="10"/>
      <c r="S248" s="10"/>
      <c r="T248" s="10"/>
      <c r="U248" s="10"/>
      <c r="V248" s="10"/>
      <c r="W248" s="3"/>
      <c r="X248" s="10"/>
      <c r="Y248" s="10"/>
      <c r="Z248" s="10"/>
      <c r="AA248" s="10"/>
      <c r="AB248" s="10"/>
      <c r="AC248" s="10"/>
      <c r="AD248" s="10"/>
      <c r="AE248" s="10"/>
      <c r="AF248" s="10"/>
      <c r="AG248" s="10"/>
      <c r="AH248" s="11"/>
      <c r="AI248" s="15"/>
    </row>
    <row r="249" spans="3:35" ht="20.25">
      <c r="C249" s="12"/>
      <c r="D249" s="13"/>
      <c r="E249" s="12"/>
      <c r="F249" s="13"/>
      <c r="G249" s="13"/>
      <c r="H249" s="13"/>
      <c r="I249" s="360" t="s">
        <v>324</v>
      </c>
      <c r="J249" s="360"/>
      <c r="K249" s="13" t="s">
        <v>2</v>
      </c>
      <c r="L249" s="374">
        <v>210</v>
      </c>
      <c r="M249" s="376"/>
      <c r="N249" s="13" t="s">
        <v>48</v>
      </c>
      <c r="O249" s="13"/>
      <c r="P249" s="13"/>
      <c r="Q249" s="13" t="s">
        <v>340</v>
      </c>
      <c r="R249" s="13"/>
      <c r="S249" s="13"/>
      <c r="T249" s="13"/>
      <c r="U249" s="13"/>
      <c r="V249" s="13"/>
      <c r="W249"/>
      <c r="X249" s="13"/>
      <c r="Y249" s="13"/>
      <c r="Z249" s="13"/>
      <c r="AA249" s="13"/>
      <c r="AB249" s="13"/>
      <c r="AC249" s="13"/>
      <c r="AD249" s="13"/>
      <c r="AE249" s="13"/>
      <c r="AF249" s="13"/>
      <c r="AG249" s="13"/>
      <c r="AH249" s="15"/>
      <c r="AI249" s="15"/>
    </row>
    <row r="250" spans="3:35">
      <c r="C250" s="12"/>
      <c r="D250" s="13"/>
      <c r="E250" s="16"/>
      <c r="F250" s="17"/>
      <c r="G250" s="17"/>
      <c r="H250" s="17"/>
      <c r="I250" s="151"/>
      <c r="J250" s="151"/>
      <c r="K250" s="17"/>
      <c r="L250" s="182"/>
      <c r="M250" s="182"/>
      <c r="N250" s="17"/>
      <c r="O250" s="17"/>
      <c r="P250" s="17"/>
      <c r="Q250" s="17"/>
      <c r="R250" s="17"/>
      <c r="S250" s="17"/>
      <c r="T250" s="17"/>
      <c r="U250" s="17"/>
      <c r="V250" s="17"/>
      <c r="W250" s="25"/>
      <c r="X250" s="17"/>
      <c r="Y250" s="17"/>
      <c r="Z250" s="17"/>
      <c r="AA250" s="17"/>
      <c r="AB250" s="17"/>
      <c r="AC250" s="17"/>
      <c r="AD250" s="17"/>
      <c r="AE250" s="17"/>
      <c r="AF250" s="17"/>
      <c r="AG250" s="17"/>
      <c r="AH250" s="19"/>
      <c r="AI250" s="15"/>
    </row>
    <row r="251" spans="3:35">
      <c r="C251" s="12"/>
      <c r="D251" s="13"/>
      <c r="E251" s="13"/>
      <c r="F251" s="13"/>
      <c r="G251" s="13"/>
      <c r="H251" s="13"/>
      <c r="I251" s="35"/>
      <c r="J251" s="35"/>
      <c r="K251" s="13"/>
      <c r="L251" s="146"/>
      <c r="M251" s="146"/>
      <c r="N251" s="13"/>
      <c r="O251" s="13"/>
      <c r="P251" s="13"/>
      <c r="Q251" s="13"/>
      <c r="R251" s="13"/>
      <c r="S251" s="13"/>
      <c r="T251" s="13"/>
      <c r="U251" s="13"/>
      <c r="V251" s="13"/>
      <c r="W251"/>
      <c r="X251" s="13"/>
      <c r="Y251" s="13"/>
      <c r="Z251" s="13"/>
      <c r="AA251" s="13"/>
      <c r="AB251" s="13"/>
      <c r="AC251" s="13"/>
      <c r="AD251" s="13"/>
      <c r="AE251" s="13"/>
      <c r="AF251" s="13"/>
      <c r="AG251" s="13"/>
      <c r="AH251" s="13"/>
      <c r="AI251" s="15"/>
    </row>
    <row r="252" spans="3:35">
      <c r="C252" s="12"/>
      <c r="D252" s="13"/>
      <c r="E252" s="13"/>
      <c r="F252" s="13"/>
      <c r="G252" s="13"/>
      <c r="H252" s="13"/>
      <c r="I252" s="13"/>
      <c r="J252" s="13"/>
      <c r="K252" s="13"/>
      <c r="L252" s="13"/>
      <c r="M252" s="13"/>
      <c r="N252" s="13"/>
      <c r="O252" s="13"/>
      <c r="P252" s="13"/>
      <c r="Q252" s="13"/>
      <c r="R252" s="13"/>
      <c r="S252" s="13"/>
      <c r="T252" s="13"/>
      <c r="U252" s="13"/>
      <c r="V252" s="13"/>
      <c r="W252"/>
      <c r="X252" s="13"/>
      <c r="Y252" s="13"/>
      <c r="Z252" s="13"/>
      <c r="AA252" s="13"/>
      <c r="AB252" s="13"/>
      <c r="AC252" s="13"/>
      <c r="AD252" s="13"/>
      <c r="AE252" s="13"/>
      <c r="AF252" s="13"/>
      <c r="AG252" s="13"/>
      <c r="AH252" s="13"/>
      <c r="AI252" s="15"/>
    </row>
    <row r="253" spans="3:35">
      <c r="C253" s="12"/>
      <c r="D253" s="13"/>
      <c r="E253" s="9"/>
      <c r="F253" s="10"/>
      <c r="G253" s="467" t="s">
        <v>366</v>
      </c>
      <c r="H253" s="467"/>
      <c r="I253" s="10" t="s">
        <v>367</v>
      </c>
      <c r="J253" s="10"/>
      <c r="K253" s="10"/>
      <c r="L253" s="10"/>
      <c r="M253" s="10"/>
      <c r="N253" s="10"/>
      <c r="O253" s="10"/>
      <c r="P253" s="10"/>
      <c r="Q253" s="10"/>
      <c r="R253" s="10"/>
      <c r="S253" s="10"/>
      <c r="T253" s="10"/>
      <c r="U253" s="10"/>
      <c r="V253" s="10"/>
      <c r="W253" s="3"/>
      <c r="X253" s="10"/>
      <c r="Y253" s="10"/>
      <c r="Z253" s="10"/>
      <c r="AA253" s="10"/>
      <c r="AB253" s="10"/>
      <c r="AC253" s="10"/>
      <c r="AD253" s="10"/>
      <c r="AE253" s="10"/>
      <c r="AF253" s="10"/>
      <c r="AG253" s="10"/>
      <c r="AH253" s="11"/>
      <c r="AI253" s="15"/>
    </row>
    <row r="254" spans="3:35" ht="20.25">
      <c r="C254" s="12"/>
      <c r="D254" s="13"/>
      <c r="E254" s="12"/>
      <c r="F254" s="13"/>
      <c r="G254" s="13"/>
      <c r="H254" s="13"/>
      <c r="I254" s="360" t="s">
        <v>366</v>
      </c>
      <c r="J254" s="360"/>
      <c r="K254" s="13" t="s">
        <v>2</v>
      </c>
      <c r="L254" s="374">
        <v>210</v>
      </c>
      <c r="M254" s="376"/>
      <c r="N254" s="13" t="s">
        <v>48</v>
      </c>
      <c r="O254" s="13"/>
      <c r="P254" s="13"/>
      <c r="Q254" s="13" t="s">
        <v>340</v>
      </c>
      <c r="R254" s="13"/>
      <c r="S254" s="13"/>
      <c r="T254" s="13"/>
      <c r="U254" s="13"/>
      <c r="V254" s="13"/>
      <c r="W254"/>
      <c r="X254" s="13"/>
      <c r="Y254" s="13"/>
      <c r="Z254" s="13"/>
      <c r="AA254" s="13"/>
      <c r="AB254" s="13"/>
      <c r="AC254" s="13"/>
      <c r="AD254" s="13"/>
      <c r="AE254" s="13"/>
      <c r="AF254" s="13"/>
      <c r="AG254" s="13"/>
      <c r="AH254" s="15"/>
      <c r="AI254" s="15"/>
    </row>
    <row r="255" spans="3:35">
      <c r="C255" s="12"/>
      <c r="D255" s="13"/>
      <c r="E255" s="16"/>
      <c r="F255" s="17"/>
      <c r="G255" s="17"/>
      <c r="H255" s="17"/>
      <c r="I255" s="17"/>
      <c r="J255" s="17" t="s">
        <v>330</v>
      </c>
      <c r="K255" s="17"/>
      <c r="L255" s="17"/>
      <c r="M255" s="123" t="s">
        <v>331</v>
      </c>
      <c r="N255" s="17" t="s">
        <v>326</v>
      </c>
      <c r="O255" s="451">
        <v>13.1</v>
      </c>
      <c r="P255" s="451"/>
      <c r="Q255" s="123" t="s">
        <v>332</v>
      </c>
      <c r="R255" s="17" t="s">
        <v>315</v>
      </c>
      <c r="S255" s="17"/>
      <c r="T255" s="17"/>
      <c r="U255" s="17"/>
      <c r="V255" s="17"/>
      <c r="W255" s="25"/>
      <c r="X255" s="17"/>
      <c r="Y255" s="17"/>
      <c r="Z255" s="17"/>
      <c r="AA255" s="17"/>
      <c r="AB255" s="17"/>
      <c r="AC255" s="17"/>
      <c r="AD255" s="17"/>
      <c r="AE255" s="17"/>
      <c r="AF255" s="17"/>
      <c r="AG255" s="17"/>
      <c r="AH255" s="19"/>
      <c r="AI255" s="15"/>
    </row>
    <row r="256" spans="3:35">
      <c r="C256" s="12"/>
      <c r="D256" s="13"/>
      <c r="E256" s="13"/>
      <c r="F256" s="13"/>
      <c r="G256" s="13"/>
      <c r="H256" s="13"/>
      <c r="I256" s="13"/>
      <c r="J256" s="13"/>
      <c r="K256" s="13"/>
      <c r="L256" s="13"/>
      <c r="M256" s="34"/>
      <c r="N256" s="13"/>
      <c r="O256" s="14"/>
      <c r="P256" s="14"/>
      <c r="Q256" s="34"/>
      <c r="R256" s="13"/>
      <c r="S256" s="13"/>
      <c r="T256" s="13"/>
      <c r="U256" s="13"/>
      <c r="V256" s="13"/>
      <c r="W256"/>
      <c r="X256" s="13"/>
      <c r="Y256" s="13"/>
      <c r="Z256" s="13"/>
      <c r="AA256" s="13"/>
      <c r="AB256" s="13"/>
      <c r="AC256" s="13"/>
      <c r="AD256" s="13"/>
      <c r="AE256" s="13"/>
      <c r="AF256" s="13"/>
      <c r="AG256" s="13"/>
      <c r="AH256" s="13"/>
      <c r="AI256" s="15"/>
    </row>
    <row r="257" spans="3:35">
      <c r="C257" s="12"/>
      <c r="D257" s="13"/>
      <c r="E257" s="13"/>
      <c r="F257" s="13"/>
      <c r="G257" s="13"/>
      <c r="H257" s="13"/>
      <c r="I257" s="13"/>
      <c r="J257" s="13"/>
      <c r="K257" s="13"/>
      <c r="L257" s="13"/>
      <c r="M257" s="34"/>
      <c r="N257" s="13"/>
      <c r="O257" s="14"/>
      <c r="P257" s="14"/>
      <c r="Q257" s="34"/>
      <c r="R257" s="13"/>
      <c r="S257" s="13"/>
      <c r="T257" s="13"/>
      <c r="U257" s="13"/>
      <c r="V257" s="13"/>
      <c r="W257"/>
      <c r="X257" s="13"/>
      <c r="Y257" s="13"/>
      <c r="Z257" s="13"/>
      <c r="AA257" s="13"/>
      <c r="AB257" s="13"/>
      <c r="AC257" s="13"/>
      <c r="AD257" s="13"/>
      <c r="AE257" s="13"/>
      <c r="AF257" s="13"/>
      <c r="AG257" s="13"/>
      <c r="AH257" s="13"/>
      <c r="AI257" s="15"/>
    </row>
    <row r="258" spans="3:35" ht="20.25">
      <c r="C258" s="12"/>
      <c r="D258" s="13"/>
      <c r="E258" s="856" t="s">
        <v>321</v>
      </c>
      <c r="F258" s="857"/>
      <c r="G258" s="858" t="s">
        <v>341</v>
      </c>
      <c r="H258" s="858"/>
      <c r="I258" s="10" t="s">
        <v>417</v>
      </c>
      <c r="J258" s="10"/>
      <c r="K258" s="10"/>
      <c r="L258" s="10"/>
      <c r="M258" s="10"/>
      <c r="N258" s="10"/>
      <c r="O258" s="10"/>
      <c r="P258" s="10"/>
      <c r="Q258" s="10"/>
      <c r="R258" s="10"/>
      <c r="S258" s="10"/>
      <c r="T258" s="10"/>
      <c r="U258" s="10"/>
      <c r="V258" s="10"/>
      <c r="W258" s="3"/>
      <c r="X258" s="10"/>
      <c r="Y258" s="10"/>
      <c r="Z258" s="10"/>
      <c r="AA258" s="10"/>
      <c r="AB258" s="10"/>
      <c r="AC258" s="10"/>
      <c r="AD258" s="10"/>
      <c r="AE258" s="10"/>
      <c r="AF258" s="10"/>
      <c r="AG258" s="10"/>
      <c r="AH258" s="11"/>
      <c r="AI258" s="15"/>
    </row>
    <row r="259" spans="3:35">
      <c r="C259" s="12"/>
      <c r="D259" s="13"/>
      <c r="E259" s="12"/>
      <c r="F259" s="13"/>
      <c r="G259" s="13"/>
      <c r="H259" s="13"/>
      <c r="I259" s="465" t="s">
        <v>321</v>
      </c>
      <c r="J259" s="465"/>
      <c r="K259" s="449" t="s">
        <v>2</v>
      </c>
      <c r="L259" s="867">
        <v>1200000</v>
      </c>
      <c r="M259" s="867"/>
      <c r="N259" s="867"/>
      <c r="O259" s="867"/>
      <c r="P259" s="867"/>
      <c r="Q259" s="13"/>
      <c r="R259" s="449" t="s">
        <v>2</v>
      </c>
      <c r="S259" s="867">
        <v>1200000</v>
      </c>
      <c r="T259" s="867"/>
      <c r="U259" s="867"/>
      <c r="V259" s="867"/>
      <c r="W259" s="867"/>
      <c r="X259" s="17"/>
      <c r="Y259" s="17"/>
      <c r="Z259" s="17"/>
      <c r="AA259" s="17"/>
      <c r="AB259" s="13"/>
      <c r="AC259" s="449" t="s">
        <v>2</v>
      </c>
      <c r="AD259" s="617">
        <f>S259</f>
        <v>1200000</v>
      </c>
      <c r="AE259" s="617"/>
      <c r="AF259" s="617"/>
      <c r="AG259" s="617"/>
      <c r="AH259" s="15"/>
      <c r="AI259" s="15"/>
    </row>
    <row r="260" spans="3:35" ht="21">
      <c r="C260" s="12"/>
      <c r="D260" s="13"/>
      <c r="E260" s="12"/>
      <c r="F260" s="13"/>
      <c r="G260" s="13"/>
      <c r="H260" s="13"/>
      <c r="I260" s="465"/>
      <c r="J260" s="465"/>
      <c r="K260" s="449"/>
      <c r="L260" s="461" t="s">
        <v>841</v>
      </c>
      <c r="M260" s="461"/>
      <c r="N260" s="13" t="s">
        <v>70</v>
      </c>
      <c r="O260" s="34" t="s">
        <v>302</v>
      </c>
      <c r="P260" s="13" t="s">
        <v>344</v>
      </c>
      <c r="Q260" s="13"/>
      <c r="R260" s="449"/>
      <c r="S260" s="13" t="s">
        <v>69</v>
      </c>
      <c r="T260" s="458">
        <f>U270</f>
        <v>6300</v>
      </c>
      <c r="U260" s="458"/>
      <c r="V260" s="458"/>
      <c r="W260" s="13" t="s">
        <v>70</v>
      </c>
      <c r="X260" s="436">
        <f>U274</f>
        <v>129</v>
      </c>
      <c r="Y260" s="436"/>
      <c r="Z260" s="13"/>
      <c r="AA260" s="13" t="s">
        <v>344</v>
      </c>
      <c r="AB260" s="13"/>
      <c r="AC260" s="449"/>
      <c r="AD260" s="436">
        <f>(T260/X260)^2</f>
        <v>2385.0730124391566</v>
      </c>
      <c r="AE260" s="436"/>
      <c r="AF260" s="436"/>
      <c r="AG260" s="436"/>
      <c r="AH260" s="15"/>
      <c r="AI260" s="15"/>
    </row>
    <row r="261" spans="3:35">
      <c r="C261" s="12"/>
      <c r="D261" s="13"/>
      <c r="E261" s="12"/>
      <c r="F261" s="13"/>
      <c r="G261" s="13"/>
      <c r="H261" s="13"/>
      <c r="I261" s="36"/>
      <c r="J261" s="36"/>
      <c r="K261" s="28"/>
      <c r="L261" s="13"/>
      <c r="M261" s="13"/>
      <c r="N261" s="13"/>
      <c r="O261" s="34"/>
      <c r="P261" s="13"/>
      <c r="Q261" s="13"/>
      <c r="R261" s="28"/>
      <c r="S261" s="13"/>
      <c r="T261" s="27"/>
      <c r="U261" s="27"/>
      <c r="V261" s="27"/>
      <c r="W261" s="13"/>
      <c r="X261" s="14"/>
      <c r="Y261" s="14"/>
      <c r="Z261" s="13"/>
      <c r="AA261" s="13"/>
      <c r="AB261" s="13"/>
      <c r="AC261" s="28"/>
      <c r="AD261" s="14"/>
      <c r="AE261" s="14"/>
      <c r="AF261" s="14"/>
      <c r="AG261" s="14"/>
      <c r="AH261" s="15"/>
      <c r="AI261" s="15"/>
    </row>
    <row r="262" spans="3:35">
      <c r="C262" s="12"/>
      <c r="D262" s="13"/>
      <c r="E262" s="12"/>
      <c r="F262" s="13"/>
      <c r="G262" s="13"/>
      <c r="H262" s="13"/>
      <c r="I262" s="36"/>
      <c r="J262" s="36"/>
      <c r="K262" s="28" t="s">
        <v>2</v>
      </c>
      <c r="L262" s="462">
        <f>AD259/AD260</f>
        <v>503.12925170068019</v>
      </c>
      <c r="M262" s="463"/>
      <c r="N262" s="464"/>
      <c r="O262" s="34"/>
      <c r="P262" s="13"/>
      <c r="Q262" s="13"/>
      <c r="R262" s="13"/>
      <c r="S262" s="28"/>
      <c r="T262" s="13"/>
      <c r="U262" s="27"/>
      <c r="V262" s="27"/>
      <c r="W262" s="27"/>
      <c r="X262" s="13"/>
      <c r="Y262" s="14"/>
      <c r="Z262" s="14"/>
      <c r="AA262" s="13"/>
      <c r="AB262" s="31"/>
      <c r="AC262" s="13"/>
      <c r="AD262" s="13"/>
      <c r="AE262" s="13"/>
      <c r="AF262" s="13"/>
      <c r="AG262" s="13"/>
      <c r="AH262" s="15"/>
      <c r="AI262" s="15"/>
    </row>
    <row r="263" spans="3:35">
      <c r="C263" s="12"/>
      <c r="D263" s="13"/>
      <c r="E263" s="12"/>
      <c r="F263" s="13"/>
      <c r="G263" s="13"/>
      <c r="H263" s="13"/>
      <c r="I263" s="13"/>
      <c r="J263" s="13"/>
      <c r="K263" s="13"/>
      <c r="L263" s="13"/>
      <c r="M263" s="13"/>
      <c r="N263" s="13"/>
      <c r="O263" s="13"/>
      <c r="P263" s="13"/>
      <c r="Q263" s="13"/>
      <c r="R263" s="13"/>
      <c r="S263" s="13"/>
      <c r="T263" s="13"/>
      <c r="U263" s="13"/>
      <c r="V263" s="13"/>
      <c r="W263"/>
      <c r="X263" s="13"/>
      <c r="Y263" s="13"/>
      <c r="Z263" s="13"/>
      <c r="AA263" s="13"/>
      <c r="AB263" s="13"/>
      <c r="AC263" s="13"/>
      <c r="AD263" s="13"/>
      <c r="AE263" s="13"/>
      <c r="AF263" s="13"/>
      <c r="AG263" s="13"/>
      <c r="AH263" s="15"/>
      <c r="AI263" s="15"/>
    </row>
    <row r="264" spans="3:35">
      <c r="C264" s="12"/>
      <c r="D264" s="13"/>
      <c r="E264" s="12"/>
      <c r="F264" s="13"/>
      <c r="G264" s="13"/>
      <c r="H264" s="13"/>
      <c r="I264" s="465" t="s">
        <v>325</v>
      </c>
      <c r="J264" s="465"/>
      <c r="K264" s="449" t="s">
        <v>2</v>
      </c>
      <c r="L264" s="867">
        <v>1200000</v>
      </c>
      <c r="M264" s="867"/>
      <c r="N264" s="867"/>
      <c r="O264" s="867"/>
      <c r="P264" s="867"/>
      <c r="Q264" s="13"/>
      <c r="R264" s="449" t="s">
        <v>2</v>
      </c>
      <c r="S264" s="867">
        <v>1200000</v>
      </c>
      <c r="T264" s="867"/>
      <c r="U264" s="867"/>
      <c r="V264" s="867"/>
      <c r="W264" s="867"/>
      <c r="X264" s="17"/>
      <c r="Y264" s="17"/>
      <c r="Z264" s="17"/>
      <c r="AA264" s="17"/>
      <c r="AB264" s="13"/>
      <c r="AC264" s="449" t="s">
        <v>2</v>
      </c>
      <c r="AD264" s="617">
        <f>S264</f>
        <v>1200000</v>
      </c>
      <c r="AE264" s="617"/>
      <c r="AF264" s="617"/>
      <c r="AG264" s="617"/>
      <c r="AH264" s="15"/>
      <c r="AI264" s="15"/>
    </row>
    <row r="265" spans="3:35" ht="21">
      <c r="C265" s="12"/>
      <c r="D265" s="13"/>
      <c r="E265" s="12"/>
      <c r="F265" s="13"/>
      <c r="G265" s="13"/>
      <c r="H265" s="13"/>
      <c r="I265" s="465"/>
      <c r="J265" s="465"/>
      <c r="K265" s="449"/>
      <c r="L265" s="461" t="s">
        <v>842</v>
      </c>
      <c r="M265" s="461"/>
      <c r="N265" s="13" t="s">
        <v>70</v>
      </c>
      <c r="O265" s="34" t="s">
        <v>303</v>
      </c>
      <c r="P265" s="13" t="s">
        <v>344</v>
      </c>
      <c r="Q265" s="13"/>
      <c r="R265" s="449"/>
      <c r="S265" s="13" t="s">
        <v>69</v>
      </c>
      <c r="T265" s="458">
        <f>U271</f>
        <v>3300.0000000000005</v>
      </c>
      <c r="U265" s="458"/>
      <c r="V265" s="458"/>
      <c r="W265" s="13" t="s">
        <v>70</v>
      </c>
      <c r="X265" s="436">
        <f>U275</f>
        <v>75.099999999999994</v>
      </c>
      <c r="Y265" s="436"/>
      <c r="Z265" s="13"/>
      <c r="AA265" s="13" t="s">
        <v>344</v>
      </c>
      <c r="AB265" s="13"/>
      <c r="AC265" s="449"/>
      <c r="AD265" s="436">
        <f>(T265/X265)^2</f>
        <v>1930.8476403410641</v>
      </c>
      <c r="AE265" s="436"/>
      <c r="AF265" s="436"/>
      <c r="AG265" s="436"/>
      <c r="AH265" s="15"/>
      <c r="AI265" s="15"/>
    </row>
    <row r="266" spans="3:35">
      <c r="C266" s="12"/>
      <c r="D266" s="13"/>
      <c r="E266" s="12"/>
      <c r="F266" s="13"/>
      <c r="G266" s="13"/>
      <c r="H266" s="13"/>
      <c r="I266" s="36"/>
      <c r="J266" s="36"/>
      <c r="K266" s="28"/>
      <c r="L266" s="13"/>
      <c r="M266" s="13"/>
      <c r="N266" s="13"/>
      <c r="O266" s="34"/>
      <c r="P266" s="13"/>
      <c r="Q266" s="13"/>
      <c r="R266" s="28"/>
      <c r="S266" s="13"/>
      <c r="T266" s="27"/>
      <c r="U266" s="27"/>
      <c r="V266" s="27"/>
      <c r="W266" s="13"/>
      <c r="X266" s="14"/>
      <c r="Y266" s="14"/>
      <c r="Z266" s="13"/>
      <c r="AA266" s="13"/>
      <c r="AB266" s="13"/>
      <c r="AC266" s="28"/>
      <c r="AD266" s="14"/>
      <c r="AE266" s="14"/>
      <c r="AF266" s="14"/>
      <c r="AG266" s="14"/>
      <c r="AH266" s="15"/>
      <c r="AI266" s="15"/>
    </row>
    <row r="267" spans="3:35">
      <c r="C267" s="12"/>
      <c r="D267" s="13"/>
      <c r="E267" s="12"/>
      <c r="F267" s="13"/>
      <c r="G267" s="13"/>
      <c r="H267" s="13"/>
      <c r="I267" s="36"/>
      <c r="J267" s="36"/>
      <c r="K267" s="28" t="s">
        <v>2</v>
      </c>
      <c r="L267" s="462">
        <f>AD264/AD265</f>
        <v>621.48870523415951</v>
      </c>
      <c r="M267" s="463"/>
      <c r="N267" s="464"/>
      <c r="O267" s="34"/>
      <c r="P267" s="13"/>
      <c r="Q267" s="13"/>
      <c r="R267" s="13"/>
      <c r="S267" s="28"/>
      <c r="T267" s="13"/>
      <c r="U267" s="27"/>
      <c r="V267" s="27"/>
      <c r="W267" s="27"/>
      <c r="X267" s="13"/>
      <c r="Y267" s="14"/>
      <c r="Z267" s="14"/>
      <c r="AA267" s="13"/>
      <c r="AB267" s="31"/>
      <c r="AC267" s="13"/>
      <c r="AD267" s="13"/>
      <c r="AE267" s="13"/>
      <c r="AF267" s="13"/>
      <c r="AG267" s="13"/>
      <c r="AH267" s="15"/>
      <c r="AI267" s="15"/>
    </row>
    <row r="268" spans="3:35">
      <c r="C268" s="12"/>
      <c r="D268" s="13"/>
      <c r="E268" s="12"/>
      <c r="F268" s="13"/>
      <c r="G268" s="13"/>
      <c r="H268" s="13"/>
      <c r="I268" s="13"/>
      <c r="J268" s="13"/>
      <c r="K268" s="13"/>
      <c r="L268" s="13"/>
      <c r="M268" s="13"/>
      <c r="N268" s="13"/>
      <c r="O268" s="13"/>
      <c r="P268" s="13"/>
      <c r="Q268" s="13"/>
      <c r="R268" s="13"/>
      <c r="S268" s="13"/>
      <c r="T268" s="13"/>
      <c r="U268" s="13"/>
      <c r="V268" s="13"/>
      <c r="W268"/>
      <c r="X268" s="13"/>
      <c r="Y268" s="13"/>
      <c r="Z268" s="13"/>
      <c r="AA268" s="13"/>
      <c r="AB268" s="13"/>
      <c r="AC268" s="13"/>
      <c r="AD268" s="13"/>
      <c r="AE268" s="13"/>
      <c r="AF268" s="13"/>
      <c r="AG268" s="13"/>
      <c r="AH268" s="15"/>
      <c r="AI268" s="15"/>
    </row>
    <row r="269" spans="3:35">
      <c r="C269" s="12"/>
      <c r="D269" s="13"/>
      <c r="E269" s="12"/>
      <c r="F269" s="13"/>
      <c r="G269" s="13"/>
      <c r="H269" s="13"/>
      <c r="I269" s="13"/>
      <c r="J269" s="13"/>
      <c r="K269" s="13" t="s">
        <v>343</v>
      </c>
      <c r="L269" s="13" t="s">
        <v>346</v>
      </c>
      <c r="M269" s="13"/>
      <c r="N269" s="13"/>
      <c r="O269" s="13"/>
      <c r="P269" s="13"/>
      <c r="Q269" s="13"/>
      <c r="R269" s="13"/>
      <c r="S269" s="13"/>
      <c r="T269" s="13"/>
      <c r="U269" s="13"/>
      <c r="V269" s="13"/>
      <c r="W269"/>
      <c r="X269" s="13"/>
      <c r="Y269" s="13"/>
      <c r="Z269" s="13"/>
      <c r="AA269" s="13"/>
      <c r="AB269" s="13"/>
      <c r="AC269" s="13"/>
      <c r="AD269" s="13"/>
      <c r="AE269" s="13"/>
      <c r="AF269" s="13"/>
      <c r="AG269" s="13"/>
      <c r="AH269" s="15"/>
      <c r="AI269" s="15"/>
    </row>
    <row r="270" spans="3:35" ht="20.25">
      <c r="C270" s="12"/>
      <c r="D270" s="13"/>
      <c r="E270" s="12"/>
      <c r="F270" s="13"/>
      <c r="G270" s="13"/>
      <c r="H270" s="13"/>
      <c r="I270" s="13"/>
      <c r="J270" s="13"/>
      <c r="K270" s="461" t="s">
        <v>839</v>
      </c>
      <c r="L270" s="461"/>
      <c r="M270" s="13" t="s">
        <v>2</v>
      </c>
      <c r="N270" s="448">
        <f>T20</f>
        <v>6.3</v>
      </c>
      <c r="O270" s="448"/>
      <c r="P270" s="13" t="s">
        <v>27</v>
      </c>
      <c r="Q270" s="869">
        <v>1000</v>
      </c>
      <c r="R270" s="869"/>
      <c r="S270" s="13"/>
      <c r="T270" s="13" t="s">
        <v>2</v>
      </c>
      <c r="U270" s="471">
        <f>N270*Q270</f>
        <v>6300</v>
      </c>
      <c r="V270" s="472"/>
      <c r="W270" s="473"/>
      <c r="X270" s="13"/>
      <c r="Y270" s="13"/>
      <c r="Z270" s="13"/>
      <c r="AA270" s="13"/>
      <c r="AB270" s="13"/>
      <c r="AC270" s="13"/>
      <c r="AD270" s="13"/>
      <c r="AE270" s="13"/>
      <c r="AF270" s="13"/>
      <c r="AG270" s="13"/>
      <c r="AH270" s="15"/>
      <c r="AI270" s="15"/>
    </row>
    <row r="271" spans="3:35" ht="20.25">
      <c r="C271" s="12"/>
      <c r="D271" s="13"/>
      <c r="E271" s="12"/>
      <c r="F271" s="13"/>
      <c r="G271" s="13"/>
      <c r="H271" s="13"/>
      <c r="I271" s="13"/>
      <c r="J271" s="13"/>
      <c r="K271" s="461" t="s">
        <v>840</v>
      </c>
      <c r="L271" s="461"/>
      <c r="M271" s="13" t="s">
        <v>2</v>
      </c>
      <c r="N271" s="448">
        <f>T22</f>
        <v>3.3000000000000003</v>
      </c>
      <c r="O271" s="448"/>
      <c r="P271" s="13" t="s">
        <v>27</v>
      </c>
      <c r="Q271" s="869">
        <v>1000</v>
      </c>
      <c r="R271" s="869"/>
      <c r="S271" s="13"/>
      <c r="T271" s="13" t="s">
        <v>2</v>
      </c>
      <c r="U271" s="471">
        <f>N271*Q271</f>
        <v>3300.0000000000005</v>
      </c>
      <c r="V271" s="472"/>
      <c r="W271" s="473"/>
      <c r="X271" s="13"/>
      <c r="Y271" s="13"/>
      <c r="Z271" s="13"/>
      <c r="AA271" s="13"/>
      <c r="AB271" s="13"/>
      <c r="AC271" s="13"/>
      <c r="AD271" s="13"/>
      <c r="AE271" s="13"/>
      <c r="AF271" s="13"/>
      <c r="AG271" s="13"/>
      <c r="AH271" s="15"/>
      <c r="AI271" s="15"/>
    </row>
    <row r="272" spans="3:35">
      <c r="C272" s="12"/>
      <c r="D272" s="13"/>
      <c r="E272" s="12"/>
      <c r="F272" s="13"/>
      <c r="G272" s="13"/>
      <c r="H272" s="13"/>
      <c r="I272" s="13"/>
      <c r="J272" s="13"/>
      <c r="K272" s="13"/>
      <c r="L272" s="13"/>
      <c r="M272" s="13"/>
      <c r="N272" s="14"/>
      <c r="O272" s="14"/>
      <c r="P272" s="13"/>
      <c r="Q272" s="158"/>
      <c r="R272" s="158"/>
      <c r="S272" s="13"/>
      <c r="T272" s="13"/>
      <c r="U272" s="27"/>
      <c r="V272" s="27"/>
      <c r="W272" s="27"/>
      <c r="X272" s="13"/>
      <c r="Y272" s="13"/>
      <c r="Z272" s="13"/>
      <c r="AA272" s="13"/>
      <c r="AB272" s="13"/>
      <c r="AC272" s="13"/>
      <c r="AD272" s="13"/>
      <c r="AE272" s="13"/>
      <c r="AF272" s="13"/>
      <c r="AG272" s="13"/>
      <c r="AH272" s="15"/>
      <c r="AI272" s="15"/>
    </row>
    <row r="273" spans="3:35">
      <c r="C273" s="12"/>
      <c r="D273" s="13"/>
      <c r="E273" s="12"/>
      <c r="F273" s="13"/>
      <c r="G273" s="13"/>
      <c r="H273" s="13"/>
      <c r="I273" s="13"/>
      <c r="J273" s="34" t="s">
        <v>302</v>
      </c>
      <c r="K273" s="34" t="s">
        <v>303</v>
      </c>
      <c r="L273" s="13" t="s">
        <v>345</v>
      </c>
      <c r="M273" s="13"/>
      <c r="N273" s="13"/>
      <c r="O273" s="13"/>
      <c r="P273" s="13"/>
      <c r="Q273" s="13"/>
      <c r="R273" s="13"/>
      <c r="S273" s="13"/>
      <c r="T273" s="13"/>
      <c r="U273" s="13"/>
      <c r="V273" s="13"/>
      <c r="W273"/>
      <c r="X273" s="13"/>
      <c r="Y273" s="13"/>
      <c r="Z273" s="13"/>
      <c r="AA273" s="13"/>
      <c r="AB273" s="13"/>
      <c r="AC273" s="13"/>
      <c r="AD273" s="13"/>
      <c r="AE273" s="13"/>
      <c r="AF273" s="13"/>
      <c r="AG273" s="13"/>
      <c r="AH273" s="15"/>
      <c r="AI273" s="15"/>
    </row>
    <row r="274" spans="3:35">
      <c r="C274" s="12"/>
      <c r="D274" s="13"/>
      <c r="E274" s="12"/>
      <c r="F274" s="13"/>
      <c r="G274" s="13"/>
      <c r="H274" s="13"/>
      <c r="I274" s="13"/>
      <c r="J274" s="13"/>
      <c r="K274" s="13"/>
      <c r="L274" s="34" t="s">
        <v>302</v>
      </c>
      <c r="M274" s="13" t="s">
        <v>2</v>
      </c>
      <c r="N274" s="448">
        <f>'1.設計条件'!T80</f>
        <v>12.9</v>
      </c>
      <c r="O274" s="448"/>
      <c r="P274" s="13" t="s">
        <v>27</v>
      </c>
      <c r="Q274" s="869">
        <v>10</v>
      </c>
      <c r="R274" s="869"/>
      <c r="S274" s="13"/>
      <c r="T274" s="13" t="s">
        <v>2</v>
      </c>
      <c r="U274" s="462">
        <f>N274*Q274</f>
        <v>129</v>
      </c>
      <c r="V274" s="463"/>
      <c r="W274" s="464"/>
      <c r="X274" s="13"/>
      <c r="Y274" s="13"/>
      <c r="Z274" s="13"/>
      <c r="AA274" s="13"/>
      <c r="AB274" s="13"/>
      <c r="AC274" s="13"/>
      <c r="AD274" s="13"/>
      <c r="AE274" s="13"/>
      <c r="AF274" s="13"/>
      <c r="AG274" s="13"/>
      <c r="AH274" s="15"/>
      <c r="AI274" s="15"/>
    </row>
    <row r="275" spans="3:35">
      <c r="C275" s="12"/>
      <c r="D275" s="13"/>
      <c r="E275" s="12"/>
      <c r="F275" s="13"/>
      <c r="G275" s="13"/>
      <c r="H275" s="13"/>
      <c r="I275" s="13"/>
      <c r="J275" s="13"/>
      <c r="K275" s="13"/>
      <c r="L275" s="34" t="s">
        <v>303</v>
      </c>
      <c r="M275" s="13" t="s">
        <v>2</v>
      </c>
      <c r="N275" s="448">
        <f>'1.設計条件'!T81</f>
        <v>7.51</v>
      </c>
      <c r="O275" s="448"/>
      <c r="P275" s="13" t="s">
        <v>27</v>
      </c>
      <c r="Q275" s="869">
        <v>10</v>
      </c>
      <c r="R275" s="869"/>
      <c r="S275" s="13"/>
      <c r="T275" s="13" t="s">
        <v>2</v>
      </c>
      <c r="U275" s="462">
        <f>N275*Q275</f>
        <v>75.099999999999994</v>
      </c>
      <c r="V275" s="463"/>
      <c r="W275" s="464"/>
      <c r="X275" s="13"/>
      <c r="Y275" s="13"/>
      <c r="Z275" s="13"/>
      <c r="AA275" s="13"/>
      <c r="AB275" s="13"/>
      <c r="AC275" s="13"/>
      <c r="AD275" s="13"/>
      <c r="AE275" s="13"/>
      <c r="AF275" s="13"/>
      <c r="AG275" s="13"/>
      <c r="AH275" s="15"/>
      <c r="AI275" s="15"/>
    </row>
    <row r="276" spans="3:35">
      <c r="C276" s="12"/>
      <c r="D276" s="13"/>
      <c r="E276" s="16"/>
      <c r="F276" s="17"/>
      <c r="G276" s="17"/>
      <c r="H276" s="17"/>
      <c r="I276" s="17"/>
      <c r="J276" s="17"/>
      <c r="K276" s="17"/>
      <c r="L276" s="123"/>
      <c r="M276" s="17"/>
      <c r="N276" s="150"/>
      <c r="O276" s="150"/>
      <c r="P276" s="17"/>
      <c r="Q276" s="159"/>
      <c r="R276" s="159"/>
      <c r="S276" s="17"/>
      <c r="T276" s="17"/>
      <c r="U276" s="18"/>
      <c r="V276" s="18"/>
      <c r="W276" s="18"/>
      <c r="X276" s="17"/>
      <c r="Y276" s="17"/>
      <c r="Z276" s="17"/>
      <c r="AA276" s="17"/>
      <c r="AB276" s="17"/>
      <c r="AC276" s="17"/>
      <c r="AD276" s="17"/>
      <c r="AE276" s="17"/>
      <c r="AF276" s="17"/>
      <c r="AG276" s="17"/>
      <c r="AH276" s="19"/>
      <c r="AI276" s="15"/>
    </row>
    <row r="277" spans="3:35">
      <c r="C277" s="12"/>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5"/>
    </row>
    <row r="278" spans="3:35">
      <c r="C278" s="12" t="s">
        <v>67</v>
      </c>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5"/>
    </row>
    <row r="279" spans="3:35">
      <c r="C279" s="12"/>
      <c r="D279" s="13" t="s">
        <v>383</v>
      </c>
      <c r="F279" s="13"/>
      <c r="G279" s="13"/>
      <c r="H279" s="13"/>
      <c r="I279" s="13"/>
      <c r="J279" s="13"/>
      <c r="K279" s="13"/>
      <c r="L279" s="13"/>
      <c r="M279" s="13"/>
      <c r="N279" s="13"/>
      <c r="O279" s="13"/>
      <c r="P279" s="13"/>
      <c r="Q279" s="13"/>
      <c r="R279" s="13"/>
      <c r="S279" s="13"/>
      <c r="T279" s="13"/>
      <c r="U279" s="13"/>
      <c r="V279" s="13"/>
      <c r="W279"/>
      <c r="X279" s="13"/>
      <c r="Y279" s="13"/>
      <c r="Z279" s="13"/>
      <c r="AA279" s="13"/>
      <c r="AB279" s="13"/>
      <c r="AC279" s="13"/>
      <c r="AD279" s="13"/>
      <c r="AE279" s="13"/>
      <c r="AF279" s="13"/>
      <c r="AG279" s="13"/>
      <c r="AH279" s="13"/>
      <c r="AI279" s="15"/>
    </row>
    <row r="280" spans="3:35">
      <c r="C280" s="12"/>
      <c r="D280" s="13"/>
      <c r="E280" s="13"/>
      <c r="F280" s="466" t="s">
        <v>318</v>
      </c>
      <c r="G280" s="466"/>
      <c r="H280" s="449" t="s">
        <v>68</v>
      </c>
      <c r="I280" s="17"/>
      <c r="J280" s="17"/>
      <c r="K280" s="17"/>
      <c r="L280" s="17"/>
      <c r="M280" s="466" t="s">
        <v>317</v>
      </c>
      <c r="N280" s="466"/>
      <c r="O280" s="17"/>
      <c r="P280" s="17"/>
      <c r="Q280" s="17"/>
      <c r="R280" s="17"/>
      <c r="S280" s="449" t="s">
        <v>68</v>
      </c>
      <c r="T280" s="17"/>
      <c r="U280" s="17"/>
      <c r="V280" s="17"/>
      <c r="W280" s="17"/>
      <c r="X280" s="466" t="s">
        <v>323</v>
      </c>
      <c r="Y280" s="466"/>
      <c r="Z280" s="17"/>
      <c r="AA280" s="17"/>
      <c r="AB280" s="17"/>
      <c r="AC280" s="17"/>
      <c r="AD280" s="32"/>
      <c r="AE280" s="313"/>
      <c r="AF280" s="13"/>
      <c r="AG280" s="13"/>
      <c r="AH280" s="13"/>
      <c r="AI280" s="15"/>
    </row>
    <row r="281" spans="3:35">
      <c r="C281" s="12"/>
      <c r="D281" s="13"/>
      <c r="E281" s="13"/>
      <c r="F281" s="360" t="s">
        <v>319</v>
      </c>
      <c r="G281" s="360"/>
      <c r="H281" s="449"/>
      <c r="I281" s="360" t="s">
        <v>322</v>
      </c>
      <c r="J281" s="360"/>
      <c r="K281" s="41" t="s">
        <v>320</v>
      </c>
      <c r="L281" s="13" t="s">
        <v>263</v>
      </c>
      <c r="M281" s="360" t="s">
        <v>318</v>
      </c>
      <c r="N281" s="360"/>
      <c r="O281" s="13" t="s">
        <v>70</v>
      </c>
      <c r="P281" s="360" t="s">
        <v>321</v>
      </c>
      <c r="Q281" s="360"/>
      <c r="R281" s="13" t="s">
        <v>83</v>
      </c>
      <c r="S281" s="449"/>
      <c r="T281" s="360" t="s">
        <v>324</v>
      </c>
      <c r="U281" s="360"/>
      <c r="V281" s="41" t="s">
        <v>320</v>
      </c>
      <c r="W281" s="13" t="s">
        <v>263</v>
      </c>
      <c r="X281" s="360" t="s">
        <v>318</v>
      </c>
      <c r="Y281" s="360"/>
      <c r="Z281" s="13" t="s">
        <v>70</v>
      </c>
      <c r="AA281" s="360" t="s">
        <v>325</v>
      </c>
      <c r="AB281" s="360"/>
      <c r="AC281" s="13" t="s">
        <v>83</v>
      </c>
      <c r="AD281" s="32"/>
      <c r="AE281" s="313"/>
      <c r="AF281" s="13"/>
      <c r="AG281" s="13"/>
      <c r="AH281" s="13"/>
      <c r="AI281" s="15"/>
    </row>
    <row r="282" spans="3:35">
      <c r="C282" s="12"/>
      <c r="D282" s="13"/>
      <c r="E282" s="13"/>
      <c r="F282" s="35"/>
      <c r="G282" s="35"/>
      <c r="H282" s="28"/>
      <c r="I282" s="35"/>
      <c r="J282" s="35"/>
      <c r="K282" s="41"/>
      <c r="L282" s="13"/>
      <c r="M282" s="35"/>
      <c r="N282" s="35"/>
      <c r="O282" s="13"/>
      <c r="P282" s="35"/>
      <c r="Q282" s="35"/>
      <c r="R282" s="13"/>
      <c r="S282" s="28"/>
      <c r="T282" s="35"/>
      <c r="U282" s="35"/>
      <c r="V282" s="41"/>
      <c r="W282" s="13"/>
      <c r="X282" s="35"/>
      <c r="Y282" s="35"/>
      <c r="Z282" s="13"/>
      <c r="AA282" s="35"/>
      <c r="AB282" s="35"/>
      <c r="AC282" s="13"/>
      <c r="AD282" s="28"/>
      <c r="AE282" s="149"/>
      <c r="AF282" s="13"/>
      <c r="AG282" s="13"/>
      <c r="AH282" s="13"/>
      <c r="AI282" s="15"/>
    </row>
    <row r="283" spans="3:35">
      <c r="C283" s="12"/>
      <c r="D283" s="13"/>
      <c r="E283" s="449" t="s">
        <v>2</v>
      </c>
      <c r="F283" s="457">
        <f>V192</f>
        <v>89.597687498089215</v>
      </c>
      <c r="G283" s="457"/>
      <c r="H283" s="449" t="s">
        <v>68</v>
      </c>
      <c r="I283" s="17"/>
      <c r="J283" s="17"/>
      <c r="K283" s="17"/>
      <c r="L283" s="17"/>
      <c r="M283" s="457">
        <f>J201</f>
        <v>21.570652173913043</v>
      </c>
      <c r="N283" s="457"/>
      <c r="O283" s="17"/>
      <c r="P283" s="17"/>
      <c r="Q283" s="17"/>
      <c r="R283" s="17"/>
      <c r="S283" s="449" t="s">
        <v>68</v>
      </c>
      <c r="T283" s="17"/>
      <c r="U283" s="17"/>
      <c r="V283" s="17"/>
      <c r="W283" s="17"/>
      <c r="X283" s="457">
        <f>J204</f>
        <v>0</v>
      </c>
      <c r="Y283" s="457"/>
      <c r="Z283" s="17"/>
      <c r="AA283" s="17"/>
      <c r="AB283" s="17"/>
      <c r="AC283" s="17"/>
      <c r="AD283" s="28"/>
      <c r="AE283" s="149"/>
      <c r="AF283" s="13"/>
      <c r="AG283" s="13"/>
      <c r="AH283" s="13"/>
      <c r="AI283" s="15"/>
    </row>
    <row r="284" spans="3:35">
      <c r="C284" s="12"/>
      <c r="D284" s="13"/>
      <c r="E284" s="449"/>
      <c r="F284" s="380">
        <f>J225</f>
        <v>178.09206391478028</v>
      </c>
      <c r="G284" s="380"/>
      <c r="H284" s="449"/>
      <c r="I284" s="433">
        <f>J244</f>
        <v>150.60000000000002</v>
      </c>
      <c r="J284" s="433"/>
      <c r="K284" s="41" t="s">
        <v>320</v>
      </c>
      <c r="L284" s="13" t="s">
        <v>263</v>
      </c>
      <c r="M284" s="380">
        <f>V192</f>
        <v>89.597687498089215</v>
      </c>
      <c r="N284" s="380"/>
      <c r="O284" s="13" t="s">
        <v>70</v>
      </c>
      <c r="P284" s="380">
        <f>L262</f>
        <v>503.12925170068019</v>
      </c>
      <c r="Q284" s="380"/>
      <c r="R284" s="13" t="s">
        <v>83</v>
      </c>
      <c r="S284" s="449"/>
      <c r="T284" s="433">
        <f>L249</f>
        <v>210</v>
      </c>
      <c r="U284" s="433"/>
      <c r="V284" s="41" t="s">
        <v>320</v>
      </c>
      <c r="W284" s="13" t="s">
        <v>263</v>
      </c>
      <c r="X284" s="380">
        <f>V192</f>
        <v>89.597687498089215</v>
      </c>
      <c r="Y284" s="380"/>
      <c r="Z284" s="13" t="s">
        <v>70</v>
      </c>
      <c r="AA284" s="380">
        <f>L267</f>
        <v>621.48870523415951</v>
      </c>
      <c r="AB284" s="380"/>
      <c r="AC284" s="13" t="s">
        <v>83</v>
      </c>
      <c r="AD284" s="28"/>
      <c r="AE284" s="149"/>
      <c r="AF284" s="13"/>
      <c r="AG284" s="13"/>
      <c r="AH284" s="13"/>
      <c r="AI284" s="15"/>
    </row>
    <row r="285" spans="3:35">
      <c r="C285" s="12"/>
      <c r="D285" s="13"/>
      <c r="E285" s="28"/>
      <c r="F285" s="35"/>
      <c r="G285" s="35"/>
      <c r="H285" s="28"/>
      <c r="I285" s="35"/>
      <c r="J285" s="35"/>
      <c r="K285" s="41"/>
      <c r="L285" s="13"/>
      <c r="M285" s="35"/>
      <c r="N285" s="35"/>
      <c r="O285" s="13"/>
      <c r="P285" s="35"/>
      <c r="Q285" s="35"/>
      <c r="R285" s="13"/>
      <c r="S285" s="28"/>
      <c r="T285" s="35"/>
      <c r="U285" s="35"/>
      <c r="V285" s="41"/>
      <c r="W285" s="13"/>
      <c r="X285" s="35"/>
      <c r="Y285" s="35"/>
      <c r="Z285" s="13"/>
      <c r="AA285" s="35"/>
      <c r="AB285" s="35"/>
      <c r="AC285" s="13"/>
      <c r="AD285" s="28"/>
      <c r="AE285" s="149"/>
      <c r="AF285" s="13"/>
      <c r="AG285" s="13"/>
      <c r="AH285" s="13"/>
      <c r="AI285" s="15"/>
    </row>
    <row r="286" spans="3:35">
      <c r="C286" s="12"/>
      <c r="D286" s="13"/>
      <c r="E286" s="13" t="s">
        <v>2</v>
      </c>
      <c r="F286" s="853">
        <f>F283/F284</f>
        <v>0.50309758631896728</v>
      </c>
      <c r="G286" s="853"/>
      <c r="H286" s="28" t="s">
        <v>68</v>
      </c>
      <c r="I286" s="853">
        <f>M283/(I284*(1-M284/P284))</f>
        <v>0.17426461358286713</v>
      </c>
      <c r="J286" s="853"/>
      <c r="K286" s="853"/>
      <c r="L286" s="853"/>
      <c r="M286" s="853"/>
      <c r="N286" s="853"/>
      <c r="O286" s="853"/>
      <c r="P286" s="853"/>
      <c r="Q286" s="853"/>
      <c r="R286" s="853"/>
      <c r="S286" s="28" t="s">
        <v>68</v>
      </c>
      <c r="T286" s="853">
        <f>X283/(T284*(1-X284/AA284))</f>
        <v>0</v>
      </c>
      <c r="U286" s="853"/>
      <c r="V286" s="853"/>
      <c r="W286" s="853"/>
      <c r="X286" s="853"/>
      <c r="Y286" s="853"/>
      <c r="Z286" s="853"/>
      <c r="AA286" s="853"/>
      <c r="AB286" s="853"/>
      <c r="AC286" s="853"/>
      <c r="AD286" s="28"/>
      <c r="AE286" s="149"/>
      <c r="AF286" s="13"/>
      <c r="AG286" s="13"/>
      <c r="AH286" s="13"/>
      <c r="AI286" s="15"/>
    </row>
    <row r="287" spans="3:35">
      <c r="C287" s="12"/>
      <c r="D287" s="13"/>
      <c r="E287" s="13"/>
      <c r="F287" s="165"/>
      <c r="G287" s="165"/>
      <c r="H287" s="28"/>
      <c r="I287" s="165"/>
      <c r="J287" s="165"/>
      <c r="K287" s="165"/>
      <c r="L287" s="165"/>
      <c r="M287" s="165"/>
      <c r="N287" s="165"/>
      <c r="O287" s="165"/>
      <c r="P287" s="165"/>
      <c r="Q287" s="165"/>
      <c r="R287" s="165"/>
      <c r="S287" s="28"/>
      <c r="T287" s="165"/>
      <c r="U287" s="165"/>
      <c r="V287" s="165"/>
      <c r="W287" s="165"/>
      <c r="X287" s="165"/>
      <c r="Y287" s="165"/>
      <c r="Z287" s="165"/>
      <c r="AA287" s="165"/>
      <c r="AB287" s="165"/>
      <c r="AC287" s="165"/>
      <c r="AD287" s="28"/>
      <c r="AE287" s="149"/>
      <c r="AF287" s="13"/>
      <c r="AG287" s="13"/>
      <c r="AH287" s="13"/>
      <c r="AI287" s="15"/>
    </row>
    <row r="288" spans="3:35">
      <c r="C288" s="12"/>
      <c r="D288" s="13"/>
      <c r="E288" s="13" t="s">
        <v>2</v>
      </c>
      <c r="F288" s="854">
        <f>F286+I286+T286</f>
        <v>0.67736219990183444</v>
      </c>
      <c r="G288" s="855"/>
      <c r="H288" s="28"/>
      <c r="I288" s="13" t="str">
        <f>IF(F288&lt;=J288, "≦","&gt;")</f>
        <v>≦</v>
      </c>
      <c r="J288" s="31">
        <v>1</v>
      </c>
      <c r="K288" s="165"/>
      <c r="L288" s="462" t="str">
        <f>IF(I288="≦","OK","NG")</f>
        <v>OK</v>
      </c>
      <c r="M288" s="463"/>
      <c r="N288" s="464"/>
      <c r="O288" s="34"/>
      <c r="P288" s="13"/>
      <c r="Q288" s="13"/>
      <c r="R288" s="13"/>
      <c r="S288" s="31"/>
      <c r="T288" s="13"/>
      <c r="U288" s="13"/>
      <c r="V288" s="13"/>
      <c r="W288" s="13"/>
      <c r="X288" s="13"/>
      <c r="Y288" s="13"/>
      <c r="Z288" s="13"/>
      <c r="AA288" s="165"/>
      <c r="AB288" s="165"/>
      <c r="AC288" s="165"/>
      <c r="AD288" s="28"/>
      <c r="AE288" s="149"/>
      <c r="AF288" s="13"/>
      <c r="AG288" s="13"/>
      <c r="AH288" s="13"/>
      <c r="AI288" s="15"/>
    </row>
    <row r="289" spans="3:35">
      <c r="C289" s="12"/>
      <c r="D289" s="13"/>
      <c r="E289" s="13"/>
      <c r="F289" s="13"/>
      <c r="G289" s="13"/>
      <c r="H289" s="13"/>
      <c r="I289" s="13"/>
      <c r="J289" s="13"/>
      <c r="K289" s="13"/>
      <c r="L289" s="13"/>
      <c r="M289" s="13"/>
      <c r="N289" s="13"/>
      <c r="O289" s="13"/>
      <c r="P289" s="13"/>
      <c r="Q289" s="13"/>
      <c r="R289" s="13"/>
      <c r="S289" s="13"/>
      <c r="T289" s="13"/>
      <c r="U289" s="13"/>
      <c r="V289" s="13"/>
      <c r="W289"/>
      <c r="X289" s="13"/>
      <c r="Y289" s="13"/>
      <c r="Z289" s="13"/>
      <c r="AA289" s="13"/>
      <c r="AB289" s="13"/>
      <c r="AC289" s="13"/>
      <c r="AD289" s="13"/>
      <c r="AE289" s="13"/>
      <c r="AF289" s="13"/>
      <c r="AG289" s="13"/>
      <c r="AH289" s="13"/>
      <c r="AI289" s="15"/>
    </row>
    <row r="290" spans="3:35">
      <c r="C290" s="12"/>
      <c r="D290" s="13" t="s">
        <v>384</v>
      </c>
      <c r="E290" s="13"/>
      <c r="F290" s="13"/>
      <c r="G290" s="13"/>
      <c r="H290" s="13"/>
      <c r="I290" s="13"/>
      <c r="J290" s="13"/>
      <c r="K290" s="13"/>
      <c r="L290" s="13"/>
      <c r="M290" s="13"/>
      <c r="N290" s="13"/>
      <c r="O290" s="13"/>
      <c r="P290" s="13"/>
      <c r="Q290" s="13"/>
      <c r="R290" s="13"/>
      <c r="S290" s="13"/>
      <c r="T290" s="13"/>
      <c r="U290" s="13"/>
      <c r="V290" s="13"/>
      <c r="W290"/>
      <c r="X290" s="13"/>
      <c r="Y290" s="13"/>
      <c r="Z290" s="13"/>
      <c r="AA290" s="13"/>
      <c r="AB290" s="13"/>
      <c r="AC290" s="13"/>
      <c r="AD290" s="13"/>
      <c r="AE290" s="13"/>
      <c r="AF290" s="13"/>
      <c r="AG290" s="13"/>
      <c r="AH290" s="13"/>
      <c r="AI290" s="15"/>
    </row>
    <row r="291" spans="3:35">
      <c r="C291" s="12"/>
      <c r="D291" s="13"/>
      <c r="E291" s="13"/>
      <c r="F291" s="465" t="s">
        <v>318</v>
      </c>
      <c r="G291" s="465"/>
      <c r="H291" s="449" t="s">
        <v>68</v>
      </c>
      <c r="I291" s="17"/>
      <c r="J291" s="17"/>
      <c r="K291" s="17"/>
      <c r="L291" s="466" t="s">
        <v>317</v>
      </c>
      <c r="M291" s="466"/>
      <c r="N291" s="17"/>
      <c r="O291" s="17"/>
      <c r="P291" s="17"/>
      <c r="Q291" s="449" t="s">
        <v>68</v>
      </c>
      <c r="R291" s="17"/>
      <c r="S291" s="17"/>
      <c r="T291" s="17"/>
      <c r="U291" s="466" t="s">
        <v>323</v>
      </c>
      <c r="V291" s="466"/>
      <c r="W291" s="17"/>
      <c r="X291" s="17"/>
      <c r="Y291" s="17"/>
      <c r="Z291" s="32"/>
      <c r="AA291" s="13"/>
      <c r="AB291" s="13"/>
      <c r="AC291" s="13"/>
      <c r="AD291" s="13"/>
      <c r="AE291" s="13"/>
      <c r="AF291" s="13"/>
      <c r="AG291" s="13"/>
      <c r="AH291" s="13"/>
      <c r="AI291" s="15"/>
    </row>
    <row r="292" spans="3:35">
      <c r="C292" s="12"/>
      <c r="D292" s="13"/>
      <c r="E292" s="13"/>
      <c r="F292" s="465"/>
      <c r="G292" s="465"/>
      <c r="H292" s="449"/>
      <c r="I292" s="13" t="s">
        <v>320</v>
      </c>
      <c r="J292" s="13" t="s">
        <v>263</v>
      </c>
      <c r="K292" s="360" t="s">
        <v>318</v>
      </c>
      <c r="L292" s="360"/>
      <c r="M292" s="13" t="s">
        <v>70</v>
      </c>
      <c r="N292" s="360" t="s">
        <v>321</v>
      </c>
      <c r="O292" s="360"/>
      <c r="P292" s="13" t="s">
        <v>83</v>
      </c>
      <c r="Q292" s="449"/>
      <c r="R292" s="13" t="s">
        <v>320</v>
      </c>
      <c r="S292" s="13" t="s">
        <v>263</v>
      </c>
      <c r="T292" s="360" t="s">
        <v>318</v>
      </c>
      <c r="U292" s="360"/>
      <c r="V292" s="13" t="s">
        <v>70</v>
      </c>
      <c r="W292" s="360" t="s">
        <v>325</v>
      </c>
      <c r="X292" s="360"/>
      <c r="Y292" s="13" t="s">
        <v>83</v>
      </c>
      <c r="Z292" s="32"/>
      <c r="AA292" s="164"/>
      <c r="AB292" s="164"/>
      <c r="AC292" s="13"/>
      <c r="AD292" s="13"/>
      <c r="AE292" s="13"/>
      <c r="AF292" s="13"/>
      <c r="AG292" s="13"/>
      <c r="AH292" s="13"/>
      <c r="AI292" s="15"/>
    </row>
    <row r="293" spans="3:35">
      <c r="C293" s="12"/>
      <c r="D293" s="13"/>
      <c r="E293" s="13"/>
      <c r="F293" s="13"/>
      <c r="G293" s="13"/>
      <c r="H293" s="13"/>
      <c r="I293" s="13"/>
      <c r="J293" s="13"/>
      <c r="K293" s="13"/>
      <c r="L293" s="13"/>
      <c r="M293" s="13"/>
      <c r="N293" s="13"/>
      <c r="O293" s="13"/>
      <c r="P293" s="13"/>
      <c r="Q293" s="13"/>
      <c r="R293" s="13"/>
      <c r="S293" s="13"/>
      <c r="T293" s="13"/>
      <c r="U293" s="13"/>
      <c r="V293" s="13"/>
      <c r="W293"/>
      <c r="X293" s="13"/>
      <c r="Y293" s="13"/>
      <c r="Z293" s="13"/>
      <c r="AA293" s="13"/>
      <c r="AB293" s="13"/>
      <c r="AC293" s="13"/>
      <c r="AD293" s="13"/>
      <c r="AE293" s="13"/>
      <c r="AF293" s="13"/>
      <c r="AG293" s="13"/>
      <c r="AH293" s="13"/>
      <c r="AI293" s="15"/>
    </row>
    <row r="294" spans="3:35">
      <c r="C294" s="12"/>
      <c r="D294" s="13"/>
      <c r="E294" s="449" t="s">
        <v>2</v>
      </c>
      <c r="F294" s="456">
        <f>V192</f>
        <v>89.597687498089215</v>
      </c>
      <c r="G294" s="456"/>
      <c r="H294" s="449" t="s">
        <v>68</v>
      </c>
      <c r="I294" s="17"/>
      <c r="J294" s="17"/>
      <c r="K294" s="17"/>
      <c r="L294" s="457">
        <f>J201</f>
        <v>21.570652173913043</v>
      </c>
      <c r="M294" s="457"/>
      <c r="N294" s="17"/>
      <c r="O294" s="17"/>
      <c r="P294" s="17"/>
      <c r="Q294" s="449" t="s">
        <v>68</v>
      </c>
      <c r="R294" s="17"/>
      <c r="S294" s="17"/>
      <c r="T294" s="17"/>
      <c r="U294" s="457">
        <f>J204</f>
        <v>0</v>
      </c>
      <c r="V294" s="457"/>
      <c r="W294" s="17"/>
      <c r="X294" s="17"/>
      <c r="Y294" s="17"/>
      <c r="Z294" s="32"/>
      <c r="AA294" s="313"/>
      <c r="AB294" s="313"/>
      <c r="AC294" s="13"/>
      <c r="AD294" s="13"/>
      <c r="AE294" s="13"/>
      <c r="AF294" s="13"/>
      <c r="AG294" s="13"/>
      <c r="AH294" s="13"/>
      <c r="AI294" s="15"/>
    </row>
    <row r="295" spans="3:35">
      <c r="C295" s="12"/>
      <c r="D295" s="13"/>
      <c r="E295" s="449"/>
      <c r="F295" s="456"/>
      <c r="G295" s="456"/>
      <c r="H295" s="449"/>
      <c r="I295" s="13" t="s">
        <v>320</v>
      </c>
      <c r="J295" s="13" t="s">
        <v>263</v>
      </c>
      <c r="K295" s="380">
        <f>V192</f>
        <v>89.597687498089215</v>
      </c>
      <c r="L295" s="380"/>
      <c r="M295" s="13" t="s">
        <v>70</v>
      </c>
      <c r="N295" s="380">
        <f>L262</f>
        <v>503.12925170068019</v>
      </c>
      <c r="O295" s="380"/>
      <c r="P295" s="13" t="s">
        <v>83</v>
      </c>
      <c r="Q295" s="449"/>
      <c r="R295" s="13" t="s">
        <v>320</v>
      </c>
      <c r="S295" s="13" t="s">
        <v>263</v>
      </c>
      <c r="T295" s="380">
        <f>V192</f>
        <v>89.597687498089215</v>
      </c>
      <c r="U295" s="380"/>
      <c r="V295" s="13" t="s">
        <v>70</v>
      </c>
      <c r="W295" s="380">
        <f>L267</f>
        <v>621.48870523415951</v>
      </c>
      <c r="X295" s="380"/>
      <c r="Y295" s="13" t="s">
        <v>83</v>
      </c>
      <c r="Z295" s="32"/>
      <c r="AA295" s="313"/>
      <c r="AB295" s="313"/>
      <c r="AC295" s="13"/>
      <c r="AD295" s="13"/>
      <c r="AE295" s="13"/>
      <c r="AF295" s="13"/>
      <c r="AG295" s="13"/>
      <c r="AH295" s="13"/>
      <c r="AI295" s="15"/>
    </row>
    <row r="296" spans="3:35">
      <c r="C296" s="12"/>
      <c r="D296" s="13"/>
      <c r="E296" s="13"/>
      <c r="F296" s="13"/>
      <c r="G296" s="13"/>
      <c r="H296" s="13"/>
      <c r="I296" s="13"/>
      <c r="J296" s="13"/>
      <c r="K296" s="13"/>
      <c r="L296" s="13"/>
      <c r="M296" s="13"/>
      <c r="N296" s="13"/>
      <c r="O296" s="13"/>
      <c r="P296" s="13"/>
      <c r="Q296" s="13"/>
      <c r="R296" s="13"/>
      <c r="S296" s="13"/>
      <c r="T296" s="13"/>
      <c r="U296" s="13"/>
      <c r="V296" s="13"/>
      <c r="W296"/>
      <c r="X296" s="13"/>
      <c r="Y296" s="13"/>
      <c r="Z296" s="13"/>
      <c r="AA296" s="13"/>
      <c r="AB296" s="13"/>
      <c r="AC296" s="13"/>
      <c r="AD296" s="13"/>
      <c r="AE296" s="13"/>
      <c r="AF296" s="13"/>
      <c r="AG296" s="13"/>
      <c r="AH296" s="13"/>
      <c r="AI296" s="15"/>
    </row>
    <row r="297" spans="3:35">
      <c r="C297" s="12"/>
      <c r="D297" s="13"/>
      <c r="E297" s="13" t="s">
        <v>2</v>
      </c>
      <c r="F297" s="436">
        <f>F294</f>
        <v>89.597687498089215</v>
      </c>
      <c r="G297" s="436"/>
      <c r="H297" s="13" t="s">
        <v>68</v>
      </c>
      <c r="I297" s="436">
        <f>L294/(1-K295/N295)</f>
        <v>26.244250805579792</v>
      </c>
      <c r="J297" s="436"/>
      <c r="K297" s="436"/>
      <c r="L297" s="436"/>
      <c r="M297" s="436"/>
      <c r="N297" s="436"/>
      <c r="O297" s="436"/>
      <c r="P297" s="436"/>
      <c r="Q297" s="13" t="s">
        <v>68</v>
      </c>
      <c r="R297" s="436">
        <f>U294/(1-T295/W295)</f>
        <v>0</v>
      </c>
      <c r="S297" s="436"/>
      <c r="T297" s="436"/>
      <c r="U297" s="436"/>
      <c r="V297" s="436"/>
      <c r="W297" s="436"/>
      <c r="X297" s="436"/>
      <c r="Y297" s="436"/>
      <c r="Z297" s="13"/>
      <c r="AA297" s="13"/>
      <c r="AB297" s="13"/>
      <c r="AC297" s="13"/>
      <c r="AD297" s="13"/>
      <c r="AE297" s="13"/>
      <c r="AF297" s="13"/>
      <c r="AG297" s="13"/>
      <c r="AH297" s="13"/>
      <c r="AI297" s="15"/>
    </row>
    <row r="298" spans="3:35">
      <c r="C298" s="12"/>
      <c r="D298" s="13"/>
      <c r="E298" s="13"/>
      <c r="F298" s="13"/>
      <c r="G298" s="13"/>
      <c r="H298" s="13"/>
      <c r="I298" s="13"/>
      <c r="J298" s="13"/>
      <c r="K298" s="13"/>
      <c r="L298" s="13"/>
      <c r="M298" s="13"/>
      <c r="N298" s="13"/>
      <c r="O298" s="13"/>
      <c r="P298" s="13"/>
      <c r="Q298" s="13"/>
      <c r="R298" s="13"/>
      <c r="S298" s="13"/>
      <c r="T298" s="13"/>
      <c r="U298" s="13"/>
      <c r="V298" s="13"/>
      <c r="W298"/>
      <c r="X298" s="13"/>
      <c r="Y298" s="13"/>
      <c r="Z298" s="13"/>
      <c r="AA298" s="13"/>
      <c r="AB298" s="13"/>
      <c r="AC298" s="13"/>
      <c r="AD298" s="13"/>
      <c r="AE298" s="13"/>
      <c r="AF298" s="13"/>
      <c r="AG298" s="13"/>
      <c r="AH298" s="13"/>
      <c r="AI298" s="15"/>
    </row>
    <row r="299" spans="3:35" ht="20.25">
      <c r="C299" s="12"/>
      <c r="D299" s="13"/>
      <c r="E299" s="13" t="s">
        <v>2</v>
      </c>
      <c r="F299" s="849">
        <f>F297+I297+R297</f>
        <v>115.84193830366901</v>
      </c>
      <c r="G299" s="850"/>
      <c r="H299" s="851"/>
      <c r="I299" s="13"/>
      <c r="J299" s="13" t="str">
        <f>IF(F299&lt;=N299, "≦","&gt;")</f>
        <v>≦</v>
      </c>
      <c r="K299" s="465" t="s">
        <v>327</v>
      </c>
      <c r="L299" s="465"/>
      <c r="M299" s="13" t="s">
        <v>2</v>
      </c>
      <c r="N299" s="436">
        <f>L254</f>
        <v>210</v>
      </c>
      <c r="O299" s="436"/>
      <c r="P299" s="436"/>
      <c r="Q299" s="462" t="str">
        <f>IF(J299="≦","OK","NG")</f>
        <v>OK</v>
      </c>
      <c r="R299" s="463"/>
      <c r="S299" s="464"/>
      <c r="T299" s="13"/>
      <c r="U299" s="13"/>
      <c r="V299" s="13"/>
      <c r="W299" s="13"/>
      <c r="X299" s="13"/>
      <c r="Y299" s="13"/>
      <c r="Z299" s="13"/>
      <c r="AA299" s="13"/>
      <c r="AB299" s="13"/>
      <c r="AC299" s="13"/>
      <c r="AD299" s="13"/>
      <c r="AE299" s="13"/>
      <c r="AF299" s="13"/>
      <c r="AG299" s="13"/>
      <c r="AH299" s="13"/>
      <c r="AI299" s="15"/>
    </row>
    <row r="300" spans="3:35">
      <c r="C300" s="16"/>
      <c r="D300" s="17"/>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c r="AE300" s="17"/>
      <c r="AF300" s="17"/>
      <c r="AG300" s="17"/>
      <c r="AH300" s="17"/>
      <c r="AI300" s="19"/>
    </row>
  </sheetData>
  <sheetProtection sheet="1" objects="1" scenarios="1"/>
  <mergeCells count="526">
    <mergeCell ref="X21:Y21"/>
    <mergeCell ref="O33:T33"/>
    <mergeCell ref="I34:K34"/>
    <mergeCell ref="F56:G56"/>
    <mergeCell ref="H56:H57"/>
    <mergeCell ref="M56:N56"/>
    <mergeCell ref="S56:S57"/>
    <mergeCell ref="I29:K29"/>
    <mergeCell ref="X56:Y56"/>
    <mergeCell ref="F38:G39"/>
    <mergeCell ref="H38:H39"/>
    <mergeCell ref="I38:J39"/>
    <mergeCell ref="K38:K39"/>
    <mergeCell ref="L38:M38"/>
    <mergeCell ref="O38:P38"/>
    <mergeCell ref="Q38:Q39"/>
    <mergeCell ref="R38:S39"/>
    <mergeCell ref="L39:P39"/>
    <mergeCell ref="H40:H41"/>
    <mergeCell ref="I40:K41"/>
    <mergeCell ref="L40:L41"/>
    <mergeCell ref="M40:N40"/>
    <mergeCell ref="P40:Q40"/>
    <mergeCell ref="R40:R41"/>
    <mergeCell ref="O9:P9"/>
    <mergeCell ref="F32:G33"/>
    <mergeCell ref="H32:H33"/>
    <mergeCell ref="I32:L32"/>
    <mergeCell ref="N32:N33"/>
    <mergeCell ref="O32:P32"/>
    <mergeCell ref="R32:S32"/>
    <mergeCell ref="I33:L33"/>
    <mergeCell ref="S27:U28"/>
    <mergeCell ref="R27:R28"/>
    <mergeCell ref="H27:H28"/>
    <mergeCell ref="I27:K28"/>
    <mergeCell ref="L27:L28"/>
    <mergeCell ref="M27:N27"/>
    <mergeCell ref="P27:Q27"/>
    <mergeCell ref="M28:Q28"/>
    <mergeCell ref="Q19:R19"/>
    <mergeCell ref="T22:V22"/>
    <mergeCell ref="T21:U21"/>
    <mergeCell ref="AE56:AE57"/>
    <mergeCell ref="AF56:AF57"/>
    <mergeCell ref="F57:G57"/>
    <mergeCell ref="I57:J57"/>
    <mergeCell ref="M57:N57"/>
    <mergeCell ref="P57:Q57"/>
    <mergeCell ref="T57:U57"/>
    <mergeCell ref="X57:Y57"/>
    <mergeCell ref="AA57:AB57"/>
    <mergeCell ref="AC61:AD62"/>
    <mergeCell ref="K62:L62"/>
    <mergeCell ref="N62:O62"/>
    <mergeCell ref="T62:U62"/>
    <mergeCell ref="W62:X62"/>
    <mergeCell ref="G65:H65"/>
    <mergeCell ref="F61:G62"/>
    <mergeCell ref="H61:H62"/>
    <mergeCell ref="L61:M61"/>
    <mergeCell ref="Q61:Q62"/>
    <mergeCell ref="U61:V61"/>
    <mergeCell ref="AB61:AB62"/>
    <mergeCell ref="V66:W67"/>
    <mergeCell ref="N67:P67"/>
    <mergeCell ref="R67:S67"/>
    <mergeCell ref="E71:F71"/>
    <mergeCell ref="G71:H71"/>
    <mergeCell ref="I71:AH71"/>
    <mergeCell ref="G66:H67"/>
    <mergeCell ref="I66:I67"/>
    <mergeCell ref="M66:M67"/>
    <mergeCell ref="N66:P66"/>
    <mergeCell ref="R66:S66"/>
    <mergeCell ref="U66:U67"/>
    <mergeCell ref="I75:I76"/>
    <mergeCell ref="J75:K76"/>
    <mergeCell ref="G78:H78"/>
    <mergeCell ref="J78:K78"/>
    <mergeCell ref="G82:H82"/>
    <mergeCell ref="O83:P83"/>
    <mergeCell ref="I72:AH72"/>
    <mergeCell ref="G73:H74"/>
    <mergeCell ref="I73:I74"/>
    <mergeCell ref="J73:K73"/>
    <mergeCell ref="M73:M74"/>
    <mergeCell ref="N73:P73"/>
    <mergeCell ref="R73:T73"/>
    <mergeCell ref="J74:K74"/>
    <mergeCell ref="N74:P74"/>
    <mergeCell ref="R74:S74"/>
    <mergeCell ref="Z97:AA97"/>
    <mergeCell ref="Z98:AA98"/>
    <mergeCell ref="K90:L90"/>
    <mergeCell ref="N90:O90"/>
    <mergeCell ref="L93:L94"/>
    <mergeCell ref="M93:N93"/>
    <mergeCell ref="P93:R93"/>
    <mergeCell ref="T93:T94"/>
    <mergeCell ref="K84:R84"/>
    <mergeCell ref="N85:O85"/>
    <mergeCell ref="Q85:R85"/>
    <mergeCell ref="W85:X85"/>
    <mergeCell ref="M87:N87"/>
    <mergeCell ref="J89:K89"/>
    <mergeCell ref="J99:L99"/>
    <mergeCell ref="G103:H103"/>
    <mergeCell ref="N104:O104"/>
    <mergeCell ref="Q104:R104"/>
    <mergeCell ref="J105:K105"/>
    <mergeCell ref="U105:V105"/>
    <mergeCell ref="U93:V94"/>
    <mergeCell ref="M94:N94"/>
    <mergeCell ref="P94:R94"/>
    <mergeCell ref="H96:Q96"/>
    <mergeCell ref="J108:K108"/>
    <mergeCell ref="K109:L109"/>
    <mergeCell ref="N109:O109"/>
    <mergeCell ref="J112:K112"/>
    <mergeCell ref="L112:L113"/>
    <mergeCell ref="M112:N112"/>
    <mergeCell ref="X105:Y105"/>
    <mergeCell ref="AA105:AB105"/>
    <mergeCell ref="AD105:AF105"/>
    <mergeCell ref="J106:K106"/>
    <mergeCell ref="L106:Q106"/>
    <mergeCell ref="R106:S106"/>
    <mergeCell ref="V106:W106"/>
    <mergeCell ref="AF106:AH106"/>
    <mergeCell ref="X115:Y115"/>
    <mergeCell ref="G116:H116"/>
    <mergeCell ref="K116:L116"/>
    <mergeCell ref="N116:O116"/>
    <mergeCell ref="Q116:R116"/>
    <mergeCell ref="V116:W116"/>
    <mergeCell ref="P112:R112"/>
    <mergeCell ref="T112:T113"/>
    <mergeCell ref="U112:V113"/>
    <mergeCell ref="J113:K113"/>
    <mergeCell ref="O113:P113"/>
    <mergeCell ref="H115:Q115"/>
    <mergeCell ref="R115:S115"/>
    <mergeCell ref="U115:V115"/>
    <mergeCell ref="J118:L118"/>
    <mergeCell ref="G122:H122"/>
    <mergeCell ref="I123:J123"/>
    <mergeCell ref="L123:M123"/>
    <mergeCell ref="G127:H127"/>
    <mergeCell ref="I128:J128"/>
    <mergeCell ref="L128:M128"/>
    <mergeCell ref="Z116:AA116"/>
    <mergeCell ref="K117:L117"/>
    <mergeCell ref="N117:O117"/>
    <mergeCell ref="Q117:T117"/>
    <mergeCell ref="V117:W117"/>
    <mergeCell ref="Z117:AA117"/>
    <mergeCell ref="AD133:AG133"/>
    <mergeCell ref="T134:V134"/>
    <mergeCell ref="X134:Y134"/>
    <mergeCell ref="AD134:AG134"/>
    <mergeCell ref="O129:P129"/>
    <mergeCell ref="E132:F132"/>
    <mergeCell ref="G132:H132"/>
    <mergeCell ref="I133:J134"/>
    <mergeCell ref="K133:K134"/>
    <mergeCell ref="L133:P133"/>
    <mergeCell ref="L134:M134"/>
    <mergeCell ref="L136:N136"/>
    <mergeCell ref="I138:J139"/>
    <mergeCell ref="K138:K139"/>
    <mergeCell ref="L138:P138"/>
    <mergeCell ref="R138:R139"/>
    <mergeCell ref="S138:W138"/>
    <mergeCell ref="R133:R134"/>
    <mergeCell ref="S133:W133"/>
    <mergeCell ref="AC133:AC134"/>
    <mergeCell ref="L139:M139"/>
    <mergeCell ref="N144:O144"/>
    <mergeCell ref="Q144:R144"/>
    <mergeCell ref="U144:W144"/>
    <mergeCell ref="N148:O148"/>
    <mergeCell ref="Q148:R148"/>
    <mergeCell ref="U148:W148"/>
    <mergeCell ref="AC138:AC139"/>
    <mergeCell ref="AD138:AG138"/>
    <mergeCell ref="T139:V139"/>
    <mergeCell ref="X139:Y139"/>
    <mergeCell ref="AD139:AG139"/>
    <mergeCell ref="L141:N141"/>
    <mergeCell ref="K144:L144"/>
    <mergeCell ref="K145:L145"/>
    <mergeCell ref="X154:Y154"/>
    <mergeCell ref="F155:G155"/>
    <mergeCell ref="I155:J155"/>
    <mergeCell ref="M155:N155"/>
    <mergeCell ref="P155:Q155"/>
    <mergeCell ref="T155:U155"/>
    <mergeCell ref="X155:Y155"/>
    <mergeCell ref="AA155:AB155"/>
    <mergeCell ref="N149:O149"/>
    <mergeCell ref="Q149:R149"/>
    <mergeCell ref="U149:W149"/>
    <mergeCell ref="F154:G154"/>
    <mergeCell ref="H154:H155"/>
    <mergeCell ref="M154:N154"/>
    <mergeCell ref="S154:S155"/>
    <mergeCell ref="E157:E158"/>
    <mergeCell ref="F157:G157"/>
    <mergeCell ref="H157:H158"/>
    <mergeCell ref="M157:N157"/>
    <mergeCell ref="S157:S158"/>
    <mergeCell ref="X157:Y157"/>
    <mergeCell ref="F158:G158"/>
    <mergeCell ref="I158:J158"/>
    <mergeCell ref="M158:N158"/>
    <mergeCell ref="P158:Q158"/>
    <mergeCell ref="F162:G162"/>
    <mergeCell ref="L162:N162"/>
    <mergeCell ref="F165:G166"/>
    <mergeCell ref="H165:H166"/>
    <mergeCell ref="L165:M165"/>
    <mergeCell ref="Q165:Q166"/>
    <mergeCell ref="T158:U158"/>
    <mergeCell ref="X158:Y158"/>
    <mergeCell ref="AA158:AB158"/>
    <mergeCell ref="F160:G160"/>
    <mergeCell ref="I160:R160"/>
    <mergeCell ref="T160:AC160"/>
    <mergeCell ref="T169:U169"/>
    <mergeCell ref="W169:X169"/>
    <mergeCell ref="E168:E169"/>
    <mergeCell ref="F168:G169"/>
    <mergeCell ref="H168:H169"/>
    <mergeCell ref="L168:M168"/>
    <mergeCell ref="Q168:Q169"/>
    <mergeCell ref="U168:V168"/>
    <mergeCell ref="U165:V165"/>
    <mergeCell ref="K166:L166"/>
    <mergeCell ref="N166:O166"/>
    <mergeCell ref="T166:U166"/>
    <mergeCell ref="W166:X166"/>
    <mergeCell ref="AA21:AB21"/>
    <mergeCell ref="AC21:AD21"/>
    <mergeCell ref="H5:I5"/>
    <mergeCell ref="K5:M5"/>
    <mergeCell ref="H6:I6"/>
    <mergeCell ref="K6:M6"/>
    <mergeCell ref="H25:H26"/>
    <mergeCell ref="F25:G26"/>
    <mergeCell ref="I25:J26"/>
    <mergeCell ref="K25:K26"/>
    <mergeCell ref="Q25:Q26"/>
    <mergeCell ref="R25:S26"/>
    <mergeCell ref="L25:M25"/>
    <mergeCell ref="O25:P25"/>
    <mergeCell ref="L26:P26"/>
    <mergeCell ref="H10:I10"/>
    <mergeCell ref="K10:M10"/>
    <mergeCell ref="T19:U19"/>
    <mergeCell ref="W19:Y19"/>
    <mergeCell ref="Q20:R20"/>
    <mergeCell ref="T20:V20"/>
    <mergeCell ref="M13:N13"/>
    <mergeCell ref="P13:Q13"/>
    <mergeCell ref="Q21:R21"/>
    <mergeCell ref="S40:U41"/>
    <mergeCell ref="M41:Q41"/>
    <mergeCell ref="I42:K42"/>
    <mergeCell ref="F45:G46"/>
    <mergeCell ref="H45:H46"/>
    <mergeCell ref="I45:L45"/>
    <mergeCell ref="N45:N46"/>
    <mergeCell ref="O45:P45"/>
    <mergeCell ref="R45:S45"/>
    <mergeCell ref="I46:L46"/>
    <mergeCell ref="O46:T46"/>
    <mergeCell ref="I47:K47"/>
    <mergeCell ref="F182:G182"/>
    <mergeCell ref="H182:H183"/>
    <mergeCell ref="M182:N182"/>
    <mergeCell ref="S182:S183"/>
    <mergeCell ref="X182:Y182"/>
    <mergeCell ref="AE182:AE183"/>
    <mergeCell ref="AF182:AF183"/>
    <mergeCell ref="F183:G183"/>
    <mergeCell ref="I183:J183"/>
    <mergeCell ref="M183:N183"/>
    <mergeCell ref="P183:Q183"/>
    <mergeCell ref="T183:U183"/>
    <mergeCell ref="X183:Y183"/>
    <mergeCell ref="AA183:AB183"/>
    <mergeCell ref="F171:G171"/>
    <mergeCell ref="I171:P171"/>
    <mergeCell ref="R171:Y171"/>
    <mergeCell ref="F173:H173"/>
    <mergeCell ref="K173:L173"/>
    <mergeCell ref="N173:P173"/>
    <mergeCell ref="Q173:S173"/>
    <mergeCell ref="K169:L169"/>
    <mergeCell ref="N169:O169"/>
    <mergeCell ref="F187:G188"/>
    <mergeCell ref="H187:H188"/>
    <mergeCell ref="L187:M187"/>
    <mergeCell ref="Q187:Q188"/>
    <mergeCell ref="U187:V187"/>
    <mergeCell ref="AB187:AB188"/>
    <mergeCell ref="AC187:AD188"/>
    <mergeCell ref="K188:L188"/>
    <mergeCell ref="N188:O188"/>
    <mergeCell ref="T188:U188"/>
    <mergeCell ref="W188:X188"/>
    <mergeCell ref="G191:H191"/>
    <mergeCell ref="G192:H193"/>
    <mergeCell ref="I192:I193"/>
    <mergeCell ref="M192:M193"/>
    <mergeCell ref="N192:P192"/>
    <mergeCell ref="R192:S192"/>
    <mergeCell ref="U192:U193"/>
    <mergeCell ref="V192:W193"/>
    <mergeCell ref="N193:P193"/>
    <mergeCell ref="R193:S193"/>
    <mergeCell ref="E197:F197"/>
    <mergeCell ref="G197:H197"/>
    <mergeCell ref="I197:AH197"/>
    <mergeCell ref="I198:AH198"/>
    <mergeCell ref="G199:H200"/>
    <mergeCell ref="I199:I200"/>
    <mergeCell ref="J199:K199"/>
    <mergeCell ref="M199:M200"/>
    <mergeCell ref="N199:P199"/>
    <mergeCell ref="R199:T199"/>
    <mergeCell ref="J200:K200"/>
    <mergeCell ref="N200:P200"/>
    <mergeCell ref="R200:S200"/>
    <mergeCell ref="I201:I202"/>
    <mergeCell ref="J201:K202"/>
    <mergeCell ref="G204:H204"/>
    <mergeCell ref="J204:K204"/>
    <mergeCell ref="G208:H208"/>
    <mergeCell ref="O209:P209"/>
    <mergeCell ref="K210:R210"/>
    <mergeCell ref="N211:O211"/>
    <mergeCell ref="Q211:R211"/>
    <mergeCell ref="J225:L225"/>
    <mergeCell ref="G229:H229"/>
    <mergeCell ref="N230:O230"/>
    <mergeCell ref="Q230:R230"/>
    <mergeCell ref="W211:X211"/>
    <mergeCell ref="M213:N213"/>
    <mergeCell ref="J215:K215"/>
    <mergeCell ref="K216:L216"/>
    <mergeCell ref="N216:O216"/>
    <mergeCell ref="L219:L220"/>
    <mergeCell ref="M219:N219"/>
    <mergeCell ref="P219:R219"/>
    <mergeCell ref="T219:T220"/>
    <mergeCell ref="U219:V220"/>
    <mergeCell ref="M220:N220"/>
    <mergeCell ref="P220:R220"/>
    <mergeCell ref="N223:O223"/>
    <mergeCell ref="Q223:R223"/>
    <mergeCell ref="V223:W223"/>
    <mergeCell ref="J239:K239"/>
    <mergeCell ref="O239:P239"/>
    <mergeCell ref="J231:K231"/>
    <mergeCell ref="U231:V231"/>
    <mergeCell ref="X231:Y231"/>
    <mergeCell ref="AA231:AB231"/>
    <mergeCell ref="AD231:AF231"/>
    <mergeCell ref="J232:K232"/>
    <mergeCell ref="L232:Q232"/>
    <mergeCell ref="R232:S232"/>
    <mergeCell ref="V232:W232"/>
    <mergeCell ref="AF232:AH232"/>
    <mergeCell ref="G248:H248"/>
    <mergeCell ref="I249:J249"/>
    <mergeCell ref="L249:M249"/>
    <mergeCell ref="H241:Q241"/>
    <mergeCell ref="R241:S241"/>
    <mergeCell ref="U241:V241"/>
    <mergeCell ref="X241:Y241"/>
    <mergeCell ref="G242:H242"/>
    <mergeCell ref="K242:L242"/>
    <mergeCell ref="N242:O242"/>
    <mergeCell ref="Q242:R242"/>
    <mergeCell ref="V242:W242"/>
    <mergeCell ref="G253:H253"/>
    <mergeCell ref="I254:J254"/>
    <mergeCell ref="L254:M254"/>
    <mergeCell ref="O255:P255"/>
    <mergeCell ref="E258:F258"/>
    <mergeCell ref="G258:H258"/>
    <mergeCell ref="I259:J260"/>
    <mergeCell ref="K259:K260"/>
    <mergeCell ref="L259:P259"/>
    <mergeCell ref="L260:M260"/>
    <mergeCell ref="AC259:AC260"/>
    <mergeCell ref="AD259:AG259"/>
    <mergeCell ref="T260:V260"/>
    <mergeCell ref="X260:Y260"/>
    <mergeCell ref="AD260:AG260"/>
    <mergeCell ref="L262:N262"/>
    <mergeCell ref="I264:J265"/>
    <mergeCell ref="K264:K265"/>
    <mergeCell ref="L264:P264"/>
    <mergeCell ref="R264:R265"/>
    <mergeCell ref="S264:W264"/>
    <mergeCell ref="AC264:AC265"/>
    <mergeCell ref="AD264:AG264"/>
    <mergeCell ref="T265:V265"/>
    <mergeCell ref="X265:Y265"/>
    <mergeCell ref="AD265:AG265"/>
    <mergeCell ref="L265:M265"/>
    <mergeCell ref="AA281:AB281"/>
    <mergeCell ref="L267:N267"/>
    <mergeCell ref="N270:O270"/>
    <mergeCell ref="Q270:R270"/>
    <mergeCell ref="U270:W270"/>
    <mergeCell ref="N274:O274"/>
    <mergeCell ref="Q274:R274"/>
    <mergeCell ref="U274:W274"/>
    <mergeCell ref="N275:O275"/>
    <mergeCell ref="Q275:R275"/>
    <mergeCell ref="U275:W275"/>
    <mergeCell ref="N271:O271"/>
    <mergeCell ref="Q271:R271"/>
    <mergeCell ref="U271:W271"/>
    <mergeCell ref="K270:L270"/>
    <mergeCell ref="K271:L271"/>
    <mergeCell ref="F280:G280"/>
    <mergeCell ref="H280:H281"/>
    <mergeCell ref="M280:N280"/>
    <mergeCell ref="S280:S281"/>
    <mergeCell ref="X280:Y280"/>
    <mergeCell ref="F281:G281"/>
    <mergeCell ref="I281:J281"/>
    <mergeCell ref="M281:N281"/>
    <mergeCell ref="P281:Q281"/>
    <mergeCell ref="T281:U281"/>
    <mergeCell ref="X281:Y281"/>
    <mergeCell ref="E283:E284"/>
    <mergeCell ref="F283:G283"/>
    <mergeCell ref="H283:H284"/>
    <mergeCell ref="M283:N283"/>
    <mergeCell ref="S283:S284"/>
    <mergeCell ref="X283:Y283"/>
    <mergeCell ref="F284:G284"/>
    <mergeCell ref="I284:J284"/>
    <mergeCell ref="M284:N284"/>
    <mergeCell ref="P284:Q284"/>
    <mergeCell ref="T284:U284"/>
    <mergeCell ref="X284:Y284"/>
    <mergeCell ref="W295:X295"/>
    <mergeCell ref="AA284:AB284"/>
    <mergeCell ref="F286:G286"/>
    <mergeCell ref="I286:R286"/>
    <mergeCell ref="T286:AC286"/>
    <mergeCell ref="F288:G288"/>
    <mergeCell ref="L288:N288"/>
    <mergeCell ref="F291:G292"/>
    <mergeCell ref="H291:H292"/>
    <mergeCell ref="L291:M291"/>
    <mergeCell ref="Q291:Q292"/>
    <mergeCell ref="U291:V291"/>
    <mergeCell ref="K292:L292"/>
    <mergeCell ref="N292:O292"/>
    <mergeCell ref="T292:U292"/>
    <mergeCell ref="W292:X292"/>
    <mergeCell ref="E294:E295"/>
    <mergeCell ref="F294:G295"/>
    <mergeCell ref="H294:H295"/>
    <mergeCell ref="L294:M294"/>
    <mergeCell ref="Q294:Q295"/>
    <mergeCell ref="U294:V294"/>
    <mergeCell ref="K295:L295"/>
    <mergeCell ref="N295:O295"/>
    <mergeCell ref="T295:U295"/>
    <mergeCell ref="F297:G297"/>
    <mergeCell ref="I297:P297"/>
    <mergeCell ref="R297:Y297"/>
    <mergeCell ref="F299:H299"/>
    <mergeCell ref="K299:L299"/>
    <mergeCell ref="N299:P299"/>
    <mergeCell ref="Q299:S299"/>
    <mergeCell ref="T96:U96"/>
    <mergeCell ref="G97:H97"/>
    <mergeCell ref="K97:L97"/>
    <mergeCell ref="N97:O97"/>
    <mergeCell ref="Q97:R97"/>
    <mergeCell ref="V97:W97"/>
    <mergeCell ref="K98:L98"/>
    <mergeCell ref="N98:O98"/>
    <mergeCell ref="Q98:T98"/>
    <mergeCell ref="V98:W98"/>
    <mergeCell ref="N145:O145"/>
    <mergeCell ref="Q145:R145"/>
    <mergeCell ref="U145:W145"/>
    <mergeCell ref="H222:Q222"/>
    <mergeCell ref="T222:U222"/>
    <mergeCell ref="G223:H223"/>
    <mergeCell ref="K223:L223"/>
    <mergeCell ref="Z223:AA223"/>
    <mergeCell ref="K224:L224"/>
    <mergeCell ref="N224:O224"/>
    <mergeCell ref="Q224:T224"/>
    <mergeCell ref="V224:W224"/>
    <mergeCell ref="Z224:AA224"/>
    <mergeCell ref="R259:R260"/>
    <mergeCell ref="S259:W259"/>
    <mergeCell ref="Z242:AA242"/>
    <mergeCell ref="K243:L243"/>
    <mergeCell ref="N243:O243"/>
    <mergeCell ref="Q243:T243"/>
    <mergeCell ref="V243:W243"/>
    <mergeCell ref="Z243:AA243"/>
    <mergeCell ref="J244:L244"/>
    <mergeCell ref="J234:K234"/>
    <mergeCell ref="K235:L235"/>
    <mergeCell ref="N235:O235"/>
    <mergeCell ref="J238:K238"/>
    <mergeCell ref="L238:L239"/>
    <mergeCell ref="M238:N238"/>
    <mergeCell ref="P238:R238"/>
    <mergeCell ref="T238:T239"/>
    <mergeCell ref="U238:V239"/>
  </mergeCells>
  <phoneticPr fontId="3"/>
  <pageMargins left="0.70866141732283472" right="0.70866141732283472" top="0.74803149606299213" bottom="0.74803149606299213" header="0.31496062992125984" footer="0.31496062992125984"/>
  <pageSetup paperSize="9" scale="7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7141E-EA3B-4088-A162-DCFAE54325E8}">
  <dimension ref="A2:AI91"/>
  <sheetViews>
    <sheetView showOutlineSymbols="0" zoomScaleNormal="100" workbookViewId="0"/>
  </sheetViews>
  <sheetFormatPr defaultRowHeight="18.75"/>
  <cols>
    <col min="1" max="35" width="3" style="1" customWidth="1"/>
    <col min="36" max="36" width="1.625" style="1" customWidth="1"/>
    <col min="37" max="16384" width="9" style="1"/>
  </cols>
  <sheetData>
    <row r="2" spans="1:35">
      <c r="A2" s="1" t="s">
        <v>776</v>
      </c>
      <c r="W2" t="s">
        <v>777</v>
      </c>
    </row>
    <row r="3" spans="1:35">
      <c r="B3" s="1" t="s">
        <v>778</v>
      </c>
      <c r="W3"/>
    </row>
    <row r="4" spans="1:35">
      <c r="C4" s="9"/>
      <c r="D4" s="10" t="s">
        <v>760</v>
      </c>
      <c r="E4" s="10"/>
      <c r="F4" s="10"/>
      <c r="G4" s="10"/>
      <c r="H4" s="10"/>
      <c r="I4" s="10"/>
      <c r="J4" s="10"/>
      <c r="K4" s="10"/>
      <c r="L4" s="10"/>
      <c r="M4" s="319"/>
      <c r="N4" s="319"/>
      <c r="O4" s="10"/>
      <c r="P4" s="327"/>
      <c r="Q4" s="327"/>
      <c r="R4" s="10"/>
      <c r="S4" s="10"/>
      <c r="T4" s="10"/>
      <c r="U4" s="326"/>
      <c r="V4" s="10"/>
      <c r="W4" s="10"/>
      <c r="X4" s="10"/>
      <c r="Y4" s="10"/>
      <c r="Z4" s="10"/>
      <c r="AA4" s="10"/>
      <c r="AB4" s="10"/>
      <c r="AC4" s="10"/>
      <c r="AD4" s="10"/>
      <c r="AE4" s="10"/>
      <c r="AF4" s="10"/>
      <c r="AG4" s="10"/>
      <c r="AH4" s="10"/>
      <c r="AI4" s="11"/>
    </row>
    <row r="5" spans="1:35">
      <c r="C5" s="12"/>
      <c r="D5" s="13"/>
      <c r="E5" s="13" t="s">
        <v>761</v>
      </c>
      <c r="F5" s="13"/>
      <c r="G5" s="13"/>
      <c r="H5" s="360" t="s">
        <v>763</v>
      </c>
      <c r="I5" s="360"/>
      <c r="J5" s="13" t="s">
        <v>2</v>
      </c>
      <c r="K5" s="437">
        <f>'5.腹起一般'!K31</f>
        <v>121.64567066132668</v>
      </c>
      <c r="L5" s="438"/>
      <c r="M5" s="439"/>
      <c r="N5" s="13" t="s">
        <v>276</v>
      </c>
      <c r="O5" s="13"/>
      <c r="P5" s="320"/>
      <c r="Q5" s="320"/>
      <c r="R5" s="13"/>
      <c r="S5" s="13"/>
      <c r="T5" s="13"/>
      <c r="U5" s="32"/>
      <c r="V5" s="13"/>
      <c r="W5" s="13"/>
      <c r="X5" s="13"/>
      <c r="Y5" s="13"/>
      <c r="Z5" s="13"/>
      <c r="AA5" s="13"/>
      <c r="AB5" s="13"/>
      <c r="AC5" s="13"/>
      <c r="AD5" s="13"/>
      <c r="AE5" s="13"/>
      <c r="AF5" s="13"/>
      <c r="AG5" s="13"/>
      <c r="AH5" s="13"/>
      <c r="AI5" s="15"/>
    </row>
    <row r="6" spans="1:35">
      <c r="C6" s="12"/>
      <c r="D6" s="13"/>
      <c r="E6" s="13" t="s">
        <v>762</v>
      </c>
      <c r="F6" s="13"/>
      <c r="G6" s="13"/>
      <c r="H6" s="360" t="s">
        <v>764</v>
      </c>
      <c r="I6" s="360"/>
      <c r="J6" s="13" t="s">
        <v>2</v>
      </c>
      <c r="K6" s="437">
        <f>'5.腹起一般'!K40</f>
        <v>157.79675299599501</v>
      </c>
      <c r="L6" s="438"/>
      <c r="M6" s="439"/>
      <c r="N6" s="13" t="s">
        <v>276</v>
      </c>
      <c r="O6" s="13"/>
      <c r="P6" s="320"/>
      <c r="Q6" s="320"/>
      <c r="R6" s="13"/>
      <c r="S6" s="13"/>
      <c r="T6" s="13"/>
      <c r="U6" s="32"/>
      <c r="V6" s="13"/>
      <c r="W6" s="13"/>
      <c r="X6" s="13"/>
      <c r="Y6" s="13"/>
      <c r="Z6" s="13"/>
      <c r="AA6" s="13"/>
      <c r="AB6" s="13"/>
      <c r="AC6" s="13"/>
      <c r="AD6" s="13"/>
      <c r="AE6" s="13"/>
      <c r="AF6" s="13"/>
      <c r="AG6" s="13"/>
      <c r="AH6" s="13"/>
      <c r="AI6" s="15"/>
    </row>
    <row r="7" spans="1:35">
      <c r="C7" s="12"/>
      <c r="D7" s="13"/>
      <c r="E7" s="13"/>
      <c r="F7" s="13"/>
      <c r="G7" s="13"/>
      <c r="H7" s="13"/>
      <c r="I7" s="13"/>
      <c r="J7" s="13"/>
      <c r="K7" s="13"/>
      <c r="L7" s="13"/>
      <c r="M7" s="35"/>
      <c r="N7" s="35"/>
      <c r="O7" s="13"/>
      <c r="P7" s="146"/>
      <c r="Q7" s="146"/>
      <c r="R7" s="13"/>
      <c r="S7" s="13"/>
      <c r="T7" s="13"/>
      <c r="U7" s="32"/>
      <c r="V7" s="13"/>
      <c r="W7" s="13"/>
      <c r="X7" s="13"/>
      <c r="Y7" s="13"/>
      <c r="Z7" s="13"/>
      <c r="AA7" s="13"/>
      <c r="AB7" s="13"/>
      <c r="AC7" s="13"/>
      <c r="AD7" s="13"/>
      <c r="AE7" s="13"/>
      <c r="AF7" s="13"/>
      <c r="AG7" s="13"/>
      <c r="AH7" s="13"/>
      <c r="AI7" s="15"/>
    </row>
    <row r="8" spans="1:35">
      <c r="C8" s="12"/>
      <c r="D8" s="13" t="s">
        <v>779</v>
      </c>
      <c r="E8" s="13"/>
      <c r="F8" s="13"/>
      <c r="G8" s="13"/>
      <c r="H8" s="13"/>
      <c r="I8" s="13"/>
      <c r="J8" s="13"/>
      <c r="K8" s="13"/>
      <c r="L8" s="13"/>
      <c r="M8" s="13"/>
      <c r="N8" s="13"/>
      <c r="O8" s="146"/>
      <c r="P8" s="146"/>
      <c r="Q8" s="13"/>
      <c r="R8" s="13"/>
      <c r="S8" s="13"/>
      <c r="T8" s="13"/>
      <c r="U8" s="32"/>
      <c r="V8" s="14"/>
      <c r="W8" s="14"/>
      <c r="X8" s="14"/>
      <c r="Y8" s="13"/>
      <c r="Z8" s="13"/>
      <c r="AA8" s="13"/>
      <c r="AB8" s="13"/>
      <c r="AC8" s="13"/>
      <c r="AD8" s="13"/>
      <c r="AE8" s="13"/>
      <c r="AF8" s="13"/>
      <c r="AG8" s="13"/>
      <c r="AH8" s="13"/>
      <c r="AI8" s="15"/>
    </row>
    <row r="9" spans="1:35">
      <c r="C9" s="12"/>
      <c r="D9" s="13"/>
      <c r="E9" s="13"/>
      <c r="F9" s="13"/>
      <c r="G9" s="13"/>
      <c r="H9" s="35"/>
      <c r="I9" s="35"/>
      <c r="J9" s="13"/>
      <c r="K9" s="24"/>
      <c r="L9" s="24"/>
      <c r="M9" s="24"/>
      <c r="N9" s="13"/>
      <c r="O9" s="320"/>
      <c r="P9" s="320"/>
      <c r="Q9" s="13"/>
      <c r="R9" s="13"/>
      <c r="S9" s="13"/>
      <c r="T9" s="13"/>
      <c r="U9" s="32"/>
      <c r="V9" s="14"/>
      <c r="W9" s="14"/>
      <c r="X9" s="14"/>
      <c r="Y9" s="13"/>
      <c r="Z9" s="13"/>
      <c r="AA9" s="13"/>
      <c r="AB9" s="13"/>
      <c r="AC9" s="13"/>
      <c r="AD9" s="13"/>
      <c r="AE9" s="13"/>
      <c r="AF9" s="13"/>
      <c r="AG9" s="13"/>
      <c r="AH9" s="13"/>
      <c r="AI9" s="15"/>
    </row>
    <row r="10" spans="1:35">
      <c r="C10" s="143"/>
      <c r="D10" s="13" t="s">
        <v>309</v>
      </c>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308"/>
    </row>
    <row r="11" spans="1:35">
      <c r="C11" s="12"/>
      <c r="D11" s="13" t="s">
        <v>314</v>
      </c>
      <c r="E11" s="13"/>
      <c r="F11" s="13"/>
      <c r="G11" s="13"/>
      <c r="H11" s="13"/>
      <c r="I11" s="13"/>
      <c r="J11" s="13"/>
      <c r="K11" s="13"/>
      <c r="L11" s="13"/>
      <c r="M11" s="360" t="s">
        <v>307</v>
      </c>
      <c r="N11" s="360"/>
      <c r="O11" s="13" t="s">
        <v>2</v>
      </c>
      <c r="P11" s="374">
        <v>150</v>
      </c>
      <c r="Q11" s="376"/>
      <c r="R11" s="13" t="s">
        <v>257</v>
      </c>
      <c r="S11" s="13"/>
      <c r="T11" s="13"/>
      <c r="U11" s="32" t="s">
        <v>315</v>
      </c>
      <c r="V11" s="13"/>
      <c r="W11" s="13"/>
      <c r="X11" s="13"/>
      <c r="Y11" s="13"/>
      <c r="Z11" s="13"/>
      <c r="AA11" s="13"/>
      <c r="AB11" s="13"/>
      <c r="AC11" s="13"/>
      <c r="AD11" s="13"/>
      <c r="AE11" s="13"/>
      <c r="AF11" s="13"/>
      <c r="AG11" s="13"/>
      <c r="AH11" s="13"/>
      <c r="AI11" s="15"/>
    </row>
    <row r="12" spans="1:35">
      <c r="C12" s="16"/>
      <c r="D12" s="17"/>
      <c r="E12" s="17"/>
      <c r="F12" s="17"/>
      <c r="G12" s="17"/>
      <c r="H12" s="17"/>
      <c r="I12" s="17"/>
      <c r="J12" s="17"/>
      <c r="K12" s="17"/>
      <c r="L12" s="17"/>
      <c r="M12" s="151"/>
      <c r="N12" s="151"/>
      <c r="O12" s="17"/>
      <c r="P12" s="328"/>
      <c r="Q12" s="328"/>
      <c r="R12" s="17"/>
      <c r="S12" s="17"/>
      <c r="T12" s="17"/>
      <c r="U12" s="179"/>
      <c r="V12" s="17"/>
      <c r="W12" s="17"/>
      <c r="X12" s="17"/>
      <c r="Y12" s="17"/>
      <c r="Z12" s="17"/>
      <c r="AA12" s="17"/>
      <c r="AB12" s="17"/>
      <c r="AC12" s="17"/>
      <c r="AD12" s="17"/>
      <c r="AE12" s="17"/>
      <c r="AF12" s="17"/>
      <c r="AG12" s="17"/>
      <c r="AH12" s="17"/>
      <c r="AI12" s="19"/>
    </row>
    <row r="13" spans="1:35">
      <c r="W13"/>
    </row>
    <row r="14" spans="1:35">
      <c r="B14" s="1" t="s">
        <v>781</v>
      </c>
      <c r="W14"/>
    </row>
    <row r="15" spans="1:35" ht="18.75" customHeight="1">
      <c r="C15" s="9"/>
      <c r="D15" s="10"/>
      <c r="E15" s="329"/>
      <c r="F15" s="329"/>
      <c r="G15" s="329"/>
      <c r="H15" s="329"/>
      <c r="I15" s="329"/>
      <c r="J15" s="329"/>
      <c r="K15" s="329"/>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30"/>
    </row>
    <row r="16" spans="1:35">
      <c r="C16" s="333"/>
      <c r="D16" s="13" t="s">
        <v>689</v>
      </c>
      <c r="E16" s="110"/>
      <c r="F16" s="110"/>
      <c r="G16" s="110"/>
      <c r="H16" s="110"/>
      <c r="I16" s="110"/>
      <c r="J16" s="110"/>
      <c r="K16" s="360" t="s">
        <v>241</v>
      </c>
      <c r="L16" s="360"/>
      <c r="M16" s="110" t="s">
        <v>2</v>
      </c>
      <c r="N16" s="874">
        <f>'1.設計条件'!Q71</f>
        <v>5</v>
      </c>
      <c r="O16" s="875"/>
      <c r="P16" s="876"/>
      <c r="Q16" s="110" t="s">
        <v>3</v>
      </c>
      <c r="R16" s="110"/>
      <c r="S16" s="110"/>
      <c r="T16" s="110"/>
      <c r="U16" s="110"/>
      <c r="V16" s="110"/>
      <c r="W16" s="110"/>
      <c r="X16" s="110"/>
      <c r="Y16" s="110"/>
      <c r="Z16" s="110"/>
      <c r="AA16" s="110"/>
      <c r="AB16" s="110"/>
      <c r="AC16" s="110"/>
      <c r="AD16" s="110"/>
      <c r="AE16" s="110"/>
      <c r="AF16" s="110"/>
      <c r="AG16" s="110"/>
      <c r="AH16" s="110"/>
      <c r="AI16" s="111"/>
    </row>
    <row r="17" spans="3:35">
      <c r="C17" s="333"/>
      <c r="D17" s="596" t="s">
        <v>691</v>
      </c>
      <c r="E17" s="596"/>
      <c r="F17" s="596"/>
      <c r="G17" s="596"/>
      <c r="H17" s="596"/>
      <c r="I17" s="596"/>
      <c r="J17" s="596"/>
      <c r="K17" s="380" t="s">
        <v>686</v>
      </c>
      <c r="L17" s="380"/>
      <c r="M17" s="110" t="s">
        <v>2</v>
      </c>
      <c r="N17" s="874">
        <f>'1.設計条件'!T87</f>
        <v>1.5</v>
      </c>
      <c r="O17" s="875"/>
      <c r="P17" s="876"/>
      <c r="Q17" s="110" t="s">
        <v>3</v>
      </c>
      <c r="R17" s="110"/>
      <c r="S17" s="110"/>
      <c r="T17" s="110"/>
      <c r="U17" s="110"/>
      <c r="V17" s="110"/>
      <c r="W17" s="110"/>
      <c r="X17" s="110"/>
      <c r="Y17" s="110"/>
      <c r="Z17" s="110"/>
      <c r="AA17" s="110"/>
      <c r="AB17" s="110"/>
      <c r="AC17" s="110"/>
      <c r="AD17" s="110"/>
      <c r="AE17" s="110"/>
      <c r="AF17" s="110"/>
      <c r="AG17" s="110"/>
      <c r="AH17" s="110"/>
      <c r="AI17" s="111"/>
    </row>
    <row r="18" spans="3:35">
      <c r="C18" s="333"/>
      <c r="D18" s="596" t="s">
        <v>694</v>
      </c>
      <c r="E18" s="596"/>
      <c r="F18" s="596"/>
      <c r="G18" s="596"/>
      <c r="H18" s="596"/>
      <c r="I18" s="596"/>
      <c r="J18" s="596"/>
      <c r="K18" s="380" t="s">
        <v>695</v>
      </c>
      <c r="L18" s="380"/>
      <c r="M18" s="110" t="s">
        <v>2</v>
      </c>
      <c r="N18" s="360" t="s">
        <v>241</v>
      </c>
      <c r="O18" s="360"/>
      <c r="P18" s="303" t="s">
        <v>236</v>
      </c>
      <c r="Q18" s="305">
        <v>2</v>
      </c>
      <c r="R18" s="380" t="s">
        <v>686</v>
      </c>
      <c r="S18" s="380"/>
      <c r="T18" s="110"/>
      <c r="U18" s="110" t="s">
        <v>2</v>
      </c>
      <c r="V18" s="853">
        <f>N16</f>
        <v>5</v>
      </c>
      <c r="W18" s="853"/>
      <c r="X18" s="303" t="s">
        <v>236</v>
      </c>
      <c r="Y18" s="305">
        <v>2</v>
      </c>
      <c r="Z18" s="1" t="s">
        <v>27</v>
      </c>
      <c r="AA18" s="853">
        <f>N17</f>
        <v>1.5</v>
      </c>
      <c r="AB18" s="853"/>
      <c r="AC18" s="853"/>
      <c r="AD18" s="110"/>
      <c r="AE18" s="110"/>
      <c r="AF18" s="110"/>
      <c r="AG18" s="110"/>
      <c r="AH18" s="110"/>
      <c r="AI18" s="111"/>
    </row>
    <row r="19" spans="3:35">
      <c r="C19" s="333"/>
      <c r="D19" s="57"/>
      <c r="E19" s="57"/>
      <c r="F19" s="57"/>
      <c r="G19" s="57"/>
      <c r="H19" s="57"/>
      <c r="I19" s="57"/>
      <c r="J19" s="57"/>
      <c r="K19" s="147"/>
      <c r="L19" s="147"/>
      <c r="M19" s="110" t="s">
        <v>2</v>
      </c>
      <c r="N19" s="874">
        <f>V18-Y18*AA18</f>
        <v>2</v>
      </c>
      <c r="O19" s="875"/>
      <c r="P19" s="876"/>
      <c r="Q19" s="110" t="s">
        <v>3</v>
      </c>
      <c r="R19" s="110"/>
      <c r="S19" s="110"/>
      <c r="T19" s="110"/>
      <c r="U19" s="110"/>
      <c r="V19" s="110"/>
      <c r="W19" s="110"/>
      <c r="X19" s="110"/>
      <c r="Y19" s="110"/>
      <c r="Z19" s="110"/>
      <c r="AA19" s="110"/>
      <c r="AB19" s="110"/>
      <c r="AC19" s="110"/>
      <c r="AD19" s="110"/>
      <c r="AE19" s="110"/>
      <c r="AF19" s="110"/>
      <c r="AG19" s="110"/>
      <c r="AH19" s="110"/>
      <c r="AI19" s="111"/>
    </row>
    <row r="20" spans="3:35">
      <c r="C20" s="333"/>
      <c r="D20" s="596" t="s">
        <v>692</v>
      </c>
      <c r="E20" s="596"/>
      <c r="F20" s="596"/>
      <c r="G20" s="596"/>
      <c r="H20" s="596"/>
      <c r="I20" s="596"/>
      <c r="J20" s="596"/>
      <c r="K20" s="380" t="s">
        <v>201</v>
      </c>
      <c r="L20" s="380"/>
      <c r="M20" s="110" t="s">
        <v>2</v>
      </c>
      <c r="N20" s="924">
        <f>'1.設計条件'!T89</f>
        <v>45</v>
      </c>
      <c r="O20" s="925"/>
      <c r="P20" s="926"/>
      <c r="Q20" s="110" t="s">
        <v>688</v>
      </c>
      <c r="R20" s="110"/>
      <c r="S20" s="110"/>
      <c r="T20" s="110"/>
      <c r="U20" s="110"/>
      <c r="V20" s="110"/>
      <c r="W20" s="110"/>
      <c r="X20" s="110"/>
      <c r="Y20" s="110"/>
      <c r="Z20" s="110"/>
      <c r="AA20" s="110"/>
      <c r="AB20" s="110"/>
      <c r="AC20" s="110"/>
      <c r="AD20" s="110"/>
      <c r="AE20" s="110"/>
      <c r="AF20" s="110"/>
      <c r="AG20" s="110"/>
      <c r="AH20" s="110"/>
      <c r="AI20" s="111"/>
    </row>
    <row r="21" spans="3:35">
      <c r="C21" s="333"/>
      <c r="D21" s="57"/>
      <c r="E21" s="57"/>
      <c r="F21" s="57"/>
      <c r="G21" s="57"/>
      <c r="H21" s="57"/>
      <c r="I21" s="57"/>
      <c r="J21" s="57"/>
      <c r="K21" s="147"/>
      <c r="L21" s="147"/>
      <c r="M21" s="110"/>
      <c r="N21" s="302"/>
      <c r="O21" s="302"/>
      <c r="P21" s="302"/>
      <c r="Q21" s="110"/>
      <c r="R21" s="110"/>
      <c r="S21" s="110"/>
      <c r="T21" s="110"/>
      <c r="U21" s="110"/>
      <c r="V21" s="110"/>
      <c r="W21" s="110"/>
      <c r="X21" s="110"/>
      <c r="Y21" s="110"/>
      <c r="Z21" s="110"/>
      <c r="AA21" s="110"/>
      <c r="AB21" s="110"/>
      <c r="AC21" s="110"/>
      <c r="AD21" s="110"/>
      <c r="AE21" s="110"/>
      <c r="AF21" s="110"/>
      <c r="AG21" s="110"/>
      <c r="AH21" s="110"/>
      <c r="AI21" s="111"/>
    </row>
    <row r="22" spans="3:35">
      <c r="C22" s="12" t="s">
        <v>769</v>
      </c>
      <c r="D22" s="13"/>
      <c r="E22" s="13"/>
      <c r="F22" s="13"/>
      <c r="G22" s="13"/>
      <c r="H22" s="13"/>
      <c r="I22" s="13"/>
      <c r="J22" s="13"/>
      <c r="K22" s="13"/>
      <c r="L22" s="13"/>
      <c r="M22" s="13"/>
      <c r="N22" s="13"/>
      <c r="O22" s="146"/>
      <c r="P22" s="146"/>
      <c r="Q22" s="13"/>
      <c r="R22" s="13"/>
      <c r="S22" s="13"/>
      <c r="T22" s="13"/>
      <c r="U22" s="32"/>
      <c r="V22" s="14"/>
      <c r="W22" s="14"/>
      <c r="X22" s="14"/>
      <c r="Y22" s="13"/>
      <c r="Z22" s="13"/>
      <c r="AA22" s="13"/>
      <c r="AB22" s="13"/>
      <c r="AC22" s="13"/>
      <c r="AD22" s="13"/>
      <c r="AE22" s="13"/>
      <c r="AF22" s="13"/>
      <c r="AG22" s="13"/>
      <c r="AH22" s="13"/>
      <c r="AI22" s="15"/>
    </row>
    <row r="23" spans="3:35">
      <c r="C23" s="12"/>
      <c r="D23" s="13" t="s">
        <v>705</v>
      </c>
      <c r="E23" s="13"/>
      <c r="F23" s="13"/>
      <c r="G23" s="13"/>
      <c r="H23" s="13"/>
      <c r="I23" s="13"/>
      <c r="J23" s="13"/>
      <c r="K23" s="13"/>
      <c r="L23" s="13"/>
      <c r="M23" s="13"/>
      <c r="N23" s="13"/>
      <c r="O23" s="13"/>
      <c r="P23" s="13"/>
      <c r="Q23" s="13"/>
      <c r="R23" s="13"/>
      <c r="S23" s="13"/>
      <c r="T23" s="13"/>
      <c r="U23" s="32"/>
      <c r="V23" s="14"/>
      <c r="W23" s="14"/>
      <c r="X23" s="14"/>
      <c r="Y23" s="13"/>
      <c r="Z23" s="13"/>
      <c r="AA23" s="13"/>
      <c r="AB23" s="13"/>
      <c r="AC23" s="13"/>
      <c r="AD23" s="13"/>
      <c r="AE23" s="13"/>
      <c r="AF23" s="13"/>
      <c r="AG23" s="13"/>
      <c r="AH23" s="13"/>
      <c r="AI23" s="15"/>
    </row>
    <row r="24" spans="3:35">
      <c r="C24" s="12"/>
      <c r="D24" s="13"/>
      <c r="E24" s="13"/>
      <c r="F24" s="465" t="s">
        <v>837</v>
      </c>
      <c r="G24" s="465"/>
      <c r="H24" s="449" t="s">
        <v>2</v>
      </c>
      <c r="I24" s="916" t="s">
        <v>763</v>
      </c>
      <c r="J24" s="916"/>
      <c r="K24" s="917" t="s">
        <v>66</v>
      </c>
      <c r="L24" s="919" t="s">
        <v>695</v>
      </c>
      <c r="M24" s="919"/>
      <c r="N24" s="17" t="s">
        <v>68</v>
      </c>
      <c r="O24" s="919" t="s">
        <v>686</v>
      </c>
      <c r="P24" s="919"/>
      <c r="Q24" s="917" t="s">
        <v>66</v>
      </c>
      <c r="R24" s="617">
        <v>1</v>
      </c>
      <c r="S24" s="617"/>
      <c r="T24" s="449" t="s">
        <v>68</v>
      </c>
      <c r="U24" s="465" t="s">
        <v>307</v>
      </c>
      <c r="V24" s="465"/>
      <c r="W24" s="13"/>
      <c r="X24" s="13"/>
      <c r="Y24" s="13"/>
      <c r="Z24" s="13"/>
      <c r="AA24" s="13"/>
      <c r="AE24" s="13"/>
      <c r="AF24" s="13"/>
      <c r="AG24" s="13"/>
      <c r="AH24" s="13"/>
      <c r="AI24" s="15"/>
    </row>
    <row r="25" spans="3:35">
      <c r="C25" s="12"/>
      <c r="D25" s="13"/>
      <c r="E25" s="13"/>
      <c r="F25" s="465"/>
      <c r="G25" s="465"/>
      <c r="H25" s="449"/>
      <c r="I25" s="916"/>
      <c r="J25" s="916"/>
      <c r="K25" s="918"/>
      <c r="L25" s="915">
        <v>2</v>
      </c>
      <c r="M25" s="915"/>
      <c r="N25" s="915"/>
      <c r="O25" s="915"/>
      <c r="P25" s="915"/>
      <c r="Q25" s="918"/>
      <c r="R25" s="929" t="s">
        <v>780</v>
      </c>
      <c r="S25" s="929"/>
      <c r="T25" s="449"/>
      <c r="U25" s="465"/>
      <c r="V25" s="465"/>
      <c r="W25" s="13"/>
      <c r="X25" s="13"/>
      <c r="Y25" s="13"/>
      <c r="Z25" s="13"/>
      <c r="AA25" s="13"/>
      <c r="AE25" s="13"/>
      <c r="AF25" s="13"/>
      <c r="AG25" s="13"/>
      <c r="AH25" s="13"/>
      <c r="AI25" s="15"/>
    </row>
    <row r="26" spans="3:35">
      <c r="C26" s="12"/>
      <c r="D26" s="13"/>
      <c r="E26" s="13"/>
      <c r="F26" s="117"/>
      <c r="G26" s="117"/>
      <c r="H26" s="449" t="s">
        <v>2</v>
      </c>
      <c r="I26" s="921">
        <f>K5</f>
        <v>121.64567066132668</v>
      </c>
      <c r="J26" s="921"/>
      <c r="K26" s="921"/>
      <c r="L26" s="449" t="s">
        <v>27</v>
      </c>
      <c r="M26" s="788">
        <f>N19</f>
        <v>2</v>
      </c>
      <c r="N26" s="788"/>
      <c r="O26" s="17" t="s">
        <v>68</v>
      </c>
      <c r="P26" s="788">
        <f>N17</f>
        <v>1.5</v>
      </c>
      <c r="Q26" s="788"/>
      <c r="R26" s="449" t="s">
        <v>27</v>
      </c>
      <c r="S26" s="617">
        <v>1</v>
      </c>
      <c r="T26" s="617"/>
      <c r="U26" s="449" t="s">
        <v>68</v>
      </c>
      <c r="V26" s="906">
        <f>P11</f>
        <v>150</v>
      </c>
      <c r="W26" s="906"/>
      <c r="X26" s="906"/>
      <c r="AA26" s="13"/>
      <c r="AH26" s="13"/>
      <c r="AI26" s="15"/>
    </row>
    <row r="27" spans="3:35">
      <c r="C27" s="12"/>
      <c r="D27" s="13"/>
      <c r="E27" s="13"/>
      <c r="F27" s="117"/>
      <c r="G27" s="117"/>
      <c r="H27" s="449"/>
      <c r="I27" s="775"/>
      <c r="J27" s="775"/>
      <c r="K27" s="775"/>
      <c r="L27" s="449"/>
      <c r="M27" s="915">
        <v>2</v>
      </c>
      <c r="N27" s="915"/>
      <c r="O27" s="915"/>
      <c r="P27" s="915"/>
      <c r="Q27" s="915"/>
      <c r="R27" s="449"/>
      <c r="S27" s="618">
        <f>COS(N20/180*PI())</f>
        <v>0.70710678118654757</v>
      </c>
      <c r="T27" s="618"/>
      <c r="U27" s="449"/>
      <c r="V27" s="906"/>
      <c r="W27" s="906"/>
      <c r="X27" s="906"/>
      <c r="AA27" s="13"/>
      <c r="AH27" s="13"/>
      <c r="AI27" s="15"/>
    </row>
    <row r="28" spans="3:35">
      <c r="C28" s="12"/>
      <c r="D28" s="13"/>
      <c r="E28" s="13"/>
      <c r="F28" s="13"/>
      <c r="G28" s="13"/>
      <c r="H28" s="13" t="s">
        <v>2</v>
      </c>
      <c r="I28" s="462">
        <f>I26*(M26+P26)/M27*S26/S27+V26</f>
        <v>451.05767519313338</v>
      </c>
      <c r="J28" s="463"/>
      <c r="K28" s="464"/>
      <c r="L28" s="13" t="s">
        <v>257</v>
      </c>
      <c r="M28" s="13"/>
      <c r="N28" s="13"/>
      <c r="O28" s="146"/>
      <c r="P28" s="146"/>
      <c r="Q28" s="13"/>
      <c r="R28" s="13"/>
      <c r="S28" s="13"/>
      <c r="T28" s="13"/>
      <c r="U28" s="32"/>
      <c r="V28" s="14"/>
      <c r="W28" s="14"/>
      <c r="X28" s="14"/>
      <c r="Y28" s="13"/>
      <c r="Z28" s="13"/>
      <c r="AA28" s="13"/>
      <c r="AB28" s="13"/>
      <c r="AC28" s="13"/>
      <c r="AD28" s="13"/>
      <c r="AE28" s="13"/>
      <c r="AF28" s="13"/>
      <c r="AG28" s="13"/>
      <c r="AH28" s="13"/>
      <c r="AI28" s="15"/>
    </row>
    <row r="29" spans="3:35">
      <c r="C29" s="12"/>
      <c r="D29" s="13"/>
      <c r="E29" s="13"/>
      <c r="F29" s="13"/>
      <c r="G29" s="13"/>
      <c r="H29" s="13"/>
      <c r="I29" s="14"/>
      <c r="J29" s="14"/>
      <c r="K29" s="14"/>
      <c r="L29" s="13"/>
      <c r="M29" s="13"/>
      <c r="N29" s="13"/>
      <c r="O29" s="146"/>
      <c r="P29" s="146"/>
      <c r="Q29" s="13"/>
      <c r="R29" s="13"/>
      <c r="S29" s="13"/>
      <c r="T29" s="13"/>
      <c r="U29" s="32"/>
      <c r="V29" s="14"/>
      <c r="W29" s="14"/>
      <c r="X29" s="14"/>
      <c r="Y29" s="13"/>
      <c r="Z29" s="13"/>
      <c r="AA29" s="13"/>
      <c r="AB29" s="13"/>
      <c r="AC29" s="13"/>
      <c r="AD29" s="13"/>
      <c r="AE29" s="13"/>
      <c r="AF29" s="13"/>
      <c r="AG29" s="13"/>
      <c r="AH29" s="13"/>
      <c r="AI29" s="15"/>
    </row>
    <row r="30" spans="3:35">
      <c r="C30" s="12" t="s">
        <v>770</v>
      </c>
      <c r="D30" s="13"/>
      <c r="E30" s="13"/>
      <c r="F30" s="13"/>
      <c r="G30" s="13"/>
      <c r="H30" s="13"/>
      <c r="I30" s="13"/>
      <c r="J30" s="13"/>
      <c r="K30" s="13"/>
      <c r="L30" s="13"/>
      <c r="M30" s="13"/>
      <c r="N30" s="13"/>
      <c r="O30" s="146"/>
      <c r="P30" s="146"/>
      <c r="Q30" s="13"/>
      <c r="R30" s="13"/>
      <c r="S30" s="13"/>
      <c r="T30" s="13"/>
      <c r="U30" s="32"/>
      <c r="V30" s="14"/>
      <c r="W30" s="14"/>
      <c r="X30" s="14"/>
      <c r="Y30" s="13"/>
      <c r="Z30" s="13"/>
      <c r="AA30" s="13"/>
      <c r="AB30" s="13"/>
      <c r="AC30" s="13"/>
      <c r="AD30" s="13"/>
      <c r="AE30" s="13"/>
      <c r="AF30" s="13"/>
      <c r="AG30" s="13"/>
      <c r="AH30" s="13"/>
      <c r="AI30" s="15"/>
    </row>
    <row r="31" spans="3:35">
      <c r="C31" s="12"/>
      <c r="D31" s="13" t="s">
        <v>705</v>
      </c>
      <c r="E31" s="13"/>
      <c r="F31" s="13"/>
      <c r="G31" s="13"/>
      <c r="H31" s="13"/>
      <c r="I31" s="13"/>
      <c r="J31" s="13"/>
      <c r="K31" s="13"/>
      <c r="L31" s="13"/>
      <c r="M31" s="13"/>
      <c r="N31" s="13"/>
      <c r="O31" s="13"/>
      <c r="P31" s="13"/>
      <c r="Q31" s="13"/>
      <c r="R31" s="13"/>
      <c r="S31" s="13"/>
      <c r="T31" s="13"/>
      <c r="U31" s="32"/>
      <c r="V31" s="14"/>
      <c r="W31" s="14"/>
      <c r="X31" s="14"/>
      <c r="Y31" s="13"/>
      <c r="Z31" s="13"/>
      <c r="AA31" s="13"/>
      <c r="AB31" s="13"/>
      <c r="AC31" s="13"/>
      <c r="AD31" s="13"/>
      <c r="AE31" s="13"/>
      <c r="AF31" s="13"/>
      <c r="AG31" s="13"/>
      <c r="AH31" s="13"/>
      <c r="AI31" s="15"/>
    </row>
    <row r="32" spans="3:35">
      <c r="C32" s="12"/>
      <c r="D32" s="13"/>
      <c r="E32" s="13"/>
      <c r="F32" s="465" t="s">
        <v>838</v>
      </c>
      <c r="G32" s="465"/>
      <c r="H32" s="449" t="s">
        <v>2</v>
      </c>
      <c r="I32" s="916" t="s">
        <v>764</v>
      </c>
      <c r="J32" s="916"/>
      <c r="K32" s="917" t="s">
        <v>66</v>
      </c>
      <c r="L32" s="919" t="s">
        <v>695</v>
      </c>
      <c r="M32" s="919"/>
      <c r="N32" s="17" t="s">
        <v>68</v>
      </c>
      <c r="O32" s="919" t="s">
        <v>686</v>
      </c>
      <c r="P32" s="919"/>
      <c r="Q32" s="917" t="s">
        <v>66</v>
      </c>
      <c r="R32" s="617">
        <v>1</v>
      </c>
      <c r="S32" s="617"/>
      <c r="T32" s="449" t="s">
        <v>68</v>
      </c>
      <c r="U32" s="465" t="s">
        <v>307</v>
      </c>
      <c r="V32" s="465"/>
      <c r="W32" s="13"/>
      <c r="X32" s="13"/>
      <c r="Y32" s="13"/>
      <c r="Z32" s="13"/>
      <c r="AA32" s="13"/>
      <c r="AE32" s="13"/>
      <c r="AF32" s="13"/>
      <c r="AG32" s="13"/>
      <c r="AH32" s="13"/>
      <c r="AI32" s="15"/>
    </row>
    <row r="33" spans="2:35">
      <c r="C33" s="12"/>
      <c r="D33" s="13"/>
      <c r="E33" s="13"/>
      <c r="F33" s="465"/>
      <c r="G33" s="465"/>
      <c r="H33" s="449"/>
      <c r="I33" s="916"/>
      <c r="J33" s="916"/>
      <c r="K33" s="918"/>
      <c r="L33" s="915">
        <v>2</v>
      </c>
      <c r="M33" s="915"/>
      <c r="N33" s="915"/>
      <c r="O33" s="915"/>
      <c r="P33" s="915"/>
      <c r="Q33" s="918"/>
      <c r="R33" s="929" t="s">
        <v>780</v>
      </c>
      <c r="S33" s="929"/>
      <c r="T33" s="449"/>
      <c r="U33" s="465"/>
      <c r="V33" s="465"/>
      <c r="W33" s="13"/>
      <c r="X33" s="13"/>
      <c r="Y33" s="13"/>
      <c r="Z33" s="13"/>
      <c r="AA33" s="13"/>
      <c r="AE33" s="13"/>
      <c r="AF33" s="13"/>
      <c r="AG33" s="13"/>
      <c r="AH33" s="13"/>
      <c r="AI33" s="15"/>
    </row>
    <row r="34" spans="2:35">
      <c r="C34" s="12"/>
      <c r="D34" s="13"/>
      <c r="E34" s="13"/>
      <c r="F34" s="13"/>
      <c r="G34" s="13"/>
      <c r="H34" s="449" t="s">
        <v>2</v>
      </c>
      <c r="I34" s="921">
        <f>K6</f>
        <v>157.79675299599501</v>
      </c>
      <c r="J34" s="921"/>
      <c r="K34" s="921"/>
      <c r="L34" s="449" t="s">
        <v>27</v>
      </c>
      <c r="M34" s="788">
        <f>N19</f>
        <v>2</v>
      </c>
      <c r="N34" s="788"/>
      <c r="O34" s="17" t="s">
        <v>68</v>
      </c>
      <c r="P34" s="788">
        <f>N17</f>
        <v>1.5</v>
      </c>
      <c r="Q34" s="788"/>
      <c r="R34" s="449" t="s">
        <v>27</v>
      </c>
      <c r="S34" s="617">
        <v>1</v>
      </c>
      <c r="T34" s="617"/>
      <c r="U34" s="449" t="s">
        <v>68</v>
      </c>
      <c r="V34" s="906">
        <f>P11</f>
        <v>150</v>
      </c>
      <c r="W34" s="906"/>
      <c r="X34" s="906"/>
      <c r="Y34" s="13"/>
      <c r="Z34" s="13"/>
      <c r="AA34" s="13"/>
      <c r="AB34" s="13"/>
      <c r="AC34" s="13"/>
      <c r="AH34" s="13"/>
      <c r="AI34" s="15"/>
    </row>
    <row r="35" spans="2:35">
      <c r="C35" s="12"/>
      <c r="D35" s="13"/>
      <c r="E35" s="13"/>
      <c r="F35" s="13"/>
      <c r="G35" s="13"/>
      <c r="H35" s="449"/>
      <c r="I35" s="775"/>
      <c r="J35" s="775"/>
      <c r="K35" s="775"/>
      <c r="L35" s="449"/>
      <c r="M35" s="915">
        <v>2</v>
      </c>
      <c r="N35" s="915"/>
      <c r="O35" s="915"/>
      <c r="P35" s="915"/>
      <c r="Q35" s="915"/>
      <c r="R35" s="449"/>
      <c r="S35" s="618">
        <f>COS(N20/180*PI())</f>
        <v>0.70710678118654757</v>
      </c>
      <c r="T35" s="618"/>
      <c r="U35" s="449"/>
      <c r="V35" s="906"/>
      <c r="W35" s="906"/>
      <c r="X35" s="906"/>
      <c r="Y35" s="13"/>
      <c r="Z35" s="13"/>
      <c r="AA35" s="13"/>
      <c r="AB35" s="13"/>
      <c r="AC35" s="13"/>
      <c r="AH35" s="13"/>
      <c r="AI35" s="15"/>
    </row>
    <row r="36" spans="2:35">
      <c r="C36" s="12"/>
      <c r="D36" s="13"/>
      <c r="E36" s="13"/>
      <c r="F36" s="13"/>
      <c r="G36" s="13"/>
      <c r="H36" s="13" t="s">
        <v>2</v>
      </c>
      <c r="I36" s="462">
        <f>I34*(M34+P34)/M35*S34/S35+V34</f>
        <v>540.5270393244034</v>
      </c>
      <c r="J36" s="463"/>
      <c r="K36" s="464"/>
      <c r="L36" s="13" t="s">
        <v>257</v>
      </c>
      <c r="M36" s="13"/>
      <c r="N36" s="13"/>
      <c r="O36" s="146"/>
      <c r="P36" s="146"/>
      <c r="Q36" s="13"/>
      <c r="R36" s="13"/>
      <c r="S36" s="13"/>
      <c r="T36" s="13"/>
      <c r="U36" s="32"/>
      <c r="V36" s="14"/>
      <c r="W36" s="14"/>
      <c r="X36" s="14"/>
      <c r="Y36" s="13"/>
      <c r="Z36" s="13"/>
      <c r="AA36" s="13"/>
      <c r="AB36" s="13"/>
      <c r="AC36" s="13"/>
      <c r="AD36" s="13"/>
      <c r="AE36" s="13"/>
      <c r="AF36" s="13"/>
      <c r="AG36" s="13"/>
      <c r="AH36" s="13"/>
      <c r="AI36" s="15"/>
    </row>
    <row r="37" spans="2:35">
      <c r="C37" s="16"/>
      <c r="D37" s="17"/>
      <c r="E37" s="17"/>
      <c r="F37" s="17"/>
      <c r="G37" s="17"/>
      <c r="H37" s="17"/>
      <c r="I37" s="18"/>
      <c r="J37" s="18"/>
      <c r="K37" s="18"/>
      <c r="L37" s="17"/>
      <c r="M37" s="17"/>
      <c r="N37" s="17"/>
      <c r="O37" s="17"/>
      <c r="P37" s="17"/>
      <c r="Q37" s="17"/>
      <c r="R37" s="17"/>
      <c r="S37" s="17"/>
      <c r="T37" s="17"/>
      <c r="U37" s="179"/>
      <c r="V37" s="18"/>
      <c r="W37" s="18"/>
      <c r="X37" s="18"/>
      <c r="Y37" s="17"/>
      <c r="Z37" s="17"/>
      <c r="AA37" s="17"/>
      <c r="AB37" s="17"/>
      <c r="AC37" s="17"/>
      <c r="AD37" s="17"/>
      <c r="AE37" s="17"/>
      <c r="AF37" s="17"/>
      <c r="AG37" s="17"/>
      <c r="AH37" s="17"/>
      <c r="AI37" s="19"/>
    </row>
    <row r="38" spans="2:35">
      <c r="C38" s="13"/>
      <c r="D38" s="13"/>
      <c r="E38" s="13"/>
      <c r="F38" s="13"/>
      <c r="G38" s="13"/>
      <c r="H38" s="13"/>
      <c r="I38" s="14"/>
      <c r="J38" s="14"/>
      <c r="K38" s="14"/>
      <c r="L38" s="13"/>
      <c r="M38" s="13"/>
      <c r="N38" s="13"/>
      <c r="O38" s="13"/>
      <c r="P38" s="13"/>
      <c r="Q38" s="13"/>
      <c r="R38" s="13"/>
      <c r="S38" s="13"/>
      <c r="T38" s="13"/>
      <c r="U38" s="32"/>
      <c r="V38" s="14"/>
      <c r="W38" s="14"/>
      <c r="X38" s="14"/>
      <c r="Y38" s="13"/>
      <c r="Z38" s="13"/>
      <c r="AA38" s="13"/>
      <c r="AB38" s="13"/>
      <c r="AC38" s="13"/>
      <c r="AD38" s="13"/>
      <c r="AE38" s="13"/>
      <c r="AF38" s="13"/>
      <c r="AG38" s="13"/>
      <c r="AH38" s="13"/>
      <c r="AI38" s="13"/>
    </row>
    <row r="39" spans="2:35">
      <c r="B39" s="1" t="s">
        <v>782</v>
      </c>
      <c r="C39" s="13"/>
      <c r="D39" s="13"/>
      <c r="E39" s="13"/>
      <c r="F39" s="13"/>
      <c r="G39" s="13"/>
      <c r="H39" s="13"/>
      <c r="I39" s="14"/>
      <c r="J39" s="14"/>
      <c r="K39" s="14"/>
      <c r="L39" s="13"/>
      <c r="M39" s="13"/>
      <c r="N39" s="13"/>
      <c r="O39" s="13"/>
      <c r="P39" s="13"/>
      <c r="Q39" s="13"/>
      <c r="R39" s="13"/>
      <c r="S39" s="13"/>
      <c r="T39" s="13"/>
      <c r="U39" s="32"/>
      <c r="V39" s="14"/>
      <c r="W39" s="14"/>
      <c r="X39" s="14"/>
      <c r="Y39" s="13"/>
      <c r="Z39" s="13"/>
      <c r="AA39" s="13"/>
      <c r="AB39" s="13"/>
      <c r="AC39" s="13"/>
      <c r="AD39" s="13"/>
      <c r="AE39" s="13"/>
      <c r="AF39" s="13"/>
      <c r="AG39" s="13"/>
      <c r="AH39" s="13"/>
      <c r="AI39" s="13"/>
    </row>
    <row r="40" spans="2:35">
      <c r="C40" s="9"/>
      <c r="D40" s="10"/>
      <c r="E40" s="10"/>
      <c r="F40" s="10"/>
      <c r="G40" s="10"/>
      <c r="H40" s="10"/>
      <c r="I40" s="10"/>
      <c r="J40" s="10"/>
      <c r="K40" s="10"/>
      <c r="L40" s="10"/>
      <c r="M40" s="10"/>
      <c r="N40" s="10"/>
      <c r="O40" s="10"/>
      <c r="P40" s="10"/>
      <c r="Q40" s="10"/>
      <c r="R40" s="10"/>
      <c r="S40" s="10"/>
      <c r="T40" s="10"/>
      <c r="U40" s="10"/>
      <c r="V40" s="10"/>
      <c r="W40" s="3"/>
      <c r="X40" s="10"/>
      <c r="Y40" s="10"/>
      <c r="Z40" s="10"/>
      <c r="AA40" s="10"/>
      <c r="AB40" s="10"/>
      <c r="AC40" s="10"/>
      <c r="AD40" s="10"/>
      <c r="AE40" s="10"/>
      <c r="AF40" s="10"/>
      <c r="AG40" s="10"/>
      <c r="AH40" s="10"/>
      <c r="AI40" s="11"/>
    </row>
    <row r="41" spans="2:35" ht="20.25">
      <c r="C41" s="12"/>
      <c r="D41" s="360" t="s">
        <v>318</v>
      </c>
      <c r="E41" s="360"/>
      <c r="F41" s="13" t="s">
        <v>328</v>
      </c>
      <c r="G41" s="13"/>
      <c r="H41" s="13"/>
      <c r="I41" s="13"/>
      <c r="J41" s="13"/>
      <c r="K41" s="13"/>
      <c r="L41" s="13"/>
      <c r="M41" s="13"/>
      <c r="N41" s="13"/>
      <c r="O41" s="13"/>
      <c r="P41" s="13"/>
      <c r="Q41" s="13"/>
      <c r="R41" s="13"/>
      <c r="S41" s="13"/>
      <c r="T41"/>
      <c r="U41" s="13"/>
      <c r="V41" s="13"/>
      <c r="W41" s="13"/>
      <c r="X41" s="13"/>
      <c r="Y41" s="13"/>
      <c r="Z41" s="13"/>
      <c r="AA41" s="13"/>
      <c r="AB41" s="13"/>
      <c r="AC41" s="13"/>
      <c r="AD41" s="13"/>
      <c r="AE41" s="13"/>
      <c r="AF41" s="13"/>
      <c r="AG41" s="13"/>
      <c r="AH41" s="13"/>
      <c r="AI41" s="15"/>
    </row>
    <row r="42" spans="2:35">
      <c r="C42" s="12"/>
      <c r="D42" s="865" t="s">
        <v>318</v>
      </c>
      <c r="E42" s="865"/>
      <c r="F42" s="449" t="s">
        <v>2</v>
      </c>
      <c r="G42" s="161" t="s">
        <v>310</v>
      </c>
      <c r="H42" s="34"/>
      <c r="I42" s="13"/>
      <c r="J42" s="449" t="s">
        <v>2</v>
      </c>
      <c r="K42" s="451">
        <f>I28</f>
        <v>451.05767519313338</v>
      </c>
      <c r="L42" s="451"/>
      <c r="M42" s="451"/>
      <c r="N42" s="17" t="s">
        <v>27</v>
      </c>
      <c r="O42" s="617">
        <v>1000</v>
      </c>
      <c r="P42" s="617"/>
      <c r="Q42" s="13"/>
      <c r="R42" s="449" t="s">
        <v>2</v>
      </c>
      <c r="S42" s="554">
        <f>K42*O42/K43/O43</f>
        <v>43.039854503161578</v>
      </c>
      <c r="T42" s="555"/>
      <c r="U42" s="13"/>
      <c r="V42" s="13"/>
      <c r="W42" s="13"/>
      <c r="X42" s="13"/>
      <c r="Y42" s="13"/>
      <c r="Z42" s="13"/>
      <c r="AA42" s="13"/>
      <c r="AB42" s="13"/>
      <c r="AC42" s="13"/>
      <c r="AD42" s="13"/>
      <c r="AE42" s="13"/>
      <c r="AF42" s="13"/>
      <c r="AG42" s="13"/>
      <c r="AH42" s="13"/>
      <c r="AI42" s="15"/>
    </row>
    <row r="43" spans="2:35">
      <c r="C43" s="12"/>
      <c r="D43" s="865"/>
      <c r="E43" s="865"/>
      <c r="F43" s="449"/>
      <c r="G43" s="35" t="s">
        <v>240</v>
      </c>
      <c r="H43" s="13"/>
      <c r="I43" s="13"/>
      <c r="J43" s="449"/>
      <c r="K43" s="776">
        <f>'1.設計条件'!T99</f>
        <v>104.8</v>
      </c>
      <c r="L43" s="776"/>
      <c r="M43" s="776"/>
      <c r="N43" s="13" t="s">
        <v>27</v>
      </c>
      <c r="O43" s="458">
        <v>100</v>
      </c>
      <c r="P43" s="458"/>
      <c r="Q43" s="13"/>
      <c r="R43" s="449"/>
      <c r="S43" s="556"/>
      <c r="T43" s="557"/>
      <c r="U43" s="13"/>
      <c r="V43" s="13"/>
      <c r="W43" s="13"/>
      <c r="X43" s="13"/>
      <c r="Y43" s="13"/>
      <c r="Z43" s="13"/>
      <c r="AA43" s="13"/>
      <c r="AB43" s="13"/>
      <c r="AC43" s="13"/>
      <c r="AD43" s="13"/>
      <c r="AE43" s="13"/>
      <c r="AF43" s="13"/>
      <c r="AG43" s="13"/>
      <c r="AH43" s="13"/>
      <c r="AI43" s="15"/>
    </row>
    <row r="44" spans="2:35">
      <c r="C44" s="12"/>
      <c r="D44" s="160"/>
      <c r="E44" s="160"/>
      <c r="F44" s="28"/>
      <c r="G44" s="35"/>
      <c r="H44" s="13"/>
      <c r="I44" s="13"/>
      <c r="J44" s="28"/>
      <c r="K44" s="24"/>
      <c r="L44" s="24"/>
      <c r="M44" s="24"/>
      <c r="N44" s="13"/>
      <c r="O44" s="27"/>
      <c r="P44" s="27"/>
      <c r="Q44" s="13"/>
      <c r="R44" s="28"/>
      <c r="S44" s="28"/>
      <c r="T44" s="28"/>
      <c r="U44" s="13"/>
      <c r="V44" s="13"/>
      <c r="W44" s="13"/>
      <c r="X44" s="13"/>
      <c r="Y44" s="13"/>
      <c r="Z44" s="13"/>
      <c r="AA44" s="13"/>
      <c r="AB44" s="13"/>
      <c r="AC44" s="13"/>
      <c r="AD44" s="13"/>
      <c r="AE44" s="13"/>
      <c r="AF44" s="13"/>
      <c r="AG44" s="13"/>
      <c r="AH44" s="13"/>
      <c r="AI44" s="15"/>
    </row>
    <row r="45" spans="2:35">
      <c r="C45" s="12"/>
      <c r="D45" s="160"/>
      <c r="E45" s="160"/>
      <c r="F45" s="28"/>
      <c r="G45" s="35"/>
      <c r="H45" s="13"/>
      <c r="I45" s="13"/>
      <c r="J45" s="28"/>
      <c r="K45" s="24"/>
      <c r="L45" s="24"/>
      <c r="M45" s="24"/>
      <c r="N45" s="13"/>
      <c r="O45" s="27"/>
      <c r="P45" s="27"/>
      <c r="Q45" s="13"/>
      <c r="R45" s="28"/>
      <c r="S45" s="28"/>
      <c r="T45" s="28"/>
      <c r="U45" s="13"/>
      <c r="V45" s="13"/>
      <c r="W45" s="13"/>
      <c r="X45" s="13"/>
      <c r="Y45" s="13"/>
      <c r="Z45" s="13"/>
      <c r="AA45" s="13"/>
      <c r="AB45" s="13"/>
      <c r="AC45" s="13"/>
      <c r="AD45" s="13"/>
      <c r="AE45" s="13"/>
      <c r="AF45" s="13"/>
      <c r="AG45" s="13"/>
      <c r="AH45" s="13"/>
      <c r="AI45" s="15"/>
    </row>
    <row r="46" spans="2:35" ht="20.25">
      <c r="C46" s="12"/>
      <c r="D46" s="360" t="s">
        <v>783</v>
      </c>
      <c r="E46" s="360"/>
      <c r="F46" s="13" t="s">
        <v>784</v>
      </c>
      <c r="G46" s="13"/>
      <c r="H46" s="13"/>
      <c r="I46" s="13"/>
      <c r="J46" s="13"/>
      <c r="K46" s="13"/>
      <c r="L46" s="13"/>
      <c r="M46" s="13"/>
      <c r="N46" s="13"/>
      <c r="O46" s="13"/>
      <c r="P46" s="13"/>
      <c r="Q46" s="13"/>
      <c r="R46" s="13"/>
      <c r="S46" s="13"/>
      <c r="T46"/>
      <c r="U46" s="13"/>
      <c r="V46" s="13"/>
      <c r="W46" s="13"/>
      <c r="X46" s="13"/>
      <c r="Y46" s="13"/>
      <c r="Z46" s="13"/>
      <c r="AA46" s="13"/>
      <c r="AB46" s="13"/>
      <c r="AC46" s="13"/>
      <c r="AD46" s="13"/>
      <c r="AE46" s="13"/>
      <c r="AF46" s="13"/>
      <c r="AG46" s="13"/>
      <c r="AH46" s="13"/>
      <c r="AI46" s="15"/>
    </row>
    <row r="47" spans="2:35">
      <c r="C47" s="12"/>
      <c r="D47" s="13"/>
      <c r="E47" s="13"/>
      <c r="F47" s="35"/>
      <c r="G47" s="436" t="s">
        <v>166</v>
      </c>
      <c r="H47" s="436"/>
      <c r="I47" s="13" t="s">
        <v>843</v>
      </c>
      <c r="J47" s="13"/>
      <c r="K47" s="13"/>
      <c r="L47" s="13"/>
      <c r="M47" s="13"/>
      <c r="N47" s="27"/>
      <c r="O47" s="27"/>
      <c r="P47" s="13"/>
      <c r="Q47" s="13"/>
      <c r="R47" s="13"/>
      <c r="S47" s="13"/>
      <c r="T47" s="13"/>
      <c r="U47" s="13"/>
      <c r="V47" s="13"/>
      <c r="W47" s="13"/>
      <c r="X47" s="13"/>
      <c r="Y47" s="13"/>
      <c r="Z47" s="13"/>
      <c r="AA47" s="13"/>
      <c r="AB47" s="13"/>
      <c r="AC47" s="13"/>
      <c r="AD47" s="13"/>
      <c r="AE47" s="13"/>
      <c r="AF47" s="13"/>
      <c r="AG47" s="13"/>
      <c r="AH47" s="13"/>
      <c r="AI47" s="15"/>
    </row>
    <row r="48" spans="2:35">
      <c r="C48" s="12"/>
      <c r="D48" s="13"/>
      <c r="E48" s="13"/>
      <c r="F48" s="35"/>
      <c r="G48" s="35"/>
      <c r="H48" s="436" t="s">
        <v>166</v>
      </c>
      <c r="I48" s="436"/>
      <c r="J48" s="13" t="s">
        <v>2</v>
      </c>
      <c r="K48" s="380" t="s">
        <v>686</v>
      </c>
      <c r="L48" s="380"/>
      <c r="M48" s="37" t="s">
        <v>70</v>
      </c>
      <c r="N48" s="13" t="s">
        <v>780</v>
      </c>
      <c r="O48" s="31"/>
      <c r="P48" s="13"/>
      <c r="Q48" s="13" t="s">
        <v>2</v>
      </c>
      <c r="R48" s="448">
        <f>N17</f>
        <v>1.5</v>
      </c>
      <c r="S48" s="448"/>
      <c r="T48" t="s">
        <v>70</v>
      </c>
      <c r="U48" s="448">
        <f>COS(N20/180*PI())</f>
        <v>0.70710678118654757</v>
      </c>
      <c r="V48" s="448"/>
      <c r="W48" s="13"/>
      <c r="X48" s="13"/>
      <c r="Y48" s="13"/>
      <c r="Z48" s="13"/>
      <c r="AA48" s="13"/>
      <c r="AB48" s="13"/>
      <c r="AC48" s="13"/>
      <c r="AD48" s="13"/>
      <c r="AE48" s="13"/>
      <c r="AF48" s="13"/>
      <c r="AG48" s="13"/>
      <c r="AH48" s="13"/>
      <c r="AI48" s="15"/>
    </row>
    <row r="49" spans="3:35">
      <c r="C49" s="12"/>
      <c r="D49" s="13"/>
      <c r="E49" s="13"/>
      <c r="F49" s="35"/>
      <c r="G49" s="35"/>
      <c r="H49" s="14"/>
      <c r="I49" s="14"/>
      <c r="J49" s="13" t="s">
        <v>2</v>
      </c>
      <c r="K49" s="437">
        <f>R48/U48</f>
        <v>2.1213203435596424</v>
      </c>
      <c r="L49" s="439"/>
      <c r="M49" s="37" t="s">
        <v>3</v>
      </c>
      <c r="N49" s="13"/>
      <c r="O49" s="31"/>
      <c r="P49" s="13"/>
      <c r="Q49" s="13"/>
      <c r="R49" s="13"/>
      <c r="S49" s="13"/>
      <c r="T49"/>
      <c r="U49" s="13"/>
      <c r="V49" s="13"/>
      <c r="W49" s="13"/>
      <c r="X49" s="13"/>
      <c r="Y49" s="13"/>
      <c r="Z49" s="13"/>
      <c r="AA49" s="13"/>
      <c r="AB49" s="13"/>
      <c r="AC49" s="13"/>
      <c r="AD49" s="13"/>
      <c r="AE49" s="13"/>
      <c r="AF49" s="13"/>
      <c r="AG49" s="13"/>
      <c r="AH49" s="13"/>
      <c r="AI49" s="15"/>
    </row>
    <row r="50" spans="3:35">
      <c r="C50" s="12"/>
      <c r="D50" s="13"/>
      <c r="E50" s="13"/>
      <c r="F50" s="35"/>
      <c r="G50" s="35"/>
      <c r="H50" s="14"/>
      <c r="I50" s="14"/>
      <c r="J50" s="13"/>
      <c r="K50" s="14"/>
      <c r="L50" s="14"/>
      <c r="M50" s="37"/>
      <c r="N50" s="13"/>
      <c r="O50" s="31"/>
      <c r="P50" s="13"/>
      <c r="Q50" s="13"/>
      <c r="R50" s="13"/>
      <c r="S50" s="13"/>
      <c r="T50"/>
      <c r="U50" s="13"/>
      <c r="V50" s="13"/>
      <c r="W50" s="13"/>
      <c r="X50" s="13"/>
      <c r="Y50" s="13"/>
      <c r="Z50" s="13"/>
      <c r="AA50" s="13"/>
      <c r="AB50" s="13"/>
      <c r="AC50" s="13"/>
      <c r="AD50" s="13"/>
      <c r="AE50" s="13"/>
      <c r="AF50" s="13"/>
      <c r="AG50" s="13"/>
      <c r="AH50" s="13"/>
      <c r="AI50" s="15"/>
    </row>
    <row r="51" spans="3:35">
      <c r="C51" s="12"/>
      <c r="D51" s="13"/>
      <c r="E51" s="13"/>
      <c r="F51" s="35"/>
      <c r="G51" s="13" t="s">
        <v>352</v>
      </c>
      <c r="H51" s="13"/>
      <c r="I51" s="13"/>
      <c r="J51" s="13"/>
      <c r="K51" s="13"/>
      <c r="L51" s="13"/>
      <c r="M51" s="34"/>
      <c r="N51" s="13"/>
      <c r="O51" s="31"/>
      <c r="P51" s="13"/>
      <c r="Q51" s="13"/>
      <c r="R51" s="13"/>
      <c r="S51" s="13"/>
      <c r="T51"/>
      <c r="U51" s="13"/>
      <c r="V51" s="13"/>
      <c r="W51" s="13"/>
      <c r="X51" s="13"/>
      <c r="Y51" s="13"/>
      <c r="Z51" s="13"/>
      <c r="AA51" s="13"/>
      <c r="AB51" s="13"/>
      <c r="AC51" s="13"/>
      <c r="AD51" s="13"/>
      <c r="AE51" s="13"/>
      <c r="AF51" s="13"/>
      <c r="AG51" s="13"/>
      <c r="AH51" s="13"/>
      <c r="AI51" s="15"/>
    </row>
    <row r="52" spans="3:35">
      <c r="C52" s="12"/>
      <c r="D52" s="13"/>
      <c r="E52" s="13"/>
      <c r="F52" s="35"/>
      <c r="G52" s="35"/>
      <c r="H52" s="17" t="s">
        <v>166</v>
      </c>
      <c r="I52" s="449" t="s">
        <v>2</v>
      </c>
      <c r="J52" s="452">
        <f>K49</f>
        <v>2.1213203435596424</v>
      </c>
      <c r="K52" s="452"/>
      <c r="L52" s="17" t="s">
        <v>27</v>
      </c>
      <c r="M52" s="889">
        <v>1000</v>
      </c>
      <c r="N52" s="889"/>
      <c r="O52" s="889"/>
      <c r="P52" s="13"/>
      <c r="Q52" s="449" t="s">
        <v>2</v>
      </c>
      <c r="R52" s="554">
        <f>J52*M52/J53/M53</f>
        <v>28.246609101992579</v>
      </c>
      <c r="S52" s="555"/>
      <c r="T52"/>
      <c r="U52" s="13"/>
      <c r="V52" s="13"/>
      <c r="W52" s="13"/>
      <c r="X52" s="13"/>
      <c r="Y52" s="13"/>
      <c r="Z52" s="13"/>
      <c r="AA52" s="13"/>
      <c r="AB52" s="13"/>
      <c r="AC52" s="13"/>
      <c r="AD52" s="13"/>
      <c r="AE52" s="13"/>
      <c r="AF52" s="13"/>
      <c r="AG52" s="13"/>
      <c r="AH52" s="13"/>
      <c r="AI52" s="15"/>
    </row>
    <row r="53" spans="3:35">
      <c r="C53" s="12"/>
      <c r="D53" s="13"/>
      <c r="E53" s="13"/>
      <c r="F53" s="35"/>
      <c r="G53" s="35"/>
      <c r="H53" s="34" t="s">
        <v>303</v>
      </c>
      <c r="I53" s="449"/>
      <c r="J53" s="853">
        <f>'1.設計条件'!T101</f>
        <v>7.51</v>
      </c>
      <c r="K53" s="853"/>
      <c r="L53" s="13" t="s">
        <v>27</v>
      </c>
      <c r="M53" s="888">
        <v>10</v>
      </c>
      <c r="N53" s="888"/>
      <c r="O53" s="888"/>
      <c r="P53" s="13"/>
      <c r="Q53" s="449"/>
      <c r="R53" s="556"/>
      <c r="S53" s="557"/>
      <c r="T53"/>
      <c r="U53" s="13"/>
      <c r="V53" s="13"/>
      <c r="W53" s="13"/>
      <c r="X53" s="13"/>
      <c r="Y53" s="13"/>
      <c r="Z53" s="13"/>
      <c r="AA53" s="13"/>
      <c r="AB53" s="13"/>
      <c r="AC53" s="13"/>
      <c r="AD53" s="13"/>
      <c r="AE53" s="13"/>
      <c r="AF53" s="13"/>
      <c r="AG53" s="13"/>
      <c r="AH53" s="13"/>
      <c r="AI53" s="15"/>
    </row>
    <row r="54" spans="3:35">
      <c r="C54" s="12"/>
      <c r="D54" s="13"/>
      <c r="E54" s="13"/>
      <c r="F54" s="35"/>
      <c r="G54" s="35"/>
      <c r="H54" s="34"/>
      <c r="I54" s="28"/>
      <c r="J54" s="147"/>
      <c r="K54" s="147"/>
      <c r="L54" s="13"/>
      <c r="M54" s="157"/>
      <c r="N54" s="157"/>
      <c r="O54" s="13"/>
      <c r="P54" s="13"/>
      <c r="Q54" s="32"/>
      <c r="R54" s="32"/>
      <c r="S54" s="13"/>
      <c r="T54"/>
      <c r="U54" s="13"/>
      <c r="V54" s="13"/>
      <c r="W54" s="13"/>
      <c r="X54" s="13"/>
      <c r="Y54" s="13"/>
      <c r="Z54" s="13"/>
      <c r="AA54" s="13"/>
      <c r="AB54" s="13"/>
      <c r="AC54" s="13"/>
      <c r="AD54" s="13"/>
      <c r="AE54" s="13"/>
      <c r="AF54" s="13"/>
      <c r="AG54" s="13"/>
      <c r="AH54" s="13"/>
      <c r="AI54" s="15"/>
    </row>
    <row r="55" spans="3:35" s="234" customFormat="1">
      <c r="C55" s="314"/>
      <c r="D55" s="117"/>
      <c r="E55" s="891" t="s">
        <v>356</v>
      </c>
      <c r="F55" s="891"/>
      <c r="G55" s="891"/>
      <c r="H55" s="891"/>
      <c r="I55" s="891"/>
      <c r="J55" s="891"/>
      <c r="K55" s="891"/>
      <c r="L55" s="891"/>
      <c r="M55" s="891"/>
      <c r="N55" s="891"/>
      <c r="O55" s="317">
        <v>18</v>
      </c>
      <c r="P55" s="117" t="s">
        <v>353</v>
      </c>
      <c r="Q55" s="914" t="s">
        <v>354</v>
      </c>
      <c r="R55" s="914"/>
      <c r="S55" s="117" t="s">
        <v>326</v>
      </c>
      <c r="T55" s="321">
        <v>92</v>
      </c>
      <c r="U55" s="332" t="s">
        <v>355</v>
      </c>
      <c r="V55" s="117"/>
      <c r="W55" s="117" t="s">
        <v>416</v>
      </c>
      <c r="X55" s="117"/>
      <c r="Y55" s="117"/>
      <c r="Z55" s="117"/>
      <c r="AA55" s="117"/>
      <c r="AB55" s="117"/>
      <c r="AC55" s="117"/>
      <c r="AD55" s="117"/>
      <c r="AE55" s="117"/>
      <c r="AF55" s="117"/>
      <c r="AG55" s="117"/>
      <c r="AH55" s="117"/>
      <c r="AI55" s="315"/>
    </row>
    <row r="56" spans="3:35">
      <c r="C56" s="12"/>
      <c r="D56" s="865" t="s">
        <v>786</v>
      </c>
      <c r="E56" s="865"/>
      <c r="F56" s="32" t="s">
        <v>2</v>
      </c>
      <c r="G56" s="148" t="s">
        <v>364</v>
      </c>
      <c r="H56" s="890">
        <v>140</v>
      </c>
      <c r="I56" s="890"/>
      <c r="J56" s="148" t="s">
        <v>263</v>
      </c>
      <c r="K56" s="675">
        <v>0.82</v>
      </c>
      <c r="L56" s="675"/>
      <c r="M56" s="148" t="s">
        <v>69</v>
      </c>
      <c r="N56" s="436" t="s">
        <v>166</v>
      </c>
      <c r="O56" s="436"/>
      <c r="P56" s="147" t="s">
        <v>70</v>
      </c>
      <c r="Q56" s="34" t="s">
        <v>303</v>
      </c>
      <c r="R56" s="13" t="s">
        <v>263</v>
      </c>
      <c r="S56" s="906">
        <v>18</v>
      </c>
      <c r="T56" s="906"/>
      <c r="U56" s="27" t="s">
        <v>365</v>
      </c>
      <c r="V56" s="27" t="s">
        <v>27</v>
      </c>
      <c r="W56" s="449">
        <v>1.5</v>
      </c>
      <c r="X56" s="449"/>
      <c r="Y56" s="13"/>
      <c r="Z56" s="13"/>
      <c r="AA56" s="13"/>
      <c r="AB56" s="13"/>
      <c r="AC56" s="13"/>
      <c r="AD56" s="13"/>
      <c r="AE56" s="13"/>
      <c r="AF56" s="27"/>
      <c r="AG56" s="27"/>
      <c r="AH56" s="27"/>
      <c r="AI56" s="15"/>
    </row>
    <row r="57" spans="3:35">
      <c r="C57" s="12"/>
      <c r="D57" s="164"/>
      <c r="E57" s="164"/>
      <c r="F57" s="32" t="s">
        <v>2</v>
      </c>
      <c r="G57" s="148" t="s">
        <v>364</v>
      </c>
      <c r="H57" s="890">
        <v>140</v>
      </c>
      <c r="I57" s="890"/>
      <c r="J57" s="148" t="s">
        <v>263</v>
      </c>
      <c r="K57" s="675">
        <v>0.82</v>
      </c>
      <c r="L57" s="675"/>
      <c r="M57" s="148" t="s">
        <v>69</v>
      </c>
      <c r="N57" s="436">
        <f>R52</f>
        <v>28.246609101992579</v>
      </c>
      <c r="O57" s="436"/>
      <c r="P57" s="436"/>
      <c r="Q57" s="436"/>
      <c r="R57" s="13" t="s">
        <v>263</v>
      </c>
      <c r="S57" s="906">
        <v>18</v>
      </c>
      <c r="T57" s="906"/>
      <c r="U57" s="27" t="s">
        <v>365</v>
      </c>
      <c r="V57" s="27" t="s">
        <v>27</v>
      </c>
      <c r="W57" s="449">
        <v>1.5</v>
      </c>
      <c r="X57" s="449"/>
      <c r="Y57" s="13"/>
      <c r="Z57" s="13"/>
      <c r="AA57" s="13"/>
      <c r="AB57" s="13"/>
      <c r="AC57" s="13"/>
      <c r="AD57" s="13"/>
      <c r="AE57" s="13"/>
      <c r="AF57" s="27"/>
      <c r="AG57" s="27"/>
      <c r="AH57" s="27"/>
      <c r="AI57" s="15"/>
    </row>
    <row r="58" spans="3:35" ht="20.25">
      <c r="C58" s="12"/>
      <c r="D58" s="13"/>
      <c r="E58" s="13"/>
      <c r="F58" s="35" t="s">
        <v>2</v>
      </c>
      <c r="G58" s="849">
        <f>(H57-K57*(N57-S57))*W57</f>
        <v>197.39667080454913</v>
      </c>
      <c r="H58" s="850"/>
      <c r="I58" s="851"/>
      <c r="J58" s="163" t="s">
        <v>48</v>
      </c>
      <c r="K58" s="147"/>
      <c r="L58" s="13"/>
      <c r="M58" s="157"/>
      <c r="N58" s="157"/>
      <c r="O58" s="157"/>
      <c r="P58" s="13"/>
      <c r="Q58" s="28"/>
      <c r="R58" s="28"/>
      <c r="S58" s="28"/>
      <c r="T58"/>
      <c r="U58" s="13"/>
      <c r="V58" s="13"/>
      <c r="W58" s="13"/>
      <c r="X58" s="13"/>
      <c r="Y58" s="13"/>
      <c r="Z58" s="13"/>
      <c r="AA58" s="13"/>
      <c r="AB58" s="13"/>
      <c r="AC58" s="13"/>
      <c r="AD58" s="13"/>
      <c r="AE58" s="13"/>
      <c r="AF58" s="13"/>
      <c r="AG58" s="13"/>
      <c r="AH58" s="13"/>
      <c r="AI58" s="15"/>
    </row>
    <row r="59" spans="3:35">
      <c r="C59" s="12"/>
      <c r="D59" s="13"/>
      <c r="E59" s="13"/>
      <c r="F59" s="13"/>
      <c r="G59" s="13"/>
      <c r="H59" s="13"/>
      <c r="I59" s="35"/>
      <c r="J59" s="147"/>
      <c r="K59" s="147"/>
      <c r="L59" s="147"/>
      <c r="M59" s="163"/>
      <c r="N59" s="147"/>
      <c r="O59" s="13"/>
      <c r="P59" s="157"/>
      <c r="Q59" s="157"/>
      <c r="R59" s="157"/>
      <c r="S59" s="13"/>
      <c r="T59" s="28"/>
      <c r="U59" s="28"/>
      <c r="V59" s="28"/>
      <c r="W59"/>
      <c r="X59" s="13"/>
      <c r="Y59" s="13"/>
      <c r="Z59" s="13"/>
      <c r="AA59" s="13"/>
      <c r="AB59" s="13"/>
      <c r="AC59" s="13"/>
      <c r="AD59" s="13"/>
      <c r="AE59" s="13"/>
      <c r="AF59" s="13"/>
      <c r="AG59" s="13"/>
      <c r="AH59" s="13"/>
      <c r="AI59" s="15"/>
    </row>
    <row r="60" spans="3:35">
      <c r="C60" s="12"/>
      <c r="D60" s="13"/>
      <c r="E60" s="13"/>
      <c r="F60" s="13"/>
      <c r="G60" s="13"/>
      <c r="H60" s="13"/>
      <c r="I60" s="35"/>
      <c r="J60" s="147"/>
      <c r="K60" s="147"/>
      <c r="L60" s="147"/>
      <c r="M60" s="163"/>
      <c r="N60" s="147"/>
      <c r="O60" s="13"/>
      <c r="P60" s="157"/>
      <c r="Q60" s="157"/>
      <c r="R60" s="157"/>
      <c r="S60" s="13"/>
      <c r="T60" s="28"/>
      <c r="U60" s="28"/>
      <c r="V60" s="28"/>
      <c r="W60"/>
      <c r="X60" s="13"/>
      <c r="Y60" s="13"/>
      <c r="Z60" s="13"/>
      <c r="AA60" s="13"/>
      <c r="AB60" s="13"/>
      <c r="AC60" s="13"/>
      <c r="AD60" s="13"/>
      <c r="AE60" s="13"/>
      <c r="AF60" s="13"/>
      <c r="AG60" s="13"/>
      <c r="AH60" s="13"/>
      <c r="AI60" s="15"/>
    </row>
    <row r="61" spans="3:35">
      <c r="C61" s="12"/>
      <c r="D61" s="13" t="s">
        <v>67</v>
      </c>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5"/>
    </row>
    <row r="62" spans="3:35">
      <c r="C62" s="12"/>
      <c r="D62" s="13"/>
      <c r="E62" s="927" t="s">
        <v>318</v>
      </c>
      <c r="F62" s="928"/>
      <c r="G62" s="30" t="s">
        <v>2</v>
      </c>
      <c r="H62" s="850">
        <f>S42</f>
        <v>43.039854503161578</v>
      </c>
      <c r="I62" s="850"/>
      <c r="J62" s="851"/>
      <c r="K62" s="13"/>
      <c r="L62" s="13" t="str">
        <f>IF(H62&lt;=Q62, "≦","&gt;")</f>
        <v>≦</v>
      </c>
      <c r="N62" s="922" t="s">
        <v>783</v>
      </c>
      <c r="O62" s="923"/>
      <c r="P62" s="30" t="s">
        <v>2</v>
      </c>
      <c r="Q62" s="463">
        <f>G58</f>
        <v>197.39667080454913</v>
      </c>
      <c r="R62" s="463"/>
      <c r="S62" s="464"/>
      <c r="V62" s="13"/>
      <c r="W62"/>
      <c r="X62" s="13"/>
      <c r="Y62" s="462" t="str">
        <f>IF(L62="≦","OK","NG")</f>
        <v>OK</v>
      </c>
      <c r="Z62" s="463"/>
      <c r="AA62" s="464"/>
      <c r="AB62" s="13"/>
      <c r="AC62" s="13"/>
      <c r="AD62" s="13"/>
      <c r="AE62" s="13"/>
      <c r="AF62" s="13"/>
      <c r="AG62" s="13"/>
      <c r="AH62" s="13"/>
      <c r="AI62" s="15"/>
    </row>
    <row r="63" spans="3:35">
      <c r="C63" s="12"/>
      <c r="D63" s="13"/>
      <c r="V63" s="13"/>
      <c r="W63" s="13"/>
      <c r="X63" s="13"/>
      <c r="Y63" s="13"/>
      <c r="Z63" s="13"/>
      <c r="AA63" s="13"/>
      <c r="AB63" s="13"/>
      <c r="AC63" s="13"/>
      <c r="AD63" s="13"/>
      <c r="AE63" s="13"/>
      <c r="AF63" s="13"/>
      <c r="AG63" s="13"/>
      <c r="AH63" s="13"/>
      <c r="AI63" s="15"/>
    </row>
    <row r="64" spans="3:35">
      <c r="C64" s="16"/>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9"/>
    </row>
    <row r="66" spans="2:35">
      <c r="B66" s="1" t="s">
        <v>787</v>
      </c>
      <c r="C66" s="13"/>
      <c r="D66" s="13"/>
      <c r="E66" s="13"/>
      <c r="F66" s="13"/>
      <c r="G66" s="13"/>
      <c r="H66" s="13"/>
      <c r="I66" s="14"/>
      <c r="J66" s="14"/>
      <c r="K66" s="14"/>
      <c r="L66" s="13"/>
      <c r="M66" s="13"/>
      <c r="N66" s="13"/>
      <c r="O66" s="13"/>
      <c r="P66" s="13"/>
      <c r="Q66" s="13"/>
      <c r="R66" s="13"/>
      <c r="S66" s="13"/>
      <c r="T66" s="13"/>
      <c r="U66" s="32"/>
      <c r="V66" s="14"/>
      <c r="W66" s="14"/>
      <c r="X66" s="14"/>
      <c r="Y66" s="13"/>
      <c r="Z66" s="13"/>
      <c r="AA66" s="13"/>
      <c r="AB66" s="13"/>
      <c r="AC66" s="13"/>
      <c r="AD66" s="13"/>
      <c r="AE66" s="13"/>
      <c r="AF66" s="13"/>
      <c r="AG66" s="13"/>
      <c r="AH66" s="13"/>
      <c r="AI66" s="13"/>
    </row>
    <row r="67" spans="2:35">
      <c r="C67" s="9"/>
      <c r="D67" s="10"/>
      <c r="E67" s="10"/>
      <c r="F67" s="10"/>
      <c r="G67" s="10"/>
      <c r="H67" s="10"/>
      <c r="I67" s="10"/>
      <c r="J67" s="10"/>
      <c r="K67" s="10"/>
      <c r="L67" s="10"/>
      <c r="M67" s="10"/>
      <c r="N67" s="10"/>
      <c r="O67" s="10"/>
      <c r="P67" s="10"/>
      <c r="Q67" s="10"/>
      <c r="R67" s="10"/>
      <c r="S67" s="10"/>
      <c r="T67" s="10"/>
      <c r="U67" s="10"/>
      <c r="V67" s="10"/>
      <c r="W67" s="3"/>
      <c r="X67" s="10"/>
      <c r="Y67" s="10"/>
      <c r="Z67" s="10"/>
      <c r="AA67" s="10"/>
      <c r="AB67" s="10"/>
      <c r="AC67" s="10"/>
      <c r="AD67" s="10"/>
      <c r="AE67" s="10"/>
      <c r="AF67" s="10"/>
      <c r="AG67" s="10"/>
      <c r="AH67" s="10"/>
      <c r="AI67" s="11"/>
    </row>
    <row r="68" spans="2:35" ht="20.25">
      <c r="C68" s="12"/>
      <c r="D68" s="360" t="s">
        <v>318</v>
      </c>
      <c r="E68" s="360"/>
      <c r="F68" s="13" t="s">
        <v>328</v>
      </c>
      <c r="G68" s="13"/>
      <c r="H68" s="13"/>
      <c r="I68" s="13"/>
      <c r="J68" s="13"/>
      <c r="K68" s="13"/>
      <c r="L68" s="13"/>
      <c r="M68" s="13"/>
      <c r="N68" s="13"/>
      <c r="O68" s="13"/>
      <c r="P68" s="13"/>
      <c r="Q68" s="13"/>
      <c r="R68" s="13"/>
      <c r="S68" s="13"/>
      <c r="T68"/>
      <c r="U68" s="13"/>
      <c r="V68" s="13"/>
      <c r="W68" s="13"/>
      <c r="X68" s="13"/>
      <c r="Y68" s="13"/>
      <c r="Z68" s="13"/>
      <c r="AA68" s="13"/>
      <c r="AB68" s="13"/>
      <c r="AC68" s="13"/>
      <c r="AD68" s="13"/>
      <c r="AE68" s="13"/>
      <c r="AF68" s="13"/>
      <c r="AG68" s="13"/>
      <c r="AH68" s="13"/>
      <c r="AI68" s="15"/>
    </row>
    <row r="69" spans="2:35">
      <c r="C69" s="12"/>
      <c r="D69" s="865" t="s">
        <v>318</v>
      </c>
      <c r="E69" s="865"/>
      <c r="F69" s="449" t="s">
        <v>2</v>
      </c>
      <c r="G69" s="161" t="s">
        <v>310</v>
      </c>
      <c r="H69" s="34"/>
      <c r="I69" s="13"/>
      <c r="J69" s="449" t="s">
        <v>2</v>
      </c>
      <c r="K69" s="451">
        <f>I36</f>
        <v>540.5270393244034</v>
      </c>
      <c r="L69" s="451"/>
      <c r="M69" s="451"/>
      <c r="N69" s="17" t="s">
        <v>27</v>
      </c>
      <c r="O69" s="617">
        <v>1000</v>
      </c>
      <c r="P69" s="617"/>
      <c r="Q69" s="13"/>
      <c r="R69" s="449" t="s">
        <v>2</v>
      </c>
      <c r="S69" s="554">
        <f>K69*O69/K70/O70</f>
        <v>51.577007569122458</v>
      </c>
      <c r="T69" s="555"/>
      <c r="U69" s="13"/>
      <c r="V69" s="13"/>
      <c r="W69" s="13"/>
      <c r="X69" s="13"/>
      <c r="Y69" s="13"/>
      <c r="Z69" s="13"/>
      <c r="AA69" s="13"/>
      <c r="AB69" s="13"/>
      <c r="AC69" s="13"/>
      <c r="AD69" s="13"/>
      <c r="AE69" s="13"/>
      <c r="AF69" s="13"/>
      <c r="AG69" s="13"/>
      <c r="AH69" s="13"/>
      <c r="AI69" s="15"/>
    </row>
    <row r="70" spans="2:35">
      <c r="C70" s="12"/>
      <c r="D70" s="865"/>
      <c r="E70" s="865"/>
      <c r="F70" s="449"/>
      <c r="G70" s="35" t="s">
        <v>240</v>
      </c>
      <c r="H70" s="13"/>
      <c r="I70" s="13"/>
      <c r="J70" s="449"/>
      <c r="K70" s="776">
        <f>'1.設計条件'!T99</f>
        <v>104.8</v>
      </c>
      <c r="L70" s="776"/>
      <c r="M70" s="776"/>
      <c r="N70" s="13" t="s">
        <v>27</v>
      </c>
      <c r="O70" s="458">
        <v>100</v>
      </c>
      <c r="P70" s="458"/>
      <c r="Q70" s="13"/>
      <c r="R70" s="449"/>
      <c r="S70" s="556"/>
      <c r="T70" s="557"/>
      <c r="U70" s="13"/>
      <c r="V70" s="13"/>
      <c r="W70" s="13"/>
      <c r="X70" s="13"/>
      <c r="Y70" s="13"/>
      <c r="Z70" s="13"/>
      <c r="AA70" s="13"/>
      <c r="AB70" s="13"/>
      <c r="AC70" s="13"/>
      <c r="AD70" s="13"/>
      <c r="AE70" s="13"/>
      <c r="AF70" s="13"/>
      <c r="AG70" s="13"/>
      <c r="AH70" s="13"/>
      <c r="AI70" s="15"/>
    </row>
    <row r="71" spans="2:35">
      <c r="C71" s="12"/>
      <c r="D71" s="160"/>
      <c r="E71" s="160"/>
      <c r="F71" s="28"/>
      <c r="G71" s="35"/>
      <c r="H71" s="13"/>
      <c r="I71" s="13"/>
      <c r="J71" s="28"/>
      <c r="K71" s="24"/>
      <c r="L71" s="24"/>
      <c r="M71" s="24"/>
      <c r="N71" s="13"/>
      <c r="O71" s="27"/>
      <c r="P71" s="27"/>
      <c r="Q71" s="13"/>
      <c r="R71" s="28"/>
      <c r="S71" s="28"/>
      <c r="T71" s="28"/>
      <c r="U71" s="13"/>
      <c r="V71" s="13"/>
      <c r="W71" s="13"/>
      <c r="X71" s="13"/>
      <c r="Y71" s="13"/>
      <c r="Z71" s="13"/>
      <c r="AA71" s="13"/>
      <c r="AB71" s="13"/>
      <c r="AC71" s="13"/>
      <c r="AD71" s="13"/>
      <c r="AE71" s="13"/>
      <c r="AF71" s="13"/>
      <c r="AG71" s="13"/>
      <c r="AH71" s="13"/>
      <c r="AI71" s="15"/>
    </row>
    <row r="72" spans="2:35">
      <c r="C72" s="12"/>
      <c r="D72" s="160"/>
      <c r="E72" s="160"/>
      <c r="F72" s="28"/>
      <c r="G72" s="35"/>
      <c r="H72" s="13"/>
      <c r="I72" s="13"/>
      <c r="J72" s="28"/>
      <c r="K72" s="24"/>
      <c r="L72" s="24"/>
      <c r="M72" s="24"/>
      <c r="N72" s="13"/>
      <c r="O72" s="27"/>
      <c r="P72" s="27"/>
      <c r="Q72" s="13"/>
      <c r="R72" s="28"/>
      <c r="S72" s="28"/>
      <c r="T72" s="28"/>
      <c r="U72" s="13"/>
      <c r="V72" s="13"/>
      <c r="W72" s="13"/>
      <c r="X72" s="13"/>
      <c r="Y72" s="13"/>
      <c r="Z72" s="13"/>
      <c r="AA72" s="13"/>
      <c r="AB72" s="13"/>
      <c r="AC72" s="13"/>
      <c r="AD72" s="13"/>
      <c r="AE72" s="13"/>
      <c r="AF72" s="13"/>
      <c r="AG72" s="13"/>
      <c r="AH72" s="13"/>
      <c r="AI72" s="15"/>
    </row>
    <row r="73" spans="2:35" ht="20.25">
      <c r="C73" s="12"/>
      <c r="D73" s="360" t="s">
        <v>783</v>
      </c>
      <c r="E73" s="360"/>
      <c r="F73" s="13" t="s">
        <v>784</v>
      </c>
      <c r="G73" s="13"/>
      <c r="H73" s="13"/>
      <c r="I73" s="13"/>
      <c r="J73" s="13"/>
      <c r="K73" s="13"/>
      <c r="L73" s="13"/>
      <c r="M73" s="13"/>
      <c r="N73" s="13"/>
      <c r="O73" s="13"/>
      <c r="P73" s="13"/>
      <c r="Q73" s="13"/>
      <c r="R73" s="13"/>
      <c r="S73" s="13"/>
      <c r="T73"/>
      <c r="U73" s="13"/>
      <c r="V73" s="13"/>
      <c r="W73" s="13"/>
      <c r="X73" s="13"/>
      <c r="Y73" s="13"/>
      <c r="Z73" s="13"/>
      <c r="AA73" s="13"/>
      <c r="AB73" s="13"/>
      <c r="AC73" s="13"/>
      <c r="AD73" s="13"/>
      <c r="AE73" s="13"/>
      <c r="AF73" s="13"/>
      <c r="AG73" s="13"/>
      <c r="AH73" s="13"/>
      <c r="AI73" s="15"/>
    </row>
    <row r="74" spans="2:35">
      <c r="C74" s="12"/>
      <c r="D74" s="13"/>
      <c r="E74" s="13"/>
      <c r="F74" s="35"/>
      <c r="G74" s="436" t="s">
        <v>166</v>
      </c>
      <c r="H74" s="436"/>
      <c r="I74" s="13" t="s">
        <v>785</v>
      </c>
      <c r="J74" s="13"/>
      <c r="K74" s="13"/>
      <c r="L74" s="13"/>
      <c r="M74" s="13"/>
      <c r="N74" s="27"/>
      <c r="O74" s="27"/>
      <c r="P74" s="13"/>
      <c r="Q74" s="13"/>
      <c r="R74" s="13"/>
      <c r="S74" s="13"/>
      <c r="T74" s="13"/>
      <c r="U74" s="13"/>
      <c r="V74" s="13"/>
      <c r="W74" s="13"/>
      <c r="X74" s="13"/>
      <c r="Y74" s="13"/>
      <c r="Z74" s="13"/>
      <c r="AA74" s="13"/>
      <c r="AB74" s="13"/>
      <c r="AC74" s="13"/>
      <c r="AD74" s="13"/>
      <c r="AE74" s="13"/>
      <c r="AF74" s="13"/>
      <c r="AG74" s="13"/>
      <c r="AH74" s="13"/>
      <c r="AI74" s="15"/>
    </row>
    <row r="75" spans="2:35">
      <c r="C75" s="12"/>
      <c r="D75" s="13"/>
      <c r="E75" s="13"/>
      <c r="F75" s="35"/>
      <c r="G75" s="35"/>
      <c r="H75" s="436" t="s">
        <v>166</v>
      </c>
      <c r="I75" s="436"/>
      <c r="J75" s="13" t="s">
        <v>2</v>
      </c>
      <c r="K75" s="380" t="s">
        <v>686</v>
      </c>
      <c r="L75" s="380"/>
      <c r="M75" s="37" t="s">
        <v>70</v>
      </c>
      <c r="N75" s="13" t="s">
        <v>780</v>
      </c>
      <c r="O75" s="31"/>
      <c r="P75" s="13"/>
      <c r="Q75" s="13" t="s">
        <v>2</v>
      </c>
      <c r="R75" s="448">
        <f>N17</f>
        <v>1.5</v>
      </c>
      <c r="S75" s="448"/>
      <c r="T75" t="s">
        <v>70</v>
      </c>
      <c r="U75" s="448">
        <f>COS(N20/180*PI())</f>
        <v>0.70710678118654757</v>
      </c>
      <c r="V75" s="448"/>
      <c r="W75" s="13"/>
      <c r="X75" s="13"/>
      <c r="Y75" s="13"/>
      <c r="Z75" s="13"/>
      <c r="AA75" s="13"/>
      <c r="AB75" s="13"/>
      <c r="AC75" s="13"/>
      <c r="AD75" s="13"/>
      <c r="AE75" s="13"/>
      <c r="AF75" s="13"/>
      <c r="AG75" s="13"/>
      <c r="AH75" s="13"/>
      <c r="AI75" s="15"/>
    </row>
    <row r="76" spans="2:35">
      <c r="C76" s="12"/>
      <c r="D76" s="13"/>
      <c r="E76" s="13"/>
      <c r="F76" s="35"/>
      <c r="G76" s="35"/>
      <c r="H76" s="14"/>
      <c r="I76" s="14"/>
      <c r="J76" s="13" t="s">
        <v>2</v>
      </c>
      <c r="K76" s="437">
        <f>R75/U75</f>
        <v>2.1213203435596424</v>
      </c>
      <c r="L76" s="439"/>
      <c r="M76" s="37" t="s">
        <v>3</v>
      </c>
      <c r="N76" s="13"/>
      <c r="O76" s="31"/>
      <c r="P76" s="13"/>
      <c r="Q76" s="13"/>
      <c r="R76" s="13"/>
      <c r="S76" s="13"/>
      <c r="T76"/>
      <c r="U76" s="13"/>
      <c r="V76" s="13"/>
      <c r="W76" s="13"/>
      <c r="X76" s="13"/>
      <c r="Y76" s="13"/>
      <c r="Z76" s="13"/>
      <c r="AA76" s="13"/>
      <c r="AB76" s="13"/>
      <c r="AC76" s="13"/>
      <c r="AD76" s="13"/>
      <c r="AE76" s="13"/>
      <c r="AF76" s="13"/>
      <c r="AG76" s="13"/>
      <c r="AH76" s="13"/>
      <c r="AI76" s="15"/>
    </row>
    <row r="77" spans="2:35">
      <c r="C77" s="12"/>
      <c r="D77" s="13"/>
      <c r="E77" s="13"/>
      <c r="F77" s="35"/>
      <c r="G77" s="35"/>
      <c r="H77" s="14"/>
      <c r="I77" s="14"/>
      <c r="J77" s="13"/>
      <c r="K77" s="14"/>
      <c r="L77" s="14"/>
      <c r="M77" s="37"/>
      <c r="N77" s="13"/>
      <c r="O77" s="31"/>
      <c r="P77" s="13"/>
      <c r="Q77" s="13"/>
      <c r="R77" s="13"/>
      <c r="S77" s="13"/>
      <c r="T77"/>
      <c r="U77" s="13"/>
      <c r="V77" s="13"/>
      <c r="W77" s="13"/>
      <c r="X77" s="13"/>
      <c r="Y77" s="13"/>
      <c r="Z77" s="13"/>
      <c r="AA77" s="13"/>
      <c r="AB77" s="13"/>
      <c r="AC77" s="13"/>
      <c r="AD77" s="13"/>
      <c r="AE77" s="13"/>
      <c r="AF77" s="13"/>
      <c r="AG77" s="13"/>
      <c r="AH77" s="13"/>
      <c r="AI77" s="15"/>
    </row>
    <row r="78" spans="2:35">
      <c r="C78" s="12"/>
      <c r="D78" s="13"/>
      <c r="E78" s="13"/>
      <c r="F78" s="35"/>
      <c r="G78" s="13" t="s">
        <v>352</v>
      </c>
      <c r="H78" s="13"/>
      <c r="I78" s="13"/>
      <c r="J78" s="13"/>
      <c r="K78" s="13"/>
      <c r="L78" s="13"/>
      <c r="M78" s="34"/>
      <c r="N78" s="13"/>
      <c r="O78" s="31"/>
      <c r="P78" s="13"/>
      <c r="Q78" s="13"/>
      <c r="R78" s="13"/>
      <c r="S78" s="13"/>
      <c r="T78"/>
      <c r="U78" s="13"/>
      <c r="V78" s="13"/>
      <c r="W78" s="13"/>
      <c r="X78" s="13"/>
      <c r="Y78" s="13"/>
      <c r="Z78" s="13"/>
      <c r="AA78" s="13"/>
      <c r="AB78" s="13"/>
      <c r="AC78" s="13"/>
      <c r="AD78" s="13"/>
      <c r="AE78" s="13"/>
      <c r="AF78" s="13"/>
      <c r="AG78" s="13"/>
      <c r="AH78" s="13"/>
      <c r="AI78" s="15"/>
    </row>
    <row r="79" spans="2:35">
      <c r="C79" s="12"/>
      <c r="D79" s="13"/>
      <c r="E79" s="13"/>
      <c r="F79" s="35"/>
      <c r="G79" s="35"/>
      <c r="H79" s="17" t="s">
        <v>166</v>
      </c>
      <c r="I79" s="449" t="s">
        <v>2</v>
      </c>
      <c r="J79" s="452">
        <f>K76</f>
        <v>2.1213203435596424</v>
      </c>
      <c r="K79" s="452"/>
      <c r="L79" s="17" t="s">
        <v>27</v>
      </c>
      <c r="M79" s="889">
        <v>1000</v>
      </c>
      <c r="N79" s="889"/>
      <c r="O79" s="889"/>
      <c r="P79" s="13"/>
      <c r="Q79" s="449" t="s">
        <v>2</v>
      </c>
      <c r="R79" s="554">
        <f>J79*M79/J80/M80</f>
        <v>28.246609101992579</v>
      </c>
      <c r="S79" s="555"/>
      <c r="T79"/>
      <c r="U79" s="13"/>
      <c r="V79" s="13"/>
      <c r="W79" s="13"/>
      <c r="X79" s="13"/>
      <c r="Y79" s="13"/>
      <c r="Z79" s="13"/>
      <c r="AA79" s="13"/>
      <c r="AB79" s="13"/>
      <c r="AC79" s="13"/>
      <c r="AD79" s="13"/>
      <c r="AE79" s="13"/>
      <c r="AF79" s="13"/>
      <c r="AG79" s="13"/>
      <c r="AH79" s="13"/>
      <c r="AI79" s="15"/>
    </row>
    <row r="80" spans="2:35">
      <c r="C80" s="12"/>
      <c r="D80" s="13"/>
      <c r="E80" s="13"/>
      <c r="F80" s="35"/>
      <c r="G80" s="35"/>
      <c r="H80" s="34" t="s">
        <v>303</v>
      </c>
      <c r="I80" s="449"/>
      <c r="J80" s="853">
        <f>'1.設計条件'!T101</f>
        <v>7.51</v>
      </c>
      <c r="K80" s="853"/>
      <c r="L80" s="13" t="s">
        <v>27</v>
      </c>
      <c r="M80" s="888">
        <v>10</v>
      </c>
      <c r="N80" s="888"/>
      <c r="O80" s="888"/>
      <c r="P80" s="13"/>
      <c r="Q80" s="449"/>
      <c r="R80" s="556"/>
      <c r="S80" s="557"/>
      <c r="T80"/>
      <c r="U80" s="13"/>
      <c r="V80" s="13"/>
      <c r="W80" s="13"/>
      <c r="X80" s="13"/>
      <c r="Y80" s="13"/>
      <c r="Z80" s="13"/>
      <c r="AA80" s="13"/>
      <c r="AB80" s="13"/>
      <c r="AC80" s="13"/>
      <c r="AD80" s="13"/>
      <c r="AE80" s="13"/>
      <c r="AF80" s="13"/>
      <c r="AG80" s="13"/>
      <c r="AH80" s="13"/>
      <c r="AI80" s="15"/>
    </row>
    <row r="81" spans="3:35">
      <c r="C81" s="12"/>
      <c r="D81" s="13"/>
      <c r="E81" s="13"/>
      <c r="F81" s="35"/>
      <c r="G81" s="35"/>
      <c r="H81" s="34"/>
      <c r="I81" s="28"/>
      <c r="J81" s="147"/>
      <c r="K81" s="147"/>
      <c r="L81" s="13"/>
      <c r="M81" s="157"/>
      <c r="N81" s="157"/>
      <c r="O81" s="13"/>
      <c r="P81" s="13"/>
      <c r="Q81" s="32"/>
      <c r="R81" s="32"/>
      <c r="S81" s="13"/>
      <c r="T81"/>
      <c r="U81" s="13"/>
      <c r="V81" s="13"/>
      <c r="W81" s="13"/>
      <c r="X81" s="13"/>
      <c r="Y81" s="13"/>
      <c r="Z81" s="13"/>
      <c r="AA81" s="13"/>
      <c r="AB81" s="13"/>
      <c r="AC81" s="13"/>
      <c r="AD81" s="13"/>
      <c r="AE81" s="13"/>
      <c r="AF81" s="13"/>
      <c r="AG81" s="13"/>
      <c r="AH81" s="13"/>
      <c r="AI81" s="15"/>
    </row>
    <row r="82" spans="3:35" s="234" customFormat="1">
      <c r="C82" s="314"/>
      <c r="D82" s="117"/>
      <c r="E82" s="891" t="s">
        <v>356</v>
      </c>
      <c r="F82" s="891"/>
      <c r="G82" s="891"/>
      <c r="H82" s="891"/>
      <c r="I82" s="891"/>
      <c r="J82" s="891"/>
      <c r="K82" s="891"/>
      <c r="L82" s="891"/>
      <c r="M82" s="891"/>
      <c r="N82" s="891"/>
      <c r="O82" s="317">
        <v>18</v>
      </c>
      <c r="P82" s="117" t="s">
        <v>353</v>
      </c>
      <c r="Q82" s="914" t="s">
        <v>354</v>
      </c>
      <c r="R82" s="914"/>
      <c r="S82" s="117" t="s">
        <v>326</v>
      </c>
      <c r="T82" s="321">
        <v>92</v>
      </c>
      <c r="U82" s="332" t="s">
        <v>355</v>
      </c>
      <c r="V82" s="117"/>
      <c r="W82" s="117" t="s">
        <v>416</v>
      </c>
      <c r="X82" s="117"/>
      <c r="Y82" s="117"/>
      <c r="Z82" s="117"/>
      <c r="AA82" s="117"/>
      <c r="AB82" s="117"/>
      <c r="AC82" s="117"/>
      <c r="AD82" s="117"/>
      <c r="AE82" s="117"/>
      <c r="AF82" s="117"/>
      <c r="AG82" s="117"/>
      <c r="AH82" s="117"/>
      <c r="AI82" s="315"/>
    </row>
    <row r="83" spans="3:35">
      <c r="C83" s="12"/>
      <c r="D83" s="865" t="s">
        <v>786</v>
      </c>
      <c r="E83" s="865"/>
      <c r="F83" s="32" t="s">
        <v>2</v>
      </c>
      <c r="G83" s="148" t="s">
        <v>364</v>
      </c>
      <c r="H83" s="890">
        <v>140</v>
      </c>
      <c r="I83" s="890"/>
      <c r="J83" s="148" t="s">
        <v>263</v>
      </c>
      <c r="K83" s="675">
        <v>0.82</v>
      </c>
      <c r="L83" s="675"/>
      <c r="M83" s="148" t="s">
        <v>69</v>
      </c>
      <c r="N83" s="436" t="s">
        <v>166</v>
      </c>
      <c r="O83" s="436"/>
      <c r="P83" s="147" t="s">
        <v>70</v>
      </c>
      <c r="Q83" s="34" t="s">
        <v>303</v>
      </c>
      <c r="R83" s="13" t="s">
        <v>263</v>
      </c>
      <c r="S83" s="906">
        <v>18</v>
      </c>
      <c r="T83" s="906"/>
      <c r="U83" s="27" t="s">
        <v>365</v>
      </c>
      <c r="V83" s="27" t="s">
        <v>27</v>
      </c>
      <c r="W83" s="449">
        <v>1.5</v>
      </c>
      <c r="X83" s="449"/>
      <c r="Y83" s="13"/>
      <c r="Z83" s="13"/>
      <c r="AA83" s="13"/>
      <c r="AB83" s="13"/>
      <c r="AC83" s="13"/>
      <c r="AD83" s="13"/>
      <c r="AE83" s="13"/>
      <c r="AF83" s="27"/>
      <c r="AG83" s="27"/>
      <c r="AH83" s="27"/>
      <c r="AI83" s="15"/>
    </row>
    <row r="84" spans="3:35">
      <c r="C84" s="12"/>
      <c r="D84" s="164"/>
      <c r="E84" s="164"/>
      <c r="F84" s="32" t="s">
        <v>2</v>
      </c>
      <c r="G84" s="148" t="s">
        <v>364</v>
      </c>
      <c r="H84" s="890">
        <v>140</v>
      </c>
      <c r="I84" s="890"/>
      <c r="J84" s="148" t="s">
        <v>263</v>
      </c>
      <c r="K84" s="675">
        <v>0.82</v>
      </c>
      <c r="L84" s="675"/>
      <c r="M84" s="148" t="s">
        <v>69</v>
      </c>
      <c r="N84" s="436">
        <f>R79</f>
        <v>28.246609101992579</v>
      </c>
      <c r="O84" s="436"/>
      <c r="P84" s="436"/>
      <c r="Q84" s="436"/>
      <c r="R84" s="13" t="s">
        <v>263</v>
      </c>
      <c r="S84" s="906">
        <v>18</v>
      </c>
      <c r="T84" s="906"/>
      <c r="U84" s="27" t="s">
        <v>365</v>
      </c>
      <c r="V84" s="27" t="s">
        <v>27</v>
      </c>
      <c r="W84" s="449">
        <v>1.5</v>
      </c>
      <c r="X84" s="449"/>
      <c r="Y84" s="13"/>
      <c r="Z84" s="13"/>
      <c r="AA84" s="13"/>
      <c r="AB84" s="13"/>
      <c r="AC84" s="13"/>
      <c r="AD84" s="13"/>
      <c r="AE84" s="13"/>
      <c r="AF84" s="27"/>
      <c r="AG84" s="27"/>
      <c r="AH84" s="27"/>
      <c r="AI84" s="15"/>
    </row>
    <row r="85" spans="3:35" ht="20.25">
      <c r="C85" s="12"/>
      <c r="D85" s="13"/>
      <c r="E85" s="13"/>
      <c r="F85" s="35" t="s">
        <v>2</v>
      </c>
      <c r="G85" s="849">
        <f>(H84-K84*(N84-S84))*W84</f>
        <v>197.39667080454913</v>
      </c>
      <c r="H85" s="850"/>
      <c r="I85" s="851"/>
      <c r="J85" s="163" t="s">
        <v>48</v>
      </c>
      <c r="K85" s="147"/>
      <c r="L85" s="13"/>
      <c r="M85" s="157"/>
      <c r="N85" s="157"/>
      <c r="O85" s="157"/>
      <c r="P85" s="13"/>
      <c r="Q85" s="28"/>
      <c r="R85" s="28"/>
      <c r="S85" s="28"/>
      <c r="T85"/>
      <c r="U85" s="13"/>
      <c r="V85" s="13"/>
      <c r="W85" s="13"/>
      <c r="X85" s="13"/>
      <c r="Y85" s="13"/>
      <c r="Z85" s="13"/>
      <c r="AA85" s="13"/>
      <c r="AB85" s="13"/>
      <c r="AC85" s="13"/>
      <c r="AD85" s="13"/>
      <c r="AE85" s="13"/>
      <c r="AF85" s="13"/>
      <c r="AG85" s="13"/>
      <c r="AH85" s="13"/>
      <c r="AI85" s="15"/>
    </row>
    <row r="86" spans="3:35">
      <c r="C86" s="12"/>
      <c r="D86" s="13"/>
      <c r="E86" s="13"/>
      <c r="F86" s="13"/>
      <c r="G86" s="13"/>
      <c r="H86" s="13"/>
      <c r="I86" s="35"/>
      <c r="J86" s="147"/>
      <c r="K86" s="147"/>
      <c r="L86" s="147"/>
      <c r="M86" s="163"/>
      <c r="N86" s="147"/>
      <c r="O86" s="13"/>
      <c r="P86" s="157"/>
      <c r="Q86" s="157"/>
      <c r="R86" s="157"/>
      <c r="S86" s="13"/>
      <c r="T86" s="28"/>
      <c r="U86" s="28"/>
      <c r="V86" s="28"/>
      <c r="W86"/>
      <c r="X86" s="13"/>
      <c r="Y86" s="13"/>
      <c r="Z86" s="13"/>
      <c r="AA86" s="13"/>
      <c r="AB86" s="13"/>
      <c r="AC86" s="13"/>
      <c r="AD86" s="13"/>
      <c r="AE86" s="13"/>
      <c r="AF86" s="13"/>
      <c r="AG86" s="13"/>
      <c r="AH86" s="13"/>
      <c r="AI86" s="15"/>
    </row>
    <row r="87" spans="3:35">
      <c r="C87" s="12"/>
      <c r="D87" s="13"/>
      <c r="E87" s="13"/>
      <c r="F87" s="13"/>
      <c r="G87" s="13"/>
      <c r="H87" s="13"/>
      <c r="I87" s="35"/>
      <c r="J87" s="147"/>
      <c r="K87" s="147"/>
      <c r="L87" s="147"/>
      <c r="M87" s="163"/>
      <c r="N87" s="147"/>
      <c r="O87" s="13"/>
      <c r="P87" s="157"/>
      <c r="Q87" s="157"/>
      <c r="R87" s="157"/>
      <c r="S87" s="13"/>
      <c r="T87" s="28"/>
      <c r="U87" s="28"/>
      <c r="V87" s="28"/>
      <c r="W87"/>
      <c r="X87" s="13"/>
      <c r="Y87" s="13"/>
      <c r="Z87" s="13"/>
      <c r="AA87" s="13"/>
      <c r="AB87" s="13"/>
      <c r="AC87" s="13"/>
      <c r="AD87" s="13"/>
      <c r="AE87" s="13"/>
      <c r="AF87" s="13"/>
      <c r="AG87" s="13"/>
      <c r="AH87" s="13"/>
      <c r="AI87" s="15"/>
    </row>
    <row r="88" spans="3:35">
      <c r="C88" s="12"/>
      <c r="D88" s="13" t="s">
        <v>67</v>
      </c>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5"/>
    </row>
    <row r="89" spans="3:35">
      <c r="C89" s="12"/>
      <c r="D89" s="13"/>
      <c r="E89" s="927" t="s">
        <v>318</v>
      </c>
      <c r="F89" s="928"/>
      <c r="G89" s="30" t="s">
        <v>2</v>
      </c>
      <c r="H89" s="850">
        <f>S69</f>
        <v>51.577007569122458</v>
      </c>
      <c r="I89" s="850"/>
      <c r="J89" s="851"/>
      <c r="K89" s="13"/>
      <c r="L89" s="13" t="str">
        <f>IF(H89&lt;=Q89, "≦","&gt;")</f>
        <v>≦</v>
      </c>
      <c r="N89" s="922" t="s">
        <v>783</v>
      </c>
      <c r="O89" s="923"/>
      <c r="P89" s="30" t="s">
        <v>2</v>
      </c>
      <c r="Q89" s="463">
        <f>G85</f>
        <v>197.39667080454913</v>
      </c>
      <c r="R89" s="463"/>
      <c r="S89" s="464"/>
      <c r="V89" s="13"/>
      <c r="W89"/>
      <c r="X89" s="13"/>
      <c r="Y89" s="462" t="str">
        <f>IF(L89="≦","OK","NG")</f>
        <v>OK</v>
      </c>
      <c r="Z89" s="463"/>
      <c r="AA89" s="464"/>
      <c r="AB89" s="13"/>
      <c r="AC89" s="13"/>
      <c r="AD89" s="13"/>
      <c r="AE89" s="13"/>
      <c r="AF89" s="13"/>
      <c r="AG89" s="13"/>
      <c r="AH89" s="13"/>
      <c r="AI89" s="15"/>
    </row>
    <row r="90" spans="3:35">
      <c r="C90" s="12"/>
      <c r="D90" s="13"/>
      <c r="V90" s="13"/>
      <c r="W90" s="13"/>
      <c r="X90" s="13"/>
      <c r="Y90" s="13"/>
      <c r="Z90" s="13"/>
      <c r="AA90" s="13"/>
      <c r="AB90" s="13"/>
      <c r="AC90" s="13"/>
      <c r="AD90" s="13"/>
      <c r="AE90" s="13"/>
      <c r="AF90" s="13"/>
      <c r="AG90" s="13"/>
      <c r="AH90" s="13"/>
      <c r="AI90" s="15"/>
    </row>
    <row r="91" spans="3:35">
      <c r="C91" s="16"/>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9"/>
    </row>
  </sheetData>
  <sheetProtection sheet="1" objects="1" scenarios="1"/>
  <mergeCells count="155">
    <mergeCell ref="M11:N11"/>
    <mergeCell ref="P11:Q11"/>
    <mergeCell ref="N17:P17"/>
    <mergeCell ref="K16:L16"/>
    <mergeCell ref="N16:P16"/>
    <mergeCell ref="R18:S18"/>
    <mergeCell ref="H5:I5"/>
    <mergeCell ref="K5:M5"/>
    <mergeCell ref="H6:I6"/>
    <mergeCell ref="K6:M6"/>
    <mergeCell ref="F24:G25"/>
    <mergeCell ref="H24:H25"/>
    <mergeCell ref="I24:J25"/>
    <mergeCell ref="K24:K25"/>
    <mergeCell ref="L24:M24"/>
    <mergeCell ref="O24:P24"/>
    <mergeCell ref="Q24:Q25"/>
    <mergeCell ref="R25:S25"/>
    <mergeCell ref="R24:S24"/>
    <mergeCell ref="M27:Q27"/>
    <mergeCell ref="I28:K28"/>
    <mergeCell ref="T24:T25"/>
    <mergeCell ref="U24:V25"/>
    <mergeCell ref="L25:P25"/>
    <mergeCell ref="H26:H27"/>
    <mergeCell ref="I26:K27"/>
    <mergeCell ref="L26:L27"/>
    <mergeCell ref="M26:N26"/>
    <mergeCell ref="P26:Q26"/>
    <mergeCell ref="U26:U27"/>
    <mergeCell ref="V26:X27"/>
    <mergeCell ref="R26:R27"/>
    <mergeCell ref="S26:T26"/>
    <mergeCell ref="S27:T27"/>
    <mergeCell ref="D41:E41"/>
    <mergeCell ref="M35:Q35"/>
    <mergeCell ref="I36:K36"/>
    <mergeCell ref="T32:T33"/>
    <mergeCell ref="U32:V33"/>
    <mergeCell ref="L33:P33"/>
    <mergeCell ref="H34:H35"/>
    <mergeCell ref="I34:K35"/>
    <mergeCell ref="L34:L35"/>
    <mergeCell ref="M34:N34"/>
    <mergeCell ref="P34:Q34"/>
    <mergeCell ref="U34:U35"/>
    <mergeCell ref="V34:X35"/>
    <mergeCell ref="F32:G33"/>
    <mergeCell ref="H32:H33"/>
    <mergeCell ref="I32:J33"/>
    <mergeCell ref="K32:K33"/>
    <mergeCell ref="L32:M32"/>
    <mergeCell ref="O32:P32"/>
    <mergeCell ref="Q32:Q33"/>
    <mergeCell ref="R32:S32"/>
    <mergeCell ref="R33:S33"/>
    <mergeCell ref="R34:R35"/>
    <mergeCell ref="S34:T34"/>
    <mergeCell ref="U48:V48"/>
    <mergeCell ref="D46:E46"/>
    <mergeCell ref="S42:T43"/>
    <mergeCell ref="K43:M43"/>
    <mergeCell ref="O43:P43"/>
    <mergeCell ref="D42:E43"/>
    <mergeCell ref="F42:F43"/>
    <mergeCell ref="J42:J43"/>
    <mergeCell ref="K42:M42"/>
    <mergeCell ref="O42:P42"/>
    <mergeCell ref="R42:R43"/>
    <mergeCell ref="W56:X56"/>
    <mergeCell ref="H57:I57"/>
    <mergeCell ref="K57:L57"/>
    <mergeCell ref="N57:Q57"/>
    <mergeCell ref="S57:T57"/>
    <mergeCell ref="W57:X57"/>
    <mergeCell ref="R52:S53"/>
    <mergeCell ref="J53:K53"/>
    <mergeCell ref="M53:O53"/>
    <mergeCell ref="E55:N55"/>
    <mergeCell ref="Q55:R55"/>
    <mergeCell ref="D56:E56"/>
    <mergeCell ref="H56:I56"/>
    <mergeCell ref="K56:L56"/>
    <mergeCell ref="N56:O56"/>
    <mergeCell ref="S56:T56"/>
    <mergeCell ref="I52:I53"/>
    <mergeCell ref="J52:K52"/>
    <mergeCell ref="M52:O52"/>
    <mergeCell ref="Q52:Q53"/>
    <mergeCell ref="Y62:AA62"/>
    <mergeCell ref="E89:F89"/>
    <mergeCell ref="H89:J89"/>
    <mergeCell ref="N89:O89"/>
    <mergeCell ref="Q89:S89"/>
    <mergeCell ref="G85:I85"/>
    <mergeCell ref="N84:Q84"/>
    <mergeCell ref="S84:T84"/>
    <mergeCell ref="W84:X84"/>
    <mergeCell ref="W83:X83"/>
    <mergeCell ref="H84:I84"/>
    <mergeCell ref="R79:S80"/>
    <mergeCell ref="J80:K80"/>
    <mergeCell ref="M80:O80"/>
    <mergeCell ref="K84:L84"/>
    <mergeCell ref="D73:E73"/>
    <mergeCell ref="E62:F62"/>
    <mergeCell ref="D68:E68"/>
    <mergeCell ref="D69:E70"/>
    <mergeCell ref="F69:F70"/>
    <mergeCell ref="J69:J70"/>
    <mergeCell ref="K69:M69"/>
    <mergeCell ref="Y89:AA89"/>
    <mergeCell ref="G74:H74"/>
    <mergeCell ref="V18:W18"/>
    <mergeCell ref="AA18:AC18"/>
    <mergeCell ref="N19:P19"/>
    <mergeCell ref="D20:J20"/>
    <mergeCell ref="K20:L20"/>
    <mergeCell ref="N20:P20"/>
    <mergeCell ref="D17:J17"/>
    <mergeCell ref="K17:L17"/>
    <mergeCell ref="D18:J18"/>
    <mergeCell ref="K18:L18"/>
    <mergeCell ref="N18:O18"/>
    <mergeCell ref="S35:T35"/>
    <mergeCell ref="H62:J62"/>
    <mergeCell ref="N62:O62"/>
    <mergeCell ref="Q62:S62"/>
    <mergeCell ref="G58:I58"/>
    <mergeCell ref="H48:I48"/>
    <mergeCell ref="K48:L48"/>
    <mergeCell ref="K49:L49"/>
    <mergeCell ref="G47:H47"/>
    <mergeCell ref="R48:S48"/>
    <mergeCell ref="H75:I75"/>
    <mergeCell ref="K75:L75"/>
    <mergeCell ref="R75:S75"/>
    <mergeCell ref="U75:V75"/>
    <mergeCell ref="K76:L76"/>
    <mergeCell ref="O69:P69"/>
    <mergeCell ref="R69:R70"/>
    <mergeCell ref="S69:T70"/>
    <mergeCell ref="K70:M70"/>
    <mergeCell ref="O70:P70"/>
    <mergeCell ref="E82:N82"/>
    <mergeCell ref="Q82:R82"/>
    <mergeCell ref="D83:E83"/>
    <mergeCell ref="H83:I83"/>
    <mergeCell ref="K83:L83"/>
    <mergeCell ref="N83:O83"/>
    <mergeCell ref="S83:T83"/>
    <mergeCell ref="I79:I80"/>
    <mergeCell ref="J79:K79"/>
    <mergeCell ref="M79:O79"/>
    <mergeCell ref="Q79:Q80"/>
  </mergeCells>
  <phoneticPr fontId="3"/>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1.設計条件</vt:lpstr>
      <vt:lpstr>2.根入れ長</vt:lpstr>
      <vt:lpstr>3.断面力1</vt:lpstr>
      <vt:lpstr>3.断面力2</vt:lpstr>
      <vt:lpstr>4.変位量</vt:lpstr>
      <vt:lpstr>5.腹起一般</vt:lpstr>
      <vt:lpstr>5.腹起端部</vt:lpstr>
      <vt:lpstr>6.切ばり</vt:lpstr>
      <vt:lpstr>7.火打ち</vt:lpstr>
      <vt:lpstr>8.まとめ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2022-12-31T04:38:29Z</dcterms:created>
  <dcterms:modified xsi:type="dcterms:W3CDTF">2023-09-29T08:05:59Z</dcterms:modified>
</cp:coreProperties>
</file>