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F5EF7B5B-4E83-4B87-AE57-C46B3B6E1AFF}" xr6:coauthVersionLast="47" xr6:coauthVersionMax="47" xr10:uidLastSave="{00000000-0000-0000-0000-000000000000}"/>
  <bookViews>
    <workbookView xWindow="-108" yWindow="-108" windowWidth="23256" windowHeight="12456" tabRatio="737" xr2:uid="{00000000-000D-0000-FFFF-FFFF00000000}"/>
  </bookViews>
  <sheets>
    <sheet name="1.設計条件と鋼矢板・支保工の設定" sheetId="1" r:id="rId1"/>
    <sheet name="2.根入れ長の計算" sheetId="2" r:id="rId2"/>
    <sheet name="3.土留め壁の断面計算" sheetId="3" r:id="rId3"/>
    <sheet name="4.支保工の設計" sheetId="6" r:id="rId4"/>
    <sheet name="5.まとめ" sheetId="5" r:id="rId5"/>
  </sheets>
  <definedNames>
    <definedName name="_xlnm.Print_Area" localSheetId="0">'1.設計条件と鋼矢板・支保工の設定'!$A$1:$AI$78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2" i="2" l="1"/>
  <c r="T34" i="1"/>
  <c r="T65" i="1" l="1"/>
  <c r="M117" i="6" s="1"/>
  <c r="T64" i="1"/>
  <c r="N171" i="6" s="1"/>
  <c r="U171" i="6" s="1"/>
  <c r="X158" i="6" s="1"/>
  <c r="T63" i="1"/>
  <c r="N97" i="6" s="1"/>
  <c r="T62" i="1"/>
  <c r="N90" i="6" s="1"/>
  <c r="T61" i="1"/>
  <c r="M110" i="6" s="1"/>
  <c r="T60" i="1"/>
  <c r="AD130" i="6" s="1"/>
  <c r="T59" i="1"/>
  <c r="X129" i="6" s="1"/>
  <c r="T58" i="1"/>
  <c r="V130" i="6" s="1"/>
  <c r="T42" i="1"/>
  <c r="T46" i="1"/>
  <c r="T45" i="1"/>
  <c r="S49" i="6" s="1"/>
  <c r="T44" i="1"/>
  <c r="W49" i="6" s="1"/>
  <c r="T43" i="1"/>
  <c r="N196" i="6"/>
  <c r="AD162" i="6"/>
  <c r="AD157" i="6"/>
  <c r="T181" i="6"/>
  <c r="U191" i="6"/>
  <c r="X180" i="6"/>
  <c r="O71" i="6"/>
  <c r="O72" i="6"/>
  <c r="R63" i="6"/>
  <c r="M63" i="6"/>
  <c r="T51" i="6"/>
  <c r="N49" i="6" l="1"/>
  <c r="T55" i="1"/>
  <c r="N172" i="6"/>
  <c r="U172" i="6" s="1"/>
  <c r="X163" i="6" s="1"/>
  <c r="AA129" i="6"/>
  <c r="AD129" i="6" s="1"/>
  <c r="AA130" i="6"/>
  <c r="AF130" i="6" s="1"/>
  <c r="Q108" i="6"/>
  <c r="O137" i="6"/>
  <c r="N108" i="6"/>
  <c r="N133" i="6" l="1"/>
  <c r="M136" i="6" s="1"/>
  <c r="U136" i="6" s="1"/>
  <c r="Q141" i="6" s="1"/>
  <c r="J142" i="6" s="1"/>
  <c r="I181" i="6" s="1"/>
  <c r="N113" i="6"/>
  <c r="M116" i="6" s="1"/>
  <c r="U116" i="6" s="1"/>
  <c r="N168" i="6"/>
  <c r="U168" i="6" s="1"/>
  <c r="R71" i="6"/>
  <c r="I73" i="6" s="1"/>
  <c r="N96" i="6" s="1"/>
  <c r="J98" i="6" s="1"/>
  <c r="W108" i="6"/>
  <c r="L191" i="6"/>
  <c r="M180" i="6"/>
  <c r="T45" i="6"/>
  <c r="M43" i="6"/>
  <c r="R37" i="6"/>
  <c r="R33" i="6"/>
  <c r="O34" i="6"/>
  <c r="O38" i="6"/>
  <c r="T158" i="6" l="1"/>
  <c r="AD158" i="6" s="1"/>
  <c r="L160" i="6" s="1"/>
  <c r="T163" i="6"/>
  <c r="AD163" i="6" s="1"/>
  <c r="L165" i="6" s="1"/>
  <c r="Q122" i="6"/>
  <c r="J123" i="6" s="1"/>
  <c r="F181" i="6" s="1"/>
  <c r="S9" i="6"/>
  <c r="T137" i="3"/>
  <c r="T138" i="3"/>
  <c r="F63" i="3"/>
  <c r="F51" i="3"/>
  <c r="S52" i="3"/>
  <c r="S43" i="3"/>
  <c r="M144" i="2"/>
  <c r="W192" i="6" l="1"/>
  <c r="AA181" i="6"/>
  <c r="P181" i="6"/>
  <c r="N192" i="6"/>
  <c r="AA86" i="2"/>
  <c r="AA78" i="2"/>
  <c r="AA81" i="2"/>
  <c r="AA79" i="2"/>
  <c r="J29" i="2"/>
  <c r="L29" i="2"/>
  <c r="L18" i="2"/>
  <c r="J18" i="2"/>
  <c r="T18" i="2" l="1"/>
  <c r="V22" i="2" s="1"/>
  <c r="G22" i="2"/>
  <c r="T29" i="2"/>
  <c r="W29" i="2" s="1"/>
  <c r="AF29" i="2" s="1"/>
  <c r="Y49" i="3" s="1"/>
  <c r="T30" i="1" l="1"/>
  <c r="H45" i="2"/>
  <c r="U26" i="3" s="1"/>
  <c r="H43" i="2"/>
  <c r="H41" i="2"/>
  <c r="L16" i="2"/>
  <c r="J16" i="2"/>
  <c r="H16" i="2"/>
  <c r="L14" i="2"/>
  <c r="T14" i="2" s="1"/>
  <c r="J14" i="2"/>
  <c r="H14" i="2"/>
  <c r="Q12" i="2"/>
  <c r="L12" i="2"/>
  <c r="T12" i="2" s="1"/>
  <c r="J12" i="2"/>
  <c r="H12" i="2"/>
  <c r="G4" i="5"/>
  <c r="T31" i="1"/>
  <c r="J183" i="2"/>
  <c r="J182" i="2"/>
  <c r="J181" i="2"/>
  <c r="J180" i="2"/>
  <c r="L24" i="1"/>
  <c r="F23" i="1"/>
  <c r="K86" i="2" l="1"/>
  <c r="H13" i="6"/>
  <c r="N21" i="6" s="1"/>
  <c r="H47" i="3"/>
  <c r="Q26" i="3"/>
  <c r="Y26" i="3" s="1"/>
  <c r="U27" i="3" s="1"/>
  <c r="H9" i="6"/>
  <c r="N19" i="6" s="1"/>
  <c r="H43" i="3"/>
  <c r="H86" i="2"/>
  <c r="H45" i="3"/>
  <c r="H11" i="6"/>
  <c r="N20" i="6" s="1"/>
  <c r="H74" i="2"/>
  <c r="AF74" i="2" s="1"/>
  <c r="H75" i="2"/>
  <c r="AF75" i="2" s="1"/>
  <c r="H77" i="2"/>
  <c r="H76" i="2"/>
  <c r="H78" i="2"/>
  <c r="H79" i="2"/>
  <c r="K77" i="2"/>
  <c r="K76" i="2"/>
  <c r="K79" i="2"/>
  <c r="K78" i="2"/>
  <c r="H81" i="2"/>
  <c r="H80" i="2"/>
  <c r="K62" i="2"/>
  <c r="K81" i="2"/>
  <c r="K80" i="2"/>
  <c r="K57" i="2"/>
  <c r="K56" i="2"/>
  <c r="K59" i="2"/>
  <c r="K58" i="2"/>
  <c r="T16" i="2"/>
  <c r="X24" i="1"/>
  <c r="O29" i="2" s="1"/>
  <c r="G33" i="2" s="1"/>
  <c r="H68" i="2" s="1"/>
  <c r="U68" i="2" s="1"/>
  <c r="I16" i="3" s="1"/>
  <c r="I20" i="3" s="1"/>
  <c r="W12" i="2"/>
  <c r="F188" i="2"/>
  <c r="J186" i="2"/>
  <c r="F186" i="2"/>
  <c r="L22" i="1"/>
  <c r="AF86" i="2" l="1"/>
  <c r="N106" i="2" s="1"/>
  <c r="N107" i="2" s="1"/>
  <c r="O15" i="3" s="1"/>
  <c r="N19" i="3" s="1"/>
  <c r="H59" i="3"/>
  <c r="H113" i="3"/>
  <c r="H57" i="3"/>
  <c r="H111" i="3"/>
  <c r="H106" i="2"/>
  <c r="H107" i="2" s="1"/>
  <c r="I15" i="3" s="1"/>
  <c r="G19" i="3" s="1"/>
  <c r="AF80" i="2"/>
  <c r="AF81" i="2"/>
  <c r="AF79" i="2"/>
  <c r="AF78" i="2"/>
  <c r="AF76" i="2"/>
  <c r="AF77" i="2"/>
  <c r="O18" i="2"/>
  <c r="AF12" i="2"/>
  <c r="J45" i="2"/>
  <c r="X22" i="1"/>
  <c r="O16" i="2" s="1"/>
  <c r="R9" i="1"/>
  <c r="H158" i="2" s="1"/>
  <c r="P158" i="2" s="1"/>
  <c r="L22" i="2" l="1"/>
  <c r="G23" i="2"/>
  <c r="I61" i="2" s="1"/>
  <c r="U61" i="2" s="1"/>
  <c r="H97" i="2" s="1"/>
  <c r="H100" i="2" s="1"/>
  <c r="E113" i="2" s="1"/>
  <c r="M9" i="6"/>
  <c r="Z9" i="6" s="1"/>
  <c r="G19" i="6" s="1"/>
  <c r="M43" i="3"/>
  <c r="M151" i="3"/>
  <c r="K128" i="3"/>
  <c r="K136" i="3"/>
  <c r="Y136" i="3" s="1"/>
  <c r="K135" i="3"/>
  <c r="Y135" i="3" s="1"/>
  <c r="M152" i="3"/>
  <c r="K127" i="3"/>
  <c r="I120" i="3"/>
  <c r="F99" i="3"/>
  <c r="Q81" i="3"/>
  <c r="K70" i="3"/>
  <c r="Q80" i="3"/>
  <c r="K69" i="3"/>
  <c r="J99" i="3"/>
  <c r="N83" i="3"/>
  <c r="N82" i="3"/>
  <c r="N81" i="3"/>
  <c r="K72" i="3"/>
  <c r="N80" i="3"/>
  <c r="K71" i="3"/>
  <c r="Q184" i="3"/>
  <c r="U176" i="3"/>
  <c r="M180" i="3" s="1"/>
  <c r="AB165" i="2"/>
  <c r="Z29" i="3" s="1"/>
  <c r="AE29" i="3" s="1"/>
  <c r="L31" i="3" s="1"/>
  <c r="U175" i="3"/>
  <c r="AB175" i="3" s="1"/>
  <c r="F180" i="3" s="1"/>
  <c r="L21" i="1"/>
  <c r="L20" i="1"/>
  <c r="O12" i="2" l="1"/>
  <c r="Q13" i="2" s="1"/>
  <c r="J41" i="2"/>
  <c r="O41" i="2" s="1"/>
  <c r="X21" i="1"/>
  <c r="J43" i="2"/>
  <c r="O43" i="2" s="1"/>
  <c r="O14" i="2"/>
  <c r="L23" i="1"/>
  <c r="R13" i="1" s="1"/>
  <c r="X20" i="1"/>
  <c r="F173" i="2"/>
  <c r="S10" i="6" l="1"/>
  <c r="S44" i="3"/>
  <c r="O44" i="2"/>
  <c r="S46" i="3"/>
  <c r="S12" i="6"/>
  <c r="O42" i="2"/>
  <c r="Z13" i="2"/>
  <c r="Z14" i="2" s="1"/>
  <c r="Z15" i="2" s="1"/>
  <c r="Z16" i="2" s="1"/>
  <c r="S13" i="6" l="1"/>
  <c r="S47" i="3"/>
  <c r="S45" i="3"/>
  <c r="S11" i="6"/>
  <c r="Z17" i="2"/>
  <c r="Z18" i="2" s="1"/>
  <c r="W13" i="2"/>
  <c r="Q14" i="2"/>
  <c r="AF13" i="2" l="1"/>
  <c r="W14" i="2"/>
  <c r="AF14" i="2" s="1"/>
  <c r="Q15" i="2"/>
  <c r="Q16" i="2" s="1"/>
  <c r="Q17" i="2" s="1"/>
  <c r="M11" i="6" l="1"/>
  <c r="Z11" i="6" s="1"/>
  <c r="G20" i="6" s="1"/>
  <c r="M45" i="3"/>
  <c r="AF45" i="3" s="1"/>
  <c r="M44" i="3"/>
  <c r="M10" i="6"/>
  <c r="Z10" i="6" s="1"/>
  <c r="J19" i="6" s="1"/>
  <c r="S19" i="6" s="1"/>
  <c r="H56" i="2"/>
  <c r="AF56" i="2" s="1"/>
  <c r="Y92" i="2" s="1"/>
  <c r="W15" i="2"/>
  <c r="O45" i="2"/>
  <c r="H62" i="2" l="1"/>
  <c r="AF62" i="2" s="1"/>
  <c r="Y98" i="2" s="1"/>
  <c r="S14" i="6"/>
  <c r="S48" i="3"/>
  <c r="M57" i="3"/>
  <c r="H69" i="3" s="1"/>
  <c r="P69" i="3" s="1"/>
  <c r="H90" i="3" s="1"/>
  <c r="M111" i="3"/>
  <c r="H127" i="3" s="1"/>
  <c r="AE127" i="3" s="1"/>
  <c r="O46" i="2"/>
  <c r="AF15" i="2"/>
  <c r="Y143" i="3" l="1"/>
  <c r="S143" i="3"/>
  <c r="H63" i="2"/>
  <c r="AA63" i="2" s="1"/>
  <c r="T99" i="2" s="1"/>
  <c r="S49" i="3"/>
  <c r="M46" i="3"/>
  <c r="AF46" i="3" s="1"/>
  <c r="M12" i="6"/>
  <c r="Z12" i="6" s="1"/>
  <c r="J20" i="6" s="1"/>
  <c r="S20" i="6" s="1"/>
  <c r="H57" i="2"/>
  <c r="AF57" i="2" s="1"/>
  <c r="Y93" i="2" s="1"/>
  <c r="W17" i="2"/>
  <c r="AF17" i="2" s="1"/>
  <c r="N99" i="2" l="1"/>
  <c r="H59" i="2"/>
  <c r="AF59" i="2" s="1"/>
  <c r="Y95" i="2" s="1"/>
  <c r="M14" i="6"/>
  <c r="Z14" i="6" s="1"/>
  <c r="J21" i="6" s="1"/>
  <c r="M48" i="3"/>
  <c r="AF48" i="3" s="1"/>
  <c r="M58" i="3"/>
  <c r="H70" i="3" s="1"/>
  <c r="P70" i="3" s="1"/>
  <c r="H91" i="3" s="1"/>
  <c r="M112" i="3"/>
  <c r="H128" i="3" s="1"/>
  <c r="AE128" i="3" s="1"/>
  <c r="W16" i="2"/>
  <c r="Y144" i="3" l="1"/>
  <c r="S144" i="3"/>
  <c r="S147" i="3" s="1"/>
  <c r="AA151" i="3" s="1"/>
  <c r="Y147" i="3"/>
  <c r="AF151" i="3" s="1"/>
  <c r="M60" i="3"/>
  <c r="H72" i="3" s="1"/>
  <c r="P72" i="3" s="1"/>
  <c r="H93" i="3" s="1"/>
  <c r="M116" i="3"/>
  <c r="G119" i="3" s="1"/>
  <c r="AF16" i="2"/>
  <c r="Q18" i="2"/>
  <c r="Q22" i="2" l="1"/>
  <c r="L23" i="2"/>
  <c r="M61" i="2" s="1"/>
  <c r="AA61" i="2" s="1"/>
  <c r="AF152" i="3"/>
  <c r="M13" i="6"/>
  <c r="Z13" i="6" s="1"/>
  <c r="G21" i="6" s="1"/>
  <c r="S21" i="6" s="1"/>
  <c r="S22" i="6" s="1"/>
  <c r="J25" i="6" s="1"/>
  <c r="I63" i="6" s="1"/>
  <c r="I64" i="6" s="1"/>
  <c r="N89" i="6" s="1"/>
  <c r="V89" i="6" s="1"/>
  <c r="M47" i="3"/>
  <c r="AF47" i="3" s="1"/>
  <c r="H58" i="2"/>
  <c r="AF58" i="2" s="1"/>
  <c r="Y94" i="2" s="1"/>
  <c r="Y100" i="2" s="1"/>
  <c r="V113" i="2" s="1"/>
  <c r="W18" i="2"/>
  <c r="AF18" i="2" s="1"/>
  <c r="T192" i="6" l="1"/>
  <c r="R194" i="6" s="1"/>
  <c r="K192" i="6"/>
  <c r="I194" i="6" s="1"/>
  <c r="F191" i="6"/>
  <c r="F194" i="6" s="1"/>
  <c r="X181" i="6"/>
  <c r="T183" i="6" s="1"/>
  <c r="M181" i="6"/>
  <c r="I183" i="6" s="1"/>
  <c r="F180" i="6"/>
  <c r="F183" i="6" s="1"/>
  <c r="O33" i="6"/>
  <c r="V33" i="6" s="1"/>
  <c r="M42" i="6" s="1"/>
  <c r="I45" i="6" s="1"/>
  <c r="P45" i="6" s="1"/>
  <c r="AA45" i="6" s="1"/>
  <c r="K10" i="5" s="1"/>
  <c r="O37" i="6"/>
  <c r="V37" i="6" s="1"/>
  <c r="O48" i="6" s="1"/>
  <c r="I51" i="6" s="1"/>
  <c r="P51" i="6" s="1"/>
  <c r="AA51" i="6" s="1"/>
  <c r="K11" i="5" s="1"/>
  <c r="H60" i="2"/>
  <c r="AA60" i="2" s="1"/>
  <c r="T96" i="2" s="1"/>
  <c r="M49" i="3"/>
  <c r="AF49" i="3" s="1"/>
  <c r="M59" i="3"/>
  <c r="H71" i="3" s="1"/>
  <c r="P71" i="3" s="1"/>
  <c r="H92" i="3" s="1"/>
  <c r="M113" i="3"/>
  <c r="T97" i="2"/>
  <c r="N97" i="2"/>
  <c r="K119" i="3" l="1"/>
  <c r="G122" i="3" s="1"/>
  <c r="M114" i="3" s="1"/>
  <c r="P119" i="3"/>
  <c r="L122" i="3" s="1"/>
  <c r="H129" i="3"/>
  <c r="Z129" i="3" s="1"/>
  <c r="M145" i="3" s="1"/>
  <c r="M61" i="3"/>
  <c r="H73" i="3" s="1"/>
  <c r="F185" i="6"/>
  <c r="I185" i="6" s="1"/>
  <c r="L185" i="6" s="1"/>
  <c r="K12" i="5" s="1"/>
  <c r="F196" i="6"/>
  <c r="J196" i="6" s="1"/>
  <c r="Q196" i="6" s="1"/>
  <c r="K13" i="5" s="1"/>
  <c r="N96" i="2"/>
  <c r="N100" i="2" s="1"/>
  <c r="K113" i="2" s="1"/>
  <c r="I116" i="2" s="1"/>
  <c r="AA152" i="3"/>
  <c r="T100" i="2"/>
  <c r="Q113" i="2" s="1"/>
  <c r="Q114" i="3" l="1"/>
  <c r="M130" i="3" s="1"/>
  <c r="Z130" i="3" s="1"/>
  <c r="M146" i="3" s="1"/>
  <c r="M147" i="3" s="1"/>
  <c r="Q115" i="3"/>
  <c r="M115" i="3"/>
  <c r="I130" i="3"/>
  <c r="U130" i="3" s="1"/>
  <c r="H146" i="3" s="1"/>
  <c r="H147" i="3" s="1"/>
  <c r="Q151" i="3" s="1"/>
  <c r="Q152" i="3" s="1"/>
  <c r="H153" i="3" s="1"/>
  <c r="I118" i="2"/>
  <c r="I119" i="2"/>
  <c r="H156" i="3" l="1"/>
  <c r="U159" i="3" s="1"/>
  <c r="H164" i="3"/>
  <c r="R160" i="3"/>
  <c r="V152" i="3"/>
  <c r="N153" i="3" s="1"/>
  <c r="V151" i="3"/>
  <c r="Y118" i="2"/>
  <c r="I123" i="2" s="1"/>
  <c r="N156" i="3" l="1"/>
  <c r="I159" i="3" s="1"/>
  <c r="P164" i="3"/>
  <c r="M122" i="2"/>
  <c r="I122" i="2"/>
  <c r="M123" i="2"/>
  <c r="Y123" i="2" s="1"/>
  <c r="N159" i="3" l="1"/>
  <c r="AD122" i="2"/>
  <c r="Y122" i="2"/>
  <c r="AD123" i="2"/>
  <c r="M127" i="2" l="1"/>
  <c r="I127" i="2"/>
  <c r="Y127" i="2" l="1"/>
  <c r="M128" i="2" s="1"/>
  <c r="M136" i="2" s="1"/>
  <c r="I133" i="2"/>
  <c r="AD127" i="2"/>
  <c r="M133" i="2"/>
  <c r="I130" i="2"/>
  <c r="M130" i="2"/>
  <c r="I128" i="2" l="1"/>
  <c r="AD128" i="2" s="1"/>
  <c r="AD130" i="2"/>
  <c r="AD133" i="2"/>
  <c r="Y133" i="2"/>
  <c r="Y130" i="2"/>
  <c r="I131" i="2" l="1"/>
  <c r="I137" i="2" s="1"/>
  <c r="Y128" i="2"/>
  <c r="I134" i="2"/>
  <c r="I138" i="2" s="1"/>
  <c r="M134" i="2"/>
  <c r="M138" i="2" s="1"/>
  <c r="I136" i="2"/>
  <c r="J141" i="2" s="1"/>
  <c r="M131" i="2"/>
  <c r="M137" i="2" s="1"/>
  <c r="J145" i="2" l="1"/>
  <c r="AB164" i="2" s="1"/>
  <c r="U167" i="2" s="1"/>
  <c r="M52" i="3"/>
  <c r="Y52" i="3"/>
  <c r="AD134" i="2"/>
  <c r="Y134" i="2"/>
  <c r="AD131" i="2"/>
  <c r="Y131" i="2"/>
  <c r="I17" i="3"/>
  <c r="Q19" i="3" s="1"/>
  <c r="Z4" i="5"/>
  <c r="J173" i="2"/>
  <c r="F174" i="2" s="1"/>
  <c r="F175" i="2" s="1"/>
  <c r="J19" i="3" l="1"/>
  <c r="G21" i="3" s="1"/>
  <c r="M20" i="3"/>
  <c r="G22" i="3" s="1"/>
  <c r="N186" i="2"/>
  <c r="K5" i="5" s="1"/>
  <c r="N188" i="2"/>
  <c r="K6" i="5" s="1"/>
  <c r="P4" i="5"/>
  <c r="G24" i="3" l="1"/>
  <c r="Q27" i="3" s="1"/>
  <c r="Y27" i="3" s="1"/>
  <c r="H31" i="3" s="1"/>
  <c r="K31" i="3" s="1"/>
  <c r="Q33" i="3" l="1"/>
  <c r="H49" i="3" s="1"/>
  <c r="N99" i="3" l="1"/>
  <c r="H51" i="3"/>
  <c r="M50" i="3"/>
  <c r="M51" i="3" s="1"/>
  <c r="Y50" i="3" l="1"/>
  <c r="Y51" i="3" s="1"/>
  <c r="S50" i="3"/>
  <c r="S51" i="3" s="1"/>
  <c r="AF50" i="3" l="1"/>
  <c r="M64" i="3" l="1"/>
  <c r="H61" i="3"/>
  <c r="K82" i="3" s="1"/>
  <c r="K80" i="3" l="1"/>
  <c r="K84" i="3"/>
  <c r="H63" i="3"/>
  <c r="H82" i="3" s="1"/>
  <c r="X82" i="3" s="1"/>
  <c r="K92" i="3" s="1"/>
  <c r="N92" i="3" s="1"/>
  <c r="K83" i="3"/>
  <c r="K81" i="3"/>
  <c r="K73" i="3"/>
  <c r="P73" i="3" s="1"/>
  <c r="H94" i="3" s="1"/>
  <c r="H80" i="3" l="1"/>
  <c r="X80" i="3" s="1"/>
  <c r="K90" i="3" s="1"/>
  <c r="N90" i="3" s="1"/>
  <c r="H83" i="3"/>
  <c r="X83" i="3" s="1"/>
  <c r="K93" i="3" s="1"/>
  <c r="N93" i="3" s="1"/>
  <c r="H81" i="3"/>
  <c r="X81" i="3" s="1"/>
  <c r="K91" i="3" s="1"/>
  <c r="N91" i="3" s="1"/>
  <c r="H84" i="3"/>
  <c r="X84" i="3" s="1"/>
  <c r="K94" i="3" s="1"/>
  <c r="N94" i="3" s="1"/>
  <c r="N95" i="3" l="1"/>
  <c r="V99" i="3" s="1"/>
  <c r="K102" i="3" s="1"/>
  <c r="H152" i="3" s="1"/>
  <c r="Z153" i="3" l="1"/>
  <c r="AG164" i="3" s="1"/>
  <c r="T153" i="3"/>
  <c r="Y164" i="3" s="1"/>
  <c r="T156" i="3" l="1"/>
  <c r="Y159" i="3" s="1"/>
  <c r="H161" i="3" s="1"/>
  <c r="T164" i="3" s="1"/>
  <c r="AC164" i="3" l="1"/>
  <c r="L164" i="3"/>
  <c r="H165" i="3" l="1"/>
  <c r="F179" i="3" s="1"/>
  <c r="F182" i="3" s="1"/>
  <c r="F184" i="3" s="1"/>
  <c r="M184" i="3" s="1"/>
  <c r="X184" i="3" s="1"/>
  <c r="K7" i="5" s="1"/>
</calcChain>
</file>

<file path=xl/sharedStrings.xml><?xml version="1.0" encoding="utf-8"?>
<sst xmlns="http://schemas.openxmlformats.org/spreadsheetml/2006/main" count="1614" uniqueCount="484">
  <si>
    <t>掘削深さ</t>
    <rPh sb="0" eb="2">
      <t>クッサク</t>
    </rPh>
    <rPh sb="2" eb="3">
      <t>フカ</t>
    </rPh>
    <phoneticPr fontId="3"/>
  </si>
  <si>
    <t>H</t>
    <phoneticPr fontId="3"/>
  </si>
  <si>
    <t>=</t>
    <phoneticPr fontId="3"/>
  </si>
  <si>
    <t>m</t>
    <phoneticPr fontId="3"/>
  </si>
  <si>
    <t>地表面からの地下水位までの深さ</t>
    <rPh sb="0" eb="3">
      <t>チヒョウメン</t>
    </rPh>
    <rPh sb="6" eb="10">
      <t>チカスイイ</t>
    </rPh>
    <rPh sb="13" eb="14">
      <t>フカ</t>
    </rPh>
    <phoneticPr fontId="3"/>
  </si>
  <si>
    <t>上載荷重</t>
    <rPh sb="0" eb="1">
      <t>ウエ</t>
    </rPh>
    <rPh sb="1" eb="2">
      <t>ノ</t>
    </rPh>
    <rPh sb="2" eb="4">
      <t>カジュウ</t>
    </rPh>
    <phoneticPr fontId="3"/>
  </si>
  <si>
    <t>q</t>
    <phoneticPr fontId="3"/>
  </si>
  <si>
    <t>H11道仮p29</t>
    <phoneticPr fontId="3"/>
  </si>
  <si>
    <t>層厚</t>
    <phoneticPr fontId="3"/>
  </si>
  <si>
    <t>土質</t>
    <rPh sb="0" eb="2">
      <t>ドシツ</t>
    </rPh>
    <phoneticPr fontId="3"/>
  </si>
  <si>
    <t>地下水</t>
    <rPh sb="0" eb="2">
      <t>チカ</t>
    </rPh>
    <rPh sb="2" eb="3">
      <t>スイ</t>
    </rPh>
    <phoneticPr fontId="3"/>
  </si>
  <si>
    <t>N値</t>
    <rPh sb="1" eb="2">
      <t>アタイ</t>
    </rPh>
    <phoneticPr fontId="3"/>
  </si>
  <si>
    <t>単位体積重量</t>
    <rPh sb="0" eb="2">
      <t>タンイ</t>
    </rPh>
    <rPh sb="2" eb="4">
      <t>タイセキ</t>
    </rPh>
    <rPh sb="4" eb="6">
      <t>ジュウリョウ</t>
    </rPh>
    <phoneticPr fontId="3"/>
  </si>
  <si>
    <t>水中単位重量</t>
    <rPh sb="0" eb="2">
      <t>スイチュウ</t>
    </rPh>
    <rPh sb="2" eb="4">
      <t>タンイ</t>
    </rPh>
    <rPh sb="4" eb="6">
      <t>ジュウリョウ</t>
    </rPh>
    <phoneticPr fontId="3"/>
  </si>
  <si>
    <t>粘着力</t>
    <rPh sb="0" eb="3">
      <t>ネンチャクリョク</t>
    </rPh>
    <phoneticPr fontId="3"/>
  </si>
  <si>
    <t>h</t>
    <phoneticPr fontId="3"/>
  </si>
  <si>
    <t>γ</t>
    <phoneticPr fontId="3"/>
  </si>
  <si>
    <t>γ’</t>
    <phoneticPr fontId="3"/>
  </si>
  <si>
    <t>φ</t>
    <phoneticPr fontId="3"/>
  </si>
  <si>
    <t>c</t>
    <phoneticPr fontId="3"/>
  </si>
  <si>
    <t>(m)</t>
    <phoneticPr fontId="3"/>
  </si>
  <si>
    <t>1層</t>
    <rPh sb="1" eb="2">
      <t>ソウ</t>
    </rPh>
    <phoneticPr fontId="3"/>
  </si>
  <si>
    <t>2層</t>
    <rPh sb="1" eb="2">
      <t>ソウ</t>
    </rPh>
    <phoneticPr fontId="3"/>
  </si>
  <si>
    <t>層厚</t>
    <rPh sb="0" eb="1">
      <t>ソウ</t>
    </rPh>
    <rPh sb="1" eb="2">
      <t>アツ</t>
    </rPh>
    <phoneticPr fontId="3"/>
  </si>
  <si>
    <t>最小土圧</t>
    <rPh sb="0" eb="2">
      <t>サイショウ</t>
    </rPh>
    <rPh sb="2" eb="4">
      <t>ドアツ</t>
    </rPh>
    <phoneticPr fontId="3"/>
  </si>
  <si>
    <t>主働土圧</t>
    <rPh sb="0" eb="2">
      <t>シュドウ</t>
    </rPh>
    <rPh sb="2" eb="4">
      <t>ドアツ</t>
    </rPh>
    <phoneticPr fontId="3"/>
  </si>
  <si>
    <t>Σ</t>
    <phoneticPr fontId="3"/>
  </si>
  <si>
    <t>×</t>
    <phoneticPr fontId="3"/>
  </si>
  <si>
    <t>主働土圧係数</t>
    <rPh sb="0" eb="2">
      <t>シュドウ</t>
    </rPh>
    <rPh sb="2" eb="4">
      <t>ドアツ</t>
    </rPh>
    <rPh sb="4" eb="6">
      <t>ケイスウ</t>
    </rPh>
    <phoneticPr fontId="3"/>
  </si>
  <si>
    <t>砂質</t>
  </si>
  <si>
    <t>地下水</t>
    <rPh sb="0" eb="3">
      <t>チカスイ</t>
    </rPh>
    <phoneticPr fontId="3"/>
  </si>
  <si>
    <t>水圧</t>
    <rPh sb="0" eb="1">
      <t>スイ</t>
    </rPh>
    <rPh sb="1" eb="2">
      <t>アツ</t>
    </rPh>
    <phoneticPr fontId="3"/>
  </si>
  <si>
    <t>アーム長</t>
    <rPh sb="3" eb="4">
      <t>チョウ</t>
    </rPh>
    <phoneticPr fontId="3"/>
  </si>
  <si>
    <t>P</t>
    <phoneticPr fontId="3"/>
  </si>
  <si>
    <t>(kN)</t>
    <phoneticPr fontId="3"/>
  </si>
  <si>
    <t>(kN・m)</t>
    <phoneticPr fontId="3"/>
  </si>
  <si>
    <r>
      <t>(kN/m</t>
    </r>
    <r>
      <rPr>
        <vertAlign val="superscript"/>
        <sz val="11"/>
        <color theme="1"/>
        <rFont val="游ゴシック"/>
        <family val="3"/>
        <charset val="128"/>
        <scheme val="minor"/>
      </rPr>
      <t>2</t>
    </r>
    <r>
      <rPr>
        <sz val="11"/>
        <color theme="1"/>
        <rFont val="游ゴシック"/>
        <family val="2"/>
        <scheme val="minor"/>
      </rPr>
      <t>)</t>
    </r>
    <phoneticPr fontId="3"/>
  </si>
  <si>
    <r>
      <t>K</t>
    </r>
    <r>
      <rPr>
        <vertAlign val="subscript"/>
        <sz val="11"/>
        <color theme="1"/>
        <rFont val="游ゴシック"/>
        <family val="3"/>
        <charset val="128"/>
        <scheme val="minor"/>
      </rPr>
      <t>a</t>
    </r>
    <phoneticPr fontId="3"/>
  </si>
  <si>
    <r>
      <t>2C√K</t>
    </r>
    <r>
      <rPr>
        <vertAlign val="subscript"/>
        <sz val="11"/>
        <color theme="1"/>
        <rFont val="游ゴシック"/>
        <family val="3"/>
        <charset val="128"/>
        <scheme val="minor"/>
      </rPr>
      <t>a</t>
    </r>
    <phoneticPr fontId="3"/>
  </si>
  <si>
    <r>
      <t>-2c√K</t>
    </r>
    <r>
      <rPr>
        <vertAlign val="subscript"/>
        <sz val="11"/>
        <color theme="1"/>
        <rFont val="游ゴシック"/>
        <family val="3"/>
        <charset val="128"/>
        <scheme val="minor"/>
      </rPr>
      <t>a</t>
    </r>
    <phoneticPr fontId="3"/>
  </si>
  <si>
    <r>
      <t>(kN/m</t>
    </r>
    <r>
      <rPr>
        <vertAlign val="superscript"/>
        <sz val="11"/>
        <color theme="1"/>
        <rFont val="游ゴシック"/>
        <family val="3"/>
        <charset val="128"/>
        <scheme val="minor"/>
      </rPr>
      <t>3</t>
    </r>
    <r>
      <rPr>
        <sz val="11"/>
        <color theme="1"/>
        <rFont val="游ゴシック"/>
        <family val="2"/>
        <scheme val="minor"/>
      </rPr>
      <t>)</t>
    </r>
    <phoneticPr fontId="3"/>
  </si>
  <si>
    <r>
      <t>kN/m</t>
    </r>
    <r>
      <rPr>
        <vertAlign val="superscript"/>
        <sz val="11"/>
        <color theme="1"/>
        <rFont val="游ゴシック"/>
        <family val="3"/>
        <charset val="128"/>
        <scheme val="minor"/>
      </rPr>
      <t>2</t>
    </r>
    <phoneticPr fontId="3"/>
  </si>
  <si>
    <t>ここに、</t>
    <phoneticPr fontId="3"/>
  </si>
  <si>
    <t>なし</t>
  </si>
  <si>
    <t>有</t>
  </si>
  <si>
    <t>地盤物性値一覧</t>
    <rPh sb="0" eb="2">
      <t>ジバン</t>
    </rPh>
    <rPh sb="2" eb="4">
      <t>ブッセイ</t>
    </rPh>
    <rPh sb="4" eb="5">
      <t>アタイ</t>
    </rPh>
    <rPh sb="5" eb="7">
      <t>イチラン</t>
    </rPh>
    <phoneticPr fontId="3"/>
  </si>
  <si>
    <t>H11道仮p48</t>
    <phoneticPr fontId="3"/>
  </si>
  <si>
    <t>H11道仮p48,320</t>
    <phoneticPr fontId="3"/>
  </si>
  <si>
    <t>鋼矢板の許容応力度</t>
    <phoneticPr fontId="3"/>
  </si>
  <si>
    <r>
      <t>N/mm</t>
    </r>
    <r>
      <rPr>
        <vertAlign val="superscript"/>
        <sz val="11"/>
        <color theme="1"/>
        <rFont val="游ゴシック"/>
        <family val="3"/>
        <charset val="128"/>
        <scheme val="minor"/>
      </rPr>
      <t>2</t>
    </r>
    <phoneticPr fontId="3"/>
  </si>
  <si>
    <t>断面二次モーメント</t>
    <rPh sb="0" eb="2">
      <t>ダンメン</t>
    </rPh>
    <rPh sb="2" eb="4">
      <t>ニジ</t>
    </rPh>
    <phoneticPr fontId="3"/>
  </si>
  <si>
    <t>断面係数</t>
    <rPh sb="0" eb="4">
      <t>ダンメンケイスウ</t>
    </rPh>
    <phoneticPr fontId="3"/>
  </si>
  <si>
    <t>ヤング係数</t>
    <rPh sb="3" eb="5">
      <t>ケイスウ</t>
    </rPh>
    <phoneticPr fontId="3"/>
  </si>
  <si>
    <r>
      <t>cm</t>
    </r>
    <r>
      <rPr>
        <vertAlign val="superscript"/>
        <sz val="11"/>
        <color theme="1"/>
        <rFont val="游ゴシック"/>
        <family val="3"/>
        <charset val="128"/>
        <scheme val="minor"/>
      </rPr>
      <t>3</t>
    </r>
    <r>
      <rPr>
        <sz val="11"/>
        <color theme="1"/>
        <rFont val="游ゴシック"/>
        <family val="2"/>
        <scheme val="minor"/>
      </rPr>
      <t>/m</t>
    </r>
    <phoneticPr fontId="3"/>
  </si>
  <si>
    <t>H11道仮p320</t>
    <phoneticPr fontId="3"/>
  </si>
  <si>
    <t>H11道仮p46</t>
    <phoneticPr fontId="3"/>
  </si>
  <si>
    <t>H11道仮p107</t>
    <phoneticPr fontId="3"/>
  </si>
  <si>
    <t>H11道仮p109</t>
    <phoneticPr fontId="3"/>
  </si>
  <si>
    <t>I</t>
    <phoneticPr fontId="3"/>
  </si>
  <si>
    <t>E</t>
    <phoneticPr fontId="3"/>
  </si>
  <si>
    <t>Z</t>
    <phoneticPr fontId="3"/>
  </si>
  <si>
    <t>断面係数の有効率（応力度の計算）</t>
    <rPh sb="0" eb="2">
      <t>ダンメン</t>
    </rPh>
    <rPh sb="2" eb="4">
      <t>ケイスウ</t>
    </rPh>
    <rPh sb="5" eb="8">
      <t>ユウコウリツ</t>
    </rPh>
    <rPh sb="9" eb="12">
      <t>オウリョクド</t>
    </rPh>
    <rPh sb="13" eb="15">
      <t>ケイサン</t>
    </rPh>
    <phoneticPr fontId="3"/>
  </si>
  <si>
    <t>断面二次モーメントの有効率（断面力、変位の計算）</t>
    <rPh sb="0" eb="4">
      <t>ダンメンニジ</t>
    </rPh>
    <rPh sb="10" eb="13">
      <t>ユウコウリツ</t>
    </rPh>
    <rPh sb="14" eb="17">
      <t>ダンメンリョク</t>
    </rPh>
    <rPh sb="18" eb="20">
      <t>ヘンイ</t>
    </rPh>
    <rPh sb="21" eb="23">
      <t>ケイサン</t>
    </rPh>
    <phoneticPr fontId="3"/>
  </si>
  <si>
    <t>Ⅲ型</t>
    <rPh sb="0" eb="2">
      <t>サンガタ</t>
    </rPh>
    <phoneticPr fontId="3"/>
  </si>
  <si>
    <t>Ⅳ型</t>
    <rPh sb="0" eb="2">
      <t>ヨンガタ</t>
    </rPh>
    <phoneticPr fontId="3"/>
  </si>
  <si>
    <t>H11道仮p87</t>
    <phoneticPr fontId="3"/>
  </si>
  <si>
    <t>u</t>
    <phoneticPr fontId="3"/>
  </si>
  <si>
    <t>・</t>
    <phoneticPr fontId="3"/>
  </si>
  <si>
    <t>よって、</t>
    <phoneticPr fontId="3"/>
  </si>
  <si>
    <t>+</t>
    <phoneticPr fontId="3"/>
  </si>
  <si>
    <t>(</t>
    <phoneticPr fontId="3"/>
  </si>
  <si>
    <t>/</t>
    <phoneticPr fontId="3"/>
  </si>
  <si>
    <t>L</t>
    <phoneticPr fontId="3"/>
  </si>
  <si>
    <t>最小根入れ長</t>
    <rPh sb="0" eb="2">
      <t>サイショウ</t>
    </rPh>
    <rPh sb="2" eb="4">
      <t>ネイ</t>
    </rPh>
    <rPh sb="5" eb="6">
      <t>チョウ</t>
    </rPh>
    <phoneticPr fontId="3"/>
  </si>
  <si>
    <t>根入れ長</t>
    <rPh sb="0" eb="2">
      <t>ネイ</t>
    </rPh>
    <rPh sb="3" eb="4">
      <t>チョウ</t>
    </rPh>
    <phoneticPr fontId="3"/>
  </si>
  <si>
    <t>D</t>
    <phoneticPr fontId="3"/>
  </si>
  <si>
    <r>
      <rPr>
        <sz val="11"/>
        <color theme="1"/>
        <rFont val="游ゴシック"/>
        <family val="3"/>
        <charset val="128"/>
        <scheme val="minor"/>
      </rPr>
      <t>Σγ</t>
    </r>
    <r>
      <rPr>
        <i/>
        <sz val="11"/>
        <color theme="1"/>
        <rFont val="Times New Roman"/>
        <family val="1"/>
      </rPr>
      <t>h+q</t>
    </r>
    <phoneticPr fontId="3"/>
  </si>
  <si>
    <r>
      <t>K</t>
    </r>
    <r>
      <rPr>
        <i/>
        <vertAlign val="subscript"/>
        <sz val="11"/>
        <color theme="1"/>
        <rFont val="Times New Roman"/>
        <family val="1"/>
      </rPr>
      <t>a</t>
    </r>
    <r>
      <rPr>
        <sz val="11"/>
        <color theme="1"/>
        <rFont val="游ゴシック"/>
        <family val="3"/>
        <charset val="128"/>
        <scheme val="minor"/>
      </rPr>
      <t>(γ</t>
    </r>
    <r>
      <rPr>
        <i/>
        <sz val="11"/>
        <color theme="1"/>
        <rFont val="Times New Roman"/>
        <family val="1"/>
      </rPr>
      <t>h+q</t>
    </r>
    <r>
      <rPr>
        <sz val="11"/>
        <color theme="1"/>
        <rFont val="游ゴシック"/>
        <family val="3"/>
        <charset val="128"/>
        <scheme val="minor"/>
      </rPr>
      <t>)</t>
    </r>
    <phoneticPr fontId="3"/>
  </si>
  <si>
    <r>
      <t>0.3</t>
    </r>
    <r>
      <rPr>
        <sz val="11"/>
        <color theme="1"/>
        <rFont val="游ゴシック"/>
        <family val="3"/>
        <charset val="128"/>
        <scheme val="minor"/>
      </rPr>
      <t>γ</t>
    </r>
    <r>
      <rPr>
        <i/>
        <sz val="11"/>
        <color theme="1"/>
        <rFont val="Times New Roman"/>
        <family val="1"/>
      </rPr>
      <t>h</t>
    </r>
    <phoneticPr fontId="3"/>
  </si>
  <si>
    <r>
      <t>ℓ</t>
    </r>
    <r>
      <rPr>
        <i/>
        <vertAlign val="subscript"/>
        <sz val="11"/>
        <color theme="1"/>
        <rFont val="Times New Roman"/>
        <family val="1"/>
      </rPr>
      <t>min</t>
    </r>
    <phoneticPr fontId="3"/>
  </si>
  <si>
    <t>σ</t>
    <phoneticPr fontId="3"/>
  </si>
  <si>
    <r>
      <t>Z</t>
    </r>
    <r>
      <rPr>
        <i/>
        <sz val="11"/>
        <color theme="1"/>
        <rFont val="游ゴシック"/>
        <family val="2"/>
      </rPr>
      <t>・</t>
    </r>
    <r>
      <rPr>
        <i/>
        <sz val="11"/>
        <color theme="1"/>
        <rFont val="Times New Roman"/>
        <family val="1"/>
      </rPr>
      <t>e</t>
    </r>
    <phoneticPr fontId="3"/>
  </si>
  <si>
    <r>
      <t>m</t>
    </r>
    <r>
      <rPr>
        <vertAlign val="superscript"/>
        <sz val="11"/>
        <color theme="1"/>
        <rFont val="游ゴシック"/>
        <family val="3"/>
        <charset val="128"/>
        <scheme val="minor"/>
      </rPr>
      <t>3</t>
    </r>
    <r>
      <rPr>
        <sz val="11"/>
        <color theme="1"/>
        <rFont val="游ゴシック"/>
        <family val="2"/>
        <scheme val="minor"/>
      </rPr>
      <t>/m</t>
    </r>
    <phoneticPr fontId="3"/>
  </si>
  <si>
    <t>e</t>
    <phoneticPr fontId="3"/>
  </si>
  <si>
    <t>)</t>
    <phoneticPr fontId="3"/>
  </si>
  <si>
    <r>
      <t>σ</t>
    </r>
    <r>
      <rPr>
        <vertAlign val="subscript"/>
        <sz val="11"/>
        <color theme="1"/>
        <rFont val="Times New Roman"/>
        <family val="1"/>
      </rPr>
      <t>s</t>
    </r>
    <r>
      <rPr>
        <vertAlign val="subscript"/>
        <sz val="11"/>
        <color theme="1"/>
        <rFont val="游ゴシック"/>
        <family val="1"/>
        <charset val="128"/>
      </rPr>
      <t>a</t>
    </r>
    <phoneticPr fontId="3"/>
  </si>
  <si>
    <t>型式</t>
    <rPh sb="0" eb="2">
      <t>カタシキ</t>
    </rPh>
    <phoneticPr fontId="3"/>
  </si>
  <si>
    <t>掘削寸法・荷重・地下水位</t>
    <rPh sb="0" eb="2">
      <t>クッサク</t>
    </rPh>
    <rPh sb="2" eb="4">
      <t>スンポウ</t>
    </rPh>
    <rPh sb="5" eb="7">
      <t>カジュウ</t>
    </rPh>
    <phoneticPr fontId="3"/>
  </si>
  <si>
    <r>
      <t>σ</t>
    </r>
    <r>
      <rPr>
        <vertAlign val="subscript"/>
        <sz val="11"/>
        <color theme="1"/>
        <rFont val="Times New Roman"/>
        <family val="1"/>
      </rPr>
      <t>s</t>
    </r>
    <r>
      <rPr>
        <vertAlign val="subscript"/>
        <sz val="11"/>
        <color theme="1"/>
        <rFont val="Yu Gothic"/>
        <family val="1"/>
        <charset val="128"/>
      </rPr>
      <t>a</t>
    </r>
    <phoneticPr fontId="3"/>
  </si>
  <si>
    <r>
      <t>B</t>
    </r>
    <r>
      <rPr>
        <i/>
        <vertAlign val="subscript"/>
        <sz val="11"/>
        <color theme="1"/>
        <rFont val="Times New Roman"/>
        <family val="1"/>
      </rPr>
      <t>e</t>
    </r>
    <phoneticPr fontId="3"/>
  </si>
  <si>
    <t>変形すると、</t>
    <rPh sb="0" eb="2">
      <t>ヘンケイ</t>
    </rPh>
    <phoneticPr fontId="3"/>
  </si>
  <si>
    <t>≒</t>
    <phoneticPr fontId="3"/>
  </si>
  <si>
    <r>
      <rPr>
        <i/>
        <sz val="11"/>
        <color theme="1"/>
        <rFont val="Times New Roman"/>
        <family val="1"/>
      </rPr>
      <t>e</t>
    </r>
    <r>
      <rPr>
        <sz val="11"/>
        <color theme="1"/>
        <rFont val="游ゴシック"/>
        <family val="2"/>
        <scheme val="minor"/>
      </rPr>
      <t>：断面係数の有効率（応力度の計算）</t>
    </r>
    <phoneticPr fontId="3"/>
  </si>
  <si>
    <t>H11道仮p321</t>
    <phoneticPr fontId="3"/>
  </si>
  <si>
    <t>ただし、リース材の標準保有長さの範囲外、最小長さ未満の場合は、</t>
    <rPh sb="7" eb="8">
      <t>ザイ</t>
    </rPh>
    <rPh sb="9" eb="11">
      <t>ヒョウジュン</t>
    </rPh>
    <rPh sb="11" eb="13">
      <t>ホユウ</t>
    </rPh>
    <rPh sb="13" eb="14">
      <t>ナガ</t>
    </rPh>
    <rPh sb="16" eb="19">
      <t>ハンイガイ</t>
    </rPh>
    <rPh sb="20" eb="22">
      <t>サイショウ</t>
    </rPh>
    <rPh sb="22" eb="23">
      <t>ナガ</t>
    </rPh>
    <rPh sb="24" eb="26">
      <t>ミマン</t>
    </rPh>
    <rPh sb="27" eb="29">
      <t>バアイ</t>
    </rPh>
    <phoneticPr fontId="3"/>
  </si>
  <si>
    <t>3層</t>
    <rPh sb="1" eb="2">
      <t>ソウ</t>
    </rPh>
    <phoneticPr fontId="3"/>
  </si>
  <si>
    <t>掘削Σ</t>
    <rPh sb="0" eb="2">
      <t>クッサク</t>
    </rPh>
    <phoneticPr fontId="3"/>
  </si>
  <si>
    <t>砂質</t>
    <phoneticPr fontId="3"/>
  </si>
  <si>
    <t>掘削幅（短辺）</t>
    <rPh sb="0" eb="2">
      <t>クッサク</t>
    </rPh>
    <rPh sb="2" eb="3">
      <t>ハバ</t>
    </rPh>
    <rPh sb="4" eb="6">
      <t>タンペン</t>
    </rPh>
    <phoneticPr fontId="3"/>
  </si>
  <si>
    <t>1-1. 設計条件</t>
    <rPh sb="5" eb="7">
      <t>セッケイ</t>
    </rPh>
    <rPh sb="7" eb="9">
      <t>ジョウケン</t>
    </rPh>
    <phoneticPr fontId="3"/>
  </si>
  <si>
    <t>リース材の標準保有長さ</t>
    <rPh sb="3" eb="4">
      <t>ザイ</t>
    </rPh>
    <rPh sb="5" eb="7">
      <t>ヒョウジュン</t>
    </rPh>
    <rPh sb="7" eb="9">
      <t>ホユウ</t>
    </rPh>
    <rPh sb="9" eb="10">
      <t>ナガ</t>
    </rPh>
    <phoneticPr fontId="3"/>
  </si>
  <si>
    <t>サイズ</t>
    <phoneticPr fontId="3"/>
  </si>
  <si>
    <t>Ⅳ型</t>
    <rPh sb="1" eb="2">
      <t>ガタ</t>
    </rPh>
    <phoneticPr fontId="3"/>
  </si>
  <si>
    <t>標準保有長さ</t>
  </si>
  <si>
    <t>標準保有長さ</t>
    <rPh sb="0" eb="2">
      <t>ヒョウジュン</t>
    </rPh>
    <rPh sb="2" eb="4">
      <t>ホユウ</t>
    </rPh>
    <rPh sb="4" eb="5">
      <t>ナガ</t>
    </rPh>
    <phoneticPr fontId="3"/>
  </si>
  <si>
    <t>最小長さ</t>
    <rPh sb="0" eb="2">
      <t>サイショウ</t>
    </rPh>
    <rPh sb="2" eb="3">
      <t>ナガ</t>
    </rPh>
    <phoneticPr fontId="3"/>
  </si>
  <si>
    <t>(単位：m)</t>
    <rPh sb="1" eb="3">
      <t>タンイ</t>
    </rPh>
    <phoneticPr fontId="3"/>
  </si>
  <si>
    <t>Ⅲ型</t>
    <phoneticPr fontId="3"/>
  </si>
  <si>
    <t>～</t>
    <phoneticPr fontId="3"/>
  </si>
  <si>
    <t>Ⅱ型</t>
    <phoneticPr fontId="3"/>
  </si>
  <si>
    <t>VL型</t>
    <phoneticPr fontId="3"/>
  </si>
  <si>
    <t>根入れ長さ</t>
    <rPh sb="0" eb="2">
      <t>ネイ</t>
    </rPh>
    <rPh sb="3" eb="4">
      <t>ナガ</t>
    </rPh>
    <phoneticPr fontId="3"/>
  </si>
  <si>
    <t>鋼矢板の長さ</t>
    <rPh sb="0" eb="1">
      <t>コウ</t>
    </rPh>
    <rPh sb="1" eb="3">
      <t>ヤイタ</t>
    </rPh>
    <rPh sb="4" eb="5">
      <t>ナガ</t>
    </rPh>
    <phoneticPr fontId="3"/>
  </si>
  <si>
    <t>標準保有長さ</t>
    <rPh sb="0" eb="2">
      <t>ヒョウジュン</t>
    </rPh>
    <rPh sb="2" eb="5">
      <t>ホユウナガ</t>
    </rPh>
    <phoneticPr fontId="3"/>
  </si>
  <si>
    <t>最小長さ</t>
    <rPh sb="0" eb="3">
      <t>サイショウナガ</t>
    </rPh>
    <phoneticPr fontId="3"/>
  </si>
  <si>
    <t>曲げ応力度</t>
    <rPh sb="0" eb="1">
      <t>マ</t>
    </rPh>
    <rPh sb="2" eb="5">
      <t>オウリョクド</t>
    </rPh>
    <phoneticPr fontId="3"/>
  </si>
  <si>
    <t>5. まとめ</t>
    <phoneticPr fontId="3"/>
  </si>
  <si>
    <t>4層</t>
    <rPh sb="1" eb="2">
      <t>ソウ</t>
    </rPh>
    <phoneticPr fontId="3"/>
  </si>
  <si>
    <t>GL</t>
    <phoneticPr fontId="3"/>
  </si>
  <si>
    <r>
      <t>p</t>
    </r>
    <r>
      <rPr>
        <i/>
        <vertAlign val="subscript"/>
        <sz val="11"/>
        <color theme="1"/>
        <rFont val="Times New Roman"/>
        <family val="1"/>
      </rPr>
      <t>a</t>
    </r>
    <phoneticPr fontId="3"/>
  </si>
  <si>
    <t>鋼矢板の長さは、「掘削深さ」に「根入れ長」を加え、0.5m単位で切り上げる。</t>
    <rPh sb="0" eb="1">
      <t>ハガネ</t>
    </rPh>
    <rPh sb="1" eb="3">
      <t>ヤイタ</t>
    </rPh>
    <rPh sb="4" eb="5">
      <t>チョウ</t>
    </rPh>
    <rPh sb="9" eb="11">
      <t>クッサク</t>
    </rPh>
    <rPh sb="11" eb="12">
      <t>フカ</t>
    </rPh>
    <rPh sb="16" eb="18">
      <t>ネイ</t>
    </rPh>
    <rPh sb="19" eb="20">
      <t>ナガ</t>
    </rPh>
    <rPh sb="22" eb="23">
      <t>クワ</t>
    </rPh>
    <rPh sb="29" eb="31">
      <t>タンイ</t>
    </rPh>
    <rPh sb="32" eb="33">
      <t>キ</t>
    </rPh>
    <rPh sb="34" eb="35">
      <t>ア</t>
    </rPh>
    <phoneticPr fontId="3"/>
  </si>
  <si>
    <t>鋼矢板の型式を見直すこと。（保有長さは地域により異なる。）</t>
    <rPh sb="4" eb="5">
      <t>カタ</t>
    </rPh>
    <rPh sb="14" eb="16">
      <t>ホユウ</t>
    </rPh>
    <rPh sb="16" eb="17">
      <t>ナガ</t>
    </rPh>
    <rPh sb="19" eb="21">
      <t>チイキ</t>
    </rPh>
    <rPh sb="24" eb="25">
      <t>コト</t>
    </rPh>
    <phoneticPr fontId="3"/>
  </si>
  <si>
    <t>単位体積重量算出</t>
    <rPh sb="2" eb="4">
      <t>タイセキ</t>
    </rPh>
    <phoneticPr fontId="3"/>
  </si>
  <si>
    <t>のため差し引く値</t>
    <rPh sb="3" eb="4">
      <t>サ</t>
    </rPh>
    <rPh sb="5" eb="6">
      <t>ヒ</t>
    </rPh>
    <rPh sb="7" eb="8">
      <t>アタイ</t>
    </rPh>
    <phoneticPr fontId="3"/>
  </si>
  <si>
    <t>土圧計算用の水中</t>
    <rPh sb="0" eb="2">
      <t>ドアツ</t>
    </rPh>
    <rPh sb="2" eb="4">
      <t>ケイサン</t>
    </rPh>
    <rPh sb="4" eb="5">
      <t>ヨウ</t>
    </rPh>
    <phoneticPr fontId="3"/>
  </si>
  <si>
    <t>-</t>
    <phoneticPr fontId="3"/>
  </si>
  <si>
    <r>
      <t>M</t>
    </r>
    <r>
      <rPr>
        <vertAlign val="subscript"/>
        <sz val="11"/>
        <color theme="1"/>
        <rFont val="Times New Roman"/>
        <family val="1"/>
      </rPr>
      <t>max</t>
    </r>
    <phoneticPr fontId="3"/>
  </si>
  <si>
    <t>2.根入れ長の計算（鋼矢板の長さの決定）</t>
    <rPh sb="2" eb="4">
      <t>ネイ</t>
    </rPh>
    <rPh sb="5" eb="6">
      <t>チョウ</t>
    </rPh>
    <rPh sb="7" eb="9">
      <t>ケイサン</t>
    </rPh>
    <rPh sb="10" eb="11">
      <t>ハガネ</t>
    </rPh>
    <rPh sb="11" eb="13">
      <t>ヤイタ</t>
    </rPh>
    <rPh sb="14" eb="15">
      <t>チョウ</t>
    </rPh>
    <rPh sb="17" eb="19">
      <t>ケッテイ</t>
    </rPh>
    <phoneticPr fontId="3"/>
  </si>
  <si>
    <r>
      <t>σ</t>
    </r>
    <r>
      <rPr>
        <vertAlign val="subscript"/>
        <sz val="11"/>
        <color theme="1"/>
        <rFont val="Times New Roman"/>
        <family val="1"/>
      </rPr>
      <t>max</t>
    </r>
    <phoneticPr fontId="3"/>
  </si>
  <si>
    <t>鋼矢板に発生する最大曲げ応力度が、許容応力度以下であれば「OK」と判定し、「4. 変位の計算」に進む。</t>
    <rPh sb="0" eb="3">
      <t>コウヤイタ</t>
    </rPh>
    <rPh sb="4" eb="6">
      <t>ハッセイ</t>
    </rPh>
    <rPh sb="8" eb="10">
      <t>サイダイ</t>
    </rPh>
    <rPh sb="10" eb="11">
      <t>マ</t>
    </rPh>
    <rPh sb="12" eb="14">
      <t>オウリョク</t>
    </rPh>
    <rPh sb="14" eb="15">
      <t>ド</t>
    </rPh>
    <rPh sb="17" eb="19">
      <t>キョヨウ</t>
    </rPh>
    <rPh sb="19" eb="21">
      <t>オウリョク</t>
    </rPh>
    <rPh sb="21" eb="22">
      <t>ド</t>
    </rPh>
    <rPh sb="22" eb="24">
      <t>イカ</t>
    </rPh>
    <rPh sb="33" eb="35">
      <t>ハンテイ</t>
    </rPh>
    <rPh sb="41" eb="43">
      <t>ヘンイ</t>
    </rPh>
    <rPh sb="44" eb="46">
      <t>ケイサン</t>
    </rPh>
    <rPh sb="48" eb="49">
      <t>スス</t>
    </rPh>
    <phoneticPr fontId="3"/>
  </si>
  <si>
    <t>許容応力度をを超えた場合は「NG」と判定し、「1-3. 鋼矢板の設定」に戻り、鋼矢板の型式を上げる。</t>
    <phoneticPr fontId="3"/>
  </si>
  <si>
    <r>
      <rPr>
        <i/>
        <sz val="11"/>
        <color theme="1"/>
        <rFont val="Times New Roman"/>
        <family val="1"/>
      </rPr>
      <t>Z</t>
    </r>
    <r>
      <rPr>
        <sz val="11"/>
        <color theme="1"/>
        <rFont val="游ゴシック"/>
        <family val="2"/>
        <scheme val="minor"/>
      </rPr>
      <t>：断面係数（m</t>
    </r>
    <r>
      <rPr>
        <vertAlign val="superscript"/>
        <sz val="11"/>
        <color theme="1"/>
        <rFont val="游ゴシック"/>
        <family val="3"/>
        <charset val="128"/>
        <scheme val="minor"/>
      </rPr>
      <t>3</t>
    </r>
    <r>
      <rPr>
        <sz val="11"/>
        <color theme="1"/>
        <rFont val="游ゴシック"/>
        <family val="2"/>
        <scheme val="minor"/>
      </rPr>
      <t>/m）</t>
    </r>
    <phoneticPr fontId="3"/>
  </si>
  <si>
    <r>
      <t>σ</t>
    </r>
    <r>
      <rPr>
        <vertAlign val="subscript"/>
        <sz val="11"/>
        <color theme="1"/>
        <rFont val="Times New Roman"/>
        <family val="1"/>
      </rPr>
      <t>max</t>
    </r>
    <r>
      <rPr>
        <sz val="11"/>
        <color theme="1"/>
        <rFont val="Yu Gothic"/>
        <family val="1"/>
        <charset val="128"/>
      </rPr>
      <t>：鋼矢板に発生する最大曲げ応力度</t>
    </r>
    <r>
      <rPr>
        <sz val="11"/>
        <color theme="1"/>
        <rFont val="游ゴシック"/>
        <family val="3"/>
        <charset val="128"/>
        <scheme val="minor"/>
      </rPr>
      <t>（N/mm</t>
    </r>
    <r>
      <rPr>
        <vertAlign val="superscript"/>
        <sz val="11"/>
        <color theme="1"/>
        <rFont val="游ゴシック"/>
        <family val="3"/>
        <charset val="128"/>
        <scheme val="minor"/>
      </rPr>
      <t>2</t>
    </r>
    <r>
      <rPr>
        <sz val="11"/>
        <color theme="1"/>
        <rFont val="游ゴシック"/>
        <family val="3"/>
        <charset val="128"/>
        <scheme val="minor"/>
      </rPr>
      <t>）</t>
    </r>
    <rPh sb="5" eb="6">
      <t>ハガネ</t>
    </rPh>
    <rPh sb="6" eb="8">
      <t>ヤイタ</t>
    </rPh>
    <rPh sb="9" eb="11">
      <t>ハッセイ</t>
    </rPh>
    <rPh sb="13" eb="15">
      <t>サイダイ</t>
    </rPh>
    <rPh sb="15" eb="16">
      <t>マ</t>
    </rPh>
    <rPh sb="17" eb="20">
      <t>オウリョクド</t>
    </rPh>
    <phoneticPr fontId="3"/>
  </si>
  <si>
    <t>せん断抵抗角</t>
    <rPh sb="2" eb="3">
      <t>ダン</t>
    </rPh>
    <rPh sb="3" eb="5">
      <t>テイコウ</t>
    </rPh>
    <rPh sb="5" eb="6">
      <t>カク</t>
    </rPh>
    <phoneticPr fontId="3"/>
  </si>
  <si>
    <t>(度)</t>
    <rPh sb="1" eb="2">
      <t>ド</t>
    </rPh>
    <phoneticPr fontId="3"/>
  </si>
  <si>
    <t>上面</t>
    <rPh sb="0" eb="2">
      <t>ウエメン</t>
    </rPh>
    <phoneticPr fontId="3"/>
  </si>
  <si>
    <t>下面</t>
    <rPh sb="0" eb="2">
      <t>シタメン</t>
    </rPh>
    <phoneticPr fontId="3"/>
  </si>
  <si>
    <r>
      <rPr>
        <i/>
        <sz val="11"/>
        <color theme="1"/>
        <rFont val="Times New Roman"/>
        <family val="1"/>
      </rPr>
      <t>p</t>
    </r>
    <r>
      <rPr>
        <i/>
        <vertAlign val="subscript"/>
        <sz val="11"/>
        <color theme="1"/>
        <rFont val="Times New Roman"/>
        <family val="1"/>
      </rPr>
      <t>a1</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</si>
  <si>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a2</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</si>
  <si>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a2</t>
    </r>
    <r>
      <rPr>
        <i/>
        <vertAlign val="subscript"/>
        <sz val="11"/>
        <color theme="1"/>
        <rFont val="ＭＳ Ｐ明朝"/>
        <family val="1"/>
        <charset val="128"/>
      </rPr>
      <t>下</t>
    </r>
    <r>
      <rPr>
        <sz val="11"/>
        <color theme="1"/>
        <rFont val="Times New Roman"/>
        <family val="1"/>
      </rPr>
      <t>=</t>
    </r>
    <rPh sb="3" eb="4">
      <t>シタ</t>
    </rPh>
    <phoneticPr fontId="3"/>
  </si>
  <si>
    <r>
      <rPr>
        <i/>
        <sz val="11"/>
        <color theme="1"/>
        <rFont val="Times New Roman"/>
        <family val="1"/>
      </rPr>
      <t>p</t>
    </r>
    <r>
      <rPr>
        <i/>
        <vertAlign val="subscript"/>
        <sz val="11"/>
        <color theme="1"/>
        <rFont val="Times New Roman"/>
        <family val="1"/>
      </rPr>
      <t>a3</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</si>
  <si>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a3</t>
    </r>
    <r>
      <rPr>
        <i/>
        <vertAlign val="subscript"/>
        <sz val="11"/>
        <color theme="1"/>
        <rFont val="ＭＳ Ｐ明朝"/>
        <family val="1"/>
        <charset val="128"/>
      </rPr>
      <t>下</t>
    </r>
    <r>
      <rPr>
        <sz val="11"/>
        <color theme="1"/>
        <rFont val="Times New Roman"/>
        <family val="1"/>
      </rPr>
      <t>=</t>
    </r>
    <rPh sb="3" eb="4">
      <t>シタ</t>
    </rPh>
    <phoneticPr fontId="3"/>
  </si>
  <si>
    <r>
      <rPr>
        <i/>
        <sz val="11"/>
        <color theme="1"/>
        <rFont val="Times New Roman"/>
        <family val="1"/>
      </rPr>
      <t>p</t>
    </r>
    <r>
      <rPr>
        <i/>
        <vertAlign val="subscript"/>
        <sz val="11"/>
        <color theme="1"/>
        <rFont val="Times New Roman"/>
        <family val="1"/>
      </rPr>
      <t>a4</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</si>
  <si>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a4</t>
    </r>
    <r>
      <rPr>
        <i/>
        <vertAlign val="subscript"/>
        <sz val="11"/>
        <color theme="1"/>
        <rFont val="ＭＳ Ｐ明朝"/>
        <family val="1"/>
        <charset val="128"/>
      </rPr>
      <t>下</t>
    </r>
    <r>
      <rPr>
        <sz val="11"/>
        <color theme="1"/>
        <rFont val="Times New Roman"/>
        <family val="1"/>
      </rPr>
      <t>=</t>
    </r>
    <rPh sb="3" eb="4">
      <t>シタ</t>
    </rPh>
    <phoneticPr fontId="3"/>
  </si>
  <si>
    <r>
      <rPr>
        <i/>
        <sz val="11"/>
        <color theme="1"/>
        <rFont val="Times New Roman"/>
        <family val="1"/>
      </rPr>
      <t>p</t>
    </r>
    <r>
      <rPr>
        <i/>
        <vertAlign val="subscript"/>
        <sz val="11"/>
        <color theme="1"/>
        <rFont val="Times New Roman"/>
        <family val="1"/>
      </rPr>
      <t>w1</t>
    </r>
    <r>
      <rPr>
        <i/>
        <vertAlign val="subscript"/>
        <sz val="11"/>
        <color theme="1"/>
        <rFont val="ＭＳ Ｐ明朝"/>
        <family val="1"/>
        <charset val="128"/>
      </rPr>
      <t>下</t>
    </r>
    <r>
      <rPr>
        <sz val="11"/>
        <color theme="1"/>
        <rFont val="Times New Roman"/>
        <family val="1"/>
      </rPr>
      <t>=</t>
    </r>
    <rPh sb="3" eb="4">
      <t>シタ</t>
    </rPh>
    <phoneticPr fontId="3"/>
  </si>
  <si>
    <r>
      <rPr>
        <i/>
        <sz val="11"/>
        <color theme="1"/>
        <rFont val="Times New Roman"/>
        <family val="1"/>
      </rPr>
      <t>p</t>
    </r>
    <r>
      <rPr>
        <i/>
        <vertAlign val="subscript"/>
        <sz val="11"/>
        <color theme="1"/>
        <rFont val="Times New Roman"/>
        <family val="1"/>
      </rPr>
      <t>w2</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</si>
  <si>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a1</t>
    </r>
    <r>
      <rPr>
        <i/>
        <vertAlign val="subscript"/>
        <sz val="11"/>
        <color theme="1"/>
        <rFont val="ＭＳ Ｐ明朝"/>
        <family val="1"/>
        <charset val="128"/>
      </rPr>
      <t>下</t>
    </r>
    <r>
      <rPr>
        <sz val="11"/>
        <color theme="1"/>
        <rFont val="Times New Roman"/>
        <family val="1"/>
      </rPr>
      <t>=</t>
    </r>
    <rPh sb="3" eb="4">
      <t>シタ</t>
    </rPh>
    <phoneticPr fontId="3"/>
  </si>
  <si>
    <r>
      <rPr>
        <i/>
        <sz val="11"/>
        <color theme="1"/>
        <rFont val="Times New Roman"/>
        <family val="1"/>
      </rPr>
      <t>p</t>
    </r>
    <r>
      <rPr>
        <i/>
        <vertAlign val="subscript"/>
        <sz val="11"/>
        <color theme="1"/>
        <rFont val="Times New Roman"/>
        <family val="1"/>
      </rPr>
      <t>w3</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</si>
  <si>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w3</t>
    </r>
    <r>
      <rPr>
        <i/>
        <vertAlign val="subscript"/>
        <sz val="11"/>
        <color theme="1"/>
        <rFont val="ＭＳ Ｐ明朝"/>
        <family val="1"/>
        <charset val="128"/>
      </rPr>
      <t>下</t>
    </r>
    <r>
      <rPr>
        <sz val="11"/>
        <color theme="1"/>
        <rFont val="Times New Roman"/>
        <family val="1"/>
      </rPr>
      <t>=</t>
    </r>
    <rPh sb="3" eb="4">
      <t>シタ</t>
    </rPh>
    <phoneticPr fontId="3"/>
  </si>
  <si>
    <r>
      <rPr>
        <i/>
        <sz val="11"/>
        <color theme="1"/>
        <rFont val="Times New Roman"/>
        <family val="1"/>
      </rPr>
      <t>p</t>
    </r>
    <r>
      <rPr>
        <i/>
        <vertAlign val="subscript"/>
        <sz val="11"/>
        <color theme="1"/>
        <rFont val="Times New Roman"/>
        <family val="1"/>
      </rPr>
      <t>w4</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</si>
  <si>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w4</t>
    </r>
    <r>
      <rPr>
        <i/>
        <vertAlign val="subscript"/>
        <sz val="11"/>
        <color theme="1"/>
        <rFont val="ＭＳ Ｐ明朝"/>
        <family val="1"/>
        <charset val="128"/>
      </rPr>
      <t>下</t>
    </r>
    <r>
      <rPr>
        <sz val="11"/>
        <color theme="1"/>
        <rFont val="Times New Roman"/>
        <family val="1"/>
      </rPr>
      <t>=</t>
    </r>
    <rPh sb="3" eb="4">
      <t>シタ</t>
    </rPh>
    <phoneticPr fontId="3"/>
  </si>
  <si>
    <r>
      <rPr>
        <i/>
        <sz val="11"/>
        <color theme="1"/>
        <rFont val="Times New Roman"/>
        <family val="1"/>
      </rPr>
      <t>p</t>
    </r>
    <r>
      <rPr>
        <i/>
        <vertAlign val="subscript"/>
        <sz val="11"/>
        <color theme="1"/>
        <rFont val="Times New Roman"/>
        <family val="1"/>
      </rPr>
      <t>w1</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</si>
  <si>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w2</t>
    </r>
    <r>
      <rPr>
        <i/>
        <vertAlign val="subscript"/>
        <sz val="11"/>
        <color theme="1"/>
        <rFont val="ＭＳ Ｐ明朝"/>
        <family val="1"/>
        <charset val="128"/>
      </rPr>
      <t>下</t>
    </r>
    <r>
      <rPr>
        <sz val="11"/>
        <color theme="1"/>
        <rFont val="Times New Roman"/>
        <family val="1"/>
      </rPr>
      <t>=</t>
    </r>
    <rPh sb="3" eb="4">
      <t>シタ</t>
    </rPh>
    <phoneticPr fontId="3"/>
  </si>
  <si>
    <r>
      <t>p</t>
    </r>
    <r>
      <rPr>
        <i/>
        <vertAlign val="subscript"/>
        <sz val="11"/>
        <color theme="1"/>
        <rFont val="Times New Roman"/>
        <family val="1"/>
      </rPr>
      <t>w</t>
    </r>
    <phoneticPr fontId="3"/>
  </si>
  <si>
    <t>p</t>
    <phoneticPr fontId="3"/>
  </si>
  <si>
    <t>y</t>
    <phoneticPr fontId="3"/>
  </si>
  <si>
    <t>①</t>
    <phoneticPr fontId="3"/>
  </si>
  <si>
    <t>②</t>
    <phoneticPr fontId="3"/>
  </si>
  <si>
    <t>③</t>
    <phoneticPr fontId="3"/>
  </si>
  <si>
    <t>④</t>
    <phoneticPr fontId="3"/>
  </si>
  <si>
    <t>⑤</t>
    <phoneticPr fontId="3"/>
  </si>
  <si>
    <t>⑥</t>
    <phoneticPr fontId="3"/>
  </si>
  <si>
    <t>⑦</t>
    <phoneticPr fontId="3"/>
  </si>
  <si>
    <t>⑧</t>
    <phoneticPr fontId="3"/>
  </si>
  <si>
    <t>仮設土留め壁の設計計算例　ー小規模の切梁式鋼矢板、砂質地盤の場合ー</t>
    <rPh sb="0" eb="2">
      <t>カセツ</t>
    </rPh>
    <rPh sb="2" eb="4">
      <t>ドド</t>
    </rPh>
    <rPh sb="5" eb="6">
      <t>ヘキ</t>
    </rPh>
    <rPh sb="7" eb="9">
      <t>セッケイ</t>
    </rPh>
    <rPh sb="9" eb="11">
      <t>ケイサン</t>
    </rPh>
    <rPh sb="11" eb="12">
      <t>レイ</t>
    </rPh>
    <rPh sb="14" eb="17">
      <t>ショウキボ</t>
    </rPh>
    <rPh sb="18" eb="20">
      <t>キリバリ</t>
    </rPh>
    <rPh sb="20" eb="21">
      <t>シキ</t>
    </rPh>
    <rPh sb="21" eb="22">
      <t>ハガネ</t>
    </rPh>
    <rPh sb="22" eb="24">
      <t>ヤイタ</t>
    </rPh>
    <rPh sb="25" eb="27">
      <t>サシツ</t>
    </rPh>
    <rPh sb="27" eb="29">
      <t>ジバン</t>
    </rPh>
    <rPh sb="30" eb="32">
      <t>バアイ</t>
    </rPh>
    <phoneticPr fontId="3"/>
  </si>
  <si>
    <t>下記に示す設計プロセスは「掘削深さH=3.0m以下、砂質地盤の陸上施工」が適用範囲です。（H11道仮p28,156）</t>
    <rPh sb="0" eb="2">
      <t>カキ</t>
    </rPh>
    <rPh sb="3" eb="4">
      <t>シメ</t>
    </rPh>
    <rPh sb="5" eb="7">
      <t>セッケイ</t>
    </rPh>
    <rPh sb="13" eb="15">
      <t>クッサク</t>
    </rPh>
    <rPh sb="15" eb="16">
      <t>フカ</t>
    </rPh>
    <rPh sb="23" eb="25">
      <t>イカ</t>
    </rPh>
    <rPh sb="26" eb="28">
      <t>サシツ</t>
    </rPh>
    <rPh sb="28" eb="30">
      <t>ジバン</t>
    </rPh>
    <rPh sb="31" eb="33">
      <t>リクジョウ</t>
    </rPh>
    <rPh sb="33" eb="35">
      <t>セコウ</t>
    </rPh>
    <rPh sb="37" eb="41">
      <t>テキヨウハンイ</t>
    </rPh>
    <rPh sb="48" eb="49">
      <t>ミチ</t>
    </rPh>
    <rPh sb="49" eb="50">
      <t>カリ</t>
    </rPh>
    <phoneticPr fontId="3"/>
  </si>
  <si>
    <t>H11道仮p157</t>
    <phoneticPr fontId="3"/>
  </si>
  <si>
    <t>2-4. 最小根入れ長</t>
    <rPh sb="5" eb="7">
      <t>サイショウ</t>
    </rPh>
    <rPh sb="7" eb="9">
      <t>ネイ</t>
    </rPh>
    <rPh sb="10" eb="11">
      <t>チョウ</t>
    </rPh>
    <phoneticPr fontId="3"/>
  </si>
  <si>
    <t>2-2. 土留め壁の許容鉛直支持力から定まる根入れ長</t>
    <rPh sb="5" eb="7">
      <t>ドド</t>
    </rPh>
    <rPh sb="8" eb="9">
      <t>ヘキ</t>
    </rPh>
    <rPh sb="10" eb="12">
      <t>キョヨウ</t>
    </rPh>
    <rPh sb="12" eb="14">
      <t>エンチョク</t>
    </rPh>
    <rPh sb="14" eb="17">
      <t>シジリョク</t>
    </rPh>
    <rPh sb="19" eb="20">
      <t>サダ</t>
    </rPh>
    <rPh sb="22" eb="24">
      <t>ネイ</t>
    </rPh>
    <rPh sb="25" eb="26">
      <t>チョウ</t>
    </rPh>
    <phoneticPr fontId="3"/>
  </si>
  <si>
    <t>路面覆工などからの鉛直荷重が作用しないので、検討を省略する。</t>
    <rPh sb="0" eb="2">
      <t>ロメン</t>
    </rPh>
    <rPh sb="2" eb="3">
      <t>オオ</t>
    </rPh>
    <rPh sb="3" eb="4">
      <t>コウ</t>
    </rPh>
    <rPh sb="9" eb="11">
      <t>エンチョク</t>
    </rPh>
    <rPh sb="11" eb="13">
      <t>カジュウ</t>
    </rPh>
    <rPh sb="14" eb="16">
      <t>サヨウ</t>
    </rPh>
    <rPh sb="22" eb="24">
      <t>ケントウ</t>
    </rPh>
    <rPh sb="25" eb="27">
      <t>ショウリャク</t>
    </rPh>
    <phoneticPr fontId="3"/>
  </si>
  <si>
    <t>根入れ長は、掘削完了時および最下段切ばり設置直前の両者において、それぞれつり合い深さの</t>
    <rPh sb="0" eb="2">
      <t>ネイ</t>
    </rPh>
    <rPh sb="3" eb="4">
      <t>チョウ</t>
    </rPh>
    <rPh sb="6" eb="8">
      <t>クッサク</t>
    </rPh>
    <rPh sb="8" eb="11">
      <t>カンリョウジ</t>
    </rPh>
    <rPh sb="14" eb="17">
      <t>サイゲダン</t>
    </rPh>
    <rPh sb="17" eb="18">
      <t>キリ</t>
    </rPh>
    <rPh sb="20" eb="22">
      <t>セッチ</t>
    </rPh>
    <rPh sb="22" eb="24">
      <t>チョクゼン</t>
    </rPh>
    <rPh sb="25" eb="27">
      <t>リョウシャ</t>
    </rPh>
    <rPh sb="38" eb="39">
      <t>ア</t>
    </rPh>
    <rPh sb="40" eb="41">
      <t>フカ</t>
    </rPh>
    <phoneticPr fontId="3"/>
  </si>
  <si>
    <t>倍とする。</t>
    <phoneticPr fontId="3"/>
  </si>
  <si>
    <t>H-200</t>
    <phoneticPr fontId="3"/>
  </si>
  <si>
    <t>ℓ</t>
    <phoneticPr fontId="3"/>
  </si>
  <si>
    <t>受働土圧</t>
    <rPh sb="0" eb="2">
      <t>ジュドウ</t>
    </rPh>
    <rPh sb="2" eb="4">
      <t>ドアツ</t>
    </rPh>
    <phoneticPr fontId="3"/>
  </si>
  <si>
    <t>受働土圧係数</t>
    <rPh sb="0" eb="2">
      <t>ジュドウ</t>
    </rPh>
    <rPh sb="2" eb="4">
      <t>ドアツ</t>
    </rPh>
    <rPh sb="4" eb="6">
      <t>ケイスウ</t>
    </rPh>
    <phoneticPr fontId="3"/>
  </si>
  <si>
    <r>
      <t>K</t>
    </r>
    <r>
      <rPr>
        <vertAlign val="subscript"/>
        <sz val="11"/>
        <color theme="1"/>
        <rFont val="游ゴシック"/>
        <family val="3"/>
        <charset val="128"/>
        <scheme val="minor"/>
      </rPr>
      <t>p</t>
    </r>
    <phoneticPr fontId="3"/>
  </si>
  <si>
    <t>2C√Kp</t>
  </si>
  <si>
    <r>
      <t>2C</t>
    </r>
    <r>
      <rPr>
        <i/>
        <sz val="11"/>
        <color theme="1"/>
        <rFont val="游ゴシック"/>
        <family val="2"/>
      </rPr>
      <t>√</t>
    </r>
    <r>
      <rPr>
        <i/>
        <sz val="11"/>
        <color theme="1"/>
        <rFont val="Times New Roman"/>
        <family val="1"/>
      </rPr>
      <t>Kp</t>
    </r>
    <phoneticPr fontId="3"/>
  </si>
  <si>
    <r>
      <t>p</t>
    </r>
    <r>
      <rPr>
        <i/>
        <vertAlign val="subscript"/>
        <sz val="11"/>
        <color theme="1"/>
        <rFont val="ＭＳ Ｐ明朝"/>
        <family val="1"/>
        <charset val="128"/>
      </rPr>
      <t>ｐ</t>
    </r>
    <phoneticPr fontId="3"/>
  </si>
  <si>
    <t>Kp・γ</t>
    <phoneticPr fontId="3"/>
  </si>
  <si>
    <r>
      <rPr>
        <i/>
        <sz val="11"/>
        <color theme="1"/>
        <rFont val="Times New Roman"/>
        <family val="1"/>
      </rPr>
      <t>p</t>
    </r>
    <r>
      <rPr>
        <i/>
        <vertAlign val="subscript"/>
        <sz val="11"/>
        <color theme="1"/>
        <rFont val="Times New Roman"/>
        <family val="1"/>
      </rPr>
      <t>p4</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</si>
  <si>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p4</t>
    </r>
    <r>
      <rPr>
        <i/>
        <vertAlign val="subscript"/>
        <sz val="11"/>
        <color theme="1"/>
        <rFont val="ＭＳ Ｐ明朝"/>
        <family val="1"/>
        <charset val="128"/>
      </rPr>
      <t>下</t>
    </r>
    <r>
      <rPr>
        <sz val="11"/>
        <color theme="1"/>
        <rFont val="Times New Roman"/>
        <family val="1"/>
      </rPr>
      <t>=</t>
    </r>
    <rPh sb="3" eb="4">
      <t>シタ</t>
    </rPh>
    <phoneticPr fontId="3"/>
  </si>
  <si>
    <t>)/</t>
    <phoneticPr fontId="3"/>
  </si>
  <si>
    <t>主働側の側圧</t>
    <rPh sb="0" eb="3">
      <t>シュドウガワ</t>
    </rPh>
    <rPh sb="4" eb="6">
      <t>ソクアツ</t>
    </rPh>
    <phoneticPr fontId="3"/>
  </si>
  <si>
    <t>水</t>
    <rPh sb="0" eb="1">
      <t>ミズ</t>
    </rPh>
    <phoneticPr fontId="3"/>
  </si>
  <si>
    <r>
      <t>P</t>
    </r>
    <r>
      <rPr>
        <b/>
        <vertAlign val="subscript"/>
        <sz val="11"/>
        <color theme="1"/>
        <rFont val="Times New Roman"/>
        <family val="1"/>
      </rPr>
      <t>a</t>
    </r>
    <phoneticPr fontId="3"/>
  </si>
  <si>
    <t>受働側の側圧</t>
    <rPh sb="0" eb="2">
      <t>ジュドウ</t>
    </rPh>
    <rPh sb="2" eb="3">
      <t>ガワ</t>
    </rPh>
    <rPh sb="4" eb="6">
      <t>ソクアツ</t>
    </rPh>
    <phoneticPr fontId="3"/>
  </si>
  <si>
    <r>
      <t>P</t>
    </r>
    <r>
      <rPr>
        <b/>
        <vertAlign val="subscript"/>
        <sz val="11"/>
        <color theme="1"/>
        <rFont val="Times New Roman"/>
        <family val="1"/>
      </rPr>
      <t>p</t>
    </r>
    <phoneticPr fontId="3"/>
  </si>
  <si>
    <t>⑨</t>
    <phoneticPr fontId="3"/>
  </si>
  <si>
    <r>
      <t>M</t>
    </r>
    <r>
      <rPr>
        <i/>
        <vertAlign val="subscript"/>
        <sz val="11"/>
        <color theme="1"/>
        <rFont val="Times New Roman"/>
        <family val="1"/>
      </rPr>
      <t>a</t>
    </r>
    <phoneticPr fontId="3"/>
  </si>
  <si>
    <t>∑Ma =</t>
    <phoneticPr fontId="3"/>
  </si>
  <si>
    <t>∑Mp =</t>
    <phoneticPr fontId="3"/>
  </si>
  <si>
    <r>
      <t>M</t>
    </r>
    <r>
      <rPr>
        <i/>
        <vertAlign val="subscript"/>
        <sz val="11"/>
        <color theme="1"/>
        <rFont val="Times New Roman"/>
        <family val="1"/>
      </rPr>
      <t>p</t>
    </r>
    <phoneticPr fontId="3"/>
  </si>
  <si>
    <t>∑Ma=∑Mp</t>
    <phoneticPr fontId="3"/>
  </si>
  <si>
    <t>∑Ma-∑Mp=0</t>
    <phoneticPr fontId="3"/>
  </si>
  <si>
    <t>受働側の抵抗モーメント</t>
    <rPh sb="0" eb="2">
      <t>ジュドウ</t>
    </rPh>
    <rPh sb="2" eb="3">
      <t>ガワ</t>
    </rPh>
    <rPh sb="4" eb="6">
      <t>テイコウ</t>
    </rPh>
    <phoneticPr fontId="3"/>
  </si>
  <si>
    <t>Cardanoの公式による3次方程式の解を求める。</t>
    <rPh sb="21" eb="22">
      <t>モト</t>
    </rPh>
    <phoneticPr fontId="3"/>
  </si>
  <si>
    <t>t</t>
    <phoneticPr fontId="3"/>
  </si>
  <si>
    <t>係数</t>
    <rPh sb="0" eb="2">
      <t>ケイスウ</t>
    </rPh>
    <phoneticPr fontId="3"/>
  </si>
  <si>
    <t>a</t>
    <phoneticPr fontId="3"/>
  </si>
  <si>
    <t>R</t>
    <phoneticPr fontId="3"/>
  </si>
  <si>
    <t>b</t>
    <phoneticPr fontId="3"/>
  </si>
  <si>
    <t>実数部</t>
    <rPh sb="0" eb="2">
      <t>ジッスウ</t>
    </rPh>
    <rPh sb="2" eb="3">
      <t>ブ</t>
    </rPh>
    <phoneticPr fontId="3"/>
  </si>
  <si>
    <t>虚数部</t>
    <rPh sb="0" eb="2">
      <t>キョスウ</t>
    </rPh>
    <rPh sb="2" eb="3">
      <t>ブ</t>
    </rPh>
    <phoneticPr fontId="3"/>
  </si>
  <si>
    <t>極座標表示</t>
    <rPh sb="0" eb="1">
      <t>キョク</t>
    </rPh>
    <rPh sb="1" eb="3">
      <t>ザヒョウ</t>
    </rPh>
    <rPh sb="3" eb="5">
      <t>ヒョウジ</t>
    </rPh>
    <phoneticPr fontId="3"/>
  </si>
  <si>
    <t>i</t>
    <phoneticPr fontId="3"/>
  </si>
  <si>
    <t>r</t>
    <phoneticPr fontId="3"/>
  </si>
  <si>
    <t>θ</t>
    <phoneticPr fontId="3"/>
  </si>
  <si>
    <t>v</t>
    <phoneticPr fontId="3"/>
  </si>
  <si>
    <t>3乗根</t>
    <rPh sb="1" eb="2">
      <t>ジョウ</t>
    </rPh>
    <rPh sb="2" eb="3">
      <t>ネ</t>
    </rPh>
    <phoneticPr fontId="3"/>
  </si>
  <si>
    <t>実数部</t>
    <rPh sb="0" eb="3">
      <t>ジッスウブ</t>
    </rPh>
    <phoneticPr fontId="3"/>
  </si>
  <si>
    <t>wp</t>
    <phoneticPr fontId="3"/>
  </si>
  <si>
    <t>w^2q</t>
    <phoneticPr fontId="3"/>
  </si>
  <si>
    <t>w^2p</t>
    <phoneticPr fontId="3"/>
  </si>
  <si>
    <t>wq</t>
    <phoneticPr fontId="3"/>
  </si>
  <si>
    <t>x1</t>
    <phoneticPr fontId="3"/>
  </si>
  <si>
    <t>x2</t>
    <phoneticPr fontId="3"/>
  </si>
  <si>
    <t>x3</t>
    <phoneticPr fontId="3"/>
  </si>
  <si>
    <t>以上より、モーメントのつり合い深さ</t>
    <rPh sb="0" eb="2">
      <t>イジョウ</t>
    </rPh>
    <rPh sb="13" eb="14">
      <t>ア</t>
    </rPh>
    <rPh sb="15" eb="16">
      <t>フカ</t>
    </rPh>
    <phoneticPr fontId="3"/>
  </si>
  <si>
    <t>ℓ＝</t>
    <phoneticPr fontId="3"/>
  </si>
  <si>
    <t>倍とするため、</t>
    <rPh sb="0" eb="1">
      <t>バイ</t>
    </rPh>
    <phoneticPr fontId="3"/>
  </si>
  <si>
    <r>
      <t>ℓ</t>
    </r>
    <r>
      <rPr>
        <vertAlign val="subscript"/>
        <sz val="11"/>
        <rFont val="游ゴシック"/>
        <family val="3"/>
        <charset val="128"/>
        <scheme val="minor"/>
      </rPr>
      <t>0</t>
    </r>
    <r>
      <rPr>
        <sz val="11"/>
        <rFont val="游ゴシック"/>
        <family val="2"/>
        <scheme val="minor"/>
      </rPr>
      <t>＝</t>
    </r>
    <phoneticPr fontId="3"/>
  </si>
  <si>
    <t>H11道仮p159</t>
    <phoneticPr fontId="3"/>
  </si>
  <si>
    <t>小規模土留めの設計において、最小根入れ長は土留め壁の種類に関係なく、掘削深さの1/2とする。</t>
    <rPh sb="0" eb="3">
      <t>ショウキボ</t>
    </rPh>
    <rPh sb="3" eb="5">
      <t>ドド</t>
    </rPh>
    <rPh sb="7" eb="9">
      <t>セッケイ</t>
    </rPh>
    <rPh sb="14" eb="16">
      <t>サイショウ</t>
    </rPh>
    <rPh sb="16" eb="18">
      <t>ネイ</t>
    </rPh>
    <rPh sb="19" eb="20">
      <t>チョウ</t>
    </rPh>
    <rPh sb="21" eb="23">
      <t>ドド</t>
    </rPh>
    <rPh sb="24" eb="25">
      <t>ヘキ</t>
    </rPh>
    <rPh sb="26" eb="28">
      <t>シュルイ</t>
    </rPh>
    <rPh sb="29" eb="31">
      <t>カンケイ</t>
    </rPh>
    <rPh sb="34" eb="36">
      <t>クッサク</t>
    </rPh>
    <rPh sb="36" eb="37">
      <t>フカ</t>
    </rPh>
    <phoneticPr fontId="3"/>
  </si>
  <si>
    <t>H11道仮p91</t>
    <phoneticPr fontId="3"/>
  </si>
  <si>
    <t>仮想支持点は、土留め壁の根入れ長決定のための安定計算で「つり合い深さ」を求めた際の受働抵抗の合力の作用点とする。</t>
    <rPh sb="0" eb="2">
      <t>カソウ</t>
    </rPh>
    <rPh sb="2" eb="4">
      <t>シジ</t>
    </rPh>
    <rPh sb="4" eb="5">
      <t>テン</t>
    </rPh>
    <rPh sb="7" eb="9">
      <t>ドド</t>
    </rPh>
    <rPh sb="10" eb="11">
      <t>ヘキ</t>
    </rPh>
    <rPh sb="12" eb="14">
      <t>ネイ</t>
    </rPh>
    <rPh sb="15" eb="16">
      <t>チョウ</t>
    </rPh>
    <rPh sb="16" eb="18">
      <t>ケッテイ</t>
    </rPh>
    <rPh sb="22" eb="24">
      <t>アンテイ</t>
    </rPh>
    <rPh sb="24" eb="26">
      <t>ケイサン</t>
    </rPh>
    <rPh sb="30" eb="31">
      <t>ア</t>
    </rPh>
    <rPh sb="32" eb="33">
      <t>フカ</t>
    </rPh>
    <rPh sb="36" eb="37">
      <t>モト</t>
    </rPh>
    <rPh sb="39" eb="40">
      <t>サイ</t>
    </rPh>
    <rPh sb="41" eb="43">
      <t>ジュドウ</t>
    </rPh>
    <rPh sb="43" eb="45">
      <t>テイコウ</t>
    </rPh>
    <rPh sb="46" eb="48">
      <t>ゴウリョク</t>
    </rPh>
    <rPh sb="49" eb="51">
      <t>サヨウ</t>
    </rPh>
    <rPh sb="51" eb="52">
      <t>テン</t>
    </rPh>
    <phoneticPr fontId="3"/>
  </si>
  <si>
    <r>
      <t>y</t>
    </r>
    <r>
      <rPr>
        <vertAlign val="subscript"/>
        <sz val="11"/>
        <color theme="1"/>
        <rFont val="ＭＳ Ｐ明朝"/>
        <family val="1"/>
        <charset val="128"/>
      </rPr>
      <t>p</t>
    </r>
    <phoneticPr fontId="3"/>
  </si>
  <si>
    <r>
      <rPr>
        <i/>
        <sz val="11"/>
        <color theme="1"/>
        <rFont val="Times New Roman"/>
        <family val="1"/>
        <charset val="161"/>
      </rPr>
      <t>Σ</t>
    </r>
    <r>
      <rPr>
        <i/>
        <sz val="11"/>
        <color theme="1"/>
        <rFont val="Times New Roman"/>
        <family val="1"/>
      </rPr>
      <t>M</t>
    </r>
    <r>
      <rPr>
        <vertAlign val="subscript"/>
        <sz val="11"/>
        <color theme="1"/>
        <rFont val="Times New Roman"/>
        <family val="1"/>
      </rPr>
      <t>p</t>
    </r>
    <phoneticPr fontId="3"/>
  </si>
  <si>
    <r>
      <t>Σ</t>
    </r>
    <r>
      <rPr>
        <i/>
        <sz val="11"/>
        <color theme="1"/>
        <rFont val="ＭＳ Ｐ明朝"/>
        <family val="1"/>
        <charset val="128"/>
      </rPr>
      <t>P</t>
    </r>
    <r>
      <rPr>
        <vertAlign val="subscript"/>
        <sz val="11"/>
        <color theme="1"/>
        <rFont val="Times New Roman"/>
        <family val="1"/>
      </rPr>
      <t>p</t>
    </r>
    <phoneticPr fontId="3"/>
  </si>
  <si>
    <t>最下段切ばりから、下方向にある仮想支持点までの距離は、下式により算出する。</t>
    <rPh sb="0" eb="3">
      <t>サイゲダン</t>
    </rPh>
    <rPh sb="3" eb="4">
      <t>キリ</t>
    </rPh>
    <rPh sb="9" eb="12">
      <t>シタホウコウ</t>
    </rPh>
    <rPh sb="15" eb="17">
      <t>カソウ</t>
    </rPh>
    <rPh sb="17" eb="19">
      <t>シジ</t>
    </rPh>
    <rPh sb="19" eb="20">
      <t>テン</t>
    </rPh>
    <rPh sb="23" eb="25">
      <t>キョリ</t>
    </rPh>
    <rPh sb="27" eb="28">
      <t>シタ</t>
    </rPh>
    <rPh sb="28" eb="29">
      <t>シキ</t>
    </rPh>
    <rPh sb="32" eb="34">
      <t>サンシュツ</t>
    </rPh>
    <phoneticPr fontId="3"/>
  </si>
  <si>
    <t>＝</t>
    <phoneticPr fontId="3"/>
  </si>
  <si>
    <t>つり合い深さ</t>
    <rPh sb="2" eb="3">
      <t>ア</t>
    </rPh>
    <rPh sb="4" eb="5">
      <t>フカ</t>
    </rPh>
    <phoneticPr fontId="3"/>
  </si>
  <si>
    <t>は、極限平衡法を用いて計算する。</t>
    <phoneticPr fontId="3"/>
  </si>
  <si>
    <r>
      <t>ℓ</t>
    </r>
    <r>
      <rPr>
        <vertAlign val="subscript"/>
        <sz val="11"/>
        <color theme="1"/>
        <rFont val="游ゴシック"/>
        <family val="3"/>
        <charset val="128"/>
        <scheme val="minor"/>
      </rPr>
      <t>0</t>
    </r>
    <phoneticPr fontId="3"/>
  </si>
  <si>
    <r>
      <t>ℓ</t>
    </r>
    <r>
      <rPr>
        <vertAlign val="subscript"/>
        <sz val="11"/>
        <color theme="1"/>
        <rFont val="游ゴシック"/>
        <family val="3"/>
        <charset val="128"/>
        <scheme val="minor"/>
      </rPr>
      <t>0</t>
    </r>
    <r>
      <rPr>
        <sz val="11"/>
        <color theme="1"/>
        <rFont val="游ゴシック"/>
        <family val="2"/>
        <scheme val="minor"/>
      </rPr>
      <t>+</t>
    </r>
    <phoneticPr fontId="3"/>
  </si>
  <si>
    <r>
      <t>ℓ</t>
    </r>
    <r>
      <rPr>
        <vertAlign val="subscript"/>
        <sz val="11"/>
        <color theme="1"/>
        <rFont val="游ゴシック"/>
        <family val="3"/>
        <charset val="128"/>
        <scheme val="minor"/>
      </rPr>
      <t>0</t>
    </r>
    <r>
      <rPr>
        <vertAlign val="superscript"/>
        <sz val="11"/>
        <color theme="1"/>
        <rFont val="游ゴシック"/>
        <family val="3"/>
        <charset val="128"/>
        <scheme val="minor"/>
      </rPr>
      <t>2</t>
    </r>
    <phoneticPr fontId="3"/>
  </si>
  <si>
    <r>
      <t>ℓ</t>
    </r>
    <r>
      <rPr>
        <vertAlign val="subscript"/>
        <sz val="11"/>
        <color theme="1"/>
        <rFont val="游ゴシック"/>
        <family val="3"/>
        <charset val="128"/>
        <scheme val="minor"/>
      </rPr>
      <t>0</t>
    </r>
    <r>
      <rPr>
        <vertAlign val="superscript"/>
        <sz val="11"/>
        <color theme="1"/>
        <rFont val="游ゴシック"/>
        <family val="3"/>
        <charset val="128"/>
        <scheme val="minor"/>
      </rPr>
      <t>3</t>
    </r>
    <phoneticPr fontId="3"/>
  </si>
  <si>
    <r>
      <t>ℓ</t>
    </r>
    <r>
      <rPr>
        <vertAlign val="subscript"/>
        <sz val="11"/>
        <color theme="1"/>
        <rFont val="游ゴシック"/>
        <family val="3"/>
        <charset val="128"/>
        <scheme val="minor"/>
      </rPr>
      <t>0</t>
    </r>
    <r>
      <rPr>
        <sz val="11"/>
        <color theme="1"/>
        <rFont val="游ゴシック"/>
        <family val="2"/>
        <scheme val="minor"/>
      </rPr>
      <t>/</t>
    </r>
    <phoneticPr fontId="3"/>
  </si>
  <si>
    <r>
      <t>ℓ</t>
    </r>
    <r>
      <rPr>
        <vertAlign val="subscript"/>
        <sz val="11"/>
        <rFont val="游ゴシック"/>
        <family val="3"/>
        <charset val="128"/>
        <scheme val="minor"/>
      </rPr>
      <t>0</t>
    </r>
    <phoneticPr fontId="3"/>
  </si>
  <si>
    <t>であるため、</t>
    <phoneticPr fontId="3"/>
  </si>
  <si>
    <t>^3</t>
    <phoneticPr fontId="3"/>
  </si>
  <si>
    <t>^2</t>
    <phoneticPr fontId="3"/>
  </si>
  <si>
    <t>なお、切ばりから掘削底面までの距離は、</t>
    <rPh sb="3" eb="4">
      <t>キリ</t>
    </rPh>
    <rPh sb="8" eb="10">
      <t>クッサク</t>
    </rPh>
    <rPh sb="10" eb="12">
      <t>テイメン</t>
    </rPh>
    <rPh sb="15" eb="17">
      <t>キョリ</t>
    </rPh>
    <phoneticPr fontId="3"/>
  </si>
  <si>
    <t>掘削底面から仮想支持点までの距離は、</t>
    <rPh sb="0" eb="2">
      <t>クッサク</t>
    </rPh>
    <rPh sb="2" eb="4">
      <t>テイメン</t>
    </rPh>
    <rPh sb="6" eb="8">
      <t>カソウ</t>
    </rPh>
    <rPh sb="8" eb="10">
      <t>シジ</t>
    </rPh>
    <rPh sb="10" eb="11">
      <t>テン</t>
    </rPh>
    <rPh sb="14" eb="16">
      <t>キョリ</t>
    </rPh>
    <phoneticPr fontId="3"/>
  </si>
  <si>
    <t>ー</t>
    <phoneticPr fontId="3"/>
  </si>
  <si>
    <t>となる。</t>
    <phoneticPr fontId="3"/>
  </si>
  <si>
    <t>仮想支持点の最小値は、「最小根入れ長の1/2（H11道仮p159）」なので、</t>
    <rPh sb="0" eb="2">
      <t>カソウ</t>
    </rPh>
    <rPh sb="2" eb="4">
      <t>シジ</t>
    </rPh>
    <rPh sb="4" eb="5">
      <t>テン</t>
    </rPh>
    <rPh sb="6" eb="9">
      <t>サイショウチ</t>
    </rPh>
    <rPh sb="12" eb="14">
      <t>サイショウ</t>
    </rPh>
    <rPh sb="14" eb="16">
      <t>ネイ</t>
    </rPh>
    <rPh sb="17" eb="18">
      <t>チョウ</t>
    </rPh>
    <rPh sb="26" eb="27">
      <t>ミチ</t>
    </rPh>
    <rPh sb="27" eb="28">
      <t>カリ</t>
    </rPh>
    <phoneticPr fontId="3"/>
  </si>
  <si>
    <t>/2=</t>
    <phoneticPr fontId="3"/>
  </si>
  <si>
    <t>なので</t>
    <phoneticPr fontId="3"/>
  </si>
  <si>
    <r>
      <t>Σ</t>
    </r>
    <r>
      <rPr>
        <i/>
        <sz val="11"/>
        <color rgb="FFFF0000"/>
        <rFont val="ＭＳ Ｐ明朝"/>
        <family val="1"/>
        <charset val="128"/>
      </rPr>
      <t>P</t>
    </r>
    <r>
      <rPr>
        <vertAlign val="subscript"/>
        <sz val="11"/>
        <color rgb="FFFF0000"/>
        <rFont val="Times New Roman"/>
        <family val="1"/>
      </rPr>
      <t>p</t>
    </r>
    <phoneticPr fontId="3"/>
  </si>
  <si>
    <t>3-1. 仮想支持点の計算</t>
    <rPh sb="5" eb="7">
      <t>カソウ</t>
    </rPh>
    <rPh sb="7" eb="9">
      <t>シジ</t>
    </rPh>
    <rPh sb="9" eb="10">
      <t>テン</t>
    </rPh>
    <rPh sb="11" eb="13">
      <t>ケイサン</t>
    </rPh>
    <phoneticPr fontId="3"/>
  </si>
  <si>
    <t>3-2. 最大曲げモーメントの計算</t>
    <rPh sb="5" eb="7">
      <t>サイダイ</t>
    </rPh>
    <rPh sb="7" eb="8">
      <t>マ</t>
    </rPh>
    <rPh sb="15" eb="17">
      <t>ケイサン</t>
    </rPh>
    <phoneticPr fontId="3"/>
  </si>
  <si>
    <t>3-3. 曲げ応力度の照査</t>
    <rPh sb="5" eb="6">
      <t>マ</t>
    </rPh>
    <rPh sb="7" eb="10">
      <t>オウリョクド</t>
    </rPh>
    <rPh sb="11" eb="13">
      <t>ショウサ</t>
    </rPh>
    <phoneticPr fontId="3"/>
  </si>
  <si>
    <t>根入れ部</t>
    <rPh sb="0" eb="2">
      <t>ネイ</t>
    </rPh>
    <rPh sb="3" eb="4">
      <t>ブ</t>
    </rPh>
    <phoneticPr fontId="3"/>
  </si>
  <si>
    <t>A</t>
    <phoneticPr fontId="3"/>
  </si>
  <si>
    <t>B</t>
    <phoneticPr fontId="3"/>
  </si>
  <si>
    <t>計</t>
    <rPh sb="0" eb="1">
      <t>ケイ</t>
    </rPh>
    <phoneticPr fontId="3"/>
  </si>
  <si>
    <r>
      <t>p = p</t>
    </r>
    <r>
      <rPr>
        <i/>
        <vertAlign val="subscript"/>
        <sz val="11"/>
        <color theme="1"/>
        <rFont val="Times New Roman"/>
        <family val="1"/>
      </rPr>
      <t>a</t>
    </r>
    <r>
      <rPr>
        <i/>
        <sz val="11"/>
        <color theme="1"/>
        <rFont val="Times New Roman"/>
        <family val="1"/>
      </rPr>
      <t xml:space="preserve"> + p</t>
    </r>
    <r>
      <rPr>
        <i/>
        <vertAlign val="subscript"/>
        <sz val="11"/>
        <color theme="1"/>
        <rFont val="Times New Roman"/>
        <family val="1"/>
      </rPr>
      <t>w</t>
    </r>
    <r>
      <rPr>
        <i/>
        <sz val="11"/>
        <color theme="1"/>
        <rFont val="Times New Roman"/>
        <family val="1"/>
      </rPr>
      <t xml:space="preserve"> - p</t>
    </r>
    <r>
      <rPr>
        <i/>
        <vertAlign val="subscript"/>
        <sz val="11"/>
        <color theme="1"/>
        <rFont val="ＭＳ Ｐ明朝"/>
        <family val="1"/>
        <charset val="128"/>
      </rPr>
      <t>ｐ</t>
    </r>
    <phoneticPr fontId="3"/>
  </si>
  <si>
    <r>
      <rPr>
        <i/>
        <sz val="11"/>
        <color theme="1"/>
        <rFont val="Times New Roman"/>
        <family val="1"/>
      </rPr>
      <t>p</t>
    </r>
    <r>
      <rPr>
        <i/>
        <vertAlign val="subscript"/>
        <sz val="11"/>
        <color theme="1"/>
        <rFont val="Times New Roman"/>
        <family val="1"/>
      </rPr>
      <t>2</t>
    </r>
    <r>
      <rPr>
        <i/>
        <vertAlign val="subscript"/>
        <sz val="11"/>
        <color theme="1"/>
        <rFont val="ＭＳ Ｐ明朝"/>
        <family val="1"/>
        <charset val="128"/>
      </rPr>
      <t>上</t>
    </r>
    <r>
      <rPr>
        <sz val="11"/>
        <color theme="1"/>
        <rFont val="Times New Roman"/>
        <family val="1"/>
      </rPr>
      <t>=</t>
    </r>
    <rPh sb="2" eb="3">
      <t>ウエ</t>
    </rPh>
    <phoneticPr fontId="3"/>
  </si>
  <si>
    <r>
      <rPr>
        <i/>
        <sz val="11"/>
        <color theme="1"/>
        <rFont val="Times New Roman"/>
        <family val="1"/>
      </rPr>
      <t>p</t>
    </r>
    <r>
      <rPr>
        <i/>
        <vertAlign val="subscript"/>
        <sz val="11"/>
        <color theme="1"/>
        <rFont val="Times New Roman"/>
        <family val="1"/>
      </rPr>
      <t>2</t>
    </r>
    <r>
      <rPr>
        <i/>
        <vertAlign val="subscript"/>
        <sz val="11"/>
        <color theme="1"/>
        <rFont val="ＭＳ Ｐ明朝"/>
        <family val="1"/>
        <charset val="128"/>
      </rPr>
      <t>下</t>
    </r>
    <r>
      <rPr>
        <sz val="11"/>
        <color theme="1"/>
        <rFont val="Times New Roman"/>
        <family val="1"/>
      </rPr>
      <t>=</t>
    </r>
    <rPh sb="2" eb="3">
      <t>シタ</t>
    </rPh>
    <phoneticPr fontId="3"/>
  </si>
  <si>
    <r>
      <rPr>
        <i/>
        <sz val="11"/>
        <color theme="1"/>
        <rFont val="Times New Roman"/>
        <family val="1"/>
      </rPr>
      <t>p</t>
    </r>
    <r>
      <rPr>
        <i/>
        <vertAlign val="subscript"/>
        <sz val="11"/>
        <color theme="1"/>
        <rFont val="Times New Roman"/>
        <family val="1"/>
      </rPr>
      <t>3</t>
    </r>
    <r>
      <rPr>
        <i/>
        <vertAlign val="subscript"/>
        <sz val="11"/>
        <color theme="1"/>
        <rFont val="ＭＳ Ｐ明朝"/>
        <family val="1"/>
        <charset val="128"/>
      </rPr>
      <t>上</t>
    </r>
    <r>
      <rPr>
        <sz val="11"/>
        <color theme="1"/>
        <rFont val="Times New Roman"/>
        <family val="1"/>
      </rPr>
      <t>=</t>
    </r>
    <rPh sb="2" eb="3">
      <t>ウエ</t>
    </rPh>
    <phoneticPr fontId="3"/>
  </si>
  <si>
    <r>
      <rPr>
        <i/>
        <sz val="11"/>
        <color theme="1"/>
        <rFont val="Times New Roman"/>
        <family val="1"/>
      </rPr>
      <t>p</t>
    </r>
    <r>
      <rPr>
        <i/>
        <vertAlign val="subscript"/>
        <sz val="11"/>
        <color theme="1"/>
        <rFont val="Times New Roman"/>
        <family val="1"/>
      </rPr>
      <t>3</t>
    </r>
    <r>
      <rPr>
        <i/>
        <vertAlign val="subscript"/>
        <sz val="11"/>
        <color theme="1"/>
        <rFont val="ＭＳ Ｐ明朝"/>
        <family val="1"/>
        <charset val="128"/>
      </rPr>
      <t>下</t>
    </r>
    <r>
      <rPr>
        <sz val="11"/>
        <color theme="1"/>
        <rFont val="Times New Roman"/>
        <family val="1"/>
      </rPr>
      <t>=</t>
    </r>
    <rPh sb="2" eb="3">
      <t>シタ</t>
    </rPh>
    <phoneticPr fontId="3"/>
  </si>
  <si>
    <r>
      <rPr>
        <i/>
        <sz val="11"/>
        <color theme="1"/>
        <rFont val="Times New Roman"/>
        <family val="1"/>
      </rPr>
      <t>p</t>
    </r>
    <r>
      <rPr>
        <i/>
        <vertAlign val="subscript"/>
        <sz val="11"/>
        <color theme="1"/>
        <rFont val="Times New Roman"/>
        <family val="1"/>
      </rPr>
      <t>4</t>
    </r>
    <r>
      <rPr>
        <i/>
        <vertAlign val="subscript"/>
        <sz val="11"/>
        <color theme="1"/>
        <rFont val="ＭＳ Ｐ明朝"/>
        <family val="1"/>
        <charset val="128"/>
      </rPr>
      <t>上</t>
    </r>
    <r>
      <rPr>
        <sz val="11"/>
        <color theme="1"/>
        <rFont val="Times New Roman"/>
        <family val="1"/>
      </rPr>
      <t>=</t>
    </r>
    <rPh sb="2" eb="3">
      <t>ウエ</t>
    </rPh>
    <phoneticPr fontId="3"/>
  </si>
  <si>
    <r>
      <rPr>
        <i/>
        <sz val="11"/>
        <color theme="1"/>
        <rFont val="Times New Roman"/>
        <family val="1"/>
      </rPr>
      <t>p</t>
    </r>
    <r>
      <rPr>
        <i/>
        <vertAlign val="subscript"/>
        <sz val="11"/>
        <color theme="1"/>
        <rFont val="Times New Roman"/>
        <family val="1"/>
      </rPr>
      <t>4B</t>
    </r>
    <r>
      <rPr>
        <i/>
        <vertAlign val="subscript"/>
        <sz val="11"/>
        <color theme="1"/>
        <rFont val="ＭＳ Ｐ明朝"/>
        <family val="1"/>
        <charset val="128"/>
      </rPr>
      <t>下</t>
    </r>
    <r>
      <rPr>
        <sz val="11"/>
        <color theme="1"/>
        <rFont val="Times New Roman"/>
        <family val="1"/>
      </rPr>
      <t>=</t>
    </r>
    <rPh sb="3" eb="4">
      <t>シタ</t>
    </rPh>
    <phoneticPr fontId="3"/>
  </si>
  <si>
    <t>側圧</t>
    <rPh sb="0" eb="2">
      <t>ソクアツ</t>
    </rPh>
    <phoneticPr fontId="3"/>
  </si>
  <si>
    <r>
      <rPr>
        <i/>
        <sz val="11"/>
        <color theme="1"/>
        <rFont val="Times New Roman"/>
        <family val="1"/>
      </rPr>
      <t>p</t>
    </r>
    <r>
      <rPr>
        <i/>
        <vertAlign val="subscript"/>
        <sz val="11"/>
        <color theme="1"/>
        <rFont val="Times New Roman"/>
        <family val="1"/>
      </rPr>
      <t>a4B</t>
    </r>
    <r>
      <rPr>
        <sz val="11"/>
        <color theme="1"/>
        <rFont val="Times New Roman"/>
        <family val="1"/>
      </rPr>
      <t>=</t>
    </r>
    <phoneticPr fontId="3"/>
  </si>
  <si>
    <r>
      <rPr>
        <i/>
        <sz val="11"/>
        <color theme="1"/>
        <rFont val="Times New Roman"/>
        <family val="1"/>
      </rPr>
      <t>p</t>
    </r>
    <r>
      <rPr>
        <i/>
        <vertAlign val="subscript"/>
        <sz val="11"/>
        <color theme="1"/>
        <rFont val="Times New Roman"/>
        <family val="1"/>
      </rPr>
      <t>w4B</t>
    </r>
    <r>
      <rPr>
        <sz val="11"/>
        <color theme="1"/>
        <rFont val="Times New Roman"/>
        <family val="1"/>
      </rPr>
      <t>=</t>
    </r>
    <phoneticPr fontId="3"/>
  </si>
  <si>
    <r>
      <rPr>
        <i/>
        <sz val="11"/>
        <color theme="1"/>
        <rFont val="Times New Roman"/>
        <family val="1"/>
      </rPr>
      <t>p</t>
    </r>
    <r>
      <rPr>
        <i/>
        <vertAlign val="subscript"/>
        <sz val="11"/>
        <color theme="1"/>
        <rFont val="Times New Roman"/>
        <family val="1"/>
      </rPr>
      <t>p4B</t>
    </r>
    <r>
      <rPr>
        <sz val="11"/>
        <color theme="1"/>
        <rFont val="Times New Roman"/>
        <family val="1"/>
      </rPr>
      <t>=</t>
    </r>
    <phoneticPr fontId="3"/>
  </si>
  <si>
    <t xml:space="preserve">p </t>
    <phoneticPr fontId="3"/>
  </si>
  <si>
    <r>
      <rPr>
        <i/>
        <sz val="11"/>
        <color theme="1"/>
        <rFont val="Times New Roman"/>
        <family val="1"/>
      </rPr>
      <t>p</t>
    </r>
    <r>
      <rPr>
        <i/>
        <vertAlign val="subscript"/>
        <sz val="11"/>
        <color theme="1"/>
        <rFont val="Times New Roman"/>
        <family val="1"/>
      </rPr>
      <t>40</t>
    </r>
    <r>
      <rPr>
        <sz val="11"/>
        <color theme="1"/>
        <rFont val="Times New Roman"/>
        <family val="1"/>
      </rPr>
      <t>=</t>
    </r>
    <phoneticPr fontId="3"/>
  </si>
  <si>
    <t>B点からのアーム長</t>
    <rPh sb="1" eb="2">
      <t>テン</t>
    </rPh>
    <rPh sb="8" eb="9">
      <t>チョウ</t>
    </rPh>
    <phoneticPr fontId="3"/>
  </si>
  <si>
    <t>モーメント</t>
    <phoneticPr fontId="3"/>
  </si>
  <si>
    <t>∑</t>
    <phoneticPr fontId="3"/>
  </si>
  <si>
    <r>
      <t>M</t>
    </r>
    <r>
      <rPr>
        <i/>
        <vertAlign val="subscript"/>
        <sz val="11"/>
        <color theme="1"/>
        <rFont val="Times New Roman"/>
        <family val="1"/>
      </rPr>
      <t>B</t>
    </r>
    <phoneticPr fontId="3"/>
  </si>
  <si>
    <r>
      <t>y</t>
    </r>
    <r>
      <rPr>
        <i/>
        <vertAlign val="subscript"/>
        <sz val="11"/>
        <color theme="1"/>
        <rFont val="Times New Roman"/>
        <family val="1"/>
      </rPr>
      <t>B</t>
    </r>
    <phoneticPr fontId="3"/>
  </si>
  <si>
    <r>
      <t>よって、切ばり位置Aにおける反力R</t>
    </r>
    <r>
      <rPr>
        <vertAlign val="subscript"/>
        <sz val="11"/>
        <color theme="1"/>
        <rFont val="游ゴシック"/>
        <family val="3"/>
        <charset val="128"/>
        <scheme val="minor"/>
      </rPr>
      <t>A</t>
    </r>
    <r>
      <rPr>
        <sz val="11"/>
        <color theme="1"/>
        <rFont val="游ゴシック"/>
        <family val="2"/>
        <scheme val="minor"/>
      </rPr>
      <t>とすると、B点でのモーメントのつり合いより、</t>
    </r>
    <rPh sb="4" eb="5">
      <t>キ</t>
    </rPh>
    <rPh sb="7" eb="9">
      <t>イチ</t>
    </rPh>
    <rPh sb="14" eb="16">
      <t>ハンリョク</t>
    </rPh>
    <rPh sb="24" eb="25">
      <t>テン</t>
    </rPh>
    <rPh sb="35" eb="36">
      <t>ア</t>
    </rPh>
    <phoneticPr fontId="3"/>
  </si>
  <si>
    <r>
      <t>R</t>
    </r>
    <r>
      <rPr>
        <vertAlign val="subscript"/>
        <sz val="11"/>
        <color theme="1"/>
        <rFont val="游ゴシック"/>
        <family val="3"/>
        <charset val="128"/>
        <scheme val="minor"/>
      </rPr>
      <t>A</t>
    </r>
    <phoneticPr fontId="3"/>
  </si>
  <si>
    <t>kN</t>
    <phoneticPr fontId="3"/>
  </si>
  <si>
    <r>
      <t>R</t>
    </r>
    <r>
      <rPr>
        <i/>
        <vertAlign val="subscript"/>
        <sz val="11"/>
        <color theme="1"/>
        <rFont val="Times New Roman"/>
        <family val="1"/>
      </rPr>
      <t>A</t>
    </r>
    <phoneticPr fontId="3"/>
  </si>
  <si>
    <t>　最大曲げモーメントは、AB間の中央付近である「３層」で発生すると想定されるので、２層と３層との境界から下方向に距離 「x」 を定義し、その「x」から上部方向における曲げモーメントを計算する。</t>
    <rPh sb="1" eb="3">
      <t>サイダイ</t>
    </rPh>
    <rPh sb="3" eb="4">
      <t>マ</t>
    </rPh>
    <rPh sb="14" eb="15">
      <t>カン</t>
    </rPh>
    <rPh sb="16" eb="18">
      <t>チュウオウ</t>
    </rPh>
    <rPh sb="18" eb="20">
      <t>フキン</t>
    </rPh>
    <rPh sb="25" eb="26">
      <t>ソウ</t>
    </rPh>
    <rPh sb="28" eb="30">
      <t>ハッセイ</t>
    </rPh>
    <rPh sb="33" eb="35">
      <t>ソウテイ</t>
    </rPh>
    <rPh sb="42" eb="43">
      <t>ソウ</t>
    </rPh>
    <rPh sb="45" eb="46">
      <t>ソウ</t>
    </rPh>
    <rPh sb="48" eb="50">
      <t>キョウカイ</t>
    </rPh>
    <rPh sb="52" eb="55">
      <t>シタホウコウ</t>
    </rPh>
    <rPh sb="56" eb="58">
      <t>キョリ</t>
    </rPh>
    <rPh sb="64" eb="66">
      <t>テイギ</t>
    </rPh>
    <rPh sb="75" eb="77">
      <t>ジョウブ</t>
    </rPh>
    <rPh sb="77" eb="79">
      <t>ホウコウ</t>
    </rPh>
    <rPh sb="83" eb="84">
      <t>マ</t>
    </rPh>
    <rPh sb="91" eb="93">
      <t>ケイサン</t>
    </rPh>
    <phoneticPr fontId="3"/>
  </si>
  <si>
    <t>x</t>
    <phoneticPr fontId="3"/>
  </si>
  <si>
    <r>
      <rPr>
        <i/>
        <sz val="11"/>
        <color theme="1"/>
        <rFont val="Times New Roman"/>
        <family val="1"/>
      </rPr>
      <t>p</t>
    </r>
    <r>
      <rPr>
        <i/>
        <vertAlign val="subscript"/>
        <sz val="11"/>
        <color theme="1"/>
        <rFont val="Times New Roman"/>
        <family val="1"/>
      </rPr>
      <t>3x</t>
    </r>
    <r>
      <rPr>
        <sz val="11"/>
        <color theme="1"/>
        <rFont val="Times New Roman"/>
        <family val="1"/>
      </rPr>
      <t>=</t>
    </r>
    <phoneticPr fontId="3"/>
  </si>
  <si>
    <t>ここで</t>
    <phoneticPr fontId="3"/>
  </si>
  <si>
    <t>M</t>
    <phoneticPr fontId="3"/>
  </si>
  <si>
    <r>
      <t>x</t>
    </r>
    <r>
      <rPr>
        <i/>
        <vertAlign val="superscript"/>
        <sz val="11"/>
        <color theme="1"/>
        <rFont val="Times New Roman"/>
        <family val="1"/>
      </rPr>
      <t>2</t>
    </r>
    <phoneticPr fontId="3"/>
  </si>
  <si>
    <t>－</t>
    <phoneticPr fontId="3"/>
  </si>
  <si>
    <t>）</t>
    <phoneticPr fontId="3"/>
  </si>
  <si>
    <r>
      <t>M</t>
    </r>
    <r>
      <rPr>
        <i/>
        <vertAlign val="subscript"/>
        <sz val="11"/>
        <color theme="1"/>
        <rFont val="Times New Roman"/>
        <family val="1"/>
      </rPr>
      <t>x</t>
    </r>
    <phoneticPr fontId="3"/>
  </si>
  <si>
    <t>’</t>
    <phoneticPr fontId="3"/>
  </si>
  <si>
    <t>微分すると、</t>
    <rPh sb="0" eb="2">
      <t>ビブン</t>
    </rPh>
    <phoneticPr fontId="3"/>
  </si>
  <si>
    <r>
      <t>M</t>
    </r>
    <r>
      <rPr>
        <i/>
        <vertAlign val="subscript"/>
        <sz val="11"/>
        <color theme="1"/>
        <rFont val="Times New Roman"/>
        <family val="1"/>
      </rPr>
      <t>max</t>
    </r>
    <phoneticPr fontId="3"/>
  </si>
  <si>
    <t>kN・m</t>
    <phoneticPr fontId="3"/>
  </si>
  <si>
    <r>
      <rPr>
        <sz val="11"/>
        <rFont val="游ゴシック"/>
        <family val="3"/>
        <charset val="128"/>
      </rPr>
      <t>Ⅱ</t>
    </r>
    <r>
      <rPr>
        <sz val="11"/>
        <rFont val="游ゴシック"/>
        <family val="3"/>
        <charset val="128"/>
        <scheme val="minor"/>
      </rPr>
      <t>型</t>
    </r>
    <rPh sb="0" eb="2">
      <t>ニガタ</t>
    </rPh>
    <phoneticPr fontId="3"/>
  </si>
  <si>
    <t>4. 支保工の設計</t>
    <rPh sb="3" eb="6">
      <t>シホコウ</t>
    </rPh>
    <rPh sb="7" eb="9">
      <t>セッケイ</t>
    </rPh>
    <phoneticPr fontId="3"/>
  </si>
  <si>
    <t>H11道仮p160</t>
    <phoneticPr fontId="3"/>
  </si>
  <si>
    <t>　支保工の設計に用いる荷重は、断面決定用土圧と水圧とし、最終掘削状態において各段の支保工に下方分担法により作用させる。</t>
    <rPh sb="1" eb="4">
      <t>シホコウ</t>
    </rPh>
    <rPh sb="5" eb="7">
      <t>セッケイ</t>
    </rPh>
    <rPh sb="8" eb="9">
      <t>モチ</t>
    </rPh>
    <rPh sb="11" eb="13">
      <t>カジュウ</t>
    </rPh>
    <rPh sb="15" eb="17">
      <t>ダンメン</t>
    </rPh>
    <rPh sb="17" eb="19">
      <t>ケッテイ</t>
    </rPh>
    <rPh sb="19" eb="20">
      <t>ヨウ</t>
    </rPh>
    <rPh sb="20" eb="22">
      <t>ドアツ</t>
    </rPh>
    <rPh sb="23" eb="25">
      <t>スイアツ</t>
    </rPh>
    <rPh sb="28" eb="30">
      <t>サイシュウ</t>
    </rPh>
    <rPh sb="30" eb="32">
      <t>クッサク</t>
    </rPh>
    <rPh sb="32" eb="34">
      <t>ジョウタイ</t>
    </rPh>
    <rPh sb="38" eb="39">
      <t>カク</t>
    </rPh>
    <rPh sb="39" eb="40">
      <t>ダン</t>
    </rPh>
    <rPh sb="41" eb="44">
      <t>シホコウ</t>
    </rPh>
    <rPh sb="45" eb="47">
      <t>カホウ</t>
    </rPh>
    <rPh sb="47" eb="50">
      <t>ブンタンホウ</t>
    </rPh>
    <rPh sb="53" eb="55">
      <t>サヨウ</t>
    </rPh>
    <phoneticPr fontId="3"/>
  </si>
  <si>
    <r>
      <rPr>
        <i/>
        <sz val="11"/>
        <color theme="1"/>
        <rFont val="Times New Roman"/>
        <family val="1"/>
      </rPr>
      <t>p</t>
    </r>
    <r>
      <rPr>
        <i/>
        <vertAlign val="subscript"/>
        <sz val="11"/>
        <color theme="1"/>
        <rFont val="Times New Roman"/>
        <family val="1"/>
      </rPr>
      <t>1</t>
    </r>
    <r>
      <rPr>
        <i/>
        <vertAlign val="subscript"/>
        <sz val="11"/>
        <color theme="1"/>
        <rFont val="ＭＳ Ｐ明朝"/>
        <family val="1"/>
        <charset val="128"/>
      </rPr>
      <t>上</t>
    </r>
    <r>
      <rPr>
        <sz val="11"/>
        <color theme="1"/>
        <rFont val="Times New Roman"/>
        <family val="1"/>
      </rPr>
      <t>=</t>
    </r>
    <rPh sb="2" eb="3">
      <t>ウエ</t>
    </rPh>
    <phoneticPr fontId="3"/>
  </si>
  <si>
    <r>
      <rPr>
        <i/>
        <sz val="11"/>
        <color theme="1"/>
        <rFont val="Times New Roman"/>
        <family val="1"/>
      </rPr>
      <t>p</t>
    </r>
    <r>
      <rPr>
        <i/>
        <vertAlign val="subscript"/>
        <sz val="11"/>
        <color theme="1"/>
        <rFont val="Times New Roman"/>
        <family val="1"/>
      </rPr>
      <t>1</t>
    </r>
    <r>
      <rPr>
        <i/>
        <vertAlign val="subscript"/>
        <sz val="11"/>
        <color theme="1"/>
        <rFont val="ＭＳ Ｐ明朝"/>
        <family val="1"/>
        <charset val="128"/>
      </rPr>
      <t>下</t>
    </r>
    <r>
      <rPr>
        <sz val="11"/>
        <color theme="1"/>
        <rFont val="Times New Roman"/>
        <family val="1"/>
      </rPr>
      <t>=</t>
    </r>
    <rPh sb="2" eb="3">
      <t>シタ</t>
    </rPh>
    <phoneticPr fontId="3"/>
  </si>
  <si>
    <r>
      <t>R</t>
    </r>
    <r>
      <rPr>
        <vertAlign val="subscript"/>
        <sz val="11"/>
        <color theme="1"/>
        <rFont val="游ゴシック"/>
        <family val="3"/>
        <charset val="128"/>
        <scheme val="minor"/>
      </rPr>
      <t>1</t>
    </r>
    <phoneticPr fontId="3"/>
  </si>
  <si>
    <t>kN/m</t>
    <phoneticPr fontId="3"/>
  </si>
  <si>
    <t>4-1. 荷重の計算</t>
    <rPh sb="5" eb="7">
      <t>カジュウ</t>
    </rPh>
    <rPh sb="8" eb="10">
      <t>ケイサン</t>
    </rPh>
    <phoneticPr fontId="3"/>
  </si>
  <si>
    <t>4-2. 腹起しの設計</t>
    <rPh sb="5" eb="7">
      <t>ハラオコ</t>
    </rPh>
    <rPh sb="9" eb="11">
      <t>セッケイ</t>
    </rPh>
    <phoneticPr fontId="3"/>
  </si>
  <si>
    <t>H11道仮p116</t>
    <phoneticPr fontId="3"/>
  </si>
  <si>
    <r>
      <t>p = p</t>
    </r>
    <r>
      <rPr>
        <i/>
        <vertAlign val="subscript"/>
        <sz val="11"/>
        <color theme="1"/>
        <rFont val="Times New Roman"/>
        <family val="1"/>
      </rPr>
      <t>a</t>
    </r>
    <r>
      <rPr>
        <i/>
        <sz val="11"/>
        <color theme="1"/>
        <rFont val="Times New Roman"/>
        <family val="1"/>
      </rPr>
      <t xml:space="preserve"> + p</t>
    </r>
    <r>
      <rPr>
        <i/>
        <vertAlign val="subscript"/>
        <sz val="11"/>
        <color theme="1"/>
        <rFont val="Times New Roman"/>
        <family val="1"/>
      </rPr>
      <t>w</t>
    </r>
    <phoneticPr fontId="3"/>
  </si>
  <si>
    <t>よって、単位長さ当りの支保工反力は</t>
    <rPh sb="4" eb="6">
      <t>タンイ</t>
    </rPh>
    <rPh sb="6" eb="7">
      <t>ナガ</t>
    </rPh>
    <rPh sb="8" eb="9">
      <t>アタ</t>
    </rPh>
    <rPh sb="11" eb="14">
      <t>シホコウ</t>
    </rPh>
    <rPh sb="14" eb="16">
      <t>ハンリョク</t>
    </rPh>
    <phoneticPr fontId="3"/>
  </si>
  <si>
    <t>H11道仮p118</t>
    <phoneticPr fontId="3"/>
  </si>
  <si>
    <t>水平間隔</t>
    <rPh sb="0" eb="2">
      <t>スイヘイ</t>
    </rPh>
    <rPh sb="2" eb="4">
      <t>カンカク</t>
    </rPh>
    <phoneticPr fontId="3"/>
  </si>
  <si>
    <t>ｍ</t>
    <phoneticPr fontId="3"/>
  </si>
  <si>
    <t>2</t>
    <phoneticPr fontId="3"/>
  </si>
  <si>
    <t>1-2. 鋼矢板の設定</t>
    <rPh sb="5" eb="6">
      <t>ハガネ</t>
    </rPh>
    <rPh sb="6" eb="8">
      <t>ヤイタ</t>
    </rPh>
    <rPh sb="9" eb="11">
      <t>セッテイ</t>
    </rPh>
    <phoneticPr fontId="3"/>
  </si>
  <si>
    <t>H-250</t>
    <phoneticPr fontId="3"/>
  </si>
  <si>
    <r>
      <t>S</t>
    </r>
    <r>
      <rPr>
        <i/>
        <vertAlign val="subscript"/>
        <sz val="11"/>
        <color theme="1"/>
        <rFont val="Times New Roman"/>
        <family val="1"/>
      </rPr>
      <t>max</t>
    </r>
    <phoneticPr fontId="3"/>
  </si>
  <si>
    <t>曲げ引張の許容応力度</t>
    <rPh sb="0" eb="1">
      <t>マ</t>
    </rPh>
    <rPh sb="2" eb="4">
      <t>ヒッパリ</t>
    </rPh>
    <phoneticPr fontId="3"/>
  </si>
  <si>
    <t>τ</t>
    <phoneticPr fontId="3"/>
  </si>
  <si>
    <r>
      <t>A</t>
    </r>
    <r>
      <rPr>
        <i/>
        <vertAlign val="subscript"/>
        <sz val="11"/>
        <color theme="1"/>
        <rFont val="Times New Roman"/>
        <family val="1"/>
      </rPr>
      <t>w</t>
    </r>
    <phoneticPr fontId="3"/>
  </si>
  <si>
    <t>H11道仮p47</t>
    <phoneticPr fontId="3"/>
  </si>
  <si>
    <t>せん断の許容応力度</t>
    <rPh sb="2" eb="3">
      <t>ダン</t>
    </rPh>
    <phoneticPr fontId="3"/>
  </si>
  <si>
    <r>
      <rPr>
        <i/>
        <sz val="11"/>
        <color theme="1"/>
        <rFont val="Times New Roman"/>
        <family val="1"/>
        <charset val="161"/>
      </rPr>
      <t>τ</t>
    </r>
    <r>
      <rPr>
        <vertAlign val="subscript"/>
        <sz val="11"/>
        <color theme="1"/>
        <rFont val="Yu Gothic"/>
        <family val="1"/>
        <charset val="128"/>
      </rPr>
      <t>a</t>
    </r>
    <phoneticPr fontId="3"/>
  </si>
  <si>
    <t>高さ</t>
    <rPh sb="0" eb="1">
      <t>タカ</t>
    </rPh>
    <phoneticPr fontId="3"/>
  </si>
  <si>
    <t>mm</t>
    <phoneticPr fontId="3"/>
  </si>
  <si>
    <t>幅</t>
    <rPh sb="0" eb="1">
      <t>ハバ</t>
    </rPh>
    <phoneticPr fontId="3"/>
  </si>
  <si>
    <r>
      <t>t</t>
    </r>
    <r>
      <rPr>
        <i/>
        <vertAlign val="subscript"/>
        <sz val="11"/>
        <color theme="1"/>
        <rFont val="Times New Roman"/>
        <family val="1"/>
      </rPr>
      <t>1</t>
    </r>
    <phoneticPr fontId="3"/>
  </si>
  <si>
    <t>厚1（ウェブ厚）</t>
    <rPh sb="0" eb="1">
      <t>アツ</t>
    </rPh>
    <rPh sb="6" eb="7">
      <t>アツ</t>
    </rPh>
    <phoneticPr fontId="3"/>
  </si>
  <si>
    <t>厚2（フランジ厚）</t>
    <rPh sb="0" eb="1">
      <t>アツ</t>
    </rPh>
    <rPh sb="7" eb="8">
      <t>アツ</t>
    </rPh>
    <phoneticPr fontId="3"/>
  </si>
  <si>
    <r>
      <t>t</t>
    </r>
    <r>
      <rPr>
        <i/>
        <vertAlign val="subscript"/>
        <sz val="11"/>
        <color theme="1"/>
        <rFont val="Times New Roman"/>
        <family val="1"/>
      </rPr>
      <t>2</t>
    </r>
    <r>
      <rPr>
        <sz val="11"/>
        <color theme="1"/>
        <rFont val="游ゴシック"/>
        <family val="2"/>
        <charset val="128"/>
        <scheme val="minor"/>
      </rPr>
      <t/>
    </r>
  </si>
  <si>
    <r>
      <rPr>
        <i/>
        <sz val="11"/>
        <color theme="1"/>
        <rFont val="Times New Roman"/>
        <family val="1"/>
        <charset val="161"/>
      </rPr>
      <t>τ</t>
    </r>
    <r>
      <rPr>
        <vertAlign val="subscript"/>
        <sz val="11"/>
        <color theme="1"/>
        <rFont val="Times New Roman"/>
        <family val="1"/>
      </rPr>
      <t>a</t>
    </r>
    <phoneticPr fontId="3"/>
  </si>
  <si>
    <t>4-3. 切ばりの設計</t>
    <rPh sb="5" eb="6">
      <t>キリ</t>
    </rPh>
    <rPh sb="9" eb="11">
      <t>セッケイ</t>
    </rPh>
    <phoneticPr fontId="3"/>
  </si>
  <si>
    <t>H11道仮p121</t>
    <phoneticPr fontId="3"/>
  </si>
  <si>
    <t>長さ</t>
    <rPh sb="0" eb="1">
      <t>ナガ</t>
    </rPh>
    <phoneticPr fontId="3"/>
  </si>
  <si>
    <t>断面積</t>
    <rPh sb="0" eb="3">
      <t>ダンメンセキ</t>
    </rPh>
    <phoneticPr fontId="3"/>
  </si>
  <si>
    <r>
      <t>cm</t>
    </r>
    <r>
      <rPr>
        <vertAlign val="superscript"/>
        <sz val="11"/>
        <color theme="1"/>
        <rFont val="游ゴシック"/>
        <family val="3"/>
        <charset val="128"/>
        <scheme val="minor"/>
      </rPr>
      <t>2</t>
    </r>
    <phoneticPr fontId="3"/>
  </si>
  <si>
    <t>断面二次半径</t>
    <rPh sb="0" eb="2">
      <t>ダンメン</t>
    </rPh>
    <rPh sb="2" eb="4">
      <t>ニジ</t>
    </rPh>
    <rPh sb="4" eb="6">
      <t>ハンケイ</t>
    </rPh>
    <phoneticPr fontId="3"/>
  </si>
  <si>
    <r>
      <t>r</t>
    </r>
    <r>
      <rPr>
        <i/>
        <vertAlign val="subscript"/>
        <sz val="11"/>
        <color theme="1"/>
        <rFont val="Times New Roman"/>
        <family val="1"/>
      </rPr>
      <t>y</t>
    </r>
    <phoneticPr fontId="3"/>
  </si>
  <si>
    <r>
      <t>r</t>
    </r>
    <r>
      <rPr>
        <i/>
        <vertAlign val="subscript"/>
        <sz val="11"/>
        <color theme="1"/>
        <rFont val="Times New Roman"/>
        <family val="1"/>
      </rPr>
      <t>z</t>
    </r>
    <phoneticPr fontId="3"/>
  </si>
  <si>
    <t>cm</t>
    <phoneticPr fontId="3"/>
  </si>
  <si>
    <r>
      <t>cm</t>
    </r>
    <r>
      <rPr>
        <vertAlign val="superscript"/>
        <sz val="11"/>
        <color theme="1"/>
        <rFont val="游ゴシック"/>
        <family val="3"/>
        <charset val="128"/>
        <scheme val="minor"/>
      </rPr>
      <t>3</t>
    </r>
    <phoneticPr fontId="3"/>
  </si>
  <si>
    <r>
      <t>cm</t>
    </r>
    <r>
      <rPr>
        <vertAlign val="superscript"/>
        <sz val="11"/>
        <color theme="1"/>
        <rFont val="游ゴシック"/>
        <family val="3"/>
        <charset val="128"/>
        <scheme val="minor"/>
      </rPr>
      <t>4</t>
    </r>
    <phoneticPr fontId="3"/>
  </si>
  <si>
    <t>ΔN</t>
    <phoneticPr fontId="3"/>
  </si>
  <si>
    <t>切ばりは、「軸力」と「モーメント」が作用する部材として設計する。</t>
    <rPh sb="0" eb="1">
      <t>キリ</t>
    </rPh>
    <rPh sb="6" eb="8">
      <t>ジクリョク</t>
    </rPh>
    <rPh sb="18" eb="20">
      <t>サヨウ</t>
    </rPh>
    <rPh sb="22" eb="24">
      <t>ブザイ</t>
    </rPh>
    <rPh sb="27" eb="29">
      <t>セッケイ</t>
    </rPh>
    <phoneticPr fontId="3"/>
  </si>
  <si>
    <t>軸力は、「土圧」、「水圧」、および「温度変化に伴う軸力」を考慮する。</t>
    <rPh sb="0" eb="2">
      <t>ジクリョク</t>
    </rPh>
    <rPh sb="5" eb="7">
      <t>ドアツ</t>
    </rPh>
    <rPh sb="10" eb="12">
      <t>スイアツ</t>
    </rPh>
    <rPh sb="18" eb="20">
      <t>オンド</t>
    </rPh>
    <rPh sb="20" eb="22">
      <t>ヘンカ</t>
    </rPh>
    <rPh sb="23" eb="24">
      <t>トモナ</t>
    </rPh>
    <rPh sb="25" eb="27">
      <t>ジクリョク</t>
    </rPh>
    <rPh sb="29" eb="31">
      <t>コウリョ</t>
    </rPh>
    <phoneticPr fontId="3"/>
  </si>
  <si>
    <t>N</t>
    <phoneticPr fontId="3"/>
  </si>
  <si>
    <t>曲げモーメントは、鉛直方向座屈長（中間杭がないため、切ばり全長）をスパンとする単純ばりで計算する。</t>
    <rPh sb="0" eb="1">
      <t>マ</t>
    </rPh>
    <rPh sb="9" eb="11">
      <t>エンチョク</t>
    </rPh>
    <rPh sb="11" eb="13">
      <t>ホウコウ</t>
    </rPh>
    <rPh sb="13" eb="15">
      <t>ザクツ</t>
    </rPh>
    <rPh sb="15" eb="16">
      <t>チョウ</t>
    </rPh>
    <rPh sb="39" eb="41">
      <t>タンジュン</t>
    </rPh>
    <rPh sb="44" eb="46">
      <t>ケイサン</t>
    </rPh>
    <phoneticPr fontId="3"/>
  </si>
  <si>
    <t>曲げ荷重ｗは、切ばりの自重を含めて</t>
    <rPh sb="0" eb="1">
      <t>マ</t>
    </rPh>
    <rPh sb="2" eb="4">
      <t>カジュウ</t>
    </rPh>
    <rPh sb="7" eb="8">
      <t>キリ</t>
    </rPh>
    <rPh sb="11" eb="13">
      <t>ジジュウ</t>
    </rPh>
    <rPh sb="14" eb="15">
      <t>フク</t>
    </rPh>
    <phoneticPr fontId="3"/>
  </si>
  <si>
    <t>とする。（H11道仮p122）</t>
    <rPh sb="8" eb="10">
      <t>ミチカリ</t>
    </rPh>
    <phoneticPr fontId="3"/>
  </si>
  <si>
    <t>温度変化に伴う軸力増加を</t>
    <rPh sb="0" eb="2">
      <t>オンド</t>
    </rPh>
    <rPh sb="2" eb="4">
      <t>ヘンカ</t>
    </rPh>
    <rPh sb="5" eb="6">
      <t>トモナ</t>
    </rPh>
    <rPh sb="7" eb="9">
      <t>ジクリョク</t>
    </rPh>
    <rPh sb="9" eb="11">
      <t>ゾウカ</t>
    </rPh>
    <phoneticPr fontId="3"/>
  </si>
  <si>
    <t>とする。</t>
    <phoneticPr fontId="3"/>
  </si>
  <si>
    <r>
      <t>w</t>
    </r>
    <r>
      <rPr>
        <i/>
        <sz val="11"/>
        <color theme="1"/>
        <rFont val="ＭＳ Ｐ明朝"/>
        <family val="1"/>
        <charset val="128"/>
      </rPr>
      <t>・　</t>
    </r>
    <r>
      <rPr>
        <i/>
        <sz val="11"/>
        <color theme="1"/>
        <rFont val="Times New Roman"/>
        <family val="1"/>
      </rPr>
      <t>L</t>
    </r>
    <r>
      <rPr>
        <i/>
        <vertAlign val="superscript"/>
        <sz val="11"/>
        <color theme="1"/>
        <rFont val="Times New Roman"/>
        <family val="1"/>
      </rPr>
      <t>2</t>
    </r>
    <phoneticPr fontId="3"/>
  </si>
  <si>
    <t>H11道仮p122, 50</t>
    <phoneticPr fontId="3"/>
  </si>
  <si>
    <r>
      <t>σ</t>
    </r>
    <r>
      <rPr>
        <i/>
        <vertAlign val="subscript"/>
        <sz val="11"/>
        <color theme="1"/>
        <rFont val="Times New Roman"/>
        <family val="1"/>
      </rPr>
      <t>bcy</t>
    </r>
    <phoneticPr fontId="3"/>
  </si>
  <si>
    <r>
      <t>σ</t>
    </r>
    <r>
      <rPr>
        <i/>
        <vertAlign val="subscript"/>
        <sz val="11"/>
        <color theme="1"/>
        <rFont val="Times New Roman"/>
        <family val="1"/>
      </rPr>
      <t>c</t>
    </r>
    <phoneticPr fontId="3"/>
  </si>
  <si>
    <r>
      <t>σ</t>
    </r>
    <r>
      <rPr>
        <i/>
        <vertAlign val="subscript"/>
        <sz val="11"/>
        <color theme="1"/>
        <rFont val="Times New Roman"/>
        <family val="1"/>
      </rPr>
      <t>caz</t>
    </r>
    <phoneticPr fontId="3"/>
  </si>
  <si>
    <t>(1</t>
    <phoneticPr fontId="3"/>
  </si>
  <si>
    <r>
      <t>σ</t>
    </r>
    <r>
      <rPr>
        <i/>
        <vertAlign val="subscript"/>
        <sz val="11"/>
        <color theme="1"/>
        <rFont val="Times New Roman"/>
        <family val="1"/>
      </rPr>
      <t>eay</t>
    </r>
    <phoneticPr fontId="3"/>
  </si>
  <si>
    <r>
      <t>σ</t>
    </r>
    <r>
      <rPr>
        <i/>
        <vertAlign val="subscript"/>
        <sz val="11"/>
        <color theme="1"/>
        <rFont val="Times New Roman"/>
        <family val="1"/>
      </rPr>
      <t>bagy</t>
    </r>
    <phoneticPr fontId="3"/>
  </si>
  <si>
    <r>
      <t>σ</t>
    </r>
    <r>
      <rPr>
        <i/>
        <vertAlign val="subscript"/>
        <sz val="11"/>
        <color theme="1"/>
        <rFont val="Times New Roman"/>
        <family val="1"/>
      </rPr>
      <t>bcz</t>
    </r>
    <phoneticPr fontId="3"/>
  </si>
  <si>
    <r>
      <t>σ</t>
    </r>
    <r>
      <rPr>
        <i/>
        <vertAlign val="subscript"/>
        <sz val="11"/>
        <color theme="1"/>
        <rFont val="Times New Roman"/>
        <family val="1"/>
      </rPr>
      <t>ba0</t>
    </r>
    <phoneticPr fontId="3"/>
  </si>
  <si>
    <r>
      <t>σ</t>
    </r>
    <r>
      <rPr>
        <i/>
        <vertAlign val="subscript"/>
        <sz val="11"/>
        <color theme="1"/>
        <rFont val="Times New Roman"/>
        <family val="1"/>
      </rPr>
      <t>eaz</t>
    </r>
    <phoneticPr fontId="3"/>
  </si>
  <si>
    <t>≦</t>
    <phoneticPr fontId="3"/>
  </si>
  <si>
    <r>
      <t>σ</t>
    </r>
    <r>
      <rPr>
        <i/>
        <vertAlign val="subscript"/>
        <sz val="11"/>
        <color theme="1"/>
        <rFont val="Times New Roman"/>
        <family val="1"/>
      </rPr>
      <t>ca</t>
    </r>
    <r>
      <rPr>
        <vertAlign val="subscript"/>
        <sz val="11"/>
        <color theme="1"/>
        <rFont val="游ゴシック"/>
        <family val="3"/>
        <charset val="128"/>
      </rPr>
      <t>ℓ</t>
    </r>
    <phoneticPr fontId="3"/>
  </si>
  <si>
    <r>
      <t>：照査する断面に作用する軸方向力による圧縮応力度（N/mm</t>
    </r>
    <r>
      <rPr>
        <vertAlign val="superscript"/>
        <sz val="11"/>
        <color theme="1"/>
        <rFont val="游ゴシック"/>
        <family val="3"/>
        <charset val="128"/>
        <scheme val="minor"/>
      </rPr>
      <t>2</t>
    </r>
    <r>
      <rPr>
        <sz val="11"/>
        <color theme="1"/>
        <rFont val="游ゴシック"/>
        <family val="2"/>
        <scheme val="minor"/>
      </rPr>
      <t>）</t>
    </r>
    <rPh sb="1" eb="3">
      <t>ショウサ</t>
    </rPh>
    <rPh sb="5" eb="7">
      <t>ダンメン</t>
    </rPh>
    <rPh sb="8" eb="10">
      <t>サヨウ</t>
    </rPh>
    <rPh sb="12" eb="13">
      <t>ジク</t>
    </rPh>
    <rPh sb="13" eb="15">
      <t>ホウコウ</t>
    </rPh>
    <rPh sb="15" eb="16">
      <t>チカラ</t>
    </rPh>
    <rPh sb="19" eb="21">
      <t>アッシュク</t>
    </rPh>
    <rPh sb="21" eb="24">
      <t>オウリョクド</t>
    </rPh>
    <phoneticPr fontId="3"/>
  </si>
  <si>
    <r>
      <t>：弱軸まわりの許容軸方向圧縮応力度（N/mm</t>
    </r>
    <r>
      <rPr>
        <vertAlign val="superscript"/>
        <sz val="11"/>
        <color theme="1"/>
        <rFont val="游ゴシック"/>
        <family val="3"/>
        <charset val="128"/>
        <scheme val="minor"/>
      </rPr>
      <t>2</t>
    </r>
    <r>
      <rPr>
        <sz val="11"/>
        <color theme="1"/>
        <rFont val="游ゴシック"/>
        <family val="2"/>
        <scheme val="minor"/>
      </rPr>
      <t>）</t>
    </r>
    <rPh sb="1" eb="2">
      <t>ジャク</t>
    </rPh>
    <rPh sb="2" eb="3">
      <t>ジク</t>
    </rPh>
    <rPh sb="7" eb="9">
      <t>キョヨウ</t>
    </rPh>
    <rPh sb="9" eb="10">
      <t>ジク</t>
    </rPh>
    <rPh sb="10" eb="12">
      <t>ホウコウ</t>
    </rPh>
    <rPh sb="12" eb="14">
      <t>アッシュク</t>
    </rPh>
    <rPh sb="14" eb="17">
      <t>オウリョクド</t>
    </rPh>
    <phoneticPr fontId="3"/>
  </si>
  <si>
    <t>ただし、</t>
    <phoneticPr fontId="3"/>
  </si>
  <si>
    <t>b'</t>
    <phoneticPr fontId="3"/>
  </si>
  <si>
    <t>t'</t>
    <phoneticPr fontId="3"/>
  </si>
  <si>
    <r>
      <t>：局部座屈を考慮しない強軸まわりの許容曲げ圧縮応力度（N/mm</t>
    </r>
    <r>
      <rPr>
        <vertAlign val="superscript"/>
        <sz val="11"/>
        <color theme="1"/>
        <rFont val="游ゴシック"/>
        <family val="3"/>
        <charset val="128"/>
        <scheme val="minor"/>
      </rPr>
      <t>2</t>
    </r>
    <r>
      <rPr>
        <sz val="11"/>
        <color theme="1"/>
        <rFont val="游ゴシック"/>
        <family val="2"/>
        <scheme val="minor"/>
      </rPr>
      <t>）</t>
    </r>
    <rPh sb="1" eb="3">
      <t>キョクブ</t>
    </rPh>
    <rPh sb="3" eb="5">
      <t>ザクツ</t>
    </rPh>
    <rPh sb="6" eb="8">
      <t>コウリョ</t>
    </rPh>
    <rPh sb="11" eb="12">
      <t>キョウ</t>
    </rPh>
    <rPh sb="12" eb="13">
      <t>ジク</t>
    </rPh>
    <rPh sb="17" eb="19">
      <t>キョヨウ</t>
    </rPh>
    <rPh sb="19" eb="20">
      <t>マ</t>
    </rPh>
    <rPh sb="21" eb="23">
      <t>アッシュク</t>
    </rPh>
    <rPh sb="23" eb="26">
      <t>オウリョクド</t>
    </rPh>
    <phoneticPr fontId="3"/>
  </si>
  <si>
    <r>
      <t>A</t>
    </r>
    <r>
      <rPr>
        <i/>
        <vertAlign val="subscript"/>
        <sz val="11"/>
        <color theme="1"/>
        <rFont val="Times New Roman"/>
        <family val="1"/>
      </rPr>
      <t>c</t>
    </r>
    <phoneticPr fontId="3"/>
  </si>
  <si>
    <t>≧</t>
    <phoneticPr fontId="3"/>
  </si>
  <si>
    <t>：圧縮フランジの総断面積</t>
    <rPh sb="1" eb="3">
      <t>アッシュク</t>
    </rPh>
    <rPh sb="8" eb="9">
      <t>ソウ</t>
    </rPh>
    <rPh sb="9" eb="12">
      <t>ダンメンセキ</t>
    </rPh>
    <phoneticPr fontId="3"/>
  </si>
  <si>
    <t>ウェブ厚</t>
    <rPh sb="3" eb="4">
      <t>アツ</t>
    </rPh>
    <phoneticPr fontId="3"/>
  </si>
  <si>
    <t>フランジ厚</t>
    <rPh sb="4" eb="5">
      <t>アツ</t>
    </rPh>
    <phoneticPr fontId="3"/>
  </si>
  <si>
    <t>：局部座屈を考慮しない許容曲げ圧縮応力度の上限値</t>
    <rPh sb="1" eb="3">
      <t>キョクブ</t>
    </rPh>
    <rPh sb="3" eb="5">
      <t>ザクツ</t>
    </rPh>
    <rPh sb="6" eb="8">
      <t>コウリョ</t>
    </rPh>
    <rPh sb="11" eb="13">
      <t>キョヨウ</t>
    </rPh>
    <rPh sb="13" eb="14">
      <t>マ</t>
    </rPh>
    <rPh sb="15" eb="17">
      <t>アッシュク</t>
    </rPh>
    <rPh sb="17" eb="20">
      <t>オウリョクド</t>
    </rPh>
    <rPh sb="21" eb="24">
      <t>ジョウゲンチ</t>
    </rPh>
    <phoneticPr fontId="3"/>
  </si>
  <si>
    <t>（H11道仮p51）</t>
    <rPh sb="4" eb="5">
      <t>ミチ</t>
    </rPh>
    <rPh sb="5" eb="6">
      <t>カリ</t>
    </rPh>
    <phoneticPr fontId="3"/>
  </si>
  <si>
    <r>
      <t>, σ</t>
    </r>
    <r>
      <rPr>
        <i/>
        <vertAlign val="subscript"/>
        <sz val="11"/>
        <color theme="1"/>
        <rFont val="Times New Roman"/>
        <family val="1"/>
      </rPr>
      <t>eaz</t>
    </r>
    <phoneticPr fontId="3"/>
  </si>
  <si>
    <r>
      <t>, σ</t>
    </r>
    <r>
      <rPr>
        <i/>
        <vertAlign val="subscript"/>
        <sz val="11"/>
        <color theme="1"/>
        <rFont val="Times New Roman"/>
        <family val="1"/>
      </rPr>
      <t>bcz</t>
    </r>
    <phoneticPr fontId="3"/>
  </si>
  <si>
    <t>ℓ'</t>
    <phoneticPr fontId="3"/>
  </si>
  <si>
    <r>
      <t>)</t>
    </r>
    <r>
      <rPr>
        <vertAlign val="superscript"/>
        <sz val="11"/>
        <color theme="1"/>
        <rFont val="游ゴシック"/>
        <family val="3"/>
        <charset val="128"/>
        <scheme val="minor"/>
      </rPr>
      <t>2</t>
    </r>
    <phoneticPr fontId="3"/>
  </si>
  <si>
    <t>：それぞれ強軸および弱軸まわりの断面二次半径（mm）</t>
    <rPh sb="5" eb="7">
      <t>キョウジク</t>
    </rPh>
    <rPh sb="10" eb="12">
      <t>ジャクジク</t>
    </rPh>
    <rPh sb="16" eb="18">
      <t>ダンメン</t>
    </rPh>
    <rPh sb="18" eb="20">
      <t>ニジ</t>
    </rPh>
    <rPh sb="20" eb="22">
      <t>ハンケイ</t>
    </rPh>
    <phoneticPr fontId="3"/>
  </si>
  <si>
    <t>：材料両端の支点条件より定まる有効座屈長（mm）</t>
    <rPh sb="1" eb="3">
      <t>ザイリョウ</t>
    </rPh>
    <rPh sb="3" eb="5">
      <t>リョウタン</t>
    </rPh>
    <rPh sb="6" eb="8">
      <t>シテン</t>
    </rPh>
    <rPh sb="8" eb="10">
      <t>ジョウケン</t>
    </rPh>
    <rPh sb="12" eb="13">
      <t>サダ</t>
    </rPh>
    <rPh sb="15" eb="17">
      <t>ユウコウ</t>
    </rPh>
    <rPh sb="17" eb="19">
      <t>ザクツ</t>
    </rPh>
    <rPh sb="19" eb="20">
      <t>チョウ</t>
    </rPh>
    <phoneticPr fontId="3"/>
  </si>
  <si>
    <t>：切ばりのフランジ片幅</t>
    <rPh sb="1" eb="2">
      <t>キリ</t>
    </rPh>
    <rPh sb="9" eb="10">
      <t>カタ</t>
    </rPh>
    <rPh sb="10" eb="11">
      <t>ハバ</t>
    </rPh>
    <phoneticPr fontId="3"/>
  </si>
  <si>
    <t>：切ばりのフランジ厚</t>
    <rPh sb="1" eb="2">
      <t>キリ</t>
    </rPh>
    <rPh sb="9" eb="10">
      <t>アツ</t>
    </rPh>
    <phoneticPr fontId="3"/>
  </si>
  <si>
    <t>：ウェブの総断面積</t>
    <rPh sb="5" eb="6">
      <t>ソウ</t>
    </rPh>
    <rPh sb="6" eb="9">
      <t>ダンメンセキ</t>
    </rPh>
    <phoneticPr fontId="3"/>
  </si>
  <si>
    <t>：切ばりの弱軸まわりの座屈長（水平方向座屈長）</t>
    <rPh sb="1" eb="2">
      <t>キ</t>
    </rPh>
    <rPh sb="5" eb="7">
      <t>ジャクジク</t>
    </rPh>
    <rPh sb="11" eb="14">
      <t>ザクツチョウ</t>
    </rPh>
    <rPh sb="15" eb="19">
      <t>スイヘイホウコウ</t>
    </rPh>
    <rPh sb="19" eb="21">
      <t>ザクツ</t>
    </rPh>
    <rPh sb="21" eb="22">
      <t>チョウ</t>
    </rPh>
    <phoneticPr fontId="3"/>
  </si>
  <si>
    <t>（H11道仮p122より）</t>
    <phoneticPr fontId="3"/>
  </si>
  <si>
    <t>よって、弱軸の細長比は、</t>
    <rPh sb="4" eb="6">
      <t>ジャクジク</t>
    </rPh>
    <rPh sb="7" eb="9">
      <t>ホソナガ</t>
    </rPh>
    <rPh sb="9" eb="10">
      <t>ヒ</t>
    </rPh>
    <phoneticPr fontId="3"/>
  </si>
  <si>
    <t>&lt;</t>
    <phoneticPr fontId="3"/>
  </si>
  <si>
    <t>ℓ/r</t>
    <phoneticPr fontId="3"/>
  </si>
  <si>
    <t>より</t>
    <phoneticPr fontId="3"/>
  </si>
  <si>
    <t>よって、軸方向圧縮の計算式は、</t>
    <rPh sb="4" eb="7">
      <t>ジクホウコウ</t>
    </rPh>
    <rPh sb="7" eb="9">
      <t>アッシュク</t>
    </rPh>
    <rPh sb="10" eb="13">
      <t>ケイサンシキ</t>
    </rPh>
    <phoneticPr fontId="3"/>
  </si>
  <si>
    <r>
      <t>ℓ</t>
    </r>
    <r>
      <rPr>
        <i/>
        <vertAlign val="subscript"/>
        <sz val="11"/>
        <color theme="1"/>
        <rFont val="Times New Roman"/>
        <family val="1"/>
      </rPr>
      <t>z</t>
    </r>
    <phoneticPr fontId="3"/>
  </si>
  <si>
    <r>
      <t>ℓ</t>
    </r>
    <r>
      <rPr>
        <i/>
        <vertAlign val="subscript"/>
        <sz val="11"/>
        <color theme="1"/>
        <rFont val="游ゴシック"/>
        <family val="1"/>
        <charset val="128"/>
      </rPr>
      <t>y</t>
    </r>
    <phoneticPr fontId="3"/>
  </si>
  <si>
    <r>
      <t>ℓ</t>
    </r>
    <r>
      <rPr>
        <i/>
        <vertAlign val="subscript"/>
        <sz val="11"/>
        <color theme="1"/>
        <rFont val="Times New Roman"/>
        <family val="1"/>
      </rPr>
      <t>y</t>
    </r>
    <phoneticPr fontId="3"/>
  </si>
  <si>
    <t>：フランジ間の固定間距離（鉛直方向座屈長）</t>
    <rPh sb="5" eb="6">
      <t>アイダ</t>
    </rPh>
    <rPh sb="7" eb="9">
      <t>コテイ</t>
    </rPh>
    <rPh sb="9" eb="10">
      <t>カン</t>
    </rPh>
    <rPh sb="10" eb="12">
      <t>キョリ</t>
    </rPh>
    <rPh sb="13" eb="15">
      <t>エンチョク</t>
    </rPh>
    <rPh sb="15" eb="17">
      <t>ホウコウ</t>
    </rPh>
    <rPh sb="17" eb="19">
      <t>ザクツ</t>
    </rPh>
    <rPh sb="19" eb="20">
      <t>チョウ</t>
    </rPh>
    <phoneticPr fontId="3"/>
  </si>
  <si>
    <t>よって、ℓ/b は、</t>
    <phoneticPr fontId="3"/>
  </si>
  <si>
    <t>よって、曲げ圧縮縁の計算式は、</t>
    <rPh sb="4" eb="5">
      <t>マ</t>
    </rPh>
    <rPh sb="6" eb="8">
      <t>アッシュク</t>
    </rPh>
    <rPh sb="8" eb="9">
      <t>エン</t>
    </rPh>
    <rPh sb="10" eb="13">
      <t>ケイサンシキ</t>
    </rPh>
    <phoneticPr fontId="3"/>
  </si>
  <si>
    <t>ℓ/b</t>
    <phoneticPr fontId="3"/>
  </si>
  <si>
    <t>{</t>
    <phoneticPr fontId="3"/>
  </si>
  <si>
    <t>)}</t>
    <phoneticPr fontId="3"/>
  </si>
  <si>
    <r>
      <t>σ</t>
    </r>
    <r>
      <rPr>
        <i/>
        <vertAlign val="subscript"/>
        <sz val="11"/>
        <color theme="1"/>
        <rFont val="Times New Roman"/>
        <family val="1"/>
      </rPr>
      <t>cal</t>
    </r>
    <phoneticPr fontId="3"/>
  </si>
  <si>
    <t>：圧縮応力を受ける自由突出板の局部座屈に対する許容応力度</t>
    <rPh sb="1" eb="3">
      <t>アッシュク</t>
    </rPh>
    <rPh sb="3" eb="5">
      <t>オウリョク</t>
    </rPh>
    <rPh sb="6" eb="7">
      <t>ウ</t>
    </rPh>
    <rPh sb="9" eb="11">
      <t>ジユウ</t>
    </rPh>
    <rPh sb="11" eb="13">
      <t>トッシュツ</t>
    </rPh>
    <rPh sb="13" eb="14">
      <t>イタ</t>
    </rPh>
    <rPh sb="15" eb="17">
      <t>キョクブ</t>
    </rPh>
    <rPh sb="17" eb="19">
      <t>ザクツ</t>
    </rPh>
    <rPh sb="20" eb="21">
      <t>タイ</t>
    </rPh>
    <rPh sb="23" eb="25">
      <t>キョヨウ</t>
    </rPh>
    <rPh sb="25" eb="27">
      <t>オウリョク</t>
    </rPh>
    <rPh sb="27" eb="28">
      <t>ド</t>
    </rPh>
    <phoneticPr fontId="3"/>
  </si>
  <si>
    <t>土留壁</t>
    <rPh sb="0" eb="2">
      <t>ドドメ</t>
    </rPh>
    <rPh sb="2" eb="3">
      <t>ヘキ</t>
    </rPh>
    <phoneticPr fontId="3"/>
  </si>
  <si>
    <t>支保工</t>
    <rPh sb="0" eb="3">
      <t>シホコウ</t>
    </rPh>
    <phoneticPr fontId="3"/>
  </si>
  <si>
    <t>腹起しの曲げ応力度</t>
    <rPh sb="0" eb="2">
      <t>ハラオコ</t>
    </rPh>
    <rPh sb="4" eb="5">
      <t>マ</t>
    </rPh>
    <rPh sb="6" eb="9">
      <t>オウリョクド</t>
    </rPh>
    <phoneticPr fontId="3"/>
  </si>
  <si>
    <t>腹起しのせん断応力度</t>
    <rPh sb="0" eb="2">
      <t>ハラオコ</t>
    </rPh>
    <rPh sb="6" eb="7">
      <t>ダン</t>
    </rPh>
    <rPh sb="7" eb="10">
      <t>オウリョクド</t>
    </rPh>
    <phoneticPr fontId="3"/>
  </si>
  <si>
    <t>切ばりの照査式(1)</t>
    <rPh sb="0" eb="1">
      <t>キリ</t>
    </rPh>
    <rPh sb="4" eb="6">
      <t>ショウサ</t>
    </rPh>
    <rPh sb="6" eb="7">
      <t>シキ</t>
    </rPh>
    <phoneticPr fontId="3"/>
  </si>
  <si>
    <t>切ばりの照査式(2)</t>
    <rPh sb="0" eb="1">
      <t>キリ</t>
    </rPh>
    <rPh sb="4" eb="6">
      <t>ショウサ</t>
    </rPh>
    <rPh sb="6" eb="7">
      <t>シキ</t>
    </rPh>
    <phoneticPr fontId="3"/>
  </si>
  <si>
    <t>：それぞれ強軸および弱軸まわりに作用する曲げモーメントによる</t>
    <rPh sb="5" eb="6">
      <t>キョウ</t>
    </rPh>
    <rPh sb="6" eb="7">
      <t>ジク</t>
    </rPh>
    <rPh sb="10" eb="11">
      <t>ジャク</t>
    </rPh>
    <rPh sb="11" eb="12">
      <t>ジク</t>
    </rPh>
    <rPh sb="16" eb="18">
      <t>サヨウ</t>
    </rPh>
    <rPh sb="20" eb="21">
      <t>マ</t>
    </rPh>
    <phoneticPr fontId="3"/>
  </si>
  <si>
    <t>＜最大曲げモーメント＞</t>
    <rPh sb="1" eb="3">
      <t>サイダイ</t>
    </rPh>
    <rPh sb="3" eb="4">
      <t>マ</t>
    </rPh>
    <phoneticPr fontId="3"/>
  </si>
  <si>
    <t>＜最大せん断力＞</t>
    <rPh sb="1" eb="3">
      <t>サイダイ</t>
    </rPh>
    <rPh sb="5" eb="6">
      <t>ダン</t>
    </rPh>
    <rPh sb="6" eb="7">
      <t>チカラ</t>
    </rPh>
    <phoneticPr fontId="3"/>
  </si>
  <si>
    <t>2-3. 掘削底面の安定から定まる根入れ長</t>
    <rPh sb="5" eb="7">
      <t>クッサク</t>
    </rPh>
    <rPh sb="7" eb="9">
      <t>テイメン</t>
    </rPh>
    <rPh sb="10" eb="12">
      <t>アンテイ</t>
    </rPh>
    <rPh sb="14" eb="15">
      <t>サダ</t>
    </rPh>
    <rPh sb="17" eb="19">
      <t>ネイ</t>
    </rPh>
    <rPh sb="20" eb="21">
      <t>チョウ</t>
    </rPh>
    <phoneticPr fontId="3"/>
  </si>
  <si>
    <t>掘削深さが３ｍ以下であるため、検討を省略する。</t>
    <rPh sb="0" eb="2">
      <t>クッサク</t>
    </rPh>
    <rPh sb="2" eb="3">
      <t>フカ</t>
    </rPh>
    <rPh sb="7" eb="9">
      <t>イカ</t>
    </rPh>
    <rPh sb="15" eb="17">
      <t>ケントウ</t>
    </rPh>
    <rPh sb="18" eb="20">
      <t>ショウリャク</t>
    </rPh>
    <phoneticPr fontId="3"/>
  </si>
  <si>
    <t>型式（リース加工製品）</t>
    <rPh sb="0" eb="2">
      <t>カタシキ</t>
    </rPh>
    <rPh sb="6" eb="8">
      <t>カコウ</t>
    </rPh>
    <rPh sb="8" eb="10">
      <t>セイヒン</t>
    </rPh>
    <phoneticPr fontId="3"/>
  </si>
  <si>
    <t>H-300</t>
    <phoneticPr fontId="3"/>
  </si>
  <si>
    <t>H-350</t>
    <phoneticPr fontId="3"/>
  </si>
  <si>
    <t>H-400</t>
    <phoneticPr fontId="3"/>
  </si>
  <si>
    <t>リース加工製品の断面性能</t>
    <rPh sb="3" eb="5">
      <t>カコウ</t>
    </rPh>
    <rPh sb="5" eb="7">
      <t>セイヒン</t>
    </rPh>
    <rPh sb="8" eb="12">
      <t>ダンメンセイノウ</t>
    </rPh>
    <phoneticPr fontId="3"/>
  </si>
  <si>
    <t>＜曲げ応力度＞最大曲げモーメントを断面係数で除して求める。</t>
    <rPh sb="1" eb="2">
      <t>マ</t>
    </rPh>
    <rPh sb="3" eb="6">
      <t>オウリョクド</t>
    </rPh>
    <rPh sb="7" eb="9">
      <t>サイダイ</t>
    </rPh>
    <rPh sb="9" eb="10">
      <t>マ</t>
    </rPh>
    <rPh sb="17" eb="19">
      <t>ダンメン</t>
    </rPh>
    <rPh sb="19" eb="21">
      <t>ケイスウ</t>
    </rPh>
    <rPh sb="22" eb="23">
      <t>ジョ</t>
    </rPh>
    <rPh sb="25" eb="26">
      <t>モト</t>
    </rPh>
    <phoneticPr fontId="3"/>
  </si>
  <si>
    <t>＜せん断応力度＞最大せん断力をウェブの面積で除して求める。</t>
    <rPh sb="3" eb="4">
      <t>ダン</t>
    </rPh>
    <rPh sb="4" eb="7">
      <t>オウリョクド</t>
    </rPh>
    <rPh sb="8" eb="10">
      <t>サイダイ</t>
    </rPh>
    <rPh sb="12" eb="13">
      <t>ダン</t>
    </rPh>
    <rPh sb="13" eb="14">
      <t>リョク</t>
    </rPh>
    <rPh sb="19" eb="21">
      <t>メンセキ</t>
    </rPh>
    <rPh sb="22" eb="23">
      <t>ジョ</t>
    </rPh>
    <rPh sb="25" eb="26">
      <t>モト</t>
    </rPh>
    <phoneticPr fontId="3"/>
  </si>
  <si>
    <t>1-3. 腹起し材の設定</t>
    <rPh sb="5" eb="7">
      <t>ハラオコ</t>
    </rPh>
    <rPh sb="8" eb="9">
      <t>ザイ</t>
    </rPh>
    <rPh sb="10" eb="12">
      <t>セッテイ</t>
    </rPh>
    <phoneticPr fontId="3"/>
  </si>
  <si>
    <t>1-4. 切ばり材の設定</t>
    <rPh sb="5" eb="6">
      <t>キリ</t>
    </rPh>
    <rPh sb="8" eb="9">
      <t>ザイ</t>
    </rPh>
    <rPh sb="10" eb="12">
      <t>セッテイ</t>
    </rPh>
    <phoneticPr fontId="3"/>
  </si>
  <si>
    <t>2-5. 根入れ長の決定</t>
    <rPh sb="5" eb="7">
      <t>ネイ</t>
    </rPh>
    <rPh sb="8" eb="9">
      <t>チョウ</t>
    </rPh>
    <rPh sb="10" eb="12">
      <t>ケッテイ</t>
    </rPh>
    <phoneticPr fontId="3"/>
  </si>
  <si>
    <t>2-6. 鋼矢板の長さ</t>
    <rPh sb="5" eb="6">
      <t>ハガネ</t>
    </rPh>
    <rPh sb="6" eb="8">
      <t>ヤイタ</t>
    </rPh>
    <rPh sb="9" eb="10">
      <t>チョウ</t>
    </rPh>
    <phoneticPr fontId="3"/>
  </si>
  <si>
    <t>照査式(2-6-1)</t>
    <rPh sb="0" eb="2">
      <t>ショウサ</t>
    </rPh>
    <rPh sb="2" eb="3">
      <t>シキ</t>
    </rPh>
    <phoneticPr fontId="3"/>
  </si>
  <si>
    <t>照査式(2-6-2)</t>
    <rPh sb="0" eb="2">
      <t>ショウサ</t>
    </rPh>
    <rPh sb="2" eb="3">
      <t>シキ</t>
    </rPh>
    <phoneticPr fontId="3"/>
  </si>
  <si>
    <t>1.設計条件と鋼矢板・支保工の設定</t>
    <rPh sb="2" eb="4">
      <t>セッケイ</t>
    </rPh>
    <rPh sb="4" eb="6">
      <t>ジョウケン</t>
    </rPh>
    <rPh sb="7" eb="8">
      <t>ハガネ</t>
    </rPh>
    <rPh sb="8" eb="10">
      <t>ヤイタ</t>
    </rPh>
    <rPh sb="11" eb="14">
      <t>シホコウ</t>
    </rPh>
    <rPh sb="15" eb="17">
      <t>セッテイ</t>
    </rPh>
    <phoneticPr fontId="3"/>
  </si>
  <si>
    <r>
      <t>根入れ長は、ℓ</t>
    </r>
    <r>
      <rPr>
        <vertAlign val="subscript"/>
        <sz val="11"/>
        <color theme="1"/>
        <rFont val="游ゴシック"/>
        <family val="3"/>
        <charset val="128"/>
        <scheme val="minor"/>
      </rPr>
      <t>0</t>
    </r>
    <r>
      <rPr>
        <sz val="11"/>
        <color theme="1"/>
        <rFont val="游ゴシック"/>
        <family val="2"/>
        <scheme val="minor"/>
      </rPr>
      <t xml:space="preserve"> の</t>
    </r>
    <rPh sb="0" eb="2">
      <t>ネイ</t>
    </rPh>
    <rPh sb="3" eb="4">
      <t>チョウ</t>
    </rPh>
    <phoneticPr fontId="3"/>
  </si>
  <si>
    <t>2-1. 根入れ部の土圧および水圧に対する安定から必要となる根入れ長</t>
    <rPh sb="5" eb="7">
      <t>ネイ</t>
    </rPh>
    <rPh sb="8" eb="9">
      <t>ブ</t>
    </rPh>
    <rPh sb="10" eb="12">
      <t>ドアツ</t>
    </rPh>
    <rPh sb="15" eb="17">
      <t>スイアツ</t>
    </rPh>
    <rPh sb="18" eb="19">
      <t>タイ</t>
    </rPh>
    <rPh sb="21" eb="23">
      <t>アンテイ</t>
    </rPh>
    <rPh sb="25" eb="27">
      <t>ヒツヨウ</t>
    </rPh>
    <rPh sb="30" eb="32">
      <t>ネイ</t>
    </rPh>
    <rPh sb="33" eb="34">
      <t>ナガ</t>
    </rPh>
    <phoneticPr fontId="3"/>
  </si>
  <si>
    <t>(1) 主働土圧</t>
    <rPh sb="4" eb="6">
      <t>シュドウ</t>
    </rPh>
    <rPh sb="6" eb="8">
      <t>ドアツ</t>
    </rPh>
    <phoneticPr fontId="3"/>
  </si>
  <si>
    <t>(2) 受働土圧</t>
    <rPh sb="4" eb="6">
      <t>ジュドウ</t>
    </rPh>
    <rPh sb="6" eb="8">
      <t>ドアツ</t>
    </rPh>
    <phoneticPr fontId="3"/>
  </si>
  <si>
    <t>(3) 水圧</t>
    <rPh sb="4" eb="5">
      <t>スイ</t>
    </rPh>
    <phoneticPr fontId="3"/>
  </si>
  <si>
    <t>(4) 切ばり位置からのモーメントのつり合い深さ</t>
    <rPh sb="4" eb="5">
      <t>キリ</t>
    </rPh>
    <rPh sb="7" eb="9">
      <t>イチ</t>
    </rPh>
    <rPh sb="20" eb="21">
      <t>ア</t>
    </rPh>
    <rPh sb="22" eb="23">
      <t>フカ</t>
    </rPh>
    <phoneticPr fontId="3"/>
  </si>
  <si>
    <t>(5) 根入れ長</t>
    <rPh sb="4" eb="6">
      <t>ネイ</t>
    </rPh>
    <rPh sb="7" eb="8">
      <t>チョウ</t>
    </rPh>
    <phoneticPr fontId="3"/>
  </si>
  <si>
    <t>(1) 切ばり位置における反力</t>
    <rPh sb="4" eb="5">
      <t>キリ</t>
    </rPh>
    <rPh sb="7" eb="9">
      <t>イチ</t>
    </rPh>
    <rPh sb="13" eb="15">
      <t>ハンリョク</t>
    </rPh>
    <phoneticPr fontId="3"/>
  </si>
  <si>
    <t>よって、最大曲げモーメントの値は、</t>
    <rPh sb="4" eb="6">
      <t>サイダイ</t>
    </rPh>
    <rPh sb="6" eb="7">
      <t>マ</t>
    </rPh>
    <rPh sb="14" eb="15">
      <t>アタイ</t>
    </rPh>
    <phoneticPr fontId="3"/>
  </si>
  <si>
    <t>最大曲げモーメントの位置は、上式=0となるため、</t>
    <rPh sb="0" eb="2">
      <t>サイダイ</t>
    </rPh>
    <rPh sb="2" eb="3">
      <t>マ</t>
    </rPh>
    <rPh sb="10" eb="12">
      <t>イチ</t>
    </rPh>
    <rPh sb="14" eb="15">
      <t>ウエ</t>
    </rPh>
    <rPh sb="15" eb="16">
      <t>シキ</t>
    </rPh>
    <phoneticPr fontId="3"/>
  </si>
  <si>
    <t>(3) 最大曲げモーメント</t>
    <rPh sb="4" eb="6">
      <t>サイダイ</t>
    </rPh>
    <rPh sb="6" eb="7">
      <t>マ</t>
    </rPh>
    <phoneticPr fontId="3"/>
  </si>
  <si>
    <t>(1),(2)より、任意点ｘでの曲げモーメントは、下式のとおりとなる。</t>
    <rPh sb="10" eb="12">
      <t>ニンイ</t>
    </rPh>
    <rPh sb="12" eb="13">
      <t>テン</t>
    </rPh>
    <rPh sb="16" eb="17">
      <t>マ</t>
    </rPh>
    <rPh sb="25" eb="27">
      <t>シタシキ</t>
    </rPh>
    <phoneticPr fontId="3"/>
  </si>
  <si>
    <t>(2) 土圧・水圧による曲げモーメント</t>
    <rPh sb="4" eb="6">
      <t>ドアツ</t>
    </rPh>
    <rPh sb="7" eb="9">
      <t>スイアツ</t>
    </rPh>
    <rPh sb="12" eb="13">
      <t>マ</t>
    </rPh>
    <phoneticPr fontId="3"/>
  </si>
  <si>
    <t>3. 土留め壁の断面計算</t>
    <rPh sb="3" eb="5">
      <t>ドドメ</t>
    </rPh>
    <rPh sb="6" eb="7">
      <t>カベ</t>
    </rPh>
    <rPh sb="8" eb="10">
      <t>ダンメン</t>
    </rPh>
    <rPh sb="10" eb="12">
      <t>ケイサン</t>
    </rPh>
    <phoneticPr fontId="3"/>
  </si>
  <si>
    <t>(1) 断面力</t>
    <rPh sb="4" eb="6">
      <t>ダンメン</t>
    </rPh>
    <rPh sb="6" eb="7">
      <t>リョク</t>
    </rPh>
    <phoneticPr fontId="3"/>
  </si>
  <si>
    <t>(2) 安定の照査</t>
    <rPh sb="4" eb="6">
      <t>アンテイ</t>
    </rPh>
    <rPh sb="7" eb="9">
      <t>ショウサ</t>
    </rPh>
    <phoneticPr fontId="3"/>
  </si>
  <si>
    <t>照査は、H11道仮p50に掲載されている２つの照査式で行う。</t>
    <rPh sb="0" eb="2">
      <t>ショウサ</t>
    </rPh>
    <rPh sb="7" eb="8">
      <t>ミチ</t>
    </rPh>
    <rPh sb="8" eb="9">
      <t>カリ</t>
    </rPh>
    <rPh sb="13" eb="15">
      <t>ケイサイ</t>
    </rPh>
    <rPh sb="23" eb="25">
      <t>ショウサ</t>
    </rPh>
    <rPh sb="25" eb="26">
      <t>シキ</t>
    </rPh>
    <rPh sb="27" eb="28">
      <t>オコナ</t>
    </rPh>
    <phoneticPr fontId="3"/>
  </si>
  <si>
    <t>(2) 応力度の照査</t>
    <rPh sb="4" eb="7">
      <t>オウリョクド</t>
    </rPh>
    <rPh sb="8" eb="10">
      <t>ショウサ</t>
    </rPh>
    <phoneticPr fontId="3"/>
  </si>
  <si>
    <r>
      <t>V</t>
    </r>
    <r>
      <rPr>
        <vertAlign val="subscript"/>
        <sz val="11"/>
        <rFont val="游ゴシック"/>
        <family val="3"/>
        <charset val="128"/>
        <scheme val="minor"/>
      </rPr>
      <t>L</t>
    </r>
    <r>
      <rPr>
        <sz val="11"/>
        <rFont val="游ゴシック"/>
        <family val="3"/>
        <charset val="128"/>
        <scheme val="minor"/>
      </rPr>
      <t>型</t>
    </r>
    <rPh sb="2" eb="3">
      <t>ガタ</t>
    </rPh>
    <phoneticPr fontId="3"/>
  </si>
  <si>
    <t>H-300</t>
  </si>
  <si>
    <r>
      <t>t</t>
    </r>
    <r>
      <rPr>
        <i/>
        <vertAlign val="subscript"/>
        <sz val="11"/>
        <color theme="1"/>
        <rFont val="Times New Roman"/>
        <family val="1"/>
      </rPr>
      <t>2</t>
    </r>
    <phoneticPr fontId="3"/>
  </si>
  <si>
    <t>主働側による作用モーメント</t>
    <rPh sb="0" eb="2">
      <t>シュドウ</t>
    </rPh>
    <rPh sb="2" eb="3">
      <t>ガワ</t>
    </rPh>
    <rPh sb="6" eb="8">
      <t>サヨウ</t>
    </rPh>
    <phoneticPr fontId="3"/>
  </si>
  <si>
    <t>計算式</t>
    <rPh sb="0" eb="2">
      <t>ケイサン</t>
    </rPh>
    <rPh sb="2" eb="3">
      <t>シキ</t>
    </rPh>
    <phoneticPr fontId="3"/>
  </si>
  <si>
    <t>底辺×高さ/2</t>
    <rPh sb="0" eb="2">
      <t>テイヘン</t>
    </rPh>
    <rPh sb="3" eb="4">
      <t>タカ</t>
    </rPh>
    <phoneticPr fontId="3"/>
  </si>
  <si>
    <t>切ばり位置から三角形重心の鉛直距離</t>
    <rPh sb="0" eb="1">
      <t>キリ</t>
    </rPh>
    <rPh sb="3" eb="5">
      <t>イチ</t>
    </rPh>
    <rPh sb="7" eb="10">
      <t>サンカクケイ</t>
    </rPh>
    <rPh sb="10" eb="12">
      <t>ジュウシン</t>
    </rPh>
    <rPh sb="13" eb="15">
      <t>エンチョク</t>
    </rPh>
    <rPh sb="15" eb="17">
      <t>キョリ</t>
    </rPh>
    <phoneticPr fontId="3"/>
  </si>
  <si>
    <t>根入れ長は、それぞれの計算により求められる根入れ長のうち最も長いものとする。</t>
    <rPh sb="0" eb="2">
      <t>ネイ</t>
    </rPh>
    <rPh sb="3" eb="4">
      <t>チョウ</t>
    </rPh>
    <rPh sb="11" eb="13">
      <t>ケイサン</t>
    </rPh>
    <rPh sb="16" eb="17">
      <t>モト</t>
    </rPh>
    <rPh sb="21" eb="23">
      <t>ネイ</t>
    </rPh>
    <rPh sb="24" eb="25">
      <t>チョウ</t>
    </rPh>
    <rPh sb="28" eb="29">
      <t>モット</t>
    </rPh>
    <rPh sb="30" eb="31">
      <t>ナガ</t>
    </rPh>
    <phoneticPr fontId="3"/>
  </si>
  <si>
    <t>土圧および水圧に対する安定から必要となる根入れ長</t>
    <phoneticPr fontId="3"/>
  </si>
  <si>
    <r>
      <t>K</t>
    </r>
    <r>
      <rPr>
        <i/>
        <vertAlign val="subscript"/>
        <sz val="11"/>
        <color theme="1"/>
        <rFont val="Times New Roman"/>
        <family val="1"/>
      </rPr>
      <t>p</t>
    </r>
    <r>
      <rPr>
        <sz val="11"/>
        <color theme="1"/>
        <rFont val="游ゴシック"/>
        <family val="3"/>
        <charset val="128"/>
        <scheme val="minor"/>
      </rPr>
      <t>γ</t>
    </r>
    <r>
      <rPr>
        <i/>
        <sz val="11"/>
        <color theme="1"/>
        <rFont val="Times New Roman"/>
        <family val="1"/>
      </rPr>
      <t>h'+</t>
    </r>
    <phoneticPr fontId="3"/>
  </si>
  <si>
    <t>h'</t>
    <phoneticPr fontId="3"/>
  </si>
  <si>
    <t>H11道仮p159, 109</t>
    <phoneticPr fontId="3"/>
  </si>
  <si>
    <t>土留め壁の断面計算に用いる最大曲げモーメントは、掘削完了時における最下段切ばり、または、最下段切ばり設置直前における一段上の切ばりと、それぞれの場合の「仮想支持点」間をスパンとする単純ばりとし、この両方の場合について断面決定用土圧を作用させて計算する。断面決定用の土圧は、根入れ長の計算で用いた値を用いる。</t>
    <rPh sb="0" eb="2">
      <t>ドド</t>
    </rPh>
    <rPh sb="3" eb="4">
      <t>ヘキ</t>
    </rPh>
    <rPh sb="5" eb="7">
      <t>ダンメン</t>
    </rPh>
    <rPh sb="7" eb="9">
      <t>ケイサン</t>
    </rPh>
    <rPh sb="10" eb="11">
      <t>モチ</t>
    </rPh>
    <rPh sb="13" eb="15">
      <t>サイダイ</t>
    </rPh>
    <rPh sb="15" eb="16">
      <t>マ</t>
    </rPh>
    <rPh sb="76" eb="78">
      <t>カソウ</t>
    </rPh>
    <rPh sb="112" eb="113">
      <t>ヨウ</t>
    </rPh>
    <phoneticPr fontId="3"/>
  </si>
  <si>
    <t>H11道仮p157, 159, 90</t>
    <phoneticPr fontId="3"/>
  </si>
  <si>
    <t>切ばり位置をA点、仮想支持点をB点とする単純ばりを仮定し、A点における反力を計算する。</t>
    <rPh sb="0" eb="1">
      <t>キ</t>
    </rPh>
    <rPh sb="3" eb="5">
      <t>イチ</t>
    </rPh>
    <rPh sb="7" eb="8">
      <t>テン</t>
    </rPh>
    <rPh sb="9" eb="11">
      <t>カソウ</t>
    </rPh>
    <rPh sb="11" eb="13">
      <t>シジ</t>
    </rPh>
    <rPh sb="13" eb="14">
      <t>テン</t>
    </rPh>
    <rPh sb="16" eb="17">
      <t>テン</t>
    </rPh>
    <rPh sb="20" eb="22">
      <t>タンジュン</t>
    </rPh>
    <rPh sb="25" eb="27">
      <t>カテイ</t>
    </rPh>
    <rPh sb="30" eb="31">
      <t>テン</t>
    </rPh>
    <rPh sb="35" eb="37">
      <t>ハンリョク</t>
    </rPh>
    <rPh sb="38" eb="40">
      <t>ケイサン</t>
    </rPh>
    <phoneticPr fontId="3"/>
  </si>
  <si>
    <r>
      <rPr>
        <i/>
        <sz val="11"/>
        <color theme="1"/>
        <rFont val="Times New Roman"/>
        <family val="1"/>
      </rPr>
      <t>p</t>
    </r>
    <r>
      <rPr>
        <i/>
        <vertAlign val="subscript"/>
        <sz val="11"/>
        <color theme="1"/>
        <rFont val="Times New Roman"/>
        <family val="1"/>
      </rPr>
      <t>a4</t>
    </r>
    <r>
      <rPr>
        <i/>
        <vertAlign val="subscript"/>
        <sz val="11"/>
        <color theme="1"/>
        <rFont val="ＭＳ Ｐ明朝"/>
        <family val="1"/>
        <charset val="128"/>
      </rPr>
      <t xml:space="preserve">下  </t>
    </r>
    <r>
      <rPr>
        <sz val="11"/>
        <color theme="1"/>
        <rFont val="Times New Roman"/>
        <family val="1"/>
      </rPr>
      <t>=</t>
    </r>
    <rPh sb="3" eb="4">
      <t>シタ</t>
    </rPh>
    <phoneticPr fontId="3"/>
  </si>
  <si>
    <r>
      <t>p</t>
    </r>
    <r>
      <rPr>
        <i/>
        <vertAlign val="subscript"/>
        <sz val="11"/>
        <color theme="1"/>
        <rFont val="Times New Roman"/>
        <family val="1"/>
      </rPr>
      <t>p</t>
    </r>
    <phoneticPr fontId="3"/>
  </si>
  <si>
    <r>
      <rPr>
        <i/>
        <sz val="11"/>
        <color theme="1"/>
        <rFont val="Times New Roman"/>
        <family val="1"/>
      </rPr>
      <t>p</t>
    </r>
    <r>
      <rPr>
        <i/>
        <vertAlign val="subscript"/>
        <sz val="11"/>
        <color theme="1"/>
        <rFont val="Times New Roman"/>
        <family val="1"/>
      </rPr>
      <t>p4</t>
    </r>
    <r>
      <rPr>
        <i/>
        <vertAlign val="subscript"/>
        <sz val="11"/>
        <color theme="1"/>
        <rFont val="ＭＳ Ｐ明朝"/>
        <family val="1"/>
        <charset val="128"/>
      </rPr>
      <t xml:space="preserve">下  </t>
    </r>
    <r>
      <rPr>
        <sz val="11"/>
        <color theme="1"/>
        <rFont val="Times New Roman"/>
        <family val="1"/>
      </rPr>
      <t>=</t>
    </r>
    <rPh sb="3" eb="4">
      <t>シタ</t>
    </rPh>
    <phoneticPr fontId="3"/>
  </si>
  <si>
    <t>計算式</t>
    <rPh sb="0" eb="3">
      <t>ケイサンシキ</t>
    </rPh>
    <phoneticPr fontId="3"/>
  </si>
  <si>
    <t>「x」から三角形重心の鉛直距離</t>
    <rPh sb="5" eb="8">
      <t>サンカクケイ</t>
    </rPh>
    <rPh sb="8" eb="10">
      <t>ジュウシン</t>
    </rPh>
    <rPh sb="11" eb="13">
      <t>エンチョク</t>
    </rPh>
    <rPh sb="13" eb="15">
      <t>キョリ</t>
    </rPh>
    <phoneticPr fontId="3"/>
  </si>
  <si>
    <t xml:space="preserve">    曲げ圧縮応力度（N/mm²）</t>
    <phoneticPr fontId="3"/>
  </si>
  <si>
    <t>(H11道仮p47)</t>
    <phoneticPr fontId="3"/>
  </si>
  <si>
    <r>
      <t>：それぞれ強軸および弱軸まわりのオイラー座屈応力度（N/mm</t>
    </r>
    <r>
      <rPr>
        <vertAlign val="superscript"/>
        <sz val="11"/>
        <color theme="1"/>
        <rFont val="游ゴシック"/>
        <family val="3"/>
        <charset val="128"/>
        <scheme val="minor"/>
      </rPr>
      <t>2</t>
    </r>
    <r>
      <rPr>
        <sz val="11"/>
        <color theme="1"/>
        <rFont val="游ゴシック"/>
        <family val="2"/>
        <scheme val="minor"/>
      </rPr>
      <t>） (H11道仮p51)</t>
    </r>
    <rPh sb="5" eb="7">
      <t>キョウジク</t>
    </rPh>
    <rPh sb="10" eb="12">
      <t>ジャクジク</t>
    </rPh>
    <rPh sb="20" eb="22">
      <t>ザクツ</t>
    </rPh>
    <rPh sb="22" eb="24">
      <t>オウリョク</t>
    </rPh>
    <rPh sb="24" eb="25">
      <t>ド</t>
    </rPh>
    <phoneticPr fontId="3"/>
  </si>
  <si>
    <t>H-200</t>
  </si>
  <si>
    <t>[</t>
    <phoneticPr fontId="3"/>
  </si>
  <si>
    <t>)]</t>
    <phoneticPr fontId="3"/>
  </si>
  <si>
    <r>
      <t>B</t>
    </r>
    <r>
      <rPr>
        <i/>
        <vertAlign val="subscript"/>
        <sz val="11"/>
        <color theme="1"/>
        <rFont val="Times New Roman"/>
        <family val="1"/>
      </rPr>
      <t>p</t>
    </r>
    <phoneticPr fontId="3"/>
  </si>
  <si>
    <r>
      <t>R</t>
    </r>
    <r>
      <rPr>
        <i/>
        <vertAlign val="subscript"/>
        <sz val="11"/>
        <color theme="1"/>
        <rFont val="Times New Roman"/>
        <family val="1"/>
      </rPr>
      <t>1</t>
    </r>
    <r>
      <rPr>
        <i/>
        <sz val="11"/>
        <color theme="1"/>
        <rFont val="ＭＳ Ｐ明朝"/>
        <family val="1"/>
        <charset val="128"/>
      </rPr>
      <t>・　</t>
    </r>
    <r>
      <rPr>
        <i/>
        <sz val="11"/>
        <color theme="1"/>
        <rFont val="Times New Roman"/>
        <family val="1"/>
        <charset val="161"/>
      </rPr>
      <t>B</t>
    </r>
    <r>
      <rPr>
        <i/>
        <vertAlign val="subscript"/>
        <sz val="11"/>
        <color theme="1"/>
        <rFont val="Times New Roman"/>
        <family val="1"/>
      </rPr>
      <t>p</t>
    </r>
    <r>
      <rPr>
        <i/>
        <vertAlign val="superscript"/>
        <sz val="11"/>
        <color theme="1"/>
        <rFont val="Times New Roman"/>
        <family val="1"/>
      </rPr>
      <t>2</t>
    </r>
    <phoneticPr fontId="3"/>
  </si>
  <si>
    <r>
      <t>R</t>
    </r>
    <r>
      <rPr>
        <i/>
        <vertAlign val="subscript"/>
        <sz val="11"/>
        <color theme="1"/>
        <rFont val="Times New Roman"/>
        <family val="1"/>
      </rPr>
      <t>1</t>
    </r>
    <r>
      <rPr>
        <i/>
        <sz val="11"/>
        <color theme="1"/>
        <rFont val="ＭＳ Ｐ明朝"/>
        <family val="1"/>
        <charset val="128"/>
      </rPr>
      <t>・　</t>
    </r>
    <r>
      <rPr>
        <i/>
        <sz val="11"/>
        <color theme="1"/>
        <rFont val="Times New Roman"/>
        <family val="1"/>
        <charset val="161"/>
      </rPr>
      <t>B</t>
    </r>
    <r>
      <rPr>
        <i/>
        <vertAlign val="subscript"/>
        <sz val="11"/>
        <color theme="1"/>
        <rFont val="Times New Roman"/>
        <family val="1"/>
      </rPr>
      <t>p</t>
    </r>
    <phoneticPr fontId="3"/>
  </si>
  <si>
    <r>
      <t>　腹起しを設計する際の荷重の載荷方法は、単位長さ当りの支保工反力R</t>
    </r>
    <r>
      <rPr>
        <vertAlign val="subscript"/>
        <sz val="11"/>
        <color theme="1"/>
        <rFont val="游ゴシック"/>
        <family val="3"/>
        <charset val="128"/>
        <scheme val="minor"/>
      </rPr>
      <t>1</t>
    </r>
    <r>
      <rPr>
        <sz val="11"/>
        <color theme="1"/>
        <rFont val="游ゴシック"/>
        <family val="2"/>
        <scheme val="minor"/>
      </rPr>
      <t>を等分布荷重として載荷する。そして、切ばりの水平間隔B</t>
    </r>
    <r>
      <rPr>
        <vertAlign val="subscript"/>
        <sz val="11"/>
        <color theme="1"/>
        <rFont val="游ゴシック"/>
        <family val="3"/>
        <charset val="128"/>
        <scheme val="minor"/>
      </rPr>
      <t>p</t>
    </r>
    <r>
      <rPr>
        <sz val="11"/>
        <color theme="1"/>
        <rFont val="游ゴシック"/>
        <family val="2"/>
        <scheme val="minor"/>
      </rPr>
      <t>をスパンとする単純ばりとして断面力を計算する。</t>
    </r>
    <rPh sb="1" eb="3">
      <t>ハラオコ</t>
    </rPh>
    <rPh sb="5" eb="7">
      <t>セッケイ</t>
    </rPh>
    <rPh sb="9" eb="10">
      <t>サイ</t>
    </rPh>
    <rPh sb="11" eb="13">
      <t>カジュウ</t>
    </rPh>
    <rPh sb="14" eb="16">
      <t>サイカ</t>
    </rPh>
    <rPh sb="15" eb="16">
      <t>ニ</t>
    </rPh>
    <rPh sb="16" eb="18">
      <t>ホウホウ</t>
    </rPh>
    <rPh sb="20" eb="22">
      <t>タンイ</t>
    </rPh>
    <rPh sb="22" eb="23">
      <t>ナガ</t>
    </rPh>
    <rPh sb="24" eb="25">
      <t>アタ</t>
    </rPh>
    <rPh sb="27" eb="30">
      <t>シホコウ</t>
    </rPh>
    <rPh sb="30" eb="32">
      <t>ハンリョク</t>
    </rPh>
    <rPh sb="35" eb="38">
      <t>トウブンプ</t>
    </rPh>
    <rPh sb="38" eb="40">
      <t>カジュウ</t>
    </rPh>
    <rPh sb="43" eb="45">
      <t>サイカ</t>
    </rPh>
    <rPh sb="52" eb="53">
      <t>キリ</t>
    </rPh>
    <rPh sb="56" eb="58">
      <t>スイヘイ</t>
    </rPh>
    <rPh sb="58" eb="60">
      <t>カンカク</t>
    </rPh>
    <rPh sb="69" eb="71">
      <t>タンジュン</t>
    </rPh>
    <rPh sb="76" eb="78">
      <t>ダンメン</t>
    </rPh>
    <rPh sb="78" eb="79">
      <t>リョク</t>
    </rPh>
    <rPh sb="80" eb="82">
      <t>ケイサン</t>
    </rPh>
    <phoneticPr fontId="3"/>
  </si>
  <si>
    <r>
      <rPr>
        <sz val="11"/>
        <color theme="1"/>
        <rFont val="游ゴシック"/>
        <family val="3"/>
        <charset val="128"/>
        <scheme val="minor"/>
      </rPr>
      <t>Σγ</t>
    </r>
    <r>
      <rPr>
        <i/>
        <sz val="11"/>
        <color theme="1"/>
        <rFont val="Times New Roman"/>
        <family val="1"/>
      </rPr>
      <t>h'</t>
    </r>
    <phoneticPr fontId="3"/>
  </si>
  <si>
    <t>-2c√Ka</t>
    <phoneticPr fontId="3"/>
  </si>
  <si>
    <t>Ka・(∑γ・h+q)</t>
    <phoneticPr fontId="3"/>
  </si>
  <si>
    <t>ℓ₀</t>
    <phoneticPr fontId="3"/>
  </si>
  <si>
    <t>)×</t>
    <phoneticPr fontId="3"/>
  </si>
  <si>
    <t>© 2023 ce-note.com</t>
    <phoneticPr fontId="3"/>
  </si>
  <si>
    <r>
      <t>x</t>
    </r>
    <r>
      <rPr>
        <i/>
        <vertAlign val="superscript"/>
        <sz val="11"/>
        <color theme="1"/>
        <rFont val="Times New Roman"/>
        <family val="1"/>
      </rPr>
      <t>3</t>
    </r>
    <phoneticPr fontId="3"/>
  </si>
  <si>
    <t>)－(</t>
    <phoneticPr fontId="3"/>
  </si>
  <si>
    <t>√(</t>
    <phoneticPr fontId="3"/>
  </si>
  <si>
    <t>²</t>
    <phoneticPr fontId="3"/>
  </si>
  <si>
    <r>
      <rPr>
        <i/>
        <sz val="11"/>
        <color theme="1"/>
        <rFont val="Times New Roman"/>
        <family val="1"/>
      </rPr>
      <t>p</t>
    </r>
    <r>
      <rPr>
        <i/>
        <vertAlign val="subscript"/>
        <sz val="11"/>
        <color theme="1"/>
        <rFont val="Times New Roman"/>
        <family val="1"/>
      </rPr>
      <t>3x</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</si>
</sst>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00_ "/>
    <numFmt numFmtId="179" formatCode="#,##0.000;[Red]\-#,##0.000"/>
    <numFmt numFmtId="180" formatCode="0.0000000"/>
  </numFmts>
  <fonts count="39">
    <font>
      <sz val="11"/>
      <color theme="1"/>
      <name val="游ゴシック"/>
      <family val="2"/>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vertAlign val="superscript"/>
      <sz val="11"/>
      <color theme="1"/>
      <name val="游ゴシック"/>
      <family val="3"/>
      <charset val="128"/>
      <scheme val="minor"/>
    </font>
    <font>
      <vertAlign val="subscript"/>
      <sz val="11"/>
      <color theme="1"/>
      <name val="游ゴシック"/>
      <family val="3"/>
      <charset val="128"/>
      <scheme val="minor"/>
    </font>
    <font>
      <sz val="11"/>
      <color theme="1"/>
      <name val="Times New Roman"/>
      <family val="1"/>
    </font>
    <font>
      <i/>
      <sz val="11"/>
      <color theme="1"/>
      <name val="Times New Roman"/>
      <family val="1"/>
    </font>
    <font>
      <sz val="11"/>
      <color theme="1"/>
      <name val="游ゴシック"/>
      <family val="3"/>
      <charset val="128"/>
      <scheme val="minor"/>
    </font>
    <font>
      <vertAlign val="subscript"/>
      <sz val="11"/>
      <color theme="1"/>
      <name val="Times New Roman"/>
      <family val="1"/>
    </font>
    <font>
      <i/>
      <vertAlign val="subscript"/>
      <sz val="11"/>
      <color theme="1"/>
      <name val="Times New Roman"/>
      <family val="1"/>
    </font>
    <font>
      <i/>
      <sz val="11"/>
      <color theme="1"/>
      <name val="游ゴシック"/>
      <family val="2"/>
    </font>
    <font>
      <i/>
      <sz val="11"/>
      <color theme="1"/>
      <name val="ＭＳ Ｐ明朝"/>
      <family val="1"/>
      <charset val="128"/>
    </font>
    <font>
      <sz val="11"/>
      <color theme="1"/>
      <name val="游ゴシック"/>
      <family val="1"/>
      <scheme val="minor"/>
    </font>
    <font>
      <i/>
      <sz val="11"/>
      <color theme="1"/>
      <name val="Times New Roman"/>
      <family val="3"/>
      <charset val="128"/>
    </font>
    <font>
      <sz val="11"/>
      <color theme="1"/>
      <name val="Yu Gothic"/>
      <family val="1"/>
      <charset val="128"/>
    </font>
    <font>
      <vertAlign val="subscript"/>
      <sz val="11"/>
      <color theme="1"/>
      <name val="游ゴシック"/>
      <family val="1"/>
      <charset val="128"/>
    </font>
    <font>
      <vertAlign val="subscript"/>
      <sz val="11"/>
      <color theme="1"/>
      <name val="Yu Gothic"/>
      <family val="1"/>
      <charset val="128"/>
    </font>
    <font>
      <i/>
      <vertAlign val="subscript"/>
      <sz val="11"/>
      <color theme="1"/>
      <name val="ＭＳ Ｐ明朝"/>
      <family val="1"/>
      <charset val="128"/>
    </font>
    <font>
      <vertAlign val="subscript"/>
      <sz val="11"/>
      <color theme="1"/>
      <name val="ＭＳ Ｐ明朝"/>
      <family val="1"/>
      <charset val="128"/>
    </font>
    <font>
      <sz val="11"/>
      <color theme="0"/>
      <name val="游ゴシック"/>
      <family val="3"/>
      <charset val="128"/>
      <scheme val="minor"/>
    </font>
    <font>
      <sz val="11"/>
      <color rgb="FFFF0000"/>
      <name val="游ゴシック"/>
      <family val="3"/>
      <charset val="128"/>
      <scheme val="minor"/>
    </font>
    <font>
      <sz val="11"/>
      <name val="游ゴシック"/>
      <family val="2"/>
      <scheme val="minor"/>
    </font>
    <font>
      <b/>
      <vertAlign val="subscript"/>
      <sz val="11"/>
      <color theme="1"/>
      <name val="Times New Roman"/>
      <family val="1"/>
    </font>
    <font>
      <vertAlign val="subscript"/>
      <sz val="11"/>
      <name val="游ゴシック"/>
      <family val="3"/>
      <charset val="128"/>
      <scheme val="minor"/>
    </font>
    <font>
      <i/>
      <sz val="11"/>
      <color theme="1"/>
      <name val="Times New Roman"/>
      <family val="1"/>
      <charset val="161"/>
    </font>
    <font>
      <i/>
      <sz val="11"/>
      <color rgb="FFFF0000"/>
      <name val="Times New Roman"/>
      <family val="1"/>
      <charset val="161"/>
    </font>
    <font>
      <i/>
      <sz val="11"/>
      <color rgb="FFFF0000"/>
      <name val="ＭＳ Ｐ明朝"/>
      <family val="1"/>
      <charset val="128"/>
    </font>
    <font>
      <vertAlign val="subscript"/>
      <sz val="11"/>
      <color rgb="FFFF0000"/>
      <name val="Times New Roman"/>
      <family val="1"/>
    </font>
    <font>
      <i/>
      <sz val="11"/>
      <color rgb="FFFF0000"/>
      <name val="Times New Roman"/>
      <family val="1"/>
    </font>
    <font>
      <sz val="11"/>
      <color rgb="FFFF0000"/>
      <name val="游ゴシック"/>
      <family val="2"/>
      <scheme val="minor"/>
    </font>
    <font>
      <i/>
      <vertAlign val="superscript"/>
      <sz val="11"/>
      <color theme="1"/>
      <name val="Times New Roman"/>
      <family val="1"/>
    </font>
    <font>
      <vertAlign val="superscript"/>
      <sz val="11"/>
      <color theme="1"/>
      <name val="游ゴシック"/>
      <family val="2"/>
      <scheme val="minor"/>
    </font>
    <font>
      <sz val="11"/>
      <name val="游ゴシック"/>
      <family val="3"/>
      <charset val="128"/>
      <scheme val="minor"/>
    </font>
    <font>
      <sz val="11"/>
      <name val="游ゴシック"/>
      <family val="3"/>
      <charset val="128"/>
    </font>
    <font>
      <i/>
      <vertAlign val="subscript"/>
      <sz val="11"/>
      <color theme="1"/>
      <name val="游ゴシック"/>
      <family val="1"/>
      <charset val="128"/>
    </font>
    <font>
      <vertAlign val="subscript"/>
      <sz val="11"/>
      <color theme="1"/>
      <name val="游ゴシック"/>
      <family val="3"/>
      <charset val="128"/>
    </font>
    <font>
      <u/>
      <sz val="11"/>
      <color theme="10"/>
      <name val="游ゴシック"/>
      <family val="2"/>
      <scheme val="minor"/>
    </font>
    <font>
      <sz val="11"/>
      <color theme="1"/>
      <name val="ＭＳ Ｐ明朝"/>
      <family val="1"/>
      <charset val="128"/>
    </font>
  </fonts>
  <fills count="4">
    <fill>
      <patternFill patternType="none"/>
    </fill>
    <fill>
      <patternFill patternType="gray125"/>
    </fill>
    <fill>
      <patternFill patternType="solid">
        <fgColor rgb="FFFFCCFF"/>
        <bgColor indexed="64"/>
      </patternFill>
    </fill>
    <fill>
      <patternFill patternType="solid">
        <fgColor theme="0" tint="-0.14999847407452621"/>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s>
  <cellStyleXfs count="4">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37" fillId="0" borderId="0" applyNumberFormat="0" applyFill="0" applyBorder="0" applyAlignment="0" applyProtection="0"/>
  </cellStyleXfs>
  <cellXfs count="673">
    <xf numFmtId="0" fontId="0" fillId="0" borderId="0" xfId="0"/>
    <xf numFmtId="177" fontId="0" fillId="0" borderId="0" xfId="1" applyNumberFormat="1" applyFont="1" applyAlignmen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4" xfId="0" applyBorder="1" applyAlignment="1">
      <alignment horizontal="center"/>
    </xf>
    <xf numFmtId="0" fontId="0" fillId="0" borderId="5" xfId="0" applyBorder="1" applyAlignment="1">
      <alignment horizontal="center"/>
    </xf>
    <xf numFmtId="177" fontId="0" fillId="0" borderId="1" xfId="1" applyNumberFormat="1" applyFont="1" applyBorder="1" applyAlignment="1"/>
    <xf numFmtId="177" fontId="0" fillId="0" borderId="2" xfId="1" applyNumberFormat="1" applyFont="1" applyBorder="1" applyAlignment="1"/>
    <xf numFmtId="177" fontId="0" fillId="0" borderId="3" xfId="1" applyNumberFormat="1" applyFont="1" applyBorder="1" applyAlignment="1"/>
    <xf numFmtId="177" fontId="0" fillId="0" borderId="4" xfId="1" applyNumberFormat="1" applyFont="1" applyBorder="1" applyAlignment="1"/>
    <xf numFmtId="177" fontId="0" fillId="0" borderId="0" xfId="1" applyNumberFormat="1" applyFont="1" applyBorder="1" applyAlignment="1"/>
    <xf numFmtId="177" fontId="0" fillId="0" borderId="0" xfId="1" applyNumberFormat="1" applyFont="1" applyBorder="1" applyAlignment="1">
      <alignment horizontal="center"/>
    </xf>
    <xf numFmtId="177" fontId="0" fillId="0" borderId="5" xfId="1" applyNumberFormat="1" applyFont="1" applyBorder="1" applyAlignment="1"/>
    <xf numFmtId="177" fontId="0" fillId="0" borderId="6" xfId="1" applyNumberFormat="1" applyFont="1" applyBorder="1" applyAlignment="1"/>
    <xf numFmtId="177" fontId="0" fillId="0" borderId="7" xfId="1" applyNumberFormat="1" applyFont="1" applyBorder="1" applyAlignment="1"/>
    <xf numFmtId="177" fontId="0" fillId="0" borderId="7" xfId="1" applyNumberFormat="1" applyFont="1" applyBorder="1" applyAlignment="1">
      <alignment horizontal="center"/>
    </xf>
    <xf numFmtId="177" fontId="0" fillId="0" borderId="8" xfId="1" applyNumberFormat="1" applyFont="1" applyBorder="1" applyAlignment="1"/>
    <xf numFmtId="0" fontId="0" fillId="0" borderId="7" xfId="0" applyBorder="1" applyAlignment="1">
      <alignment horizontal="center"/>
    </xf>
    <xf numFmtId="0" fontId="0" fillId="0" borderId="7" xfId="0" applyBorder="1" applyAlignment="1">
      <alignment horizontal="center" vertical="center"/>
    </xf>
    <xf numFmtId="2" fontId="0" fillId="0" borderId="7" xfId="0" applyNumberFormat="1" applyBorder="1" applyAlignment="1">
      <alignment horizontal="center"/>
    </xf>
    <xf numFmtId="2" fontId="0" fillId="0" borderId="7" xfId="0" applyNumberFormat="1" applyBorder="1" applyAlignment="1">
      <alignment horizontal="left"/>
    </xf>
    <xf numFmtId="40" fontId="0" fillId="0" borderId="0" xfId="1" applyNumberFormat="1" applyFont="1" applyBorder="1" applyAlignment="1">
      <alignment horizontal="center"/>
    </xf>
    <xf numFmtId="0" fontId="0" fillId="0" borderId="7" xfId="0" applyBorder="1"/>
    <xf numFmtId="0" fontId="0" fillId="0" borderId="7" xfId="0" applyBorder="1" applyAlignment="1">
      <alignment horizontal="left"/>
    </xf>
    <xf numFmtId="38" fontId="0" fillId="0" borderId="0" xfId="1" applyFont="1" applyBorder="1" applyAlignment="1">
      <alignment horizontal="center"/>
    </xf>
    <xf numFmtId="177" fontId="0" fillId="0" borderId="0" xfId="1" applyNumberFormat="1" applyFont="1" applyBorder="1" applyAlignment="1">
      <alignment horizontal="center" vertical="center"/>
    </xf>
    <xf numFmtId="38" fontId="0" fillId="0" borderId="7" xfId="1" applyFont="1" applyBorder="1" applyAlignment="1"/>
    <xf numFmtId="177" fontId="0" fillId="0" borderId="11" xfId="1" applyNumberFormat="1" applyFont="1" applyBorder="1" applyAlignment="1"/>
    <xf numFmtId="38" fontId="0" fillId="0" borderId="0" xfId="1" applyFont="1" applyBorder="1" applyAlignment="1"/>
    <xf numFmtId="177" fontId="0" fillId="0" borderId="0" xfId="1" applyNumberFormat="1" applyFont="1" applyBorder="1" applyAlignment="1">
      <alignment vertical="center"/>
    </xf>
    <xf numFmtId="177" fontId="0" fillId="0" borderId="0" xfId="1" applyNumberFormat="1" applyFont="1" applyBorder="1" applyAlignment="1">
      <alignment horizontal="left" vertical="center"/>
    </xf>
    <xf numFmtId="177" fontId="7" fillId="0" borderId="0" xfId="1" applyNumberFormat="1" applyFont="1" applyBorder="1" applyAlignment="1"/>
    <xf numFmtId="177" fontId="7" fillId="0" borderId="0" xfId="1" applyNumberFormat="1" applyFont="1" applyBorder="1" applyAlignment="1">
      <alignment horizontal="center"/>
    </xf>
    <xf numFmtId="177" fontId="7" fillId="0" borderId="0" xfId="1" applyNumberFormat="1" applyFont="1" applyBorder="1" applyAlignment="1">
      <alignment horizontal="center" vertical="center"/>
    </xf>
    <xf numFmtId="177" fontId="8" fillId="0" borderId="0" xfId="1" applyNumberFormat="1" applyFont="1" applyBorder="1" applyAlignment="1"/>
    <xf numFmtId="177" fontId="13" fillId="0" borderId="0" xfId="1" applyNumberFormat="1" applyFont="1" applyBorder="1" applyAlignment="1"/>
    <xf numFmtId="177" fontId="0" fillId="0" borderId="0" xfId="1" applyNumberFormat="1" applyFont="1" applyFill="1" applyBorder="1" applyAlignment="1">
      <alignment horizontal="center"/>
    </xf>
    <xf numFmtId="177" fontId="0" fillId="0" borderId="0" xfId="1" quotePrefix="1" applyNumberFormat="1" applyFont="1" applyBorder="1" applyAlignment="1"/>
    <xf numFmtId="177" fontId="0" fillId="0" borderId="0" xfId="1" applyNumberFormat="1" applyFont="1" applyBorder="1" applyAlignment="1">
      <alignment horizontal="center" shrinkToFit="1"/>
    </xf>
    <xf numFmtId="177" fontId="0" fillId="0" borderId="2" xfId="1" applyNumberFormat="1" applyFont="1" applyBorder="1" applyAlignment="1">
      <alignment horizontal="center"/>
    </xf>
    <xf numFmtId="38" fontId="0" fillId="0" borderId="2" xfId="1" applyFont="1" applyBorder="1" applyAlignment="1">
      <alignment horizontal="center"/>
    </xf>
    <xf numFmtId="38" fontId="0" fillId="0" borderId="5" xfId="1" applyFont="1" applyBorder="1" applyAlignment="1"/>
    <xf numFmtId="38" fontId="0" fillId="0" borderId="11" xfId="1" applyFont="1" applyBorder="1" applyAlignment="1"/>
    <xf numFmtId="2" fontId="0" fillId="0" borderId="7" xfId="0" applyNumberFormat="1" applyBorder="1"/>
    <xf numFmtId="1" fontId="0" fillId="0" borderId="2" xfId="0" applyNumberFormat="1" applyBorder="1" applyAlignment="1">
      <alignment horizontal="center"/>
    </xf>
    <xf numFmtId="1" fontId="0" fillId="0" borderId="7" xfId="0" applyNumberFormat="1" applyBorder="1" applyAlignment="1">
      <alignment horizontal="center"/>
    </xf>
    <xf numFmtId="177" fontId="0" fillId="0" borderId="15" xfId="1" applyNumberFormat="1" applyFont="1" applyBorder="1" applyAlignment="1"/>
    <xf numFmtId="0" fontId="0" fillId="0" borderId="2" xfId="0" applyBorder="1" applyAlignment="1">
      <alignment horizontal="center"/>
    </xf>
    <xf numFmtId="2" fontId="0" fillId="0" borderId="2" xfId="0" applyNumberFormat="1" applyBorder="1" applyAlignment="1">
      <alignment horizontal="center"/>
    </xf>
    <xf numFmtId="0" fontId="0" fillId="0" borderId="2" xfId="0" applyBorder="1" applyAlignment="1">
      <alignment horizontal="center" vertical="center"/>
    </xf>
    <xf numFmtId="177" fontId="21" fillId="0" borderId="0" xfId="1" applyNumberFormat="1" applyFont="1" applyBorder="1" applyAlignment="1">
      <alignment shrinkToFit="1"/>
    </xf>
    <xf numFmtId="177" fontId="21" fillId="0" borderId="5" xfId="1" applyNumberFormat="1" applyFont="1" applyBorder="1" applyAlignment="1">
      <alignment shrinkToFit="1"/>
    </xf>
    <xf numFmtId="177" fontId="21" fillId="0" borderId="0" xfId="1" applyNumberFormat="1" applyFont="1" applyAlignment="1">
      <alignment shrinkToFit="1"/>
    </xf>
    <xf numFmtId="177" fontId="0" fillId="0" borderId="0" xfId="1" applyNumberFormat="1" applyFont="1" applyBorder="1" applyAlignment="1">
      <alignment horizontal="left" shrinkToFit="1"/>
    </xf>
    <xf numFmtId="177" fontId="7" fillId="0" borderId="5" xfId="1" applyNumberFormat="1" applyFont="1" applyBorder="1" applyAlignment="1"/>
    <xf numFmtId="0" fontId="0" fillId="0" borderId="2" xfId="0" applyBorder="1" applyAlignment="1">
      <alignment horizontal="left"/>
    </xf>
    <xf numFmtId="2" fontId="0" fillId="0" borderId="2" xfId="0" applyNumberFormat="1" applyBorder="1" applyAlignment="1">
      <alignment horizontal="left"/>
    </xf>
    <xf numFmtId="40" fontId="0" fillId="0" borderId="2" xfId="1" applyNumberFormat="1" applyFont="1" applyBorder="1" applyAlignment="1">
      <alignment horizontal="center" shrinkToFit="1"/>
    </xf>
    <xf numFmtId="40" fontId="0" fillId="0" borderId="7" xfId="1" applyNumberFormat="1" applyFont="1" applyBorder="1" applyAlignment="1">
      <alignment horizontal="center" shrinkToFit="1"/>
    </xf>
    <xf numFmtId="40" fontId="0" fillId="0" borderId="11" xfId="1" applyNumberFormat="1" applyFont="1" applyBorder="1" applyAlignment="1">
      <alignment horizontal="center" shrinkToFit="1"/>
    </xf>
    <xf numFmtId="1" fontId="0" fillId="0" borderId="11" xfId="0" applyNumberFormat="1" applyBorder="1" applyAlignment="1">
      <alignment horizontal="center"/>
    </xf>
    <xf numFmtId="0" fontId="0" fillId="0" borderId="11" xfId="0" applyBorder="1" applyAlignment="1">
      <alignment horizontal="center" vertical="center"/>
    </xf>
    <xf numFmtId="2" fontId="0" fillId="0" borderId="11" xfId="0" applyNumberFormat="1" applyBorder="1" applyAlignment="1">
      <alignment horizontal="center"/>
    </xf>
    <xf numFmtId="0" fontId="0" fillId="0" borderId="11" xfId="0" applyBorder="1" applyAlignment="1">
      <alignment horizontal="left"/>
    </xf>
    <xf numFmtId="2" fontId="0" fillId="0" borderId="11" xfId="0" applyNumberFormat="1" applyBorder="1" applyAlignment="1">
      <alignment horizontal="left"/>
    </xf>
    <xf numFmtId="2" fontId="0" fillId="0" borderId="11" xfId="0" applyNumberFormat="1" applyBorder="1"/>
    <xf numFmtId="0" fontId="0" fillId="0" borderId="11" xfId="0" applyBorder="1"/>
    <xf numFmtId="40" fontId="0" fillId="0" borderId="22" xfId="1" applyNumberFormat="1" applyFont="1" applyBorder="1" applyAlignment="1">
      <alignment horizontal="center" shrinkToFit="1"/>
    </xf>
    <xf numFmtId="177" fontId="0" fillId="0" borderId="22" xfId="1" applyNumberFormat="1" applyFont="1" applyBorder="1" applyAlignment="1"/>
    <xf numFmtId="0" fontId="0" fillId="0" borderId="22" xfId="0" applyBorder="1" applyAlignment="1">
      <alignment horizontal="left"/>
    </xf>
    <xf numFmtId="2" fontId="0" fillId="0" borderId="22" xfId="0" applyNumberFormat="1" applyBorder="1" applyAlignment="1">
      <alignment horizontal="left"/>
    </xf>
    <xf numFmtId="2" fontId="0" fillId="0" borderId="22" xfId="0" applyNumberFormat="1" applyBorder="1" applyAlignment="1">
      <alignment horizontal="center"/>
    </xf>
    <xf numFmtId="0" fontId="0" fillId="0" borderId="24" xfId="0" applyBorder="1" applyAlignment="1">
      <alignment horizontal="left"/>
    </xf>
    <xf numFmtId="177" fontId="0" fillId="0" borderId="24" xfId="1" applyNumberFormat="1" applyFont="1" applyBorder="1" applyAlignment="1"/>
    <xf numFmtId="2" fontId="0" fillId="0" borderId="24" xfId="0" applyNumberFormat="1" applyBorder="1" applyAlignment="1">
      <alignment horizontal="center"/>
    </xf>
    <xf numFmtId="2" fontId="0" fillId="0" borderId="24" xfId="0" applyNumberFormat="1" applyBorder="1" applyAlignment="1">
      <alignment horizontal="left"/>
    </xf>
    <xf numFmtId="177" fontId="0" fillId="0" borderId="12" xfId="1" applyNumberFormat="1" applyFont="1" applyBorder="1" applyAlignment="1"/>
    <xf numFmtId="0" fontId="0" fillId="0" borderId="0" xfId="0" applyAlignment="1">
      <alignment horizontal="center"/>
    </xf>
    <xf numFmtId="0" fontId="22" fillId="0" borderId="0" xfId="0" applyFont="1"/>
    <xf numFmtId="0" fontId="22" fillId="0" borderId="7" xfId="0" applyFont="1" applyBorder="1"/>
    <xf numFmtId="40" fontId="0" fillId="0" borderId="0" xfId="1" applyNumberFormat="1" applyFont="1" applyBorder="1" applyAlignment="1"/>
    <xf numFmtId="0" fontId="22" fillId="0" borderId="1" xfId="0" applyFont="1" applyBorder="1"/>
    <xf numFmtId="0" fontId="22" fillId="0" borderId="2" xfId="0" applyFont="1" applyBorder="1"/>
    <xf numFmtId="0" fontId="22" fillId="0" borderId="3" xfId="0" applyFont="1" applyBorder="1"/>
    <xf numFmtId="0" fontId="22" fillId="0" borderId="4" xfId="0" applyFont="1" applyBorder="1"/>
    <xf numFmtId="0" fontId="22" fillId="0" borderId="5" xfId="0" applyFont="1" applyBorder="1"/>
    <xf numFmtId="0" fontId="22" fillId="0" borderId="0" xfId="0" applyFont="1" applyAlignment="1">
      <alignment horizontal="right"/>
    </xf>
    <xf numFmtId="0" fontId="22" fillId="0" borderId="6" xfId="0" applyFont="1" applyBorder="1"/>
    <xf numFmtId="0" fontId="22" fillId="0" borderId="8" xfId="0" applyFont="1" applyBorder="1"/>
    <xf numFmtId="177" fontId="0" fillId="0" borderId="29" xfId="1" applyNumberFormat="1" applyFont="1" applyBorder="1" applyAlignment="1"/>
    <xf numFmtId="0" fontId="0" fillId="0" borderId="0" xfId="0" applyAlignment="1">
      <alignment horizontal="center" vertical="center"/>
    </xf>
    <xf numFmtId="2" fontId="0" fillId="0" borderId="0" xfId="0" applyNumberFormat="1" applyAlignment="1">
      <alignment horizontal="center" shrinkToFit="1"/>
    </xf>
    <xf numFmtId="2" fontId="0" fillId="0" borderId="0" xfId="0" applyNumberFormat="1" applyAlignment="1">
      <alignment horizontal="center"/>
    </xf>
    <xf numFmtId="0" fontId="0" fillId="0" borderId="0" xfId="0" applyAlignment="1">
      <alignment horizontal="left" shrinkToFit="1"/>
    </xf>
    <xf numFmtId="0" fontId="0" fillId="0" borderId="0" xfId="0" applyAlignment="1">
      <alignment horizontal="left"/>
    </xf>
    <xf numFmtId="2" fontId="0" fillId="0" borderId="0" xfId="0" applyNumberFormat="1" applyAlignment="1">
      <alignment horizontal="left"/>
    </xf>
    <xf numFmtId="0" fontId="0" fillId="0" borderId="0" xfId="0" applyAlignment="1">
      <alignment horizontal="left" vertical="center"/>
    </xf>
    <xf numFmtId="2" fontId="0" fillId="0" borderId="0" xfId="0" applyNumberFormat="1" applyAlignment="1">
      <alignment shrinkToFit="1"/>
    </xf>
    <xf numFmtId="2" fontId="22" fillId="0" borderId="0" xfId="0" applyNumberFormat="1" applyFont="1" applyAlignment="1">
      <alignment shrinkToFit="1"/>
    </xf>
    <xf numFmtId="40" fontId="0" fillId="0" borderId="5" xfId="1" applyNumberFormat="1" applyFont="1" applyBorder="1" applyAlignment="1"/>
    <xf numFmtId="1" fontId="0" fillId="0" borderId="0" xfId="0" applyNumberFormat="1" applyAlignment="1">
      <alignment horizontal="center"/>
    </xf>
    <xf numFmtId="177" fontId="0" fillId="0" borderId="6" xfId="1" applyNumberFormat="1" applyFont="1" applyBorder="1" applyAlignment="1">
      <alignment horizontal="left" shrinkToFit="1"/>
    </xf>
    <xf numFmtId="177" fontId="0" fillId="0" borderId="7" xfId="1" applyNumberFormat="1" applyFont="1" applyBorder="1" applyAlignment="1">
      <alignment horizontal="left" shrinkToFit="1"/>
    </xf>
    <xf numFmtId="177" fontId="0" fillId="0" borderId="7" xfId="1" applyNumberFormat="1" applyFont="1" applyFill="1" applyBorder="1" applyAlignment="1">
      <alignment horizontal="center"/>
    </xf>
    <xf numFmtId="177" fontId="0" fillId="0" borderId="7" xfId="1" applyNumberFormat="1" applyFont="1" applyBorder="1" applyAlignment="1">
      <alignment horizontal="center" shrinkToFit="1"/>
    </xf>
    <xf numFmtId="177" fontId="0" fillId="0" borderId="8" xfId="1" applyNumberFormat="1" applyFont="1" applyBorder="1" applyAlignment="1">
      <alignment horizontal="center" shrinkToFit="1"/>
    </xf>
    <xf numFmtId="177" fontId="0" fillId="0" borderId="0" xfId="1" applyNumberFormat="1" applyFont="1" applyBorder="1" applyAlignment="1">
      <alignment horizontal="left" vertical="top" wrapText="1"/>
    </xf>
    <xf numFmtId="177" fontId="0" fillId="0" borderId="5" xfId="1" applyNumberFormat="1" applyFont="1" applyBorder="1" applyAlignment="1">
      <alignment horizontal="left" vertical="top" wrapText="1"/>
    </xf>
    <xf numFmtId="177" fontId="0" fillId="0" borderId="0" xfId="1" applyNumberFormat="1" applyFont="1" applyBorder="1" applyAlignment="1">
      <alignment horizontal="left"/>
    </xf>
    <xf numFmtId="177" fontId="0" fillId="0" borderId="5" xfId="1" applyNumberFormat="1" applyFont="1" applyBorder="1" applyAlignment="1">
      <alignment vertical="center"/>
    </xf>
    <xf numFmtId="40" fontId="0" fillId="0" borderId="0" xfId="1" applyNumberFormat="1" applyFont="1" applyBorder="1" applyAlignment="1">
      <alignment vertical="center"/>
    </xf>
    <xf numFmtId="40" fontId="0" fillId="0" borderId="2" xfId="1" applyNumberFormat="1" applyFont="1" applyBorder="1" applyAlignment="1"/>
    <xf numFmtId="177" fontId="0" fillId="0" borderId="0" xfId="1" applyNumberFormat="1" applyFont="1" applyBorder="1" applyAlignment="1">
      <alignment vertical="top" wrapText="1"/>
    </xf>
    <xf numFmtId="177" fontId="0" fillId="0" borderId="0" xfId="1" applyNumberFormat="1" applyFont="1" applyFill="1" applyBorder="1" applyAlignment="1"/>
    <xf numFmtId="40" fontId="30" fillId="0" borderId="0" xfId="1" applyNumberFormat="1" applyFont="1" applyBorder="1" applyAlignment="1">
      <alignment horizontal="center"/>
    </xf>
    <xf numFmtId="177" fontId="0" fillId="0" borderId="0" xfId="1" applyNumberFormat="1" applyFont="1" applyBorder="1" applyAlignment="1">
      <alignment horizontal="center" vertical="center" wrapText="1"/>
    </xf>
    <xf numFmtId="177" fontId="0" fillId="0" borderId="25" xfId="1" applyNumberFormat="1" applyFont="1" applyBorder="1" applyAlignment="1"/>
    <xf numFmtId="0" fontId="0" fillId="0" borderId="7" xfId="0" applyBorder="1" applyAlignment="1">
      <alignment horizontal="center" shrinkToFit="1"/>
    </xf>
    <xf numFmtId="0" fontId="6" fillId="0" borderId="7" xfId="0" applyFont="1" applyBorder="1" applyAlignment="1">
      <alignment horizontal="center" shrinkToFit="1"/>
    </xf>
    <xf numFmtId="2" fontId="0" fillId="0" borderId="5" xfId="0" applyNumberFormat="1" applyBorder="1" applyAlignment="1">
      <alignment horizontal="center"/>
    </xf>
    <xf numFmtId="177" fontId="0" fillId="0" borderId="6" xfId="1" applyNumberFormat="1" applyFont="1" applyBorder="1" applyAlignment="1">
      <alignment horizontal="center" vertical="center" wrapText="1"/>
    </xf>
    <xf numFmtId="177" fontId="0" fillId="0" borderId="8" xfId="1" applyNumberFormat="1" applyFont="1" applyBorder="1" applyAlignment="1">
      <alignment horizontal="center" vertical="center" wrapText="1"/>
    </xf>
    <xf numFmtId="40" fontId="30" fillId="0" borderId="7" xfId="1" applyNumberFormat="1" applyFont="1" applyBorder="1" applyAlignment="1">
      <alignment horizontal="center"/>
    </xf>
    <xf numFmtId="177" fontId="0" fillId="0" borderId="0" xfId="1" applyNumberFormat="1" applyFont="1" applyFill="1" applyAlignment="1">
      <alignment horizontal="left" wrapText="1"/>
    </xf>
    <xf numFmtId="177" fontId="7" fillId="0" borderId="7" xfId="1" applyNumberFormat="1" applyFont="1" applyBorder="1" applyAlignment="1"/>
    <xf numFmtId="0" fontId="6" fillId="0" borderId="0" xfId="0" applyFont="1" applyAlignment="1">
      <alignment horizontal="center" shrinkToFit="1"/>
    </xf>
    <xf numFmtId="177" fontId="0" fillId="0" borderId="0" xfId="1" applyNumberFormat="1" applyFont="1" applyFill="1" applyBorder="1" applyAlignment="1">
      <alignment horizontal="left" wrapText="1"/>
    </xf>
    <xf numFmtId="177" fontId="0" fillId="0" borderId="5" xfId="1" applyNumberFormat="1" applyFont="1" applyFill="1" applyBorder="1" applyAlignment="1">
      <alignment horizontal="left" wrapText="1"/>
    </xf>
    <xf numFmtId="177" fontId="0" fillId="0" borderId="0" xfId="1" quotePrefix="1" applyNumberFormat="1" applyFont="1" applyBorder="1" applyAlignment="1">
      <alignment vertical="top"/>
    </xf>
    <xf numFmtId="177" fontId="0" fillId="0" borderId="10" xfId="1" applyNumberFormat="1" applyFont="1" applyBorder="1" applyAlignment="1">
      <alignment vertical="center"/>
    </xf>
    <xf numFmtId="177" fontId="0" fillId="0" borderId="11" xfId="1" applyNumberFormat="1" applyFont="1" applyBorder="1" applyAlignment="1">
      <alignment vertical="center"/>
    </xf>
    <xf numFmtId="177" fontId="0" fillId="0" borderId="10" xfId="1" applyNumberFormat="1" applyFont="1" applyBorder="1" applyAlignment="1"/>
    <xf numFmtId="2" fontId="30" fillId="0" borderId="7" xfId="0" applyNumberFormat="1" applyFont="1" applyBorder="1" applyAlignment="1">
      <alignment horizontal="center" vertical="center"/>
    </xf>
    <xf numFmtId="177" fontId="0" fillId="0" borderId="20" xfId="1" applyNumberFormat="1" applyFont="1" applyBorder="1" applyAlignment="1">
      <alignment vertical="center"/>
    </xf>
    <xf numFmtId="177" fontId="0" fillId="0" borderId="20" xfId="1" applyNumberFormat="1" applyFont="1" applyBorder="1" applyAlignment="1"/>
    <xf numFmtId="1" fontId="0" fillId="0" borderId="22" xfId="0" applyNumberFormat="1" applyBorder="1" applyAlignment="1">
      <alignment horizontal="center"/>
    </xf>
    <xf numFmtId="177" fontId="0" fillId="0" borderId="21" xfId="1" applyNumberFormat="1" applyFont="1" applyBorder="1" applyAlignment="1"/>
    <xf numFmtId="177" fontId="8" fillId="0" borderId="7" xfId="1" applyNumberFormat="1" applyFont="1" applyBorder="1" applyAlignment="1"/>
    <xf numFmtId="177" fontId="32" fillId="0" borderId="7" xfId="1" quotePrefix="1" applyNumberFormat="1" applyFont="1" applyBorder="1" applyAlignment="1"/>
    <xf numFmtId="177" fontId="0" fillId="0" borderId="4" xfId="1" applyNumberFormat="1" applyFont="1" applyBorder="1" applyAlignment="1">
      <alignment vertical="top" wrapText="1"/>
    </xf>
    <xf numFmtId="177" fontId="25" fillId="0" borderId="0" xfId="1" applyNumberFormat="1" applyFont="1" applyBorder="1" applyAlignment="1"/>
    <xf numFmtId="38" fontId="8" fillId="0" borderId="0" xfId="1" applyFont="1" applyBorder="1" applyAlignment="1"/>
    <xf numFmtId="177" fontId="0" fillId="0" borderId="5" xfId="1" applyNumberFormat="1" applyFont="1" applyBorder="1" applyAlignment="1">
      <alignment vertical="top" wrapText="1"/>
    </xf>
    <xf numFmtId="38" fontId="0" fillId="0" borderId="0" xfId="1" applyFont="1" applyFill="1" applyBorder="1" applyAlignment="1">
      <alignment horizontal="center"/>
    </xf>
    <xf numFmtId="177" fontId="8" fillId="0" borderId="0" xfId="1" applyNumberFormat="1" applyFont="1" applyBorder="1" applyAlignment="1">
      <alignment horizontal="center"/>
    </xf>
    <xf numFmtId="177" fontId="8" fillId="0" borderId="0" xfId="1" applyNumberFormat="1" applyFont="1" applyBorder="1" applyAlignment="1">
      <alignment horizontal="center" shrinkToFit="1"/>
    </xf>
    <xf numFmtId="38" fontId="0" fillId="0" borderId="0" xfId="1" applyFont="1" applyBorder="1" applyAlignment="1">
      <alignment horizontal="center" vertical="center"/>
    </xf>
    <xf numFmtId="40" fontId="0" fillId="0" borderId="7" xfId="1" applyNumberFormat="1" applyFont="1" applyBorder="1" applyAlignment="1">
      <alignment horizontal="center"/>
    </xf>
    <xf numFmtId="177" fontId="7" fillId="0" borderId="7" xfId="1" applyNumberFormat="1" applyFont="1" applyBorder="1" applyAlignment="1">
      <alignment horizontal="center"/>
    </xf>
    <xf numFmtId="38" fontId="0" fillId="0" borderId="7" xfId="1" applyFont="1" applyBorder="1" applyAlignment="1">
      <alignment horizontal="center"/>
    </xf>
    <xf numFmtId="177" fontId="7" fillId="0" borderId="0" xfId="1" applyNumberFormat="1" applyFont="1" applyBorder="1" applyAlignment="1">
      <alignment horizontal="right"/>
    </xf>
    <xf numFmtId="177" fontId="0" fillId="0" borderId="5" xfId="1" applyNumberFormat="1" applyFont="1" applyBorder="1" applyAlignment="1">
      <alignment horizontal="left" shrinkToFit="1"/>
    </xf>
    <xf numFmtId="177" fontId="7" fillId="0" borderId="0" xfId="1" applyNumberFormat="1" applyFont="1" applyBorder="1" applyAlignment="1">
      <alignment horizontal="left"/>
    </xf>
    <xf numFmtId="177" fontId="7" fillId="0" borderId="0" xfId="1" applyNumberFormat="1" applyFont="1" applyBorder="1" applyAlignment="1">
      <alignment horizontal="right" shrinkToFit="1"/>
    </xf>
    <xf numFmtId="38" fontId="8" fillId="0" borderId="0" xfId="1" applyFont="1" applyBorder="1" applyAlignment="1">
      <alignment horizontal="center"/>
    </xf>
    <xf numFmtId="38" fontId="0" fillId="0" borderId="0" xfId="1" applyFont="1" applyBorder="1" applyAlignment="1">
      <alignment horizontal="center" shrinkToFit="1"/>
    </xf>
    <xf numFmtId="38" fontId="0" fillId="0" borderId="7" xfId="1" applyFont="1" applyBorder="1" applyAlignment="1">
      <alignment horizontal="center" shrinkToFit="1"/>
    </xf>
    <xf numFmtId="177" fontId="7" fillId="0" borderId="0" xfId="1" applyNumberFormat="1" applyFont="1" applyBorder="1" applyAlignment="1">
      <alignment horizontal="right" vertical="center"/>
    </xf>
    <xf numFmtId="177" fontId="7" fillId="0" borderId="7" xfId="1" applyNumberFormat="1" applyFont="1" applyBorder="1" applyAlignment="1">
      <alignment horizontal="center" vertical="center"/>
    </xf>
    <xf numFmtId="177" fontId="8" fillId="0" borderId="7" xfId="1" applyNumberFormat="1" applyFont="1" applyBorder="1" applyAlignment="1">
      <alignment horizontal="center"/>
    </xf>
    <xf numFmtId="38" fontId="8" fillId="0" borderId="7" xfId="1" applyFont="1" applyBorder="1" applyAlignment="1">
      <alignment horizontal="center"/>
    </xf>
    <xf numFmtId="177" fontId="8" fillId="0" borderId="0" xfId="1" applyNumberFormat="1" applyFont="1" applyBorder="1" applyAlignment="1">
      <alignment horizontal="left"/>
    </xf>
    <xf numFmtId="177" fontId="7" fillId="0" borderId="0" xfId="1" applyNumberFormat="1" applyFont="1" applyBorder="1" applyAlignment="1">
      <alignment vertical="center"/>
    </xf>
    <xf numFmtId="40" fontId="8" fillId="0" borderId="0" xfId="1" applyNumberFormat="1" applyFont="1" applyBorder="1" applyAlignment="1">
      <alignment horizontal="center"/>
    </xf>
    <xf numFmtId="0" fontId="0" fillId="0" borderId="0" xfId="0" applyAlignment="1">
      <alignment horizontal="center" shrinkToFit="1"/>
    </xf>
    <xf numFmtId="2" fontId="30" fillId="0" borderId="0" xfId="0" applyNumberFormat="1" applyFont="1" applyAlignment="1">
      <alignment horizontal="center" vertical="center"/>
    </xf>
    <xf numFmtId="2" fontId="22" fillId="0" borderId="0" xfId="0" applyNumberFormat="1" applyFont="1" applyAlignment="1">
      <alignment horizontal="left" vertical="center"/>
    </xf>
    <xf numFmtId="177" fontId="7" fillId="0" borderId="7" xfId="1" applyNumberFormat="1" applyFont="1" applyBorder="1" applyAlignment="1">
      <alignment horizontal="right" vertical="center"/>
    </xf>
    <xf numFmtId="177" fontId="0" fillId="0" borderId="7" xfId="1" applyNumberFormat="1" applyFont="1" applyBorder="1" applyAlignment="1">
      <alignment horizontal="center" vertical="center"/>
    </xf>
    <xf numFmtId="177" fontId="0" fillId="0" borderId="5" xfId="1" applyNumberFormat="1" applyFont="1" applyBorder="1" applyAlignment="1">
      <alignment shrinkToFit="1"/>
    </xf>
    <xf numFmtId="177" fontId="7" fillId="0" borderId="4" xfId="1" applyNumberFormat="1" applyFont="1" applyBorder="1" applyAlignment="1">
      <alignment horizontal="right"/>
    </xf>
    <xf numFmtId="177" fontId="7" fillId="0" borderId="6" xfId="1" applyNumberFormat="1" applyFont="1" applyBorder="1" applyAlignment="1">
      <alignment horizontal="right"/>
    </xf>
    <xf numFmtId="177" fontId="7" fillId="0" borderId="7" xfId="1" applyNumberFormat="1" applyFont="1" applyBorder="1" applyAlignment="1">
      <alignment horizontal="right"/>
    </xf>
    <xf numFmtId="177" fontId="7" fillId="0" borderId="7" xfId="1" applyNumberFormat="1" applyFont="1" applyBorder="1" applyAlignment="1">
      <alignment horizontal="left"/>
    </xf>
    <xf numFmtId="177" fontId="0" fillId="0" borderId="8" xfId="1" applyNumberFormat="1" applyFont="1" applyBorder="1" applyAlignment="1">
      <alignment horizontal="left" shrinkToFit="1"/>
    </xf>
    <xf numFmtId="177" fontId="8" fillId="0" borderId="7" xfId="1" applyNumberFormat="1" applyFont="1" applyBorder="1" applyAlignment="1">
      <alignment horizontal="left"/>
    </xf>
    <xf numFmtId="38" fontId="0" fillId="0" borderId="5" xfId="1" applyFont="1" applyBorder="1" applyAlignment="1">
      <alignment horizontal="center"/>
    </xf>
    <xf numFmtId="177" fontId="8" fillId="0" borderId="7" xfId="1" applyNumberFormat="1" applyFont="1" applyBorder="1" applyAlignment="1">
      <alignment horizontal="center" shrinkToFit="1"/>
    </xf>
    <xf numFmtId="177" fontId="0" fillId="0" borderId="7" xfId="1" applyNumberFormat="1" applyFont="1" applyBorder="1" applyAlignment="1">
      <alignment vertical="center"/>
    </xf>
    <xf numFmtId="177" fontId="0" fillId="0" borderId="7" xfId="1" applyNumberFormat="1" applyFont="1" applyBorder="1" applyAlignment="1">
      <alignment horizontal="left" vertical="center"/>
    </xf>
    <xf numFmtId="38" fontId="0" fillId="0" borderId="8" xfId="1" applyFont="1" applyBorder="1" applyAlignment="1">
      <alignment horizontal="center"/>
    </xf>
    <xf numFmtId="38" fontId="0" fillId="0" borderId="7" xfId="1" applyFont="1" applyFill="1" applyBorder="1" applyAlignment="1">
      <alignment horizontal="center"/>
    </xf>
    <xf numFmtId="177" fontId="0" fillId="0" borderId="9" xfId="1" applyNumberFormat="1" applyFont="1" applyBorder="1" applyAlignment="1"/>
    <xf numFmtId="2" fontId="22" fillId="0" borderId="0" xfId="0" applyNumberFormat="1" applyFont="1" applyAlignment="1">
      <alignment horizontal="center"/>
    </xf>
    <xf numFmtId="0" fontId="0" fillId="0" borderId="8" xfId="0" applyBorder="1" applyAlignment="1">
      <alignment horizontal="center" vertical="center"/>
    </xf>
    <xf numFmtId="177" fontId="33" fillId="0" borderId="0" xfId="1" applyNumberFormat="1" applyFont="1" applyBorder="1" applyAlignment="1">
      <alignment shrinkToFit="1"/>
    </xf>
    <xf numFmtId="177" fontId="20" fillId="0" borderId="0" xfId="1" applyNumberFormat="1" applyFont="1" applyFill="1" applyBorder="1" applyAlignment="1">
      <alignment shrinkToFit="1"/>
    </xf>
    <xf numFmtId="177" fontId="20" fillId="0" borderId="5" xfId="1" applyNumberFormat="1" applyFont="1" applyFill="1" applyBorder="1" applyAlignment="1">
      <alignment shrinkToFit="1"/>
    </xf>
    <xf numFmtId="38" fontId="0" fillId="0" borderId="0" xfId="1" applyFont="1" applyAlignment="1"/>
    <xf numFmtId="0" fontId="37" fillId="0" borderId="0" xfId="3"/>
    <xf numFmtId="177" fontId="0" fillId="0" borderId="0" xfId="1" quotePrefix="1" applyNumberFormat="1" applyFont="1" applyAlignment="1"/>
    <xf numFmtId="40" fontId="0" fillId="0" borderId="0" xfId="1" applyNumberFormat="1" applyFont="1" applyBorder="1" applyAlignment="1">
      <alignment horizontal="center" shrinkToFit="1"/>
    </xf>
    <xf numFmtId="177" fontId="0" fillId="0" borderId="2" xfId="1" applyNumberFormat="1" applyFont="1" applyFill="1" applyBorder="1" applyAlignment="1">
      <alignment horizontal="left" wrapText="1"/>
    </xf>
    <xf numFmtId="177" fontId="0" fillId="0" borderId="3" xfId="1" applyNumberFormat="1" applyFont="1" applyFill="1" applyBorder="1" applyAlignment="1">
      <alignment horizontal="left" wrapText="1"/>
    </xf>
    <xf numFmtId="177" fontId="0" fillId="0" borderId="7" xfId="1" applyNumberFormat="1" applyFont="1" applyFill="1" applyBorder="1" applyAlignment="1">
      <alignment horizontal="left" wrapText="1"/>
    </xf>
    <xf numFmtId="177" fontId="0" fillId="0" borderId="8" xfId="1" applyNumberFormat="1" applyFont="1" applyFill="1" applyBorder="1" applyAlignment="1">
      <alignment horizontal="left" wrapText="1"/>
    </xf>
    <xf numFmtId="40" fontId="0" fillId="0" borderId="0" xfId="1" applyNumberFormat="1" applyFont="1" applyFill="1" applyBorder="1" applyAlignment="1">
      <alignment horizontal="center"/>
    </xf>
    <xf numFmtId="178" fontId="0" fillId="0" borderId="0" xfId="0" applyNumberFormat="1" applyAlignment="1">
      <alignment horizontal="center" shrinkToFit="1"/>
    </xf>
    <xf numFmtId="40" fontId="0" fillId="0" borderId="0" xfId="1" applyNumberFormat="1" applyFont="1" applyBorder="1" applyAlignment="1">
      <alignment vertical="center" shrinkToFit="1"/>
    </xf>
    <xf numFmtId="2" fontId="0" fillId="0" borderId="0" xfId="0" applyNumberFormat="1"/>
    <xf numFmtId="0" fontId="7" fillId="0" borderId="0" xfId="0" applyFont="1" applyAlignment="1">
      <alignment vertical="center" shrinkToFit="1"/>
    </xf>
    <xf numFmtId="0" fontId="0" fillId="0" borderId="12"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38" fontId="0" fillId="2" borderId="16" xfId="1" applyFont="1" applyFill="1" applyBorder="1" applyAlignment="1" applyProtection="1">
      <alignment horizontal="center"/>
      <protection locked="0"/>
    </xf>
    <xf numFmtId="38" fontId="0" fillId="2" borderId="17" xfId="1" applyFont="1" applyFill="1" applyBorder="1" applyAlignment="1" applyProtection="1">
      <alignment horizontal="center"/>
      <protection locked="0"/>
    </xf>
    <xf numFmtId="38" fontId="0" fillId="2" borderId="18" xfId="1" applyFont="1" applyFill="1" applyBorder="1" applyAlignment="1" applyProtection="1">
      <alignment horizontal="center"/>
      <protection locked="0"/>
    </xf>
    <xf numFmtId="177" fontId="7" fillId="0" borderId="0" xfId="1" applyNumberFormat="1" applyFont="1" applyBorder="1" applyAlignment="1">
      <alignment horizontal="center"/>
    </xf>
    <xf numFmtId="38" fontId="0" fillId="0" borderId="10" xfId="1" applyFont="1" applyFill="1" applyBorder="1" applyAlignment="1" applyProtection="1">
      <alignment horizontal="center"/>
    </xf>
    <xf numFmtId="38" fontId="0" fillId="0" borderId="11" xfId="1" applyFont="1" applyFill="1" applyBorder="1" applyAlignment="1" applyProtection="1">
      <alignment horizontal="center"/>
    </xf>
    <xf numFmtId="38" fontId="0" fillId="0" borderId="12" xfId="1" applyFont="1" applyFill="1" applyBorder="1" applyAlignment="1" applyProtection="1">
      <alignment horizontal="center"/>
    </xf>
    <xf numFmtId="38" fontId="8" fillId="2" borderId="16" xfId="1" applyFont="1" applyFill="1" applyBorder="1" applyAlignment="1" applyProtection="1">
      <alignment horizontal="center"/>
      <protection locked="0"/>
    </xf>
    <xf numFmtId="38" fontId="8" fillId="2" borderId="17" xfId="1" applyFont="1" applyFill="1" applyBorder="1" applyAlignment="1" applyProtection="1">
      <alignment horizontal="center"/>
      <protection locked="0"/>
    </xf>
    <xf numFmtId="38" fontId="8" fillId="2" borderId="18" xfId="1" applyFont="1" applyFill="1" applyBorder="1" applyAlignment="1" applyProtection="1">
      <alignment horizontal="center"/>
      <protection locked="0"/>
    </xf>
    <xf numFmtId="9" fontId="0" fillId="2" borderId="10" xfId="1" applyNumberFormat="1" applyFont="1" applyFill="1" applyBorder="1" applyAlignment="1" applyProtection="1">
      <alignment horizontal="center"/>
      <protection locked="0"/>
    </xf>
    <xf numFmtId="9" fontId="0" fillId="2" borderId="11" xfId="1" applyNumberFormat="1" applyFont="1" applyFill="1" applyBorder="1" applyAlignment="1" applyProtection="1">
      <alignment horizontal="center"/>
      <protection locked="0"/>
    </xf>
    <xf numFmtId="9" fontId="0" fillId="2" borderId="12" xfId="1" applyNumberFormat="1" applyFont="1" applyFill="1" applyBorder="1" applyAlignment="1" applyProtection="1">
      <alignment horizontal="center"/>
      <protection locked="0"/>
    </xf>
    <xf numFmtId="38" fontId="0" fillId="2" borderId="10" xfId="1" applyFont="1" applyFill="1" applyBorder="1" applyAlignment="1" applyProtection="1">
      <alignment horizontal="center"/>
      <protection locked="0"/>
    </xf>
    <xf numFmtId="38" fontId="0" fillId="2" borderId="11" xfId="1" applyFont="1" applyFill="1" applyBorder="1" applyAlignment="1" applyProtection="1">
      <alignment horizontal="center"/>
      <protection locked="0"/>
    </xf>
    <xf numFmtId="38" fontId="0" fillId="2" borderId="12" xfId="1" applyFont="1" applyFill="1" applyBorder="1" applyAlignment="1" applyProtection="1">
      <alignment horizontal="center"/>
      <protection locked="0"/>
    </xf>
    <xf numFmtId="38" fontId="0" fillId="0" borderId="10" xfId="1" applyFont="1" applyFill="1" applyBorder="1" applyAlignment="1">
      <alignment horizontal="center"/>
    </xf>
    <xf numFmtId="38" fontId="0" fillId="0" borderId="11" xfId="1" applyFont="1" applyFill="1" applyBorder="1" applyAlignment="1">
      <alignment horizontal="center"/>
    </xf>
    <xf numFmtId="38" fontId="0" fillId="0" borderId="12" xfId="1" applyFont="1" applyFill="1" applyBorder="1" applyAlignment="1">
      <alignment horizontal="center"/>
    </xf>
    <xf numFmtId="177" fontId="25" fillId="0" borderId="0" xfId="1" applyNumberFormat="1" applyFont="1" applyBorder="1" applyAlignment="1">
      <alignment horizontal="center"/>
    </xf>
    <xf numFmtId="0" fontId="0" fillId="2" borderId="9" xfId="0" applyFill="1" applyBorder="1" applyAlignment="1" applyProtection="1">
      <alignment horizontal="center"/>
      <protection locked="0"/>
    </xf>
    <xf numFmtId="0" fontId="0" fillId="0" borderId="6" xfId="0" applyBorder="1" applyAlignment="1">
      <alignment horizontal="center" shrinkToFit="1"/>
    </xf>
    <xf numFmtId="0" fontId="0" fillId="0" borderId="7" xfId="0" applyBorder="1" applyAlignment="1">
      <alignment horizontal="center" shrinkToFit="1"/>
    </xf>
    <xf numFmtId="0" fontId="0" fillId="0" borderId="8" xfId="0" applyBorder="1" applyAlignment="1">
      <alignment horizontal="center" shrinkToFit="1"/>
    </xf>
    <xf numFmtId="2" fontId="0" fillId="0" borderId="9" xfId="0" applyNumberFormat="1" applyBorder="1" applyAlignment="1">
      <alignment horizontal="center"/>
    </xf>
    <xf numFmtId="0" fontId="0" fillId="2" borderId="10"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0" borderId="11" xfId="0" applyBorder="1" applyAlignment="1">
      <alignment horizontal="center"/>
    </xf>
    <xf numFmtId="0" fontId="0" fillId="2" borderId="11" xfId="0" applyFill="1" applyBorder="1" applyAlignment="1" applyProtection="1">
      <alignment horizontal="center"/>
      <protection locked="0"/>
    </xf>
    <xf numFmtId="176" fontId="0" fillId="0" borderId="10" xfId="0" applyNumberFormat="1" applyBorder="1" applyAlignment="1">
      <alignment horizontal="center"/>
    </xf>
    <xf numFmtId="176" fontId="0" fillId="0" borderId="11" xfId="0" applyNumberFormat="1" applyBorder="1" applyAlignment="1">
      <alignment horizontal="center"/>
    </xf>
    <xf numFmtId="176" fontId="0" fillId="0" borderId="12" xfId="0" applyNumberFormat="1" applyBorder="1" applyAlignment="1">
      <alignment horizontal="center"/>
    </xf>
    <xf numFmtId="177" fontId="0" fillId="2" borderId="10" xfId="1" applyNumberFormat="1" applyFont="1" applyFill="1" applyBorder="1" applyAlignment="1">
      <alignment horizontal="center"/>
    </xf>
    <xf numFmtId="177" fontId="0" fillId="2" borderId="11" xfId="1" applyNumberFormat="1" applyFont="1" applyFill="1" applyBorder="1" applyAlignment="1">
      <alignment horizontal="center"/>
    </xf>
    <xf numFmtId="177" fontId="0" fillId="2" borderId="12" xfId="1" applyNumberFormat="1" applyFont="1" applyFill="1" applyBorder="1" applyAlignment="1">
      <alignment horizontal="center"/>
    </xf>
    <xf numFmtId="0" fontId="0" fillId="0" borderId="1" xfId="0" applyBorder="1" applyAlignment="1">
      <alignment horizontal="center" shrinkToFit="1"/>
    </xf>
    <xf numFmtId="0" fontId="0" fillId="0" borderId="2" xfId="0" applyBorder="1" applyAlignment="1">
      <alignment horizontal="center" shrinkToFit="1"/>
    </xf>
    <xf numFmtId="0" fontId="0" fillId="0" borderId="3" xfId="0" applyBorder="1" applyAlignment="1">
      <alignment horizontal="center" shrinkToFit="1"/>
    </xf>
    <xf numFmtId="176" fontId="0" fillId="2" borderId="10" xfId="0" applyNumberFormat="1" applyFill="1" applyBorder="1" applyAlignment="1" applyProtection="1">
      <alignment horizontal="center"/>
      <protection locked="0"/>
    </xf>
    <xf numFmtId="176" fontId="0" fillId="2" borderId="11" xfId="0" applyNumberFormat="1" applyFill="1" applyBorder="1" applyAlignment="1" applyProtection="1">
      <alignment horizontal="center"/>
      <protection locked="0"/>
    </xf>
    <xf numFmtId="176" fontId="0" fillId="2" borderId="12" xfId="0" applyNumberFormat="1" applyFill="1" applyBorder="1" applyAlignment="1" applyProtection="1">
      <alignment horizontal="center"/>
      <protection locked="0"/>
    </xf>
    <xf numFmtId="176" fontId="0" fillId="0" borderId="11" xfId="0" applyNumberFormat="1" applyBorder="1" applyAlignment="1" applyProtection="1">
      <alignment horizontal="center"/>
      <protection locked="0"/>
    </xf>
    <xf numFmtId="177" fontId="7" fillId="0" borderId="4" xfId="1" applyNumberFormat="1" applyFont="1" applyBorder="1" applyAlignment="1">
      <alignment horizontal="center"/>
    </xf>
    <xf numFmtId="177" fontId="7" fillId="0" borderId="5" xfId="1" applyNumberFormat="1" applyFont="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0" xfId="0" applyAlignment="1">
      <alignment horizontal="center"/>
    </xf>
    <xf numFmtId="177" fontId="8" fillId="0" borderId="4" xfId="1" applyNumberFormat="1" applyFont="1" applyBorder="1" applyAlignment="1">
      <alignment horizontal="center"/>
    </xf>
    <xf numFmtId="177" fontId="8" fillId="0" borderId="0" xfId="1" applyNumberFormat="1" applyFont="1" applyBorder="1" applyAlignment="1">
      <alignment horizontal="center"/>
    </xf>
    <xf numFmtId="177" fontId="8" fillId="0" borderId="5" xfId="1" applyNumberFormat="1"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177" fontId="8" fillId="0" borderId="4" xfId="1" applyNumberFormat="1" applyFont="1" applyBorder="1" applyAlignment="1">
      <alignment horizontal="center" shrinkToFit="1"/>
    </xf>
    <xf numFmtId="177" fontId="8" fillId="0" borderId="0" xfId="1" applyNumberFormat="1" applyFont="1" applyBorder="1" applyAlignment="1">
      <alignment horizontal="center" shrinkToFit="1"/>
    </xf>
    <xf numFmtId="177" fontId="8" fillId="0" borderId="5" xfId="1" applyNumberFormat="1" applyFont="1" applyBorder="1" applyAlignment="1">
      <alignment horizontal="center" shrinkToFit="1"/>
    </xf>
    <xf numFmtId="2" fontId="0" fillId="2" borderId="9" xfId="0" applyNumberFormat="1" applyFill="1" applyBorder="1" applyAlignment="1" applyProtection="1">
      <alignment horizontal="center"/>
      <protection locked="0"/>
    </xf>
    <xf numFmtId="0" fontId="0" fillId="0" borderId="9" xfId="0" applyBorder="1" applyAlignment="1">
      <alignment horizontal="center" shrinkToFit="1"/>
    </xf>
    <xf numFmtId="38" fontId="0" fillId="0" borderId="9" xfId="1" applyFont="1" applyBorder="1" applyAlignment="1">
      <alignment horizontal="center"/>
    </xf>
    <xf numFmtId="40" fontId="0" fillId="0" borderId="10" xfId="1" applyNumberFormat="1" applyFont="1" applyFill="1" applyBorder="1" applyAlignment="1" applyProtection="1">
      <alignment horizontal="center"/>
    </xf>
    <xf numFmtId="40" fontId="0" fillId="0" borderId="11" xfId="1" applyNumberFormat="1" applyFont="1" applyFill="1" applyBorder="1" applyAlignment="1" applyProtection="1">
      <alignment horizontal="center"/>
    </xf>
    <xf numFmtId="40" fontId="0" fillId="0" borderId="12" xfId="1" applyNumberFormat="1" applyFont="1" applyFill="1" applyBorder="1" applyAlignment="1" applyProtection="1">
      <alignment horizontal="center"/>
    </xf>
    <xf numFmtId="40" fontId="0" fillId="0" borderId="10" xfId="1" applyNumberFormat="1" applyFont="1" applyFill="1" applyBorder="1" applyAlignment="1">
      <alignment horizontal="center"/>
    </xf>
    <xf numFmtId="40" fontId="0" fillId="0" borderId="11" xfId="1" applyNumberFormat="1" applyFont="1" applyFill="1" applyBorder="1" applyAlignment="1">
      <alignment horizontal="center"/>
    </xf>
    <xf numFmtId="40" fontId="0" fillId="0" borderId="12" xfId="1" applyNumberFormat="1" applyFont="1" applyFill="1" applyBorder="1" applyAlignment="1">
      <alignment horizontal="center"/>
    </xf>
    <xf numFmtId="40" fontId="0" fillId="2" borderId="10" xfId="1" applyNumberFormat="1" applyFont="1" applyFill="1" applyBorder="1" applyAlignment="1">
      <alignment horizontal="center"/>
    </xf>
    <xf numFmtId="40" fontId="0" fillId="2" borderId="11" xfId="1" applyNumberFormat="1" applyFont="1" applyFill="1" applyBorder="1" applyAlignment="1">
      <alignment horizontal="center"/>
    </xf>
    <xf numFmtId="40" fontId="0" fillId="2" borderId="12" xfId="1" applyNumberFormat="1" applyFont="1" applyFill="1" applyBorder="1" applyAlignment="1">
      <alignment horizontal="center"/>
    </xf>
    <xf numFmtId="177" fontId="0" fillId="0" borderId="9" xfId="1" applyNumberFormat="1" applyFont="1" applyBorder="1" applyAlignment="1">
      <alignment horizontal="center"/>
    </xf>
    <xf numFmtId="40" fontId="0" fillId="0" borderId="9" xfId="1" applyNumberFormat="1" applyFont="1" applyBorder="1" applyAlignment="1">
      <alignment horizontal="center"/>
    </xf>
    <xf numFmtId="177" fontId="25" fillId="0" borderId="9" xfId="1" applyNumberFormat="1" applyFont="1" applyBorder="1" applyAlignment="1">
      <alignment horizontal="center"/>
    </xf>
    <xf numFmtId="177" fontId="7" fillId="0" borderId="9" xfId="1" applyNumberFormat="1" applyFont="1" applyBorder="1" applyAlignment="1">
      <alignment horizontal="center"/>
    </xf>
    <xf numFmtId="0" fontId="6" fillId="0" borderId="0" xfId="0" applyFont="1" applyAlignment="1">
      <alignment horizontal="right" shrinkToFit="1"/>
    </xf>
    <xf numFmtId="179" fontId="0" fillId="0" borderId="7" xfId="1" applyNumberFormat="1" applyFont="1" applyBorder="1" applyAlignment="1">
      <alignment horizontal="center"/>
    </xf>
    <xf numFmtId="38" fontId="0" fillId="0" borderId="7" xfId="1" applyFont="1" applyBorder="1" applyAlignment="1">
      <alignment horizontal="center"/>
    </xf>
    <xf numFmtId="177" fontId="0" fillId="0" borderId="7" xfId="1" applyNumberFormat="1" applyFont="1" applyBorder="1" applyAlignment="1">
      <alignment horizontal="center"/>
    </xf>
    <xf numFmtId="40" fontId="0" fillId="0" borderId="0" xfId="1" applyNumberFormat="1" applyFont="1" applyAlignment="1">
      <alignment horizontal="center"/>
    </xf>
    <xf numFmtId="177" fontId="0" fillId="0" borderId="1" xfId="1" applyNumberFormat="1" applyFont="1" applyBorder="1" applyAlignment="1">
      <alignment horizontal="center" vertical="center"/>
    </xf>
    <xf numFmtId="177" fontId="0" fillId="0" borderId="3" xfId="1" applyNumberFormat="1" applyFont="1" applyBorder="1" applyAlignment="1">
      <alignment horizontal="center" vertical="center"/>
    </xf>
    <xf numFmtId="177" fontId="0" fillId="0" borderId="6" xfId="1" applyNumberFormat="1" applyFont="1" applyBorder="1" applyAlignment="1">
      <alignment horizontal="center" vertical="center"/>
    </xf>
    <xf numFmtId="177" fontId="0" fillId="0" borderId="8" xfId="1" applyNumberFormat="1" applyFont="1" applyBorder="1" applyAlignment="1">
      <alignment horizontal="center" vertical="center"/>
    </xf>
    <xf numFmtId="2" fontId="0" fillId="0" borderId="10" xfId="0" applyNumberFormat="1" applyBorder="1" applyAlignment="1">
      <alignment horizontal="center" shrinkToFit="1"/>
    </xf>
    <xf numFmtId="0" fontId="0" fillId="0" borderId="11" xfId="0" applyBorder="1" applyAlignment="1">
      <alignment horizontal="center" shrinkToFit="1"/>
    </xf>
    <xf numFmtId="4" fontId="0" fillId="0" borderId="0" xfId="1" applyNumberFormat="1" applyFont="1" applyBorder="1" applyAlignment="1">
      <alignment horizontal="center" shrinkToFit="1"/>
    </xf>
    <xf numFmtId="40" fontId="0" fillId="0" borderId="0" xfId="1" applyNumberFormat="1" applyFont="1" applyBorder="1" applyAlignment="1">
      <alignment horizontal="center" shrinkToFit="1"/>
    </xf>
    <xf numFmtId="40" fontId="0" fillId="0" borderId="1" xfId="1" applyNumberFormat="1" applyFont="1" applyBorder="1" applyAlignment="1">
      <alignment horizontal="center"/>
    </xf>
    <xf numFmtId="40" fontId="0" fillId="0" borderId="2" xfId="1" applyNumberFormat="1" applyFont="1" applyBorder="1" applyAlignment="1">
      <alignment horizontal="center"/>
    </xf>
    <xf numFmtId="40" fontId="0" fillId="0" borderId="0" xfId="1" applyNumberFormat="1" applyFont="1" applyBorder="1" applyAlignment="1">
      <alignment horizontal="center"/>
    </xf>
    <xf numFmtId="40" fontId="0" fillId="0" borderId="11" xfId="1" applyNumberFormat="1" applyFont="1" applyBorder="1" applyAlignment="1">
      <alignment horizontal="center"/>
    </xf>
    <xf numFmtId="2" fontId="0" fillId="0" borderId="2" xfId="0" applyNumberFormat="1" applyBorder="1" applyAlignment="1">
      <alignment horizontal="center" shrinkToFit="1"/>
    </xf>
    <xf numFmtId="178" fontId="0" fillId="0" borderId="10" xfId="0" applyNumberFormat="1" applyBorder="1" applyAlignment="1">
      <alignment horizontal="center" shrinkToFit="1"/>
    </xf>
    <xf numFmtId="178" fontId="0" fillId="0" borderId="11" xfId="0" applyNumberFormat="1" applyBorder="1" applyAlignment="1">
      <alignment horizontal="center" shrinkToFit="1"/>
    </xf>
    <xf numFmtId="2" fontId="0" fillId="0" borderId="6" xfId="0" applyNumberFormat="1" applyBorder="1" applyAlignment="1">
      <alignment horizontal="center" shrinkToFit="1"/>
    </xf>
    <xf numFmtId="0" fontId="0" fillId="0" borderId="12" xfId="0" applyBorder="1" applyAlignment="1">
      <alignment horizontal="center" shrinkToFit="1"/>
    </xf>
    <xf numFmtId="178" fontId="0" fillId="0" borderId="12" xfId="0" applyNumberFormat="1" applyBorder="1" applyAlignment="1">
      <alignment horizontal="center" shrinkToFit="1"/>
    </xf>
    <xf numFmtId="40" fontId="0" fillId="0" borderId="10" xfId="1" applyNumberFormat="1" applyFont="1" applyBorder="1" applyAlignment="1">
      <alignment horizontal="center"/>
    </xf>
    <xf numFmtId="40" fontId="0" fillId="0" borderId="7" xfId="1" applyNumberFormat="1" applyFont="1" applyBorder="1" applyAlignment="1">
      <alignment horizontal="center"/>
    </xf>
    <xf numFmtId="2" fontId="0" fillId="0" borderId="11" xfId="0" applyNumberFormat="1" applyBorder="1" applyAlignment="1">
      <alignment horizontal="center"/>
    </xf>
    <xf numFmtId="177" fontId="0" fillId="0" borderId="1" xfId="1" applyNumberFormat="1" applyFont="1" applyBorder="1" applyAlignment="1">
      <alignment horizontal="center"/>
    </xf>
    <xf numFmtId="177" fontId="0" fillId="0" borderId="2" xfId="1" applyNumberFormat="1" applyFont="1" applyBorder="1" applyAlignment="1">
      <alignment horizontal="center"/>
    </xf>
    <xf numFmtId="177" fontId="0" fillId="0" borderId="3" xfId="1" applyNumberFormat="1" applyFont="1" applyBorder="1" applyAlignment="1">
      <alignment horizontal="center"/>
    </xf>
    <xf numFmtId="177" fontId="0" fillId="0" borderId="4" xfId="1" applyNumberFormat="1" applyFont="1" applyBorder="1" applyAlignment="1">
      <alignment horizontal="center"/>
    </xf>
    <xf numFmtId="177" fontId="0" fillId="0" borderId="0" xfId="1" applyNumberFormat="1" applyFont="1" applyBorder="1" applyAlignment="1">
      <alignment horizontal="center"/>
    </xf>
    <xf numFmtId="177" fontId="0" fillId="0" borderId="5" xfId="1" applyNumberFormat="1" applyFont="1" applyBorder="1" applyAlignment="1">
      <alignment horizontal="center"/>
    </xf>
    <xf numFmtId="177" fontId="0" fillId="0" borderId="13" xfId="1" applyNumberFormat="1" applyFont="1" applyBorder="1" applyAlignment="1">
      <alignment horizontal="center" vertical="center"/>
    </xf>
    <xf numFmtId="177" fontId="0" fillId="0" borderId="14" xfId="1" applyNumberFormat="1" applyFont="1" applyBorder="1" applyAlignment="1">
      <alignment horizontal="center" vertical="center"/>
    </xf>
    <xf numFmtId="177" fontId="0" fillId="0" borderId="10" xfId="1" applyNumberFormat="1" applyFont="1" applyBorder="1" applyAlignment="1">
      <alignment horizontal="center" vertical="center"/>
    </xf>
    <xf numFmtId="177" fontId="0" fillId="0" borderId="12" xfId="1" applyNumberFormat="1" applyFont="1" applyBorder="1" applyAlignment="1">
      <alignment horizontal="center" vertical="center"/>
    </xf>
    <xf numFmtId="40" fontId="0" fillId="0" borderId="10" xfId="1" applyNumberFormat="1" applyFont="1" applyBorder="1" applyAlignment="1">
      <alignment horizontal="center" shrinkToFit="1"/>
    </xf>
    <xf numFmtId="40" fontId="0" fillId="0" borderId="11" xfId="1" applyNumberFormat="1" applyFont="1" applyBorder="1" applyAlignment="1">
      <alignment horizontal="center" shrinkToFit="1"/>
    </xf>
    <xf numFmtId="0" fontId="7" fillId="0" borderId="4" xfId="0" applyFont="1" applyBorder="1" applyAlignment="1">
      <alignment horizontal="center"/>
    </xf>
    <xf numFmtId="0" fontId="7" fillId="0" borderId="0" xfId="0" applyFont="1" applyAlignment="1">
      <alignment horizontal="center"/>
    </xf>
    <xf numFmtId="0" fontId="7" fillId="0" borderId="5" xfId="0" applyFont="1" applyBorder="1" applyAlignment="1">
      <alignment horizontal="center"/>
    </xf>
    <xf numFmtId="177" fontId="0" fillId="0" borderId="0" xfId="1" applyNumberFormat="1" applyFont="1" applyBorder="1" applyAlignment="1">
      <alignment horizontal="center" shrinkToFit="1"/>
    </xf>
    <xf numFmtId="0" fontId="6" fillId="0" borderId="6" xfId="0" applyFont="1" applyBorder="1" applyAlignment="1">
      <alignment horizontal="center" shrinkToFit="1"/>
    </xf>
    <xf numFmtId="0" fontId="6" fillId="0" borderId="7" xfId="0" applyFont="1" applyBorder="1" applyAlignment="1">
      <alignment horizontal="center" shrinkToFit="1"/>
    </xf>
    <xf numFmtId="0" fontId="6" fillId="0" borderId="1" xfId="0" applyFont="1" applyBorder="1" applyAlignment="1">
      <alignment horizontal="center" shrinkToFit="1"/>
    </xf>
    <xf numFmtId="0" fontId="6" fillId="0" borderId="2" xfId="0" applyFont="1" applyBorder="1" applyAlignment="1">
      <alignment horizontal="center" shrinkToFit="1"/>
    </xf>
    <xf numFmtId="2" fontId="0" fillId="0" borderId="1" xfId="0" applyNumberFormat="1" applyBorder="1" applyAlignment="1">
      <alignment horizontal="center" shrinkToFi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2" fontId="0" fillId="0" borderId="1" xfId="0" applyNumberFormat="1" applyBorder="1" applyAlignment="1">
      <alignment horizontal="center" vertical="center"/>
    </xf>
    <xf numFmtId="2" fontId="0" fillId="0" borderId="3" xfId="0" applyNumberFormat="1" applyBorder="1" applyAlignment="1">
      <alignment horizontal="center" vertical="center"/>
    </xf>
    <xf numFmtId="2" fontId="0" fillId="0" borderId="6" xfId="0" applyNumberFormat="1" applyBorder="1" applyAlignment="1">
      <alignment horizontal="center" vertical="center"/>
    </xf>
    <xf numFmtId="2" fontId="0" fillId="0" borderId="8" xfId="0" applyNumberFormat="1" applyBorder="1" applyAlignment="1">
      <alignment horizontal="center" vertic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40" fontId="0" fillId="0" borderId="12" xfId="1" applyNumberFormat="1" applyFont="1" applyBorder="1" applyAlignment="1">
      <alignment horizontal="center"/>
    </xf>
    <xf numFmtId="40" fontId="0" fillId="0" borderId="5" xfId="1" applyNumberFormat="1" applyFont="1" applyBorder="1" applyAlignment="1">
      <alignment horizontal="center"/>
    </xf>
    <xf numFmtId="40" fontId="0" fillId="0" borderId="7" xfId="1" applyNumberFormat="1" applyFont="1" applyBorder="1" applyAlignment="1">
      <alignment horizontal="center" shrinkToFit="1"/>
    </xf>
    <xf numFmtId="40" fontId="0" fillId="0" borderId="4" xfId="1" applyNumberFormat="1" applyFont="1" applyBorder="1" applyAlignment="1">
      <alignment horizontal="center"/>
    </xf>
    <xf numFmtId="178" fontId="0" fillId="0" borderId="7" xfId="0" applyNumberFormat="1" applyBorder="1" applyAlignment="1">
      <alignment horizontal="center" shrinkToFit="1"/>
    </xf>
    <xf numFmtId="40" fontId="0" fillId="0" borderId="6" xfId="1" applyNumberFormat="1" applyFont="1" applyBorder="1" applyAlignment="1">
      <alignment horizontal="center"/>
    </xf>
    <xf numFmtId="40" fontId="0" fillId="0" borderId="8" xfId="1" applyNumberFormat="1" applyFont="1" applyBorder="1" applyAlignment="1">
      <alignment horizontal="center"/>
    </xf>
    <xf numFmtId="178" fontId="0" fillId="0" borderId="6" xfId="0" applyNumberFormat="1" applyBorder="1" applyAlignment="1">
      <alignment horizontal="center" shrinkToFit="1"/>
    </xf>
    <xf numFmtId="178" fontId="0" fillId="0" borderId="8" xfId="0" applyNumberFormat="1" applyBorder="1" applyAlignment="1">
      <alignment horizontal="center" shrinkToFit="1"/>
    </xf>
    <xf numFmtId="0" fontId="6" fillId="0" borderId="13" xfId="0" applyFont="1" applyBorder="1" applyAlignment="1">
      <alignment horizontal="center" shrinkToFit="1"/>
    </xf>
    <xf numFmtId="0" fontId="6" fillId="0" borderId="15" xfId="0" applyFont="1" applyBorder="1" applyAlignment="1">
      <alignment horizontal="center" shrinkToFit="1"/>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2" fontId="0" fillId="0" borderId="13" xfId="0" applyNumberFormat="1" applyBorder="1" applyAlignment="1">
      <alignment horizontal="center"/>
    </xf>
    <xf numFmtId="0" fontId="0" fillId="0" borderId="14" xfId="0" applyBorder="1" applyAlignment="1">
      <alignment horizontal="center"/>
    </xf>
    <xf numFmtId="2" fontId="0" fillId="0" borderId="0" xfId="0" applyNumberFormat="1" applyAlignment="1">
      <alignment horizontal="center"/>
    </xf>
    <xf numFmtId="2" fontId="0" fillId="0" borderId="5" xfId="0" applyNumberFormat="1" applyBorder="1" applyAlignment="1">
      <alignment horizontal="center"/>
    </xf>
    <xf numFmtId="2" fontId="0" fillId="0" borderId="15" xfId="0" applyNumberFormat="1" applyBorder="1" applyAlignment="1">
      <alignment horizontal="center"/>
    </xf>
    <xf numFmtId="2" fontId="0" fillId="0" borderId="14" xfId="0" applyNumberFormat="1" applyBorder="1" applyAlignment="1">
      <alignment horizontal="center"/>
    </xf>
    <xf numFmtId="2" fontId="0" fillId="0" borderId="6" xfId="0" applyNumberFormat="1" applyBorder="1" applyAlignment="1">
      <alignment horizontal="center"/>
    </xf>
    <xf numFmtId="2" fontId="0" fillId="0" borderId="1" xfId="0" applyNumberFormat="1" applyBorder="1" applyAlignment="1">
      <alignment horizontal="center"/>
    </xf>
    <xf numFmtId="2" fontId="0" fillId="0" borderId="3" xfId="0" applyNumberFormat="1" applyBorder="1" applyAlignment="1">
      <alignment horizontal="center"/>
    </xf>
    <xf numFmtId="2" fontId="0" fillId="0" borderId="2" xfId="0" applyNumberFormat="1" applyBorder="1" applyAlignment="1">
      <alignment horizontal="center"/>
    </xf>
    <xf numFmtId="2" fontId="0" fillId="0" borderId="7" xfId="0" applyNumberFormat="1" applyBorder="1" applyAlignment="1">
      <alignment horizontal="center"/>
    </xf>
    <xf numFmtId="2" fontId="0" fillId="0" borderId="8" xfId="0" applyNumberFormat="1" applyBorder="1" applyAlignment="1">
      <alignment horizontal="center"/>
    </xf>
    <xf numFmtId="0" fontId="0" fillId="0" borderId="2" xfId="0" applyBorder="1" applyAlignment="1">
      <alignment horizontal="center" vertical="center"/>
    </xf>
    <xf numFmtId="0" fontId="0" fillId="0" borderId="7" xfId="0" applyBorder="1" applyAlignment="1">
      <alignment horizontal="center" vertical="center"/>
    </xf>
    <xf numFmtId="2" fontId="0" fillId="0" borderId="4" xfId="0" applyNumberFormat="1" applyBorder="1" applyAlignment="1">
      <alignment horizontal="center" shrinkToFit="1"/>
    </xf>
    <xf numFmtId="2" fontId="0" fillId="0" borderId="0" xfId="0" applyNumberFormat="1" applyAlignment="1">
      <alignment horizontal="center" shrinkToFit="1"/>
    </xf>
    <xf numFmtId="2" fontId="0" fillId="0" borderId="13" xfId="0" applyNumberFormat="1" applyBorder="1" applyAlignment="1">
      <alignment horizontal="center" shrinkToFit="1"/>
    </xf>
    <xf numFmtId="2" fontId="0" fillId="0" borderId="15" xfId="0" applyNumberFormat="1" applyBorder="1" applyAlignment="1">
      <alignment horizontal="center" shrinkToFit="1"/>
    </xf>
    <xf numFmtId="2" fontId="0" fillId="0" borderId="7" xfId="0" applyNumberFormat="1" applyBorder="1" applyAlignment="1">
      <alignment horizontal="center" shrinkToFit="1"/>
    </xf>
    <xf numFmtId="177" fontId="7" fillId="0" borderId="1" xfId="1" applyNumberFormat="1" applyFont="1" applyBorder="1" applyAlignment="1">
      <alignment horizontal="center" shrinkToFit="1"/>
    </xf>
    <xf numFmtId="177" fontId="7" fillId="0" borderId="2" xfId="1" applyNumberFormat="1" applyFont="1" applyBorder="1" applyAlignment="1">
      <alignment horizontal="center" shrinkToFit="1"/>
    </xf>
    <xf numFmtId="177" fontId="7" fillId="0" borderId="3" xfId="1" applyNumberFormat="1" applyFont="1" applyBorder="1" applyAlignment="1">
      <alignment horizontal="center" shrinkToFit="1"/>
    </xf>
    <xf numFmtId="177" fontId="14" fillId="0" borderId="4" xfId="1" applyNumberFormat="1" applyFont="1" applyBorder="1" applyAlignment="1">
      <alignment horizontal="center"/>
    </xf>
    <xf numFmtId="2" fontId="0" fillId="0" borderId="13" xfId="0" applyNumberFormat="1" applyBorder="1" applyAlignment="1">
      <alignment horizontal="center" vertical="center"/>
    </xf>
    <xf numFmtId="2" fontId="0" fillId="0" borderId="14" xfId="0" applyNumberFormat="1" applyBorder="1" applyAlignment="1">
      <alignment horizontal="center" vertical="center"/>
    </xf>
    <xf numFmtId="2" fontId="0" fillId="0" borderId="4" xfId="0" applyNumberFormat="1" applyBorder="1" applyAlignment="1">
      <alignment horizontal="center" vertical="center"/>
    </xf>
    <xf numFmtId="2" fontId="0" fillId="0" borderId="5" xfId="0" applyNumberFormat="1" applyBorder="1" applyAlignment="1">
      <alignment horizontal="center" vertical="center"/>
    </xf>
    <xf numFmtId="38" fontId="0" fillId="0" borderId="11" xfId="1" applyFont="1" applyBorder="1" applyAlignment="1">
      <alignment horizontal="center"/>
    </xf>
    <xf numFmtId="38" fontId="0" fillId="0" borderId="12" xfId="1" applyFont="1" applyBorder="1" applyAlignment="1">
      <alignment horizontal="center"/>
    </xf>
    <xf numFmtId="38" fontId="0" fillId="0" borderId="10" xfId="1" applyFont="1" applyBorder="1" applyAlignment="1">
      <alignment horizontal="center"/>
    </xf>
    <xf numFmtId="177" fontId="0" fillId="0" borderId="0" xfId="1" applyNumberFormat="1" applyFont="1" applyBorder="1" applyAlignment="1">
      <alignment horizontal="left" shrinkToFit="1"/>
    </xf>
    <xf numFmtId="177" fontId="0" fillId="2" borderId="10" xfId="1" applyNumberFormat="1" applyFont="1" applyFill="1" applyBorder="1" applyAlignment="1" applyProtection="1">
      <alignment horizontal="center"/>
      <protection locked="0"/>
    </xf>
    <xf numFmtId="177" fontId="0" fillId="2" borderId="12" xfId="1" applyNumberFormat="1" applyFont="1" applyFill="1" applyBorder="1" applyAlignment="1" applyProtection="1">
      <alignment horizontal="center"/>
      <protection locked="0"/>
    </xf>
    <xf numFmtId="177" fontId="0" fillId="0" borderId="4" xfId="1" applyNumberFormat="1" applyFont="1" applyBorder="1" applyAlignment="1">
      <alignment horizontal="center" shrinkToFit="1"/>
    </xf>
    <xf numFmtId="0" fontId="0" fillId="0" borderId="13" xfId="0" applyBorder="1" applyAlignment="1">
      <alignment horizontal="center" shrinkToFit="1"/>
    </xf>
    <xf numFmtId="0" fontId="0" fillId="0" borderId="14" xfId="0" applyBorder="1" applyAlignment="1">
      <alignment horizontal="center" shrinkToFit="1"/>
    </xf>
    <xf numFmtId="177" fontId="0" fillId="0" borderId="9" xfId="1" applyNumberFormat="1" applyFont="1" applyBorder="1" applyAlignment="1">
      <alignment horizontal="center" vertical="center"/>
    </xf>
    <xf numFmtId="177" fontId="0" fillId="0" borderId="30" xfId="1" applyNumberFormat="1" applyFont="1" applyBorder="1" applyAlignment="1">
      <alignment horizontal="center" vertical="center"/>
    </xf>
    <xf numFmtId="177" fontId="0" fillId="0" borderId="11" xfId="1" applyNumberFormat="1" applyFont="1" applyBorder="1" applyAlignment="1">
      <alignment horizontal="center"/>
    </xf>
    <xf numFmtId="177" fontId="0" fillId="0" borderId="0" xfId="1" applyNumberFormat="1" applyFont="1" applyBorder="1" applyAlignment="1">
      <alignment horizontal="center" vertical="center"/>
    </xf>
    <xf numFmtId="177" fontId="0" fillId="0" borderId="10" xfId="1" applyNumberFormat="1" applyFont="1" applyBorder="1" applyAlignment="1">
      <alignment horizontal="center"/>
    </xf>
    <xf numFmtId="177" fontId="0" fillId="0" borderId="12" xfId="1" applyNumberFormat="1" applyFont="1" applyBorder="1" applyAlignment="1">
      <alignment horizontal="center"/>
    </xf>
    <xf numFmtId="40" fontId="7" fillId="0" borderId="0" xfId="1" applyNumberFormat="1" applyFont="1" applyBorder="1" applyAlignment="1">
      <alignment horizontal="center"/>
    </xf>
    <xf numFmtId="40" fontId="0" fillId="2" borderId="10" xfId="1" applyNumberFormat="1" applyFont="1" applyFill="1" applyBorder="1" applyAlignment="1" applyProtection="1">
      <alignment horizontal="center"/>
      <protection locked="0"/>
    </xf>
    <xf numFmtId="40" fontId="0" fillId="2" borderId="11" xfId="1" applyNumberFormat="1" applyFont="1" applyFill="1" applyBorder="1" applyAlignment="1" applyProtection="1">
      <alignment horizontal="center"/>
      <protection locked="0"/>
    </xf>
    <xf numFmtId="40" fontId="0" fillId="2" borderId="12" xfId="1" applyNumberFormat="1" applyFont="1" applyFill="1" applyBorder="1" applyAlignment="1" applyProtection="1">
      <alignment horizontal="center"/>
      <protection locked="0"/>
    </xf>
    <xf numFmtId="177" fontId="0" fillId="0" borderId="16" xfId="1" applyNumberFormat="1" applyFont="1" applyBorder="1" applyAlignment="1">
      <alignment horizontal="center"/>
    </xf>
    <xf numFmtId="177" fontId="0" fillId="0" borderId="17" xfId="1" applyNumberFormat="1" applyFont="1" applyBorder="1" applyAlignment="1">
      <alignment horizontal="center"/>
    </xf>
    <xf numFmtId="177" fontId="0" fillId="0" borderId="18" xfId="1" applyNumberFormat="1" applyFont="1" applyBorder="1" applyAlignment="1">
      <alignment horizontal="center"/>
    </xf>
    <xf numFmtId="2" fontId="0" fillId="0" borderId="4" xfId="0" applyNumberFormat="1" applyBorder="1" applyAlignment="1">
      <alignment horizontal="center"/>
    </xf>
    <xf numFmtId="177" fontId="7" fillId="0" borderId="4" xfId="1" applyNumberFormat="1" applyFont="1" applyBorder="1" applyAlignment="1">
      <alignment horizontal="center" vertical="top"/>
    </xf>
    <xf numFmtId="177" fontId="7" fillId="0" borderId="0" xfId="1" applyNumberFormat="1" applyFont="1" applyBorder="1" applyAlignment="1">
      <alignment horizontal="center" vertical="top"/>
    </xf>
    <xf numFmtId="177" fontId="7" fillId="0" borderId="5" xfId="1" applyNumberFormat="1" applyFont="1" applyBorder="1" applyAlignment="1">
      <alignment horizontal="center" vertical="top"/>
    </xf>
    <xf numFmtId="0" fontId="0" fillId="0" borderId="0" xfId="0" applyAlignment="1">
      <alignment horizontal="center" vertical="center" shrinkToFit="1"/>
    </xf>
    <xf numFmtId="177" fontId="0" fillId="0" borderId="19" xfId="1" applyNumberFormat="1" applyFont="1" applyBorder="1" applyAlignment="1">
      <alignment horizontal="center" vertical="center"/>
    </xf>
    <xf numFmtId="2" fontId="8" fillId="0" borderId="1" xfId="0" applyNumberFormat="1" applyFont="1" applyBorder="1" applyAlignment="1">
      <alignment horizontal="center" vertical="center"/>
    </xf>
    <xf numFmtId="2" fontId="8" fillId="0" borderId="3" xfId="0" applyNumberFormat="1" applyFont="1" applyBorder="1" applyAlignment="1">
      <alignment horizontal="center" vertical="center"/>
    </xf>
    <xf numFmtId="2" fontId="8" fillId="0" borderId="6" xfId="0" applyNumberFormat="1" applyFont="1" applyBorder="1" applyAlignment="1">
      <alignment horizontal="center" vertical="center"/>
    </xf>
    <xf numFmtId="2" fontId="8" fillId="0" borderId="8" xfId="0" applyNumberFormat="1" applyFont="1" applyBorder="1" applyAlignment="1">
      <alignment horizontal="center" vertical="center"/>
    </xf>
    <xf numFmtId="2" fontId="22" fillId="0" borderId="10" xfId="0" applyNumberFormat="1" applyFont="1" applyBorder="1" applyAlignment="1">
      <alignment horizontal="center" vertical="center" shrinkToFit="1"/>
    </xf>
    <xf numFmtId="2" fontId="22" fillId="0" borderId="11" xfId="0" applyNumberFormat="1" applyFont="1" applyBorder="1" applyAlignment="1">
      <alignment horizontal="center" vertical="center" shrinkToFit="1"/>
    </xf>
    <xf numFmtId="2" fontId="22" fillId="0" borderId="12" xfId="0" applyNumberFormat="1" applyFont="1" applyBorder="1" applyAlignment="1">
      <alignment horizontal="center" vertical="center" shrinkToFit="1"/>
    </xf>
    <xf numFmtId="2" fontId="22" fillId="0" borderId="10" xfId="0" applyNumberFormat="1" applyFont="1" applyBorder="1" applyAlignment="1">
      <alignment horizontal="center" shrinkToFit="1"/>
    </xf>
    <xf numFmtId="2" fontId="22" fillId="0" borderId="11" xfId="0" applyNumberFormat="1" applyFont="1" applyBorder="1" applyAlignment="1">
      <alignment horizontal="center" shrinkToFit="1"/>
    </xf>
    <xf numFmtId="2" fontId="22" fillId="0" borderId="12" xfId="0" applyNumberFormat="1" applyFont="1" applyBorder="1" applyAlignment="1">
      <alignment horizontal="center" shrinkToFit="1"/>
    </xf>
    <xf numFmtId="40" fontId="0" fillId="0" borderId="23" xfId="1" applyNumberFormat="1" applyFont="1" applyBorder="1" applyAlignment="1">
      <alignment horizontal="center" shrinkToFit="1"/>
    </xf>
    <xf numFmtId="40" fontId="0" fillId="0" borderId="24" xfId="1" applyNumberFormat="1" applyFont="1" applyBorder="1" applyAlignment="1">
      <alignment horizontal="center" shrinkToFit="1"/>
    </xf>
    <xf numFmtId="40" fontId="0" fillId="0" borderId="25" xfId="1" applyNumberFormat="1" applyFont="1" applyBorder="1" applyAlignment="1">
      <alignment horizontal="center" shrinkToFit="1"/>
    </xf>
    <xf numFmtId="0" fontId="0" fillId="0" borderId="23" xfId="0" applyBorder="1" applyAlignment="1">
      <alignment horizontal="center" shrinkToFit="1"/>
    </xf>
    <xf numFmtId="0" fontId="0" fillId="0" borderId="24" xfId="0" applyBorder="1" applyAlignment="1">
      <alignment horizontal="center" shrinkToFit="1"/>
    </xf>
    <xf numFmtId="0" fontId="0" fillId="0" borderId="25" xfId="0" applyBorder="1" applyAlignment="1">
      <alignment horizontal="center" shrinkToFit="1"/>
    </xf>
    <xf numFmtId="178" fontId="0" fillId="0" borderId="20" xfId="0" applyNumberFormat="1" applyBorder="1" applyAlignment="1">
      <alignment horizontal="center" shrinkToFit="1"/>
    </xf>
    <xf numFmtId="178" fontId="0" fillId="0" borderId="21" xfId="0" applyNumberFormat="1" applyBorder="1" applyAlignment="1">
      <alignment horizontal="center" shrinkToFit="1"/>
    </xf>
    <xf numFmtId="40" fontId="0" fillId="0" borderId="15" xfId="1" applyNumberFormat="1" applyFont="1" applyBorder="1" applyAlignment="1">
      <alignment horizontal="center"/>
    </xf>
    <xf numFmtId="40" fontId="0" fillId="0" borderId="14" xfId="1" applyNumberFormat="1" applyFont="1" applyBorder="1" applyAlignment="1">
      <alignment horizontal="center"/>
    </xf>
    <xf numFmtId="40" fontId="0" fillId="0" borderId="20" xfId="1" applyNumberFormat="1" applyFont="1" applyBorder="1" applyAlignment="1">
      <alignment horizontal="center" shrinkToFit="1"/>
    </xf>
    <xf numFmtId="40" fontId="0" fillId="0" borderId="22" xfId="1" applyNumberFormat="1" applyFont="1" applyBorder="1" applyAlignment="1">
      <alignment horizontal="center" shrinkToFit="1"/>
    </xf>
    <xf numFmtId="0" fontId="22" fillId="0" borderId="0" xfId="0" applyFont="1" applyAlignment="1">
      <alignment horizontal="center"/>
    </xf>
    <xf numFmtId="0" fontId="22" fillId="0" borderId="2" xfId="0" applyFont="1" applyBorder="1" applyAlignment="1">
      <alignment horizontal="center"/>
    </xf>
    <xf numFmtId="2" fontId="22" fillId="0" borderId="10" xfId="0" applyNumberFormat="1" applyFont="1" applyBorder="1" applyAlignment="1">
      <alignment horizontal="center"/>
    </xf>
    <xf numFmtId="2" fontId="22" fillId="0" borderId="11" xfId="0" applyNumberFormat="1" applyFont="1" applyBorder="1" applyAlignment="1">
      <alignment horizontal="center"/>
    </xf>
    <xf numFmtId="2" fontId="22" fillId="0" borderId="12" xfId="0" applyNumberFormat="1" applyFont="1" applyBorder="1" applyAlignment="1">
      <alignment horizontal="center"/>
    </xf>
    <xf numFmtId="2" fontId="22" fillId="0" borderId="0" xfId="0" applyNumberFormat="1" applyFont="1" applyAlignment="1">
      <alignment horizontal="center"/>
    </xf>
    <xf numFmtId="177" fontId="0" fillId="0" borderId="0" xfId="0" applyNumberFormat="1" applyAlignment="1">
      <alignment horizontal="center" vertical="center"/>
    </xf>
    <xf numFmtId="2" fontId="22" fillId="0" borderId="26" xfId="0" applyNumberFormat="1" applyFont="1" applyBorder="1" applyAlignment="1">
      <alignment horizontal="center"/>
    </xf>
    <xf numFmtId="2" fontId="22" fillId="0" borderId="27" xfId="0" applyNumberFormat="1" applyFont="1" applyBorder="1" applyAlignment="1">
      <alignment horizontal="center"/>
    </xf>
    <xf numFmtId="2" fontId="22" fillId="0" borderId="28" xfId="0" applyNumberFormat="1" applyFont="1" applyBorder="1" applyAlignment="1">
      <alignment horizontal="center"/>
    </xf>
    <xf numFmtId="2" fontId="22" fillId="0" borderId="6" xfId="0" applyNumberFormat="1" applyFont="1" applyBorder="1" applyAlignment="1">
      <alignment horizontal="center"/>
    </xf>
    <xf numFmtId="2" fontId="22" fillId="0" borderId="7" xfId="0" applyNumberFormat="1" applyFont="1" applyBorder="1" applyAlignment="1">
      <alignment horizontal="center"/>
    </xf>
    <xf numFmtId="2" fontId="22" fillId="0" borderId="8" xfId="0" applyNumberFormat="1" applyFont="1" applyBorder="1" applyAlignment="1">
      <alignment horizontal="center"/>
    </xf>
    <xf numFmtId="40" fontId="0" fillId="0" borderId="2" xfId="1" applyNumberFormat="1" applyFont="1" applyBorder="1" applyAlignment="1">
      <alignment horizontal="center" shrinkToFit="1"/>
    </xf>
    <xf numFmtId="177" fontId="7" fillId="0" borderId="0" xfId="1" applyNumberFormat="1" applyFont="1" applyBorder="1" applyAlignment="1">
      <alignment horizontal="center" vertical="center"/>
    </xf>
    <xf numFmtId="177" fontId="0" fillId="0" borderId="0" xfId="1" quotePrefix="1" applyNumberFormat="1" applyFont="1" applyBorder="1" applyAlignment="1">
      <alignment horizontal="center" vertical="center"/>
    </xf>
    <xf numFmtId="2" fontId="0" fillId="0" borderId="20" xfId="0" applyNumberFormat="1" applyBorder="1" applyAlignment="1">
      <alignment horizontal="center" shrinkToFit="1"/>
    </xf>
    <xf numFmtId="0" fontId="0" fillId="0" borderId="21" xfId="0" applyBorder="1" applyAlignment="1">
      <alignment horizontal="center" shrinkToFit="1"/>
    </xf>
    <xf numFmtId="40" fontId="0" fillId="0" borderId="21" xfId="1" applyNumberFormat="1" applyFont="1" applyBorder="1" applyAlignment="1">
      <alignment horizontal="center" shrinkToFit="1"/>
    </xf>
    <xf numFmtId="2" fontId="0" fillId="0" borderId="7" xfId="0" applyNumberFormat="1" applyBorder="1" applyAlignment="1">
      <alignment horizontal="center" vertical="center" shrinkToFit="1"/>
    </xf>
    <xf numFmtId="0" fontId="0" fillId="0" borderId="7" xfId="0" applyBorder="1" applyAlignment="1">
      <alignment horizontal="center" vertical="center" shrinkToFit="1"/>
    </xf>
    <xf numFmtId="0" fontId="7" fillId="0" borderId="6" xfId="0" applyFont="1" applyBorder="1" applyAlignment="1">
      <alignment horizontal="center" shrinkToFit="1"/>
    </xf>
    <xf numFmtId="0" fontId="7" fillId="0" borderId="8" xfId="0" applyFont="1" applyBorder="1" applyAlignment="1">
      <alignment horizontal="center" shrinkToFit="1"/>
    </xf>
    <xf numFmtId="40" fontId="0" fillId="0" borderId="0" xfId="1" applyNumberFormat="1" applyFont="1" applyBorder="1" applyAlignment="1">
      <alignment horizontal="center" vertical="center" shrinkToFit="1"/>
    </xf>
    <xf numFmtId="177" fontId="0" fillId="0" borderId="0" xfId="1" applyNumberFormat="1" applyFont="1" applyFill="1" applyBorder="1" applyAlignment="1">
      <alignment horizontal="left" wrapText="1"/>
    </xf>
    <xf numFmtId="177" fontId="0" fillId="0" borderId="5" xfId="1" applyNumberFormat="1" applyFont="1" applyFill="1" applyBorder="1" applyAlignment="1">
      <alignment horizontal="left" wrapText="1"/>
    </xf>
    <xf numFmtId="40" fontId="0" fillId="0" borderId="20" xfId="1" applyNumberFormat="1" applyFont="1" applyBorder="1" applyAlignment="1">
      <alignment horizontal="center"/>
    </xf>
    <xf numFmtId="40" fontId="0" fillId="0" borderId="22" xfId="1" applyNumberFormat="1" applyFont="1" applyBorder="1" applyAlignment="1">
      <alignment horizontal="center"/>
    </xf>
    <xf numFmtId="40" fontId="0" fillId="0" borderId="21" xfId="1" applyNumberFormat="1" applyFont="1" applyBorder="1" applyAlignment="1">
      <alignment horizontal="center"/>
    </xf>
    <xf numFmtId="40" fontId="0" fillId="0" borderId="12" xfId="1" applyNumberFormat="1" applyFont="1" applyBorder="1" applyAlignment="1">
      <alignment horizontal="center" shrinkToFit="1"/>
    </xf>
    <xf numFmtId="177" fontId="0" fillId="0" borderId="1" xfId="1" applyNumberFormat="1" applyFont="1" applyBorder="1" applyAlignment="1">
      <alignment horizontal="center" vertical="center" wrapText="1"/>
    </xf>
    <xf numFmtId="177" fontId="0" fillId="0" borderId="3" xfId="1" applyNumberFormat="1" applyFont="1" applyBorder="1" applyAlignment="1">
      <alignment horizontal="center" vertical="center" wrapText="1"/>
    </xf>
    <xf numFmtId="177" fontId="0" fillId="0" borderId="4" xfId="1" applyNumberFormat="1" applyFont="1" applyBorder="1" applyAlignment="1">
      <alignment horizontal="center" vertical="center" wrapText="1"/>
    </xf>
    <xf numFmtId="177" fontId="0" fillId="0" borderId="5" xfId="1" applyNumberFormat="1" applyFont="1" applyBorder="1" applyAlignment="1">
      <alignment horizontal="center" vertical="center" wrapText="1"/>
    </xf>
    <xf numFmtId="177" fontId="0" fillId="0" borderId="6" xfId="1" applyNumberFormat="1" applyFont="1" applyBorder="1" applyAlignment="1">
      <alignment horizontal="center" vertical="center" wrapText="1"/>
    </xf>
    <xf numFmtId="177" fontId="0" fillId="0" borderId="8" xfId="1" applyNumberFormat="1" applyFont="1" applyBorder="1" applyAlignment="1">
      <alignment horizontal="center" vertical="center" wrapText="1"/>
    </xf>
    <xf numFmtId="40" fontId="0" fillId="0" borderId="3" xfId="1" applyNumberFormat="1" applyFont="1" applyBorder="1" applyAlignment="1">
      <alignment horizontal="center"/>
    </xf>
    <xf numFmtId="40" fontId="22" fillId="3" borderId="7" xfId="1" applyNumberFormat="1" applyFont="1" applyFill="1" applyBorder="1" applyAlignment="1">
      <alignment horizontal="center"/>
    </xf>
    <xf numFmtId="40" fontId="22" fillId="3" borderId="8" xfId="1" applyNumberFormat="1" applyFont="1" applyFill="1" applyBorder="1" applyAlignment="1">
      <alignment horizontal="center"/>
    </xf>
    <xf numFmtId="0" fontId="33" fillId="0" borderId="1" xfId="0" applyFont="1" applyBorder="1" applyAlignment="1">
      <alignment horizontal="center" shrinkToFit="1"/>
    </xf>
    <xf numFmtId="0" fontId="33" fillId="0" borderId="3" xfId="0" applyFont="1" applyBorder="1" applyAlignment="1">
      <alignment horizontal="center" shrinkToFit="1"/>
    </xf>
    <xf numFmtId="177" fontId="26" fillId="0" borderId="0" xfId="1" applyNumberFormat="1" applyFont="1" applyBorder="1" applyAlignment="1">
      <alignment horizontal="center"/>
    </xf>
    <xf numFmtId="177" fontId="29" fillId="0" borderId="0" xfId="1" applyNumberFormat="1" applyFont="1" applyBorder="1" applyAlignment="1">
      <alignment horizontal="center"/>
    </xf>
    <xf numFmtId="177" fontId="0" fillId="0" borderId="7" xfId="1" applyNumberFormat="1" applyFont="1" applyBorder="1" applyAlignment="1">
      <alignment horizontal="center" shrinkToFit="1"/>
    </xf>
    <xf numFmtId="40" fontId="0" fillId="0" borderId="10" xfId="1" applyNumberFormat="1" applyFont="1" applyBorder="1" applyAlignment="1">
      <alignment horizontal="center" vertical="center"/>
    </xf>
    <xf numFmtId="40" fontId="0" fillId="0" borderId="11" xfId="1" applyNumberFormat="1" applyFont="1" applyBorder="1" applyAlignment="1">
      <alignment horizontal="center" vertical="center"/>
    </xf>
    <xf numFmtId="40" fontId="0" fillId="0" borderId="12" xfId="1" applyNumberFormat="1" applyFont="1" applyBorder="1" applyAlignment="1">
      <alignment horizontal="center" vertical="center"/>
    </xf>
    <xf numFmtId="9" fontId="0" fillId="0" borderId="10" xfId="2" applyFont="1" applyBorder="1" applyAlignment="1">
      <alignment horizontal="center"/>
    </xf>
    <xf numFmtId="9" fontId="0" fillId="0" borderId="11" xfId="2" applyFont="1" applyBorder="1" applyAlignment="1">
      <alignment horizontal="center"/>
    </xf>
    <xf numFmtId="9" fontId="0" fillId="0" borderId="12" xfId="2" applyFont="1" applyBorder="1" applyAlignment="1">
      <alignment horizontal="center"/>
    </xf>
    <xf numFmtId="180" fontId="8" fillId="0" borderId="10" xfId="1" applyNumberFormat="1" applyFont="1" applyBorder="1" applyAlignment="1">
      <alignment horizontal="center"/>
    </xf>
    <xf numFmtId="180" fontId="8" fillId="0" borderId="11" xfId="1" applyNumberFormat="1" applyFont="1" applyBorder="1" applyAlignment="1">
      <alignment horizontal="center"/>
    </xf>
    <xf numFmtId="180" fontId="8" fillId="0" borderId="12" xfId="1" applyNumberFormat="1" applyFont="1" applyBorder="1" applyAlignment="1">
      <alignment horizontal="center"/>
    </xf>
    <xf numFmtId="177" fontId="0" fillId="0" borderId="1" xfId="1" applyNumberFormat="1" applyFont="1" applyBorder="1" applyAlignment="1">
      <alignment horizontal="left" vertical="top" wrapText="1"/>
    </xf>
    <xf numFmtId="177" fontId="0" fillId="0" borderId="2" xfId="1" applyNumberFormat="1" applyFont="1" applyBorder="1" applyAlignment="1">
      <alignment horizontal="left" vertical="top" wrapText="1"/>
    </xf>
    <xf numFmtId="177" fontId="0" fillId="0" borderId="3" xfId="1" applyNumberFormat="1" applyFont="1" applyBorder="1" applyAlignment="1">
      <alignment horizontal="left" vertical="top" wrapText="1"/>
    </xf>
    <xf numFmtId="177" fontId="0" fillId="0" borderId="4" xfId="1" applyNumberFormat="1" applyFont="1" applyBorder="1" applyAlignment="1">
      <alignment horizontal="left" vertical="top" wrapText="1"/>
    </xf>
    <xf numFmtId="177" fontId="0" fillId="0" borderId="0" xfId="1" applyNumberFormat="1" applyFont="1" applyBorder="1" applyAlignment="1">
      <alignment horizontal="left" vertical="top" wrapText="1"/>
    </xf>
    <xf numFmtId="177" fontId="0" fillId="0" borderId="5" xfId="1" applyNumberFormat="1" applyFont="1" applyBorder="1" applyAlignment="1">
      <alignment horizontal="left" vertical="top" wrapText="1"/>
    </xf>
    <xf numFmtId="177" fontId="25" fillId="0" borderId="7" xfId="1" applyNumberFormat="1" applyFont="1" applyBorder="1" applyAlignment="1">
      <alignment horizontal="center"/>
    </xf>
    <xf numFmtId="177" fontId="7" fillId="0" borderId="7" xfId="1" applyNumberFormat="1" applyFont="1" applyBorder="1" applyAlignment="1">
      <alignment horizontal="center"/>
    </xf>
    <xf numFmtId="177" fontId="7" fillId="0" borderId="4" xfId="1" applyNumberFormat="1" applyFont="1" applyBorder="1" applyAlignment="1">
      <alignment horizontal="center" vertical="center"/>
    </xf>
    <xf numFmtId="177" fontId="0" fillId="0" borderId="20" xfId="1" applyNumberFormat="1" applyFont="1" applyBorder="1" applyAlignment="1">
      <alignment horizontal="center" vertical="center"/>
    </xf>
    <xf numFmtId="177" fontId="0" fillId="0" borderId="21" xfId="1" applyNumberFormat="1" applyFont="1" applyBorder="1" applyAlignment="1">
      <alignment horizontal="center" vertical="center"/>
    </xf>
    <xf numFmtId="177" fontId="0" fillId="0" borderId="6" xfId="1" applyNumberFormat="1" applyFont="1" applyBorder="1" applyAlignment="1">
      <alignment horizontal="center"/>
    </xf>
    <xf numFmtId="177" fontId="0" fillId="0" borderId="8" xfId="1" applyNumberFormat="1" applyFont="1" applyBorder="1" applyAlignment="1">
      <alignment horizontal="center"/>
    </xf>
    <xf numFmtId="177" fontId="0" fillId="0" borderId="23" xfId="1" applyNumberFormat="1" applyFont="1" applyBorder="1" applyAlignment="1">
      <alignment horizontal="center"/>
    </xf>
    <xf numFmtId="177" fontId="0" fillId="0" borderId="25" xfId="1" applyNumberFormat="1" applyFont="1" applyBorder="1" applyAlignment="1">
      <alignment horizontal="center"/>
    </xf>
    <xf numFmtId="0" fontId="6" fillId="0" borderId="4" xfId="0" applyFont="1" applyBorder="1" applyAlignment="1">
      <alignment horizontal="center" shrinkToFit="1"/>
    </xf>
    <xf numFmtId="0" fontId="6" fillId="0" borderId="0" xfId="0" applyFont="1" applyAlignment="1">
      <alignment horizontal="center" shrinkToFit="1"/>
    </xf>
    <xf numFmtId="2" fontId="22" fillId="3" borderId="7" xfId="0" applyNumberFormat="1" applyFont="1" applyFill="1" applyBorder="1" applyAlignment="1">
      <alignment horizontal="center"/>
    </xf>
    <xf numFmtId="2" fontId="22" fillId="3" borderId="8" xfId="0" applyNumberFormat="1" applyFont="1" applyFill="1" applyBorder="1" applyAlignment="1">
      <alignment horizontal="center"/>
    </xf>
    <xf numFmtId="2" fontId="33" fillId="0" borderId="1" xfId="0" applyNumberFormat="1" applyFont="1" applyBorder="1" applyAlignment="1">
      <alignment horizontal="center" vertical="center"/>
    </xf>
    <xf numFmtId="2" fontId="33" fillId="0" borderId="3" xfId="0" applyNumberFormat="1" applyFont="1" applyBorder="1" applyAlignment="1">
      <alignment horizontal="center" vertical="center"/>
    </xf>
    <xf numFmtId="2" fontId="33" fillId="0" borderId="6" xfId="0" applyNumberFormat="1" applyFont="1" applyBorder="1" applyAlignment="1">
      <alignment horizontal="center" vertical="center"/>
    </xf>
    <xf numFmtId="2" fontId="33" fillId="0" borderId="8" xfId="0" applyNumberFormat="1" applyFont="1" applyBorder="1" applyAlignment="1">
      <alignment horizontal="center" vertical="center"/>
    </xf>
    <xf numFmtId="2" fontId="22" fillId="0" borderId="5" xfId="0" applyNumberFormat="1" applyFont="1" applyBorder="1" applyAlignment="1">
      <alignment horizontal="center"/>
    </xf>
    <xf numFmtId="0" fontId="33" fillId="0" borderId="6" xfId="0" applyFont="1" applyBorder="1" applyAlignment="1">
      <alignment horizontal="center" shrinkToFit="1"/>
    </xf>
    <xf numFmtId="0" fontId="33" fillId="0" borderId="8" xfId="0" applyFont="1" applyBorder="1" applyAlignment="1">
      <alignment horizontal="center" shrinkToFit="1"/>
    </xf>
    <xf numFmtId="40" fontId="0" fillId="0" borderId="1" xfId="1" applyNumberFormat="1" applyFont="1" applyBorder="1" applyAlignment="1">
      <alignment horizontal="center" shrinkToFit="1"/>
    </xf>
    <xf numFmtId="40" fontId="0" fillId="0" borderId="4" xfId="1" applyNumberFormat="1" applyFont="1" applyFill="1" applyBorder="1" applyAlignment="1">
      <alignment horizontal="center"/>
    </xf>
    <xf numFmtId="40" fontId="0" fillId="0" borderId="0" xfId="1" applyNumberFormat="1" applyFont="1" applyFill="1" applyBorder="1" applyAlignment="1">
      <alignment horizontal="center"/>
    </xf>
    <xf numFmtId="40" fontId="0" fillId="0" borderId="5" xfId="1" applyNumberFormat="1" applyFont="1" applyFill="1" applyBorder="1" applyAlignment="1">
      <alignment horizontal="center"/>
    </xf>
    <xf numFmtId="2" fontId="0" fillId="0" borderId="10" xfId="0" applyNumberFormat="1" applyBorder="1" applyAlignment="1">
      <alignment horizontal="center"/>
    </xf>
    <xf numFmtId="40" fontId="0" fillId="0" borderId="6" xfId="1" applyNumberFormat="1" applyFont="1" applyBorder="1" applyAlignment="1">
      <alignment horizontal="center" shrinkToFit="1"/>
    </xf>
    <xf numFmtId="2" fontId="33" fillId="0" borderId="7" xfId="0" applyNumberFormat="1" applyFont="1" applyBorder="1" applyAlignment="1">
      <alignment horizontal="center"/>
    </xf>
    <xf numFmtId="2" fontId="33" fillId="0" borderId="8" xfId="0" applyNumberFormat="1" applyFont="1" applyBorder="1" applyAlignment="1">
      <alignment horizontal="center"/>
    </xf>
    <xf numFmtId="2" fontId="22" fillId="3" borderId="1" xfId="0" applyNumberFormat="1" applyFont="1" applyFill="1" applyBorder="1" applyAlignment="1">
      <alignment horizontal="center" vertical="center"/>
    </xf>
    <xf numFmtId="2" fontId="22" fillId="3" borderId="3" xfId="0" applyNumberFormat="1" applyFont="1" applyFill="1" applyBorder="1" applyAlignment="1">
      <alignment horizontal="center" vertical="center"/>
    </xf>
    <xf numFmtId="2" fontId="22" fillId="3" borderId="6" xfId="0" applyNumberFormat="1" applyFont="1" applyFill="1" applyBorder="1" applyAlignment="1">
      <alignment horizontal="center" vertical="center"/>
    </xf>
    <xf numFmtId="2" fontId="22" fillId="3" borderId="8" xfId="0" applyNumberFormat="1" applyFont="1" applyFill="1" applyBorder="1" applyAlignment="1">
      <alignment horizontal="center" vertical="center"/>
    </xf>
    <xf numFmtId="177" fontId="0" fillId="0" borderId="4" xfId="1" applyNumberFormat="1" applyFont="1" applyBorder="1" applyAlignment="1">
      <alignment horizontal="center" vertical="center"/>
    </xf>
    <xf numFmtId="177" fontId="0" fillId="0" borderId="5" xfId="1" applyNumberFormat="1" applyFont="1" applyBorder="1" applyAlignment="1">
      <alignment horizontal="center" vertical="center"/>
    </xf>
    <xf numFmtId="0" fontId="7" fillId="0" borderId="4" xfId="0" applyFont="1" applyBorder="1" applyAlignment="1">
      <alignment horizontal="center" shrinkToFit="1"/>
    </xf>
    <xf numFmtId="0" fontId="7" fillId="0" borderId="5" xfId="0" applyFont="1" applyBorder="1" applyAlignment="1">
      <alignment horizontal="center" shrinkToFit="1"/>
    </xf>
    <xf numFmtId="2" fontId="8" fillId="0" borderId="4" xfId="0" applyNumberFormat="1" applyFont="1" applyBorder="1" applyAlignment="1">
      <alignment horizontal="center" vertical="center"/>
    </xf>
    <xf numFmtId="2" fontId="8" fillId="0" borderId="5" xfId="0" applyNumberFormat="1" applyFont="1" applyBorder="1" applyAlignment="1">
      <alignment horizontal="center" vertical="center"/>
    </xf>
    <xf numFmtId="2" fontId="0" fillId="0" borderId="0" xfId="0" applyNumberFormat="1" applyAlignment="1">
      <alignment horizontal="center" vertical="center" shrinkToFit="1"/>
    </xf>
    <xf numFmtId="0" fontId="7" fillId="0" borderId="0" xfId="0" applyFont="1" applyAlignment="1">
      <alignment horizontal="center" vertical="center" shrinkToFit="1"/>
    </xf>
    <xf numFmtId="177" fontId="8" fillId="0" borderId="10" xfId="1" applyNumberFormat="1" applyFont="1" applyBorder="1" applyAlignment="1">
      <alignment horizontal="center"/>
    </xf>
    <xf numFmtId="177" fontId="8" fillId="0" borderId="11" xfId="1" applyNumberFormat="1" applyFont="1" applyBorder="1" applyAlignment="1">
      <alignment horizontal="center"/>
    </xf>
    <xf numFmtId="177" fontId="8" fillId="0" borderId="12" xfId="1" applyNumberFormat="1" applyFont="1" applyBorder="1" applyAlignment="1">
      <alignment horizontal="center"/>
    </xf>
    <xf numFmtId="177" fontId="0" fillId="0" borderId="2" xfId="1" applyNumberFormat="1" applyFont="1" applyBorder="1" applyAlignment="1">
      <alignment horizontal="left" shrinkToFit="1"/>
    </xf>
    <xf numFmtId="177" fontId="0" fillId="0" borderId="3" xfId="1" applyNumberFormat="1" applyFont="1" applyBorder="1" applyAlignment="1">
      <alignment horizontal="left" shrinkToFit="1"/>
    </xf>
    <xf numFmtId="177" fontId="0" fillId="0" borderId="5" xfId="1" applyNumberFormat="1" applyFont="1" applyBorder="1" applyAlignment="1">
      <alignment horizontal="left" shrinkToFit="1"/>
    </xf>
    <xf numFmtId="38" fontId="0" fillId="0" borderId="7" xfId="1" applyFont="1" applyBorder="1" applyAlignment="1">
      <alignment horizontal="center" shrinkToFit="1"/>
    </xf>
    <xf numFmtId="38" fontId="0" fillId="0" borderId="0" xfId="1" applyFont="1" applyBorder="1" applyAlignment="1">
      <alignment horizontal="center"/>
    </xf>
    <xf numFmtId="38" fontId="0" fillId="0" borderId="0" xfId="1" applyFont="1" applyBorder="1" applyAlignment="1">
      <alignment horizontal="center" vertical="center"/>
    </xf>
    <xf numFmtId="177" fontId="8" fillId="0" borderId="7" xfId="1" applyNumberFormat="1" applyFont="1" applyBorder="1" applyAlignment="1">
      <alignment horizontal="center"/>
    </xf>
    <xf numFmtId="40" fontId="8" fillId="0" borderId="0" xfId="1" applyNumberFormat="1" applyFont="1" applyBorder="1" applyAlignment="1">
      <alignment horizontal="center"/>
    </xf>
    <xf numFmtId="40" fontId="8" fillId="0" borderId="10" xfId="1" applyNumberFormat="1" applyFont="1" applyBorder="1" applyAlignment="1">
      <alignment horizontal="center"/>
    </xf>
    <xf numFmtId="40" fontId="8" fillId="0" borderId="12" xfId="1" applyNumberFormat="1" applyFont="1" applyBorder="1" applyAlignment="1">
      <alignment horizontal="center"/>
    </xf>
    <xf numFmtId="177" fontId="25" fillId="0" borderId="0" xfId="1" applyNumberFormat="1" applyFont="1" applyBorder="1" applyAlignment="1">
      <alignment horizontal="center" vertical="center"/>
    </xf>
    <xf numFmtId="177" fontId="7" fillId="0" borderId="2" xfId="1" applyNumberFormat="1" applyFont="1" applyBorder="1" applyAlignment="1">
      <alignment horizontal="center"/>
    </xf>
    <xf numFmtId="38" fontId="0" fillId="0" borderId="2" xfId="1" applyFont="1" applyBorder="1" applyAlignment="1">
      <alignment horizontal="center" shrinkToFit="1"/>
    </xf>
    <xf numFmtId="38" fontId="8" fillId="0" borderId="0" xfId="1" applyFont="1" applyBorder="1" applyAlignment="1">
      <alignment horizontal="center"/>
    </xf>
    <xf numFmtId="177" fontId="0" fillId="0" borderId="0" xfId="1" applyNumberFormat="1" applyFont="1" applyAlignment="1">
      <alignment horizontal="center" vertical="center"/>
    </xf>
    <xf numFmtId="177" fontId="0" fillId="0" borderId="4" xfId="1" applyNumberFormat="1" applyFont="1" applyBorder="1" applyAlignment="1">
      <alignment horizontal="left" vertical="center"/>
    </xf>
    <xf numFmtId="177" fontId="0" fillId="0" borderId="0" xfId="1" applyNumberFormat="1" applyFont="1" applyBorder="1" applyAlignment="1">
      <alignment horizontal="left" vertical="center"/>
    </xf>
    <xf numFmtId="38" fontId="8" fillId="0" borderId="2" xfId="1" applyFont="1" applyBorder="1" applyAlignment="1">
      <alignment horizontal="center"/>
    </xf>
    <xf numFmtId="2" fontId="0" fillId="0" borderId="8" xfId="0" applyNumberFormat="1" applyBorder="1" applyAlignment="1">
      <alignment horizontal="center" shrinkToFit="1"/>
    </xf>
    <xf numFmtId="40" fontId="0" fillId="0" borderId="1" xfId="1" applyNumberFormat="1" applyFont="1" applyBorder="1" applyAlignment="1">
      <alignment horizontal="center" vertical="center"/>
    </xf>
    <xf numFmtId="40" fontId="0" fillId="0" borderId="2" xfId="1" applyNumberFormat="1" applyFont="1" applyBorder="1" applyAlignment="1">
      <alignment horizontal="center" vertical="center"/>
    </xf>
    <xf numFmtId="40" fontId="0" fillId="0" borderId="3" xfId="1" applyNumberFormat="1" applyFont="1" applyBorder="1" applyAlignment="1">
      <alignment horizontal="center" vertical="center"/>
    </xf>
    <xf numFmtId="40" fontId="0" fillId="0" borderId="6" xfId="1" applyNumberFormat="1" applyFont="1" applyBorder="1" applyAlignment="1">
      <alignment horizontal="center" vertical="center"/>
    </xf>
    <xf numFmtId="40" fontId="0" fillId="0" borderId="7" xfId="1" applyNumberFormat="1" applyFont="1" applyBorder="1" applyAlignment="1">
      <alignment horizontal="center" vertical="center"/>
    </xf>
    <xf numFmtId="40" fontId="0" fillId="0" borderId="8" xfId="1" applyNumberFormat="1" applyFont="1" applyBorder="1" applyAlignment="1">
      <alignment horizontal="center" vertical="center"/>
    </xf>
    <xf numFmtId="40" fontId="8" fillId="0" borderId="7" xfId="1" applyNumberFormat="1" applyFont="1" applyBorder="1" applyAlignment="1">
      <alignment horizontal="center" shrinkToFit="1"/>
    </xf>
    <xf numFmtId="40" fontId="8" fillId="0" borderId="7" xfId="1" applyNumberFormat="1" applyFont="1" applyBorder="1" applyAlignment="1">
      <alignment horizontal="right" shrinkToFit="1"/>
    </xf>
    <xf numFmtId="38" fontId="0" fillId="0" borderId="0" xfId="1" applyFont="1" applyBorder="1" applyAlignment="1">
      <alignment horizontal="center" shrinkToFit="1"/>
    </xf>
    <xf numFmtId="177" fontId="7" fillId="0" borderId="1" xfId="1" applyNumberFormat="1" applyFont="1" applyBorder="1" applyAlignment="1">
      <alignment horizontal="right"/>
    </xf>
    <xf numFmtId="177" fontId="7" fillId="0" borderId="2" xfId="1" applyNumberFormat="1" applyFont="1" applyBorder="1" applyAlignment="1">
      <alignment horizontal="right"/>
    </xf>
    <xf numFmtId="177" fontId="7" fillId="0" borderId="2" xfId="1" applyNumberFormat="1" applyFont="1" applyBorder="1" applyAlignment="1">
      <alignment horizontal="left"/>
    </xf>
    <xf numFmtId="177" fontId="7" fillId="0" borderId="0" xfId="1" applyNumberFormat="1" applyFont="1" applyBorder="1" applyAlignment="1">
      <alignment horizontal="left" shrinkToFit="1"/>
    </xf>
    <xf numFmtId="177" fontId="7" fillId="0" borderId="0" xfId="1" applyNumberFormat="1" applyFont="1" applyBorder="1" applyAlignment="1">
      <alignment horizontal="right" vertical="center"/>
    </xf>
    <xf numFmtId="177" fontId="7" fillId="0" borderId="7" xfId="1" applyNumberFormat="1" applyFont="1" applyBorder="1" applyAlignment="1">
      <alignment horizontal="center" vertical="center"/>
    </xf>
    <xf numFmtId="177" fontId="8" fillId="0" borderId="0" xfId="1" applyNumberFormat="1" applyFont="1" applyBorder="1" applyAlignment="1">
      <alignment horizontal="center" vertical="center"/>
    </xf>
    <xf numFmtId="177" fontId="7" fillId="0" borderId="0" xfId="1" applyNumberFormat="1" applyFont="1" applyBorder="1" applyAlignment="1">
      <alignment horizontal="right"/>
    </xf>
    <xf numFmtId="38" fontId="0" fillId="0" borderId="10" xfId="1" applyFont="1" applyBorder="1" applyAlignment="1">
      <alignment horizontal="center" shrinkToFit="1"/>
    </xf>
    <xf numFmtId="38" fontId="0" fillId="0" borderId="12" xfId="1" applyFont="1" applyBorder="1" applyAlignment="1">
      <alignment horizontal="center" shrinkToFit="1"/>
    </xf>
    <xf numFmtId="38" fontId="8" fillId="0" borderId="0" xfId="1" applyFont="1" applyBorder="1" applyAlignment="1">
      <alignment horizontal="center" shrinkToFit="1"/>
    </xf>
    <xf numFmtId="38" fontId="8" fillId="0" borderId="7" xfId="1" applyFont="1" applyBorder="1" applyAlignment="1">
      <alignment horizontal="center"/>
    </xf>
    <xf numFmtId="177" fontId="7" fillId="0" borderId="0" xfId="1" applyNumberFormat="1" applyFont="1" applyBorder="1" applyAlignment="1">
      <alignment horizontal="center" shrinkToFit="1"/>
    </xf>
    <xf numFmtId="177" fontId="0" fillId="0" borderId="1" xfId="1" applyNumberFormat="1" applyFont="1" applyFill="1" applyBorder="1" applyAlignment="1">
      <alignment horizontal="center" vertical="center"/>
    </xf>
    <xf numFmtId="177" fontId="0" fillId="0" borderId="3" xfId="1" applyNumberFormat="1" applyFont="1" applyFill="1" applyBorder="1" applyAlignment="1">
      <alignment horizontal="center" vertical="center"/>
    </xf>
    <xf numFmtId="177" fontId="0" fillId="0" borderId="6" xfId="1" applyNumberFormat="1" applyFont="1" applyFill="1" applyBorder="1" applyAlignment="1">
      <alignment horizontal="center" vertical="center"/>
    </xf>
    <xf numFmtId="177" fontId="0" fillId="0" borderId="8" xfId="1" applyNumberFormat="1" applyFont="1" applyFill="1" applyBorder="1" applyAlignment="1">
      <alignment horizontal="center" vertical="center"/>
    </xf>
    <xf numFmtId="177" fontId="7" fillId="0" borderId="0" xfId="1" applyNumberFormat="1" applyFont="1" applyBorder="1" applyAlignment="1">
      <alignment horizontal="right" shrinkToFit="1"/>
    </xf>
    <xf numFmtId="38" fontId="0" fillId="0" borderId="3" xfId="1" applyFont="1" applyBorder="1" applyAlignment="1">
      <alignment horizontal="center"/>
    </xf>
    <xf numFmtId="177" fontId="8" fillId="0" borderId="10" xfId="1" applyNumberFormat="1" applyFont="1" applyBorder="1" applyAlignment="1">
      <alignment horizontal="center" shrinkToFit="1"/>
    </xf>
    <xf numFmtId="177" fontId="8" fillId="0" borderId="11" xfId="1" applyNumberFormat="1" applyFont="1" applyBorder="1" applyAlignment="1">
      <alignment horizontal="center" shrinkToFit="1"/>
    </xf>
    <xf numFmtId="177" fontId="8" fillId="0" borderId="12" xfId="1" applyNumberFormat="1" applyFont="1" applyBorder="1" applyAlignment="1">
      <alignment horizontal="center" shrinkToFit="1"/>
    </xf>
    <xf numFmtId="38" fontId="0" fillId="0" borderId="0" xfId="1" applyFont="1" applyAlignment="1">
      <alignment horizontal="center" vertical="center"/>
    </xf>
    <xf numFmtId="40" fontId="8" fillId="0" borderId="7" xfId="1" applyNumberFormat="1" applyFont="1" applyFill="1" applyBorder="1" applyAlignment="1">
      <alignment horizontal="center"/>
    </xf>
    <xf numFmtId="180" fontId="8" fillId="0" borderId="0" xfId="1" applyNumberFormat="1" applyFont="1" applyFill="1" applyBorder="1" applyAlignment="1">
      <alignment horizontal="center"/>
    </xf>
    <xf numFmtId="179" fontId="8" fillId="0" borderId="0" xfId="1" applyNumberFormat="1" applyFont="1" applyFill="1" applyBorder="1" applyAlignment="1"/>
    <xf numFmtId="38" fontId="0" fillId="0" borderId="0" xfId="1" applyFont="1" applyFill="1" applyBorder="1" applyAlignment="1">
      <alignment horizontal="center"/>
    </xf>
    <xf numFmtId="177" fontId="0" fillId="0" borderId="10" xfId="1" applyNumberFormat="1" applyFont="1" applyFill="1" applyBorder="1" applyAlignment="1">
      <alignment horizontal="center"/>
    </xf>
    <xf numFmtId="177" fontId="0" fillId="0" borderId="11" xfId="1" applyNumberFormat="1" applyFont="1" applyFill="1" applyBorder="1" applyAlignment="1">
      <alignment horizontal="center"/>
    </xf>
    <xf numFmtId="177" fontId="0" fillId="0" borderId="12" xfId="1" applyNumberFormat="1" applyFont="1" applyFill="1" applyBorder="1" applyAlignment="1">
      <alignment horizontal="center"/>
    </xf>
    <xf numFmtId="177" fontId="7" fillId="0" borderId="0" xfId="1" applyNumberFormat="1" applyFont="1" applyFill="1" applyBorder="1" applyAlignment="1">
      <alignment horizontal="center"/>
    </xf>
    <xf numFmtId="177" fontId="7" fillId="0" borderId="0" xfId="1" applyNumberFormat="1" applyFont="1" applyFill="1" applyBorder="1" applyAlignment="1"/>
    <xf numFmtId="40" fontId="8" fillId="0" borderId="0" xfId="1" applyNumberFormat="1" applyFont="1" applyFill="1" applyBorder="1" applyAlignment="1">
      <alignment horizontal="center" shrinkToFit="1"/>
    </xf>
    <xf numFmtId="40" fontId="7" fillId="0" borderId="0" xfId="1" applyNumberFormat="1" applyFont="1" applyFill="1" applyBorder="1" applyAlignment="1">
      <alignment shrinkToFit="1"/>
    </xf>
    <xf numFmtId="40" fontId="6" fillId="0" borderId="0" xfId="1" applyNumberFormat="1" applyFont="1" applyFill="1" applyBorder="1" applyAlignment="1">
      <alignment shrinkToFit="1"/>
    </xf>
    <xf numFmtId="177" fontId="0" fillId="0" borderId="5" xfId="1" applyNumberFormat="1" applyFont="1" applyFill="1" applyBorder="1" applyAlignment="1"/>
    <xf numFmtId="177" fontId="8" fillId="0" borderId="0" xfId="1" applyNumberFormat="1" applyFont="1" applyFill="1" applyBorder="1" applyAlignment="1">
      <alignment horizontal="center"/>
    </xf>
    <xf numFmtId="4" fontId="33" fillId="0" borderId="0" xfId="1" applyNumberFormat="1" applyFont="1" applyFill="1" applyBorder="1" applyAlignment="1">
      <alignment horizontal="center" shrinkToFit="1"/>
    </xf>
    <xf numFmtId="4" fontId="33" fillId="0" borderId="0" xfId="1" applyNumberFormat="1" applyFont="1" applyFill="1" applyBorder="1" applyAlignment="1">
      <alignment horizontal="center" shrinkToFit="1"/>
    </xf>
    <xf numFmtId="40" fontId="8" fillId="0" borderId="0" xfId="1" applyNumberFormat="1" applyFont="1" applyFill="1" applyBorder="1" applyAlignment="1">
      <alignment horizontal="center" shrinkToFit="1"/>
    </xf>
    <xf numFmtId="177" fontId="0" fillId="0" borderId="7" xfId="1" applyNumberFormat="1" applyFont="1" applyFill="1" applyBorder="1" applyAlignment="1"/>
    <xf numFmtId="4" fontId="33" fillId="0" borderId="7" xfId="1" applyNumberFormat="1" applyFont="1" applyFill="1" applyBorder="1" applyAlignment="1">
      <alignment horizontal="center" shrinkToFit="1"/>
    </xf>
    <xf numFmtId="40" fontId="38" fillId="0" borderId="7" xfId="1" applyNumberFormat="1" applyFont="1" applyFill="1" applyBorder="1" applyAlignment="1">
      <alignment shrinkToFit="1"/>
    </xf>
    <xf numFmtId="40" fontId="8" fillId="0" borderId="7" xfId="1" applyNumberFormat="1" applyFont="1" applyFill="1" applyBorder="1" applyAlignment="1">
      <alignment shrinkToFit="1"/>
    </xf>
    <xf numFmtId="40" fontId="8" fillId="0" borderId="7" xfId="1" applyNumberFormat="1" applyFont="1" applyFill="1" applyBorder="1" applyAlignment="1">
      <alignment horizontal="center" shrinkToFit="1"/>
    </xf>
    <xf numFmtId="40" fontId="6" fillId="0" borderId="7" xfId="1" applyNumberFormat="1" applyFont="1" applyFill="1" applyBorder="1" applyAlignment="1">
      <alignment shrinkToFit="1"/>
    </xf>
    <xf numFmtId="38" fontId="8" fillId="0" borderId="7" xfId="1" applyFont="1" applyFill="1" applyBorder="1" applyAlignment="1">
      <alignment shrinkToFit="1"/>
    </xf>
    <xf numFmtId="40" fontId="38" fillId="0" borderId="0" xfId="1" applyNumberFormat="1" applyFont="1" applyFill="1" applyBorder="1" applyAlignment="1">
      <alignment shrinkToFit="1"/>
    </xf>
    <xf numFmtId="40" fontId="8" fillId="0" borderId="0" xfId="1" applyNumberFormat="1" applyFont="1" applyFill="1" applyBorder="1" applyAlignment="1">
      <alignment shrinkToFit="1"/>
    </xf>
    <xf numFmtId="38" fontId="8" fillId="0" borderId="0" xfId="1" applyFont="1" applyFill="1" applyBorder="1" applyAlignment="1">
      <alignment shrinkToFit="1"/>
    </xf>
    <xf numFmtId="40" fontId="0" fillId="0" borderId="0" xfId="1" applyNumberFormat="1" applyFont="1" applyFill="1" applyBorder="1" applyAlignment="1">
      <alignment horizontal="right"/>
    </xf>
    <xf numFmtId="38" fontId="32" fillId="0" borderId="0" xfId="1" applyFont="1" applyFill="1" applyBorder="1" applyAlignment="1">
      <alignment horizontal="left"/>
    </xf>
    <xf numFmtId="40" fontId="0" fillId="0" borderId="10" xfId="1" applyNumberFormat="1" applyFont="1" applyFill="1" applyBorder="1" applyAlignment="1">
      <alignment horizontal="center" shrinkToFit="1"/>
    </xf>
    <xf numFmtId="40" fontId="0" fillId="0" borderId="11" xfId="1" applyNumberFormat="1" applyFont="1" applyFill="1" applyBorder="1" applyAlignment="1">
      <alignment horizontal="center" shrinkToFit="1"/>
    </xf>
    <xf numFmtId="177" fontId="0" fillId="0" borderId="11" xfId="1" applyNumberFormat="1" applyFont="1" applyFill="1" applyBorder="1" applyAlignment="1"/>
    <xf numFmtId="40" fontId="7" fillId="0" borderId="11" xfId="1" applyNumberFormat="1" applyFont="1" applyFill="1" applyBorder="1" applyAlignment="1">
      <alignment horizontal="center" shrinkToFit="1"/>
    </xf>
    <xf numFmtId="1" fontId="0" fillId="0" borderId="11" xfId="0" applyNumberFormat="1" applyFill="1" applyBorder="1" applyAlignment="1">
      <alignment horizontal="center"/>
    </xf>
    <xf numFmtId="177" fontId="0" fillId="0" borderId="12" xfId="1" applyNumberFormat="1" applyFont="1" applyFill="1" applyBorder="1" applyAlignment="1"/>
    <xf numFmtId="177" fontId="0" fillId="0" borderId="1" xfId="1" applyNumberFormat="1" applyFont="1" applyFill="1" applyBorder="1" applyAlignment="1"/>
    <xf numFmtId="177" fontId="0" fillId="0" borderId="2" xfId="1" applyNumberFormat="1" applyFont="1" applyFill="1" applyBorder="1" applyAlignment="1"/>
    <xf numFmtId="40" fontId="0" fillId="0" borderId="2" xfId="1" applyNumberFormat="1" applyFont="1" applyFill="1" applyBorder="1" applyAlignment="1">
      <alignment horizontal="center"/>
    </xf>
    <xf numFmtId="177" fontId="7" fillId="0" borderId="2" xfId="1" applyNumberFormat="1" applyFont="1" applyFill="1" applyBorder="1" applyAlignment="1"/>
    <xf numFmtId="177" fontId="0" fillId="0" borderId="3" xfId="1" applyNumberFormat="1" applyFont="1" applyFill="1" applyBorder="1" applyAlignment="1"/>
    <xf numFmtId="177" fontId="0" fillId="0" borderId="10" xfId="1" applyNumberFormat="1" applyFont="1" applyFill="1" applyBorder="1" applyAlignment="1"/>
    <xf numFmtId="177" fontId="7" fillId="0" borderId="11" xfId="1" applyNumberFormat="1" applyFont="1" applyFill="1" applyBorder="1" applyAlignment="1"/>
    <xf numFmtId="40" fontId="7" fillId="0" borderId="11" xfId="1" applyNumberFormat="1" applyFont="1" applyFill="1" applyBorder="1" applyAlignment="1">
      <alignment shrinkToFit="1"/>
    </xf>
    <xf numFmtId="40" fontId="8" fillId="0" borderId="10" xfId="1" applyNumberFormat="1" applyFont="1" applyFill="1" applyBorder="1" applyAlignment="1">
      <alignment horizontal="center" shrinkToFit="1"/>
    </xf>
    <xf numFmtId="40" fontId="8" fillId="0" borderId="11" xfId="1" applyNumberFormat="1" applyFont="1" applyFill="1" applyBorder="1" applyAlignment="1">
      <alignment horizontal="center" shrinkToFit="1"/>
    </xf>
    <xf numFmtId="0" fontId="0" fillId="0" borderId="1" xfId="0" applyFill="1" applyBorder="1" applyAlignment="1">
      <alignment horizontal="center"/>
    </xf>
    <xf numFmtId="0" fontId="0" fillId="0" borderId="2" xfId="0" applyFill="1" applyBorder="1" applyAlignment="1">
      <alignment horizontal="center"/>
    </xf>
    <xf numFmtId="0" fontId="0" fillId="0" borderId="3" xfId="0" applyFill="1" applyBorder="1" applyAlignment="1">
      <alignment horizontal="center"/>
    </xf>
    <xf numFmtId="0" fontId="0" fillId="0" borderId="4" xfId="0" applyFill="1" applyBorder="1" applyAlignment="1">
      <alignment horizontal="center"/>
    </xf>
    <xf numFmtId="0" fontId="0" fillId="0" borderId="0" xfId="0" applyFill="1" applyAlignment="1">
      <alignment horizontal="center"/>
    </xf>
    <xf numFmtId="0" fontId="0" fillId="0" borderId="5" xfId="0" applyFill="1" applyBorder="1" applyAlignment="1">
      <alignment horizontal="center"/>
    </xf>
    <xf numFmtId="0" fontId="7" fillId="0" borderId="4" xfId="0" applyFont="1" applyFill="1" applyBorder="1" applyAlignment="1">
      <alignment horizontal="center"/>
    </xf>
    <xf numFmtId="0" fontId="7" fillId="0" borderId="0" xfId="0" applyFont="1" applyFill="1" applyAlignment="1">
      <alignment horizontal="center"/>
    </xf>
    <xf numFmtId="0" fontId="7" fillId="0" borderId="5" xfId="0" applyFont="1" applyFill="1" applyBorder="1" applyAlignment="1">
      <alignment horizontal="center"/>
    </xf>
    <xf numFmtId="2" fontId="0" fillId="0" borderId="0" xfId="0" applyNumberFormat="1" applyFill="1" applyAlignment="1">
      <alignment horizontal="center"/>
    </xf>
    <xf numFmtId="0" fontId="6" fillId="0" borderId="0" xfId="0" applyFont="1" applyFill="1" applyAlignment="1">
      <alignment horizontal="center" shrinkToFit="1"/>
    </xf>
    <xf numFmtId="0" fontId="0" fillId="0" borderId="6" xfId="0" applyFill="1" applyBorder="1"/>
    <xf numFmtId="0" fontId="0" fillId="0" borderId="7" xfId="0" applyFill="1" applyBorder="1"/>
    <xf numFmtId="0" fontId="0" fillId="0" borderId="6" xfId="0" applyFill="1" applyBorder="1" applyAlignment="1">
      <alignment horizontal="center"/>
    </xf>
    <xf numFmtId="0" fontId="0" fillId="0" borderId="7" xfId="0" applyFill="1" applyBorder="1" applyAlignment="1">
      <alignment horizontal="center"/>
    </xf>
    <xf numFmtId="0" fontId="0" fillId="0" borderId="8" xfId="0" applyFill="1" applyBorder="1" applyAlignment="1">
      <alignment horizontal="center"/>
    </xf>
    <xf numFmtId="40" fontId="7" fillId="0" borderId="10" xfId="1" applyNumberFormat="1" applyFont="1" applyFill="1" applyBorder="1" applyAlignment="1">
      <alignment horizontal="center" shrinkToFit="1"/>
    </xf>
    <xf numFmtId="38" fontId="0" fillId="0" borderId="11" xfId="1" applyFont="1" applyFill="1" applyBorder="1" applyAlignment="1"/>
    <xf numFmtId="177" fontId="7" fillId="0" borderId="7" xfId="1" applyNumberFormat="1" applyFont="1" applyFill="1" applyBorder="1" applyAlignment="1"/>
    <xf numFmtId="40" fontId="0" fillId="0" borderId="7" xfId="1" applyNumberFormat="1" applyFont="1" applyFill="1" applyBorder="1" applyAlignment="1">
      <alignment horizontal="center" shrinkToFit="1"/>
    </xf>
    <xf numFmtId="40" fontId="0" fillId="0" borderId="2" xfId="1" applyNumberFormat="1" applyFont="1" applyFill="1" applyBorder="1" applyAlignment="1">
      <alignment horizontal="center" shrinkToFit="1"/>
    </xf>
    <xf numFmtId="40" fontId="8" fillId="0" borderId="2" xfId="1" applyNumberFormat="1" applyFont="1" applyFill="1" applyBorder="1" applyAlignment="1">
      <alignment horizontal="center" shrinkToFit="1"/>
    </xf>
    <xf numFmtId="40" fontId="7" fillId="0" borderId="2" xfId="1" applyNumberFormat="1" applyFont="1" applyFill="1" applyBorder="1" applyAlignment="1">
      <alignment shrinkToFit="1"/>
    </xf>
    <xf numFmtId="40" fontId="6" fillId="0" borderId="2" xfId="1" applyNumberFormat="1" applyFont="1" applyFill="1" applyBorder="1" applyAlignment="1">
      <alignment shrinkToFit="1"/>
    </xf>
    <xf numFmtId="40" fontId="8" fillId="0" borderId="3" xfId="1" applyNumberFormat="1" applyFont="1" applyFill="1" applyBorder="1" applyAlignment="1">
      <alignment horizontal="center" shrinkToFit="1"/>
    </xf>
    <xf numFmtId="40" fontId="6" fillId="0" borderId="11" xfId="1" applyNumberFormat="1" applyFont="1" applyFill="1" applyBorder="1" applyAlignment="1">
      <alignment shrinkToFit="1"/>
    </xf>
    <xf numFmtId="40" fontId="8" fillId="0" borderId="12" xfId="1" applyNumberFormat="1" applyFont="1" applyFill="1" applyBorder="1" applyAlignment="1">
      <alignment horizontal="center" shrinkToFit="1"/>
    </xf>
    <xf numFmtId="40" fontId="8" fillId="0" borderId="20" xfId="1" applyNumberFormat="1" applyFont="1" applyFill="1" applyBorder="1" applyAlignment="1">
      <alignment horizontal="center" shrinkToFit="1"/>
    </xf>
    <xf numFmtId="40" fontId="8" fillId="0" borderId="22" xfId="1" applyNumberFormat="1" applyFont="1" applyFill="1" applyBorder="1" applyAlignment="1">
      <alignment horizontal="center" shrinkToFit="1"/>
    </xf>
    <xf numFmtId="40" fontId="7" fillId="0" borderId="22" xfId="1" applyNumberFormat="1" applyFont="1" applyFill="1" applyBorder="1" applyAlignment="1">
      <alignment shrinkToFit="1"/>
    </xf>
    <xf numFmtId="177" fontId="0" fillId="0" borderId="22" xfId="1" applyNumberFormat="1" applyFont="1" applyFill="1" applyBorder="1" applyAlignment="1"/>
    <xf numFmtId="40" fontId="6" fillId="0" borderId="22" xfId="1" applyNumberFormat="1" applyFont="1" applyFill="1" applyBorder="1" applyAlignment="1">
      <alignment shrinkToFit="1"/>
    </xf>
    <xf numFmtId="177" fontId="7" fillId="0" borderId="22" xfId="1" applyNumberFormat="1" applyFont="1" applyFill="1" applyBorder="1" applyAlignment="1"/>
    <xf numFmtId="40" fontId="8" fillId="0" borderId="21" xfId="1" applyNumberFormat="1" applyFont="1" applyFill="1" applyBorder="1" applyAlignment="1">
      <alignment horizontal="center" shrinkToFit="1"/>
    </xf>
    <xf numFmtId="40" fontId="8" fillId="0" borderId="23" xfId="1" applyNumberFormat="1" applyFont="1" applyFill="1" applyBorder="1" applyAlignment="1">
      <alignment horizontal="center" shrinkToFit="1"/>
    </xf>
    <xf numFmtId="40" fontId="8" fillId="0" borderId="24" xfId="1" applyNumberFormat="1" applyFont="1" applyFill="1" applyBorder="1" applyAlignment="1">
      <alignment horizontal="center" shrinkToFit="1"/>
    </xf>
    <xf numFmtId="40" fontId="7" fillId="0" borderId="7" xfId="1" applyNumberFormat="1" applyFont="1" applyFill="1" applyBorder="1" applyAlignment="1">
      <alignment shrinkToFit="1"/>
    </xf>
    <xf numFmtId="40" fontId="8" fillId="0" borderId="8" xfId="1" applyNumberFormat="1" applyFont="1" applyFill="1" applyBorder="1" applyAlignment="1">
      <alignment horizontal="center" shrinkToFit="1"/>
    </xf>
    <xf numFmtId="2" fontId="0" fillId="0" borderId="7" xfId="0" applyNumberFormat="1" applyFill="1" applyBorder="1" applyAlignment="1">
      <alignment horizontal="center" shrinkToFit="1"/>
    </xf>
    <xf numFmtId="2" fontId="7" fillId="0" borderId="7" xfId="0" applyNumberFormat="1" applyFont="1" applyFill="1" applyBorder="1"/>
    <xf numFmtId="2" fontId="0" fillId="0" borderId="8" xfId="0" applyNumberFormat="1" applyFill="1" applyBorder="1" applyAlignment="1">
      <alignment horizontal="center" shrinkToFit="1"/>
    </xf>
    <xf numFmtId="2" fontId="0" fillId="0" borderId="0" xfId="0" applyNumberFormat="1" applyFill="1" applyAlignment="1">
      <alignment horizontal="center" shrinkToFit="1"/>
    </xf>
    <xf numFmtId="2" fontId="7" fillId="0" borderId="0" xfId="0" applyNumberFormat="1" applyFont="1" applyFill="1"/>
    <xf numFmtId="2" fontId="0" fillId="0" borderId="5" xfId="0" applyNumberFormat="1" applyFill="1" applyBorder="1" applyAlignment="1">
      <alignment horizontal="center" shrinkToFit="1"/>
    </xf>
  </cellXfs>
  <cellStyles count="4">
    <cellStyle name="パーセント" xfId="2" builtinId="5"/>
    <cellStyle name="ハイパーリンク" xfId="3" builtinId="8"/>
    <cellStyle name="桁区切り" xfId="1" builtinId="6"/>
    <cellStyle name="標準" xfId="0" builtinId="0"/>
  </cellStyles>
  <dxfs count="8">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8998</xdr:colOff>
      <xdr:row>71</xdr:row>
      <xdr:rowOff>150702</xdr:rowOff>
    </xdr:from>
    <xdr:to>
      <xdr:col>31</xdr:col>
      <xdr:colOff>95745</xdr:colOff>
      <xdr:row>71</xdr:row>
      <xdr:rowOff>150702</xdr:rowOff>
    </xdr:to>
    <xdr:cxnSp macro="">
      <xdr:nvCxnSpPr>
        <xdr:cNvPr id="2" name="直線コネクタ 1">
          <a:extLst>
            <a:ext uri="{FF2B5EF4-FFF2-40B4-BE49-F238E27FC236}">
              <a16:creationId xmlns:a16="http://schemas.microsoft.com/office/drawing/2014/main" id="{74522F57-4AFF-4FD3-8395-7B15C2897C8B}"/>
            </a:ext>
          </a:extLst>
        </xdr:cNvPr>
        <xdr:cNvCxnSpPr/>
      </xdr:nvCxnSpPr>
      <xdr:spPr>
        <a:xfrm>
          <a:off x="6254677" y="17867202"/>
          <a:ext cx="101203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8998</xdr:colOff>
      <xdr:row>75</xdr:row>
      <xdr:rowOff>132555</xdr:rowOff>
    </xdr:from>
    <xdr:to>
      <xdr:col>31</xdr:col>
      <xdr:colOff>98126</xdr:colOff>
      <xdr:row>75</xdr:row>
      <xdr:rowOff>132555</xdr:rowOff>
    </xdr:to>
    <xdr:cxnSp macro="">
      <xdr:nvCxnSpPr>
        <xdr:cNvPr id="3" name="直線コネクタ 2">
          <a:extLst>
            <a:ext uri="{FF2B5EF4-FFF2-40B4-BE49-F238E27FC236}">
              <a16:creationId xmlns:a16="http://schemas.microsoft.com/office/drawing/2014/main" id="{BCB1454C-B680-48D3-A06B-8A7014789DFB}"/>
            </a:ext>
          </a:extLst>
        </xdr:cNvPr>
        <xdr:cNvCxnSpPr/>
      </xdr:nvCxnSpPr>
      <xdr:spPr>
        <a:xfrm>
          <a:off x="6254677" y="18828769"/>
          <a:ext cx="101441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8998</xdr:colOff>
      <xdr:row>72</xdr:row>
      <xdr:rowOff>36197</xdr:rowOff>
    </xdr:from>
    <xdr:to>
      <xdr:col>28</xdr:col>
      <xdr:colOff>195066</xdr:colOff>
      <xdr:row>72</xdr:row>
      <xdr:rowOff>37112</xdr:rowOff>
    </xdr:to>
    <xdr:cxnSp macro="">
      <xdr:nvCxnSpPr>
        <xdr:cNvPr id="4" name="直線コネクタ 3">
          <a:extLst>
            <a:ext uri="{FF2B5EF4-FFF2-40B4-BE49-F238E27FC236}">
              <a16:creationId xmlns:a16="http://schemas.microsoft.com/office/drawing/2014/main" id="{89FC5744-CDE1-47B0-9FF1-9D7F5518FBF7}"/>
            </a:ext>
          </a:extLst>
        </xdr:cNvPr>
        <xdr:cNvCxnSpPr>
          <a:endCxn id="14" idx="0"/>
        </xdr:cNvCxnSpPr>
      </xdr:nvCxnSpPr>
      <xdr:spPr>
        <a:xfrm flipV="1">
          <a:off x="6254677" y="17997626"/>
          <a:ext cx="417389" cy="91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8998</xdr:colOff>
      <xdr:row>75</xdr:row>
      <xdr:rowOff>5397</xdr:rowOff>
    </xdr:from>
    <xdr:to>
      <xdr:col>28</xdr:col>
      <xdr:colOff>194396</xdr:colOff>
      <xdr:row>75</xdr:row>
      <xdr:rowOff>5397</xdr:rowOff>
    </xdr:to>
    <xdr:cxnSp macro="">
      <xdr:nvCxnSpPr>
        <xdr:cNvPr id="5" name="直線コネクタ 4">
          <a:extLst>
            <a:ext uri="{FF2B5EF4-FFF2-40B4-BE49-F238E27FC236}">
              <a16:creationId xmlns:a16="http://schemas.microsoft.com/office/drawing/2014/main" id="{2D383B96-F5DC-4970-9BA0-3D096C8D17B2}"/>
            </a:ext>
          </a:extLst>
        </xdr:cNvPr>
        <xdr:cNvCxnSpPr/>
      </xdr:nvCxnSpPr>
      <xdr:spPr>
        <a:xfrm>
          <a:off x="6254677" y="18701611"/>
          <a:ext cx="41671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139969</xdr:colOff>
      <xdr:row>72</xdr:row>
      <xdr:rowOff>37112</xdr:rowOff>
    </xdr:from>
    <xdr:to>
      <xdr:col>31</xdr:col>
      <xdr:colOff>98126</xdr:colOff>
      <xdr:row>72</xdr:row>
      <xdr:rowOff>37112</xdr:rowOff>
    </xdr:to>
    <xdr:cxnSp macro="">
      <xdr:nvCxnSpPr>
        <xdr:cNvPr id="6" name="直線コネクタ 5">
          <a:extLst>
            <a:ext uri="{FF2B5EF4-FFF2-40B4-BE49-F238E27FC236}">
              <a16:creationId xmlns:a16="http://schemas.microsoft.com/office/drawing/2014/main" id="{17B16E94-E7E1-4ECC-B332-982EE54961CB}"/>
            </a:ext>
          </a:extLst>
        </xdr:cNvPr>
        <xdr:cNvCxnSpPr/>
      </xdr:nvCxnSpPr>
      <xdr:spPr>
        <a:xfrm>
          <a:off x="6848290" y="17998541"/>
          <a:ext cx="4208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142350</xdr:colOff>
      <xdr:row>75</xdr:row>
      <xdr:rowOff>5397</xdr:rowOff>
    </xdr:from>
    <xdr:to>
      <xdr:col>31</xdr:col>
      <xdr:colOff>95745</xdr:colOff>
      <xdr:row>75</xdr:row>
      <xdr:rowOff>5397</xdr:rowOff>
    </xdr:to>
    <xdr:cxnSp macro="">
      <xdr:nvCxnSpPr>
        <xdr:cNvPr id="7" name="直線コネクタ 6">
          <a:extLst>
            <a:ext uri="{FF2B5EF4-FFF2-40B4-BE49-F238E27FC236}">
              <a16:creationId xmlns:a16="http://schemas.microsoft.com/office/drawing/2014/main" id="{20CD5770-E183-4195-BC7C-518FB3126287}"/>
            </a:ext>
          </a:extLst>
        </xdr:cNvPr>
        <xdr:cNvCxnSpPr/>
      </xdr:nvCxnSpPr>
      <xdr:spPr>
        <a:xfrm>
          <a:off x="6850671" y="18701611"/>
          <a:ext cx="41603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12534</xdr:colOff>
      <xdr:row>72</xdr:row>
      <xdr:rowOff>81988</xdr:rowOff>
    </xdr:from>
    <xdr:to>
      <xdr:col>29</xdr:col>
      <xdr:colOff>12534</xdr:colOff>
      <xdr:row>74</xdr:row>
      <xdr:rowOff>201729</xdr:rowOff>
    </xdr:to>
    <xdr:cxnSp macro="">
      <xdr:nvCxnSpPr>
        <xdr:cNvPr id="8" name="直線コネクタ 7">
          <a:extLst>
            <a:ext uri="{FF2B5EF4-FFF2-40B4-BE49-F238E27FC236}">
              <a16:creationId xmlns:a16="http://schemas.microsoft.com/office/drawing/2014/main" id="{AC5F8634-E046-4689-9E84-851AA31F0989}"/>
            </a:ext>
          </a:extLst>
        </xdr:cNvPr>
        <xdr:cNvCxnSpPr/>
      </xdr:nvCxnSpPr>
      <xdr:spPr>
        <a:xfrm>
          <a:off x="6720855" y="18043417"/>
          <a:ext cx="0" cy="60959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89185</xdr:colOff>
      <xdr:row>72</xdr:row>
      <xdr:rowOff>83780</xdr:rowOff>
    </xdr:from>
    <xdr:to>
      <xdr:col>29</xdr:col>
      <xdr:colOff>89185</xdr:colOff>
      <xdr:row>74</xdr:row>
      <xdr:rowOff>201729</xdr:rowOff>
    </xdr:to>
    <xdr:cxnSp macro="">
      <xdr:nvCxnSpPr>
        <xdr:cNvPr id="9" name="直線コネクタ 8">
          <a:extLst>
            <a:ext uri="{FF2B5EF4-FFF2-40B4-BE49-F238E27FC236}">
              <a16:creationId xmlns:a16="http://schemas.microsoft.com/office/drawing/2014/main" id="{9B185037-A270-43DE-93B8-F0AEB674452C}"/>
            </a:ext>
          </a:extLst>
        </xdr:cNvPr>
        <xdr:cNvCxnSpPr/>
      </xdr:nvCxnSpPr>
      <xdr:spPr>
        <a:xfrm>
          <a:off x="6797506" y="18045209"/>
          <a:ext cx="0" cy="6078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7148</xdr:colOff>
      <xdr:row>71</xdr:row>
      <xdr:rowOff>138824</xdr:rowOff>
    </xdr:from>
    <xdr:to>
      <xdr:col>27</xdr:col>
      <xdr:colOff>7148</xdr:colOff>
      <xdr:row>72</xdr:row>
      <xdr:rowOff>36801</xdr:rowOff>
    </xdr:to>
    <xdr:cxnSp macro="">
      <xdr:nvCxnSpPr>
        <xdr:cNvPr id="10" name="直線コネクタ 9">
          <a:extLst>
            <a:ext uri="{FF2B5EF4-FFF2-40B4-BE49-F238E27FC236}">
              <a16:creationId xmlns:a16="http://schemas.microsoft.com/office/drawing/2014/main" id="{1A21AB1E-A76C-45BA-8081-41406DDE42F0}"/>
            </a:ext>
          </a:extLst>
        </xdr:cNvPr>
        <xdr:cNvCxnSpPr/>
      </xdr:nvCxnSpPr>
      <xdr:spPr>
        <a:xfrm>
          <a:off x="6252827" y="17855324"/>
          <a:ext cx="0" cy="1429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11983</xdr:colOff>
      <xdr:row>75</xdr:row>
      <xdr:rowOff>1924</xdr:rowOff>
    </xdr:from>
    <xdr:to>
      <xdr:col>27</xdr:col>
      <xdr:colOff>11983</xdr:colOff>
      <xdr:row>75</xdr:row>
      <xdr:rowOff>124794</xdr:rowOff>
    </xdr:to>
    <xdr:cxnSp macro="">
      <xdr:nvCxnSpPr>
        <xdr:cNvPr id="11" name="直線コネクタ 10">
          <a:extLst>
            <a:ext uri="{FF2B5EF4-FFF2-40B4-BE49-F238E27FC236}">
              <a16:creationId xmlns:a16="http://schemas.microsoft.com/office/drawing/2014/main" id="{F6A8C805-B6EB-4C25-B5CC-81B30B815B7E}"/>
            </a:ext>
          </a:extLst>
        </xdr:cNvPr>
        <xdr:cNvCxnSpPr/>
      </xdr:nvCxnSpPr>
      <xdr:spPr>
        <a:xfrm>
          <a:off x="6257662" y="18698138"/>
          <a:ext cx="0" cy="12287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96744</xdr:colOff>
      <xdr:row>71</xdr:row>
      <xdr:rowOff>138824</xdr:rowOff>
    </xdr:from>
    <xdr:to>
      <xdr:col>31</xdr:col>
      <xdr:colOff>96744</xdr:colOff>
      <xdr:row>72</xdr:row>
      <xdr:rowOff>36801</xdr:rowOff>
    </xdr:to>
    <xdr:cxnSp macro="">
      <xdr:nvCxnSpPr>
        <xdr:cNvPr id="12" name="直線コネクタ 11">
          <a:extLst>
            <a:ext uri="{FF2B5EF4-FFF2-40B4-BE49-F238E27FC236}">
              <a16:creationId xmlns:a16="http://schemas.microsoft.com/office/drawing/2014/main" id="{6763B37F-5BD4-4086-B3C7-F97D5A3F4E10}"/>
            </a:ext>
          </a:extLst>
        </xdr:cNvPr>
        <xdr:cNvCxnSpPr/>
      </xdr:nvCxnSpPr>
      <xdr:spPr>
        <a:xfrm>
          <a:off x="7267708" y="17855324"/>
          <a:ext cx="0" cy="1429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96214</xdr:colOff>
      <xdr:row>75</xdr:row>
      <xdr:rowOff>1924</xdr:rowOff>
    </xdr:from>
    <xdr:to>
      <xdr:col>31</xdr:col>
      <xdr:colOff>96214</xdr:colOff>
      <xdr:row>75</xdr:row>
      <xdr:rowOff>124794</xdr:rowOff>
    </xdr:to>
    <xdr:cxnSp macro="">
      <xdr:nvCxnSpPr>
        <xdr:cNvPr id="13" name="直線コネクタ 12">
          <a:extLst>
            <a:ext uri="{FF2B5EF4-FFF2-40B4-BE49-F238E27FC236}">
              <a16:creationId xmlns:a16="http://schemas.microsoft.com/office/drawing/2014/main" id="{FE78B1D3-019D-4A72-BFD7-19DEB79099A2}"/>
            </a:ext>
          </a:extLst>
        </xdr:cNvPr>
        <xdr:cNvCxnSpPr/>
      </xdr:nvCxnSpPr>
      <xdr:spPr>
        <a:xfrm>
          <a:off x="7267178" y="18698138"/>
          <a:ext cx="0" cy="12287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143819</xdr:colOff>
      <xdr:row>72</xdr:row>
      <xdr:rowOff>36197</xdr:rowOff>
    </xdr:from>
    <xdr:to>
      <xdr:col>29</xdr:col>
      <xdr:colOff>12611</xdr:colOff>
      <xdr:row>72</xdr:row>
      <xdr:rowOff>136083</xdr:rowOff>
    </xdr:to>
    <xdr:sp macro="" textlink="">
      <xdr:nvSpPr>
        <xdr:cNvPr id="14" name="円弧 13">
          <a:extLst>
            <a:ext uri="{FF2B5EF4-FFF2-40B4-BE49-F238E27FC236}">
              <a16:creationId xmlns:a16="http://schemas.microsoft.com/office/drawing/2014/main" id="{CAE7DA89-97C0-47C6-AB81-505CE85BCB63}"/>
            </a:ext>
          </a:extLst>
        </xdr:cNvPr>
        <xdr:cNvSpPr/>
      </xdr:nvSpPr>
      <xdr:spPr>
        <a:xfrm>
          <a:off x="6620819" y="17997626"/>
          <a:ext cx="100113" cy="99886"/>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88814</xdr:colOff>
      <xdr:row>72</xdr:row>
      <xdr:rowOff>31002</xdr:rowOff>
    </xdr:from>
    <xdr:to>
      <xdr:col>29</xdr:col>
      <xdr:colOff>191678</xdr:colOff>
      <xdr:row>72</xdr:row>
      <xdr:rowOff>140413</xdr:rowOff>
    </xdr:to>
    <xdr:sp macro="" textlink="">
      <xdr:nvSpPr>
        <xdr:cNvPr id="15" name="円弧 14">
          <a:extLst>
            <a:ext uri="{FF2B5EF4-FFF2-40B4-BE49-F238E27FC236}">
              <a16:creationId xmlns:a16="http://schemas.microsoft.com/office/drawing/2014/main" id="{53963B9F-C8FC-4536-80CB-4B688080451C}"/>
            </a:ext>
          </a:extLst>
        </xdr:cNvPr>
        <xdr:cNvSpPr/>
      </xdr:nvSpPr>
      <xdr:spPr>
        <a:xfrm flipH="1">
          <a:off x="6797135" y="17992431"/>
          <a:ext cx="102864" cy="109411"/>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88809</xdr:colOff>
      <xdr:row>74</xdr:row>
      <xdr:rowOff>142198</xdr:rowOff>
    </xdr:from>
    <xdr:to>
      <xdr:col>29</xdr:col>
      <xdr:colOff>201198</xdr:colOff>
      <xdr:row>75</xdr:row>
      <xdr:rowOff>6262</xdr:rowOff>
    </xdr:to>
    <xdr:sp macro="" textlink="">
      <xdr:nvSpPr>
        <xdr:cNvPr id="16" name="円弧 15">
          <a:extLst>
            <a:ext uri="{FF2B5EF4-FFF2-40B4-BE49-F238E27FC236}">
              <a16:creationId xmlns:a16="http://schemas.microsoft.com/office/drawing/2014/main" id="{7E28BA67-B0F0-4507-AB31-FFAC13D650CA}"/>
            </a:ext>
          </a:extLst>
        </xdr:cNvPr>
        <xdr:cNvSpPr/>
      </xdr:nvSpPr>
      <xdr:spPr>
        <a:xfrm flipH="1" flipV="1">
          <a:off x="6797130" y="18593484"/>
          <a:ext cx="112389" cy="108992"/>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139626</xdr:colOff>
      <xdr:row>74</xdr:row>
      <xdr:rowOff>142197</xdr:rowOff>
    </xdr:from>
    <xdr:to>
      <xdr:col>29</xdr:col>
      <xdr:colOff>12608</xdr:colOff>
      <xdr:row>75</xdr:row>
      <xdr:rowOff>6261</xdr:rowOff>
    </xdr:to>
    <xdr:sp macro="" textlink="">
      <xdr:nvSpPr>
        <xdr:cNvPr id="17" name="円弧 16">
          <a:extLst>
            <a:ext uri="{FF2B5EF4-FFF2-40B4-BE49-F238E27FC236}">
              <a16:creationId xmlns:a16="http://schemas.microsoft.com/office/drawing/2014/main" id="{B68B71CA-F84F-4113-9864-19737F8B643F}"/>
            </a:ext>
          </a:extLst>
        </xdr:cNvPr>
        <xdr:cNvSpPr/>
      </xdr:nvSpPr>
      <xdr:spPr>
        <a:xfrm flipV="1">
          <a:off x="6616626" y="18593483"/>
          <a:ext cx="104303" cy="108992"/>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14951</xdr:colOff>
      <xdr:row>69</xdr:row>
      <xdr:rowOff>239117</xdr:rowOff>
    </xdr:from>
    <xdr:to>
      <xdr:col>31</xdr:col>
      <xdr:colOff>95744</xdr:colOff>
      <xdr:row>69</xdr:row>
      <xdr:rowOff>239117</xdr:rowOff>
    </xdr:to>
    <xdr:cxnSp macro="">
      <xdr:nvCxnSpPr>
        <xdr:cNvPr id="18" name="直線矢印コネクタ 17">
          <a:extLst>
            <a:ext uri="{FF2B5EF4-FFF2-40B4-BE49-F238E27FC236}">
              <a16:creationId xmlns:a16="http://schemas.microsoft.com/office/drawing/2014/main" id="{7227F513-DC09-4182-B13C-2BFD4C434B50}"/>
            </a:ext>
          </a:extLst>
        </xdr:cNvPr>
        <xdr:cNvCxnSpPr/>
      </xdr:nvCxnSpPr>
      <xdr:spPr>
        <a:xfrm flipH="1">
          <a:off x="6260630" y="17465760"/>
          <a:ext cx="1006078"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96744</xdr:colOff>
      <xdr:row>69</xdr:row>
      <xdr:rowOff>181109</xdr:rowOff>
    </xdr:from>
    <xdr:to>
      <xdr:col>31</xdr:col>
      <xdr:colOff>96744</xdr:colOff>
      <xdr:row>70</xdr:row>
      <xdr:rowOff>69562</xdr:rowOff>
    </xdr:to>
    <xdr:cxnSp macro="">
      <xdr:nvCxnSpPr>
        <xdr:cNvPr id="19" name="直線コネクタ 18">
          <a:extLst>
            <a:ext uri="{FF2B5EF4-FFF2-40B4-BE49-F238E27FC236}">
              <a16:creationId xmlns:a16="http://schemas.microsoft.com/office/drawing/2014/main" id="{E5F92394-836A-4636-AD61-288202BB04D5}"/>
            </a:ext>
          </a:extLst>
        </xdr:cNvPr>
        <xdr:cNvCxnSpPr/>
      </xdr:nvCxnSpPr>
      <xdr:spPr>
        <a:xfrm>
          <a:off x="7267708" y="17407752"/>
          <a:ext cx="0" cy="1333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7148</xdr:colOff>
      <xdr:row>69</xdr:row>
      <xdr:rowOff>187062</xdr:rowOff>
    </xdr:from>
    <xdr:to>
      <xdr:col>27</xdr:col>
      <xdr:colOff>7148</xdr:colOff>
      <xdr:row>70</xdr:row>
      <xdr:rowOff>73444</xdr:rowOff>
    </xdr:to>
    <xdr:cxnSp macro="">
      <xdr:nvCxnSpPr>
        <xdr:cNvPr id="20" name="直線コネクタ 19">
          <a:extLst>
            <a:ext uri="{FF2B5EF4-FFF2-40B4-BE49-F238E27FC236}">
              <a16:creationId xmlns:a16="http://schemas.microsoft.com/office/drawing/2014/main" id="{047FC9E4-6B55-416F-A20D-CE705AC68E5E}"/>
            </a:ext>
          </a:extLst>
        </xdr:cNvPr>
        <xdr:cNvCxnSpPr/>
      </xdr:nvCxnSpPr>
      <xdr:spPr>
        <a:xfrm>
          <a:off x="6252827" y="17413705"/>
          <a:ext cx="0" cy="1313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191430</xdr:colOff>
      <xdr:row>71</xdr:row>
      <xdr:rowOff>156115</xdr:rowOff>
    </xdr:from>
    <xdr:to>
      <xdr:col>33</xdr:col>
      <xdr:colOff>191430</xdr:colOff>
      <xdr:row>75</xdr:row>
      <xdr:rowOff>140045</xdr:rowOff>
    </xdr:to>
    <xdr:cxnSp macro="">
      <xdr:nvCxnSpPr>
        <xdr:cNvPr id="27" name="直線矢印コネクタ 26">
          <a:extLst>
            <a:ext uri="{FF2B5EF4-FFF2-40B4-BE49-F238E27FC236}">
              <a16:creationId xmlns:a16="http://schemas.microsoft.com/office/drawing/2014/main" id="{235CDBFB-2344-4D80-B47F-FF17ED225DAD}"/>
            </a:ext>
          </a:extLst>
        </xdr:cNvPr>
        <xdr:cNvCxnSpPr/>
      </xdr:nvCxnSpPr>
      <xdr:spPr>
        <a:xfrm flipV="1">
          <a:off x="7825037" y="17872615"/>
          <a:ext cx="0" cy="963644"/>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38814</xdr:colOff>
      <xdr:row>71</xdr:row>
      <xdr:rowOff>150702</xdr:rowOff>
    </xdr:from>
    <xdr:to>
      <xdr:col>34</xdr:col>
      <xdr:colOff>26134</xdr:colOff>
      <xdr:row>71</xdr:row>
      <xdr:rowOff>150702</xdr:rowOff>
    </xdr:to>
    <xdr:cxnSp macro="">
      <xdr:nvCxnSpPr>
        <xdr:cNvPr id="28" name="直線コネクタ 27">
          <a:extLst>
            <a:ext uri="{FF2B5EF4-FFF2-40B4-BE49-F238E27FC236}">
              <a16:creationId xmlns:a16="http://schemas.microsoft.com/office/drawing/2014/main" id="{596EFE8D-0A1D-42BE-9F3E-4DABF54D530F}"/>
            </a:ext>
          </a:extLst>
        </xdr:cNvPr>
        <xdr:cNvCxnSpPr/>
      </xdr:nvCxnSpPr>
      <xdr:spPr>
        <a:xfrm>
          <a:off x="7672421" y="17867202"/>
          <a:ext cx="21864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56132</xdr:colOff>
      <xdr:row>75</xdr:row>
      <xdr:rowOff>132555</xdr:rowOff>
    </xdr:from>
    <xdr:to>
      <xdr:col>34</xdr:col>
      <xdr:colOff>45833</xdr:colOff>
      <xdr:row>75</xdr:row>
      <xdr:rowOff>132555</xdr:rowOff>
    </xdr:to>
    <xdr:cxnSp macro="">
      <xdr:nvCxnSpPr>
        <xdr:cNvPr id="29" name="直線コネクタ 28">
          <a:extLst>
            <a:ext uri="{FF2B5EF4-FFF2-40B4-BE49-F238E27FC236}">
              <a16:creationId xmlns:a16="http://schemas.microsoft.com/office/drawing/2014/main" id="{A4787737-7C71-4198-B5D3-0164128A9AFC}"/>
            </a:ext>
          </a:extLst>
        </xdr:cNvPr>
        <xdr:cNvCxnSpPr/>
      </xdr:nvCxnSpPr>
      <xdr:spPr>
        <a:xfrm>
          <a:off x="7689739" y="18828769"/>
          <a:ext cx="22102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166248</xdr:colOff>
      <xdr:row>69</xdr:row>
      <xdr:rowOff>17649</xdr:rowOff>
    </xdr:from>
    <xdr:ext cx="270843" cy="254493"/>
    <xdr:sp macro="" textlink="">
      <xdr:nvSpPr>
        <xdr:cNvPr id="30" name="テキスト ボックス 29">
          <a:extLst>
            <a:ext uri="{FF2B5EF4-FFF2-40B4-BE49-F238E27FC236}">
              <a16:creationId xmlns:a16="http://schemas.microsoft.com/office/drawing/2014/main" id="{6C7D0848-21F0-4FC5-85AB-E0CF85E2E8D9}"/>
            </a:ext>
          </a:extLst>
        </xdr:cNvPr>
        <xdr:cNvSpPr txBox="1"/>
      </xdr:nvSpPr>
      <xdr:spPr>
        <a:xfrm>
          <a:off x="6643248" y="17244292"/>
          <a:ext cx="270843"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B</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oneCellAnchor>
    <xdr:from>
      <xdr:col>33</xdr:col>
      <xdr:colOff>167828</xdr:colOff>
      <xdr:row>72</xdr:row>
      <xdr:rowOff>237960</xdr:rowOff>
    </xdr:from>
    <xdr:ext cx="286553" cy="254493"/>
    <xdr:sp macro="" textlink="">
      <xdr:nvSpPr>
        <xdr:cNvPr id="33" name="テキスト ボックス 32">
          <a:extLst>
            <a:ext uri="{FF2B5EF4-FFF2-40B4-BE49-F238E27FC236}">
              <a16:creationId xmlns:a16="http://schemas.microsoft.com/office/drawing/2014/main" id="{8E1C13B9-7FFB-4167-BA93-271D2BC80597}"/>
            </a:ext>
          </a:extLst>
        </xdr:cNvPr>
        <xdr:cNvSpPr txBox="1"/>
      </xdr:nvSpPr>
      <xdr:spPr>
        <a:xfrm>
          <a:off x="7801435" y="18199389"/>
          <a:ext cx="286553"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H</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twoCellAnchor>
    <xdr:from>
      <xdr:col>26</xdr:col>
      <xdr:colOff>193777</xdr:colOff>
      <xdr:row>73</xdr:row>
      <xdr:rowOff>125171</xdr:rowOff>
    </xdr:from>
    <xdr:to>
      <xdr:col>31</xdr:col>
      <xdr:colOff>176924</xdr:colOff>
      <xdr:row>73</xdr:row>
      <xdr:rowOff>125171</xdr:rowOff>
    </xdr:to>
    <xdr:cxnSp macro="">
      <xdr:nvCxnSpPr>
        <xdr:cNvPr id="34" name="直線コネクタ 33">
          <a:extLst>
            <a:ext uri="{FF2B5EF4-FFF2-40B4-BE49-F238E27FC236}">
              <a16:creationId xmlns:a16="http://schemas.microsoft.com/office/drawing/2014/main" id="{5ED78931-5761-40A5-8385-B48D2BFB6D48}"/>
            </a:ext>
          </a:extLst>
        </xdr:cNvPr>
        <xdr:cNvCxnSpPr/>
      </xdr:nvCxnSpPr>
      <xdr:spPr>
        <a:xfrm>
          <a:off x="6208134" y="18331528"/>
          <a:ext cx="1139754" cy="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48581</xdr:colOff>
      <xdr:row>71</xdr:row>
      <xdr:rowOff>69520</xdr:rowOff>
    </xdr:from>
    <xdr:to>
      <xdr:col>29</xdr:col>
      <xdr:colOff>52911</xdr:colOff>
      <xdr:row>76</xdr:row>
      <xdr:rowOff>1091</xdr:rowOff>
    </xdr:to>
    <xdr:cxnSp macro="">
      <xdr:nvCxnSpPr>
        <xdr:cNvPr id="35" name="直線コネクタ 34">
          <a:extLst>
            <a:ext uri="{FF2B5EF4-FFF2-40B4-BE49-F238E27FC236}">
              <a16:creationId xmlns:a16="http://schemas.microsoft.com/office/drawing/2014/main" id="{A2A723AC-7B3D-4114-8B4A-58D606AAA292}"/>
            </a:ext>
          </a:extLst>
        </xdr:cNvPr>
        <xdr:cNvCxnSpPr/>
      </xdr:nvCxnSpPr>
      <xdr:spPr>
        <a:xfrm flipH="1">
          <a:off x="6756902" y="17786020"/>
          <a:ext cx="4330" cy="1156214"/>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40804</xdr:colOff>
      <xdr:row>72</xdr:row>
      <xdr:rowOff>113075</xdr:rowOff>
    </xdr:from>
    <xdr:ext cx="768159" cy="328423"/>
    <xdr:sp macro="" textlink="">
      <xdr:nvSpPr>
        <xdr:cNvPr id="36" name="テキスト ボックス 35">
          <a:extLst>
            <a:ext uri="{FF2B5EF4-FFF2-40B4-BE49-F238E27FC236}">
              <a16:creationId xmlns:a16="http://schemas.microsoft.com/office/drawing/2014/main" id="{8A73E64B-1E13-4D57-827C-4EF4035A7115}"/>
            </a:ext>
          </a:extLst>
        </xdr:cNvPr>
        <xdr:cNvSpPr txBox="1"/>
      </xdr:nvSpPr>
      <xdr:spPr>
        <a:xfrm>
          <a:off x="5838630" y="17738466"/>
          <a:ext cx="7681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強軸</a:t>
          </a:r>
          <a:r>
            <a:rPr kumimoji="1" lang="en-US" altLang="ja-JP" sz="1100">
              <a:latin typeface="Times New Roman" panose="02020603050405020304" pitchFamily="18" charset="0"/>
              <a:cs typeface="Times New Roman" panose="02020603050405020304" pitchFamily="18" charset="0"/>
            </a:rPr>
            <a:t>(y</a:t>
          </a:r>
          <a:r>
            <a:rPr kumimoji="1" lang="ja-JP" altLang="en-US" sz="1100"/>
            <a:t>軸</a:t>
          </a:r>
          <a:r>
            <a:rPr kumimoji="1" lang="en-US" altLang="ja-JP" sz="1100"/>
            <a:t>)</a:t>
          </a:r>
        </a:p>
      </xdr:txBody>
    </xdr:sp>
    <xdr:clientData/>
  </xdr:oneCellAnchor>
  <xdr:oneCellAnchor>
    <xdr:from>
      <xdr:col>27</xdr:col>
      <xdr:colOff>213788</xdr:colOff>
      <xdr:row>75</xdr:row>
      <xdr:rowOff>167108</xdr:rowOff>
    </xdr:from>
    <xdr:ext cx="760208" cy="328423"/>
    <xdr:sp macro="" textlink="">
      <xdr:nvSpPr>
        <xdr:cNvPr id="37" name="テキスト ボックス 36">
          <a:extLst>
            <a:ext uri="{FF2B5EF4-FFF2-40B4-BE49-F238E27FC236}">
              <a16:creationId xmlns:a16="http://schemas.microsoft.com/office/drawing/2014/main" id="{EADB9906-2D79-45FA-AE89-CAB6310B2365}"/>
            </a:ext>
          </a:extLst>
        </xdr:cNvPr>
        <xdr:cNvSpPr txBox="1"/>
      </xdr:nvSpPr>
      <xdr:spPr>
        <a:xfrm>
          <a:off x="6459467" y="18863322"/>
          <a:ext cx="760208"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弱</a:t>
          </a:r>
          <a:r>
            <a:rPr kumimoji="1" lang="ja-JP" altLang="ja-JP" sz="1100">
              <a:solidFill>
                <a:schemeClr val="tx1"/>
              </a:solidFill>
              <a:effectLst/>
              <a:latin typeface="+mn-lt"/>
              <a:ea typeface="+mn-ea"/>
              <a:cs typeface="+mn-cs"/>
            </a:rPr>
            <a:t>軸</a:t>
          </a:r>
          <a:r>
            <a:rPr kumimoji="1" lang="en-US" altLang="ja-JP" sz="1100">
              <a:latin typeface="Times New Roman" panose="02020603050405020304" pitchFamily="18" charset="0"/>
              <a:cs typeface="Times New Roman" panose="02020603050405020304" pitchFamily="18" charset="0"/>
            </a:rPr>
            <a:t>(z</a:t>
          </a:r>
          <a:r>
            <a:rPr kumimoji="1" lang="ja-JP" altLang="en-US" sz="1100"/>
            <a:t>軸</a:t>
          </a:r>
          <a:r>
            <a:rPr kumimoji="1" lang="en-US" altLang="ja-JP" sz="1100"/>
            <a:t>)</a:t>
          </a:r>
        </a:p>
      </xdr:txBody>
    </xdr:sp>
    <xdr:clientData/>
  </xdr:oneCellAnchor>
  <xdr:twoCellAnchor>
    <xdr:from>
      <xdr:col>31</xdr:col>
      <xdr:colOff>146990</xdr:colOff>
      <xdr:row>71</xdr:row>
      <xdr:rowOff>150702</xdr:rowOff>
    </xdr:from>
    <xdr:to>
      <xdr:col>32</xdr:col>
      <xdr:colOff>134309</xdr:colOff>
      <xdr:row>71</xdr:row>
      <xdr:rowOff>150702</xdr:rowOff>
    </xdr:to>
    <xdr:cxnSp macro="">
      <xdr:nvCxnSpPr>
        <xdr:cNvPr id="38" name="直線コネクタ 37">
          <a:extLst>
            <a:ext uri="{FF2B5EF4-FFF2-40B4-BE49-F238E27FC236}">
              <a16:creationId xmlns:a16="http://schemas.microsoft.com/office/drawing/2014/main" id="{52490CE3-4DE0-43A7-B7E1-2152A30F2AD6}"/>
            </a:ext>
          </a:extLst>
        </xdr:cNvPr>
        <xdr:cNvCxnSpPr/>
      </xdr:nvCxnSpPr>
      <xdr:spPr>
        <a:xfrm>
          <a:off x="7317954" y="17867202"/>
          <a:ext cx="21864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146990</xdr:colOff>
      <xdr:row>72</xdr:row>
      <xdr:rowOff>35040</xdr:rowOff>
    </xdr:from>
    <xdr:to>
      <xdr:col>32</xdr:col>
      <xdr:colOff>134309</xdr:colOff>
      <xdr:row>72</xdr:row>
      <xdr:rowOff>35040</xdr:rowOff>
    </xdr:to>
    <xdr:cxnSp macro="">
      <xdr:nvCxnSpPr>
        <xdr:cNvPr id="39" name="直線コネクタ 38">
          <a:extLst>
            <a:ext uri="{FF2B5EF4-FFF2-40B4-BE49-F238E27FC236}">
              <a16:creationId xmlns:a16="http://schemas.microsoft.com/office/drawing/2014/main" id="{77B583E8-325C-40C0-9122-7F8CC0CCA4B0}"/>
            </a:ext>
          </a:extLst>
        </xdr:cNvPr>
        <xdr:cNvCxnSpPr/>
      </xdr:nvCxnSpPr>
      <xdr:spPr>
        <a:xfrm>
          <a:off x="7317954" y="17996469"/>
          <a:ext cx="21864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51956</xdr:colOff>
      <xdr:row>72</xdr:row>
      <xdr:rowOff>35011</xdr:rowOff>
    </xdr:from>
    <xdr:to>
      <xdr:col>32</xdr:col>
      <xdr:colOff>51956</xdr:colOff>
      <xdr:row>73</xdr:row>
      <xdr:rowOff>24062</xdr:rowOff>
    </xdr:to>
    <xdr:cxnSp macro="">
      <xdr:nvCxnSpPr>
        <xdr:cNvPr id="40" name="直線矢印コネクタ 39">
          <a:extLst>
            <a:ext uri="{FF2B5EF4-FFF2-40B4-BE49-F238E27FC236}">
              <a16:creationId xmlns:a16="http://schemas.microsoft.com/office/drawing/2014/main" id="{C5880319-8AD1-4B8E-A853-40D40E0D3ADA}"/>
            </a:ext>
          </a:extLst>
        </xdr:cNvPr>
        <xdr:cNvCxnSpPr/>
      </xdr:nvCxnSpPr>
      <xdr:spPr>
        <a:xfrm flipV="1">
          <a:off x="7454242" y="17996440"/>
          <a:ext cx="0" cy="233979"/>
        </a:xfrm>
        <a:prstGeom prst="straightConnector1">
          <a:avLst/>
        </a:prstGeom>
        <a:ln>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51956</xdr:colOff>
      <xdr:row>70</xdr:row>
      <xdr:rowOff>153394</xdr:rowOff>
    </xdr:from>
    <xdr:to>
      <xdr:col>32</xdr:col>
      <xdr:colOff>51956</xdr:colOff>
      <xdr:row>71</xdr:row>
      <xdr:rowOff>151970</xdr:rowOff>
    </xdr:to>
    <xdr:cxnSp macro="">
      <xdr:nvCxnSpPr>
        <xdr:cNvPr id="41" name="直線矢印コネクタ 40">
          <a:extLst>
            <a:ext uri="{FF2B5EF4-FFF2-40B4-BE49-F238E27FC236}">
              <a16:creationId xmlns:a16="http://schemas.microsoft.com/office/drawing/2014/main" id="{2C03F65B-44CC-45A0-8D51-D7E0998E9A7A}"/>
            </a:ext>
          </a:extLst>
        </xdr:cNvPr>
        <xdr:cNvCxnSpPr/>
      </xdr:nvCxnSpPr>
      <xdr:spPr>
        <a:xfrm flipV="1">
          <a:off x="7454242" y="17624965"/>
          <a:ext cx="0" cy="243505"/>
        </a:xfrm>
        <a:prstGeom prst="straightConnector1">
          <a:avLst/>
        </a:prstGeom>
        <a:ln>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68299</xdr:colOff>
      <xdr:row>71</xdr:row>
      <xdr:rowOff>70217</xdr:rowOff>
    </xdr:from>
    <xdr:ext cx="270908" cy="254493"/>
    <xdr:sp macro="" textlink="">
      <xdr:nvSpPr>
        <xdr:cNvPr id="42" name="テキスト ボックス 41">
          <a:extLst>
            <a:ext uri="{FF2B5EF4-FFF2-40B4-BE49-F238E27FC236}">
              <a16:creationId xmlns:a16="http://schemas.microsoft.com/office/drawing/2014/main" id="{15A8A246-BCEF-4B7F-831F-6E5B5F61C476}"/>
            </a:ext>
          </a:extLst>
        </xdr:cNvPr>
        <xdr:cNvSpPr txBox="1"/>
      </xdr:nvSpPr>
      <xdr:spPr>
        <a:xfrm>
          <a:off x="7489516" y="17455413"/>
          <a:ext cx="270908"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t</a:t>
          </a:r>
          <a:r>
            <a:rPr kumimoji="1" lang="en-US" altLang="ja-JP" sz="1100" i="1" baseline="-25000">
              <a:latin typeface="Times New Roman" panose="02020603050405020304" pitchFamily="18" charset="0"/>
              <a:cs typeface="Times New Roman" panose="02020603050405020304" pitchFamily="18" charset="0"/>
            </a:rPr>
            <a:t>2</a:t>
          </a:r>
          <a:endParaRPr kumimoji="1" lang="ja-JP" altLang="en-US" sz="1100" i="1" baseline="-25000">
            <a:latin typeface="Times New Roman" panose="02020603050405020304" pitchFamily="18" charset="0"/>
            <a:cs typeface="Times New Roman" panose="02020603050405020304" pitchFamily="18" charset="0"/>
          </a:endParaRPr>
        </a:p>
      </xdr:txBody>
    </xdr:sp>
    <xdr:clientData/>
  </xdr:oneCellAnchor>
  <xdr:oneCellAnchor>
    <xdr:from>
      <xdr:col>29</xdr:col>
      <xdr:colOff>104924</xdr:colOff>
      <xdr:row>73</xdr:row>
      <xdr:rowOff>178194</xdr:rowOff>
    </xdr:from>
    <xdr:ext cx="270908" cy="254493"/>
    <xdr:sp macro="" textlink="">
      <xdr:nvSpPr>
        <xdr:cNvPr id="43" name="テキスト ボックス 42">
          <a:extLst>
            <a:ext uri="{FF2B5EF4-FFF2-40B4-BE49-F238E27FC236}">
              <a16:creationId xmlns:a16="http://schemas.microsoft.com/office/drawing/2014/main" id="{D1C3AD48-3307-4C56-A09A-C2DC3883DB39}"/>
            </a:ext>
          </a:extLst>
        </xdr:cNvPr>
        <xdr:cNvSpPr txBox="1"/>
      </xdr:nvSpPr>
      <xdr:spPr>
        <a:xfrm>
          <a:off x="6759435" y="17942319"/>
          <a:ext cx="270908"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t</a:t>
          </a:r>
          <a:r>
            <a:rPr kumimoji="1" lang="en-US" altLang="ja-JP" sz="1100" i="1" baseline="-25000">
              <a:latin typeface="Times New Roman" panose="02020603050405020304" pitchFamily="18" charset="0"/>
              <a:cs typeface="Times New Roman" panose="02020603050405020304" pitchFamily="18" charset="0"/>
            </a:rPr>
            <a:t>1</a:t>
          </a:r>
          <a:endParaRPr kumimoji="1" lang="ja-JP" altLang="en-US" sz="1100" i="1" baseline="-25000">
            <a:latin typeface="Times New Roman" panose="02020603050405020304" pitchFamily="18" charset="0"/>
            <a:cs typeface="Times New Roman" panose="02020603050405020304" pitchFamily="18" charset="0"/>
          </a:endParaRPr>
        </a:p>
      </xdr:txBody>
    </xdr:sp>
    <xdr:clientData/>
  </xdr:oneCellAnchor>
  <xdr:twoCellAnchor>
    <xdr:from>
      <xdr:col>29</xdr:col>
      <xdr:colOff>89495</xdr:colOff>
      <xdr:row>74</xdr:row>
      <xdr:rowOff>15486</xdr:rowOff>
    </xdr:from>
    <xdr:to>
      <xdr:col>30</xdr:col>
      <xdr:colOff>107674</xdr:colOff>
      <xdr:row>74</xdr:row>
      <xdr:rowOff>15486</xdr:rowOff>
    </xdr:to>
    <xdr:cxnSp macro="">
      <xdr:nvCxnSpPr>
        <xdr:cNvPr id="46" name="直線矢印コネクタ 45">
          <a:extLst>
            <a:ext uri="{FF2B5EF4-FFF2-40B4-BE49-F238E27FC236}">
              <a16:creationId xmlns:a16="http://schemas.microsoft.com/office/drawing/2014/main" id="{65E3ED36-84E0-DF54-A8F0-C16274B55A9A}"/>
            </a:ext>
          </a:extLst>
        </xdr:cNvPr>
        <xdr:cNvCxnSpPr/>
      </xdr:nvCxnSpPr>
      <xdr:spPr>
        <a:xfrm flipH="1">
          <a:off x="6814973" y="18121269"/>
          <a:ext cx="250092" cy="0"/>
        </a:xfrm>
        <a:prstGeom prst="straightConnector1">
          <a:avLst/>
        </a:prstGeom>
        <a:ln>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215051</xdr:colOff>
      <xdr:row>74</xdr:row>
      <xdr:rowOff>15486</xdr:rowOff>
    </xdr:from>
    <xdr:to>
      <xdr:col>29</xdr:col>
      <xdr:colOff>3765</xdr:colOff>
      <xdr:row>74</xdr:row>
      <xdr:rowOff>15486</xdr:rowOff>
    </xdr:to>
    <xdr:cxnSp macro="">
      <xdr:nvCxnSpPr>
        <xdr:cNvPr id="49" name="直線矢印コネクタ 48">
          <a:extLst>
            <a:ext uri="{FF2B5EF4-FFF2-40B4-BE49-F238E27FC236}">
              <a16:creationId xmlns:a16="http://schemas.microsoft.com/office/drawing/2014/main" id="{38D95FEA-983A-D881-6D68-58E53C46500B}"/>
            </a:ext>
          </a:extLst>
        </xdr:cNvPr>
        <xdr:cNvCxnSpPr/>
      </xdr:nvCxnSpPr>
      <xdr:spPr>
        <a:xfrm flipH="1">
          <a:off x="6410631" y="18017736"/>
          <a:ext cx="247645" cy="0"/>
        </a:xfrm>
        <a:prstGeom prst="straightConnector1">
          <a:avLst/>
        </a:prstGeom>
        <a:ln>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187963</xdr:colOff>
      <xdr:row>35</xdr:row>
      <xdr:rowOff>115089</xdr:rowOff>
    </xdr:from>
    <xdr:to>
      <xdr:col>33</xdr:col>
      <xdr:colOff>93540</xdr:colOff>
      <xdr:row>35</xdr:row>
      <xdr:rowOff>115089</xdr:rowOff>
    </xdr:to>
    <xdr:cxnSp macro="">
      <xdr:nvCxnSpPr>
        <xdr:cNvPr id="3" name="直線コネクタ 2">
          <a:extLst>
            <a:ext uri="{FF2B5EF4-FFF2-40B4-BE49-F238E27FC236}">
              <a16:creationId xmlns:a16="http://schemas.microsoft.com/office/drawing/2014/main" id="{8A7B8756-E6D8-4DFD-94B7-F7D39A4B7EC4}"/>
            </a:ext>
          </a:extLst>
        </xdr:cNvPr>
        <xdr:cNvCxnSpPr/>
      </xdr:nvCxnSpPr>
      <xdr:spPr>
        <a:xfrm>
          <a:off x="5164776" y="8675683"/>
          <a:ext cx="239398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217992</xdr:colOff>
      <xdr:row>43</xdr:row>
      <xdr:rowOff>25491</xdr:rowOff>
    </xdr:from>
    <xdr:to>
      <xdr:col>22</xdr:col>
      <xdr:colOff>169820</xdr:colOff>
      <xdr:row>43</xdr:row>
      <xdr:rowOff>25491</xdr:rowOff>
    </xdr:to>
    <xdr:cxnSp macro="">
      <xdr:nvCxnSpPr>
        <xdr:cNvPr id="4" name="直線コネクタ 3">
          <a:extLst>
            <a:ext uri="{FF2B5EF4-FFF2-40B4-BE49-F238E27FC236}">
              <a16:creationId xmlns:a16="http://schemas.microsoft.com/office/drawing/2014/main" id="{5E326EB4-8033-48E8-AC4E-B5C2B6DECAA9}"/>
            </a:ext>
          </a:extLst>
        </xdr:cNvPr>
        <xdr:cNvCxnSpPr/>
      </xdr:nvCxnSpPr>
      <xdr:spPr>
        <a:xfrm>
          <a:off x="4289930" y="10514897"/>
          <a:ext cx="85670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39312</xdr:colOff>
      <xdr:row>43</xdr:row>
      <xdr:rowOff>33127</xdr:rowOff>
    </xdr:from>
    <xdr:to>
      <xdr:col>21</xdr:col>
      <xdr:colOff>132024</xdr:colOff>
      <xdr:row>43</xdr:row>
      <xdr:rowOff>132903</xdr:rowOff>
    </xdr:to>
    <xdr:cxnSp macro="">
      <xdr:nvCxnSpPr>
        <xdr:cNvPr id="5" name="直線コネクタ 4">
          <a:extLst>
            <a:ext uri="{FF2B5EF4-FFF2-40B4-BE49-F238E27FC236}">
              <a16:creationId xmlns:a16="http://schemas.microsoft.com/office/drawing/2014/main" id="{8FF4554F-4A8D-4F78-A543-3757D8587132}"/>
            </a:ext>
          </a:extLst>
        </xdr:cNvPr>
        <xdr:cNvCxnSpPr/>
      </xdr:nvCxnSpPr>
      <xdr:spPr>
        <a:xfrm>
          <a:off x="4789906" y="10522533"/>
          <a:ext cx="92712" cy="9977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216805</xdr:colOff>
      <xdr:row>43</xdr:row>
      <xdr:rowOff>31568</xdr:rowOff>
    </xdr:from>
    <xdr:to>
      <xdr:col>21</xdr:col>
      <xdr:colOff>84706</xdr:colOff>
      <xdr:row>43</xdr:row>
      <xdr:rowOff>134747</xdr:rowOff>
    </xdr:to>
    <xdr:cxnSp macro="">
      <xdr:nvCxnSpPr>
        <xdr:cNvPr id="6" name="直線コネクタ 5">
          <a:extLst>
            <a:ext uri="{FF2B5EF4-FFF2-40B4-BE49-F238E27FC236}">
              <a16:creationId xmlns:a16="http://schemas.microsoft.com/office/drawing/2014/main" id="{84C07CC5-6CF1-4772-93B9-7788B742B666}"/>
            </a:ext>
          </a:extLst>
        </xdr:cNvPr>
        <xdr:cNvCxnSpPr/>
      </xdr:nvCxnSpPr>
      <xdr:spPr>
        <a:xfrm>
          <a:off x="4741180" y="10520974"/>
          <a:ext cx="94120" cy="10317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217720</xdr:colOff>
      <xdr:row>43</xdr:row>
      <xdr:rowOff>86132</xdr:rowOff>
    </xdr:from>
    <xdr:to>
      <xdr:col>21</xdr:col>
      <xdr:colOff>24565</xdr:colOff>
      <xdr:row>43</xdr:row>
      <xdr:rowOff>116858</xdr:rowOff>
    </xdr:to>
    <xdr:cxnSp macro="">
      <xdr:nvCxnSpPr>
        <xdr:cNvPr id="7" name="直線コネクタ 6">
          <a:extLst>
            <a:ext uri="{FF2B5EF4-FFF2-40B4-BE49-F238E27FC236}">
              <a16:creationId xmlns:a16="http://schemas.microsoft.com/office/drawing/2014/main" id="{82A3159B-EB5E-4EE5-A87A-6EE075B8FBF9}"/>
            </a:ext>
          </a:extLst>
        </xdr:cNvPr>
        <xdr:cNvCxnSpPr/>
      </xdr:nvCxnSpPr>
      <xdr:spPr>
        <a:xfrm flipH="1">
          <a:off x="4742095" y="10575538"/>
          <a:ext cx="33064"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13193</xdr:colOff>
      <xdr:row>43</xdr:row>
      <xdr:rowOff>103330</xdr:rowOff>
    </xdr:from>
    <xdr:to>
      <xdr:col>21</xdr:col>
      <xdr:colOff>44849</xdr:colOff>
      <xdr:row>43</xdr:row>
      <xdr:rowOff>134057</xdr:rowOff>
    </xdr:to>
    <xdr:cxnSp macro="">
      <xdr:nvCxnSpPr>
        <xdr:cNvPr id="8" name="直線コネクタ 7">
          <a:extLst>
            <a:ext uri="{FF2B5EF4-FFF2-40B4-BE49-F238E27FC236}">
              <a16:creationId xmlns:a16="http://schemas.microsoft.com/office/drawing/2014/main" id="{69AA8F97-4B8B-48CF-8B3C-7508D58CD3E6}"/>
            </a:ext>
          </a:extLst>
        </xdr:cNvPr>
        <xdr:cNvCxnSpPr/>
      </xdr:nvCxnSpPr>
      <xdr:spPr>
        <a:xfrm flipH="1">
          <a:off x="4763787" y="10592736"/>
          <a:ext cx="31656" cy="3072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118327</xdr:colOff>
      <xdr:row>43</xdr:row>
      <xdr:rowOff>37594</xdr:rowOff>
    </xdr:from>
    <xdr:to>
      <xdr:col>20</xdr:col>
      <xdr:colOff>208692</xdr:colOff>
      <xdr:row>43</xdr:row>
      <xdr:rowOff>138298</xdr:rowOff>
    </xdr:to>
    <xdr:cxnSp macro="">
      <xdr:nvCxnSpPr>
        <xdr:cNvPr id="9" name="直線コネクタ 8">
          <a:extLst>
            <a:ext uri="{FF2B5EF4-FFF2-40B4-BE49-F238E27FC236}">
              <a16:creationId xmlns:a16="http://schemas.microsoft.com/office/drawing/2014/main" id="{62330DE2-D003-41B7-9DC1-8A7A239F2DFD}"/>
            </a:ext>
          </a:extLst>
        </xdr:cNvPr>
        <xdr:cNvCxnSpPr/>
      </xdr:nvCxnSpPr>
      <xdr:spPr>
        <a:xfrm>
          <a:off x="4642702" y="10527000"/>
          <a:ext cx="90365" cy="10070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71009</xdr:colOff>
      <xdr:row>43</xdr:row>
      <xdr:rowOff>39438</xdr:rowOff>
    </xdr:from>
    <xdr:to>
      <xdr:col>20</xdr:col>
      <xdr:colOff>167558</xdr:colOff>
      <xdr:row>43</xdr:row>
      <xdr:rowOff>140142</xdr:rowOff>
    </xdr:to>
    <xdr:cxnSp macro="">
      <xdr:nvCxnSpPr>
        <xdr:cNvPr id="10" name="直線コネクタ 9">
          <a:extLst>
            <a:ext uri="{FF2B5EF4-FFF2-40B4-BE49-F238E27FC236}">
              <a16:creationId xmlns:a16="http://schemas.microsoft.com/office/drawing/2014/main" id="{05165ADC-4E51-44DC-854F-87670929DC90}"/>
            </a:ext>
          </a:extLst>
        </xdr:cNvPr>
        <xdr:cNvCxnSpPr/>
      </xdr:nvCxnSpPr>
      <xdr:spPr>
        <a:xfrm>
          <a:off x="4595384" y="10528844"/>
          <a:ext cx="96549" cy="10070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71045</xdr:colOff>
      <xdr:row>43</xdr:row>
      <xdr:rowOff>94002</xdr:rowOff>
    </xdr:from>
    <xdr:to>
      <xdr:col>20</xdr:col>
      <xdr:colOff>101771</xdr:colOff>
      <xdr:row>43</xdr:row>
      <xdr:rowOff>124729</xdr:rowOff>
    </xdr:to>
    <xdr:cxnSp macro="">
      <xdr:nvCxnSpPr>
        <xdr:cNvPr id="11" name="直線コネクタ 10">
          <a:extLst>
            <a:ext uri="{FF2B5EF4-FFF2-40B4-BE49-F238E27FC236}">
              <a16:creationId xmlns:a16="http://schemas.microsoft.com/office/drawing/2014/main" id="{6A7B126E-A4F1-4AA2-B788-5C2E9332CCF7}"/>
            </a:ext>
          </a:extLst>
        </xdr:cNvPr>
        <xdr:cNvCxnSpPr/>
      </xdr:nvCxnSpPr>
      <xdr:spPr>
        <a:xfrm flipH="1">
          <a:off x="4595420" y="10583408"/>
          <a:ext cx="30726" cy="3072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91329</xdr:colOff>
      <xdr:row>43</xdr:row>
      <xdr:rowOff>111200</xdr:rowOff>
    </xdr:from>
    <xdr:to>
      <xdr:col>20</xdr:col>
      <xdr:colOff>122055</xdr:colOff>
      <xdr:row>43</xdr:row>
      <xdr:rowOff>139452</xdr:rowOff>
    </xdr:to>
    <xdr:cxnSp macro="">
      <xdr:nvCxnSpPr>
        <xdr:cNvPr id="12" name="直線コネクタ 11">
          <a:extLst>
            <a:ext uri="{FF2B5EF4-FFF2-40B4-BE49-F238E27FC236}">
              <a16:creationId xmlns:a16="http://schemas.microsoft.com/office/drawing/2014/main" id="{CF83DF22-353A-4991-AD3B-F839FBADB3E2}"/>
            </a:ext>
          </a:extLst>
        </xdr:cNvPr>
        <xdr:cNvCxnSpPr/>
      </xdr:nvCxnSpPr>
      <xdr:spPr>
        <a:xfrm flipH="1">
          <a:off x="4615704" y="10600606"/>
          <a:ext cx="30726" cy="2825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151571</xdr:colOff>
      <xdr:row>35</xdr:row>
      <xdr:rowOff>109858</xdr:rowOff>
    </xdr:from>
    <xdr:to>
      <xdr:col>27</xdr:col>
      <xdr:colOff>16171</xdr:colOff>
      <xdr:row>35</xdr:row>
      <xdr:rowOff>188166</xdr:rowOff>
    </xdr:to>
    <xdr:cxnSp macro="">
      <xdr:nvCxnSpPr>
        <xdr:cNvPr id="13" name="直線コネクタ 12">
          <a:extLst>
            <a:ext uri="{FF2B5EF4-FFF2-40B4-BE49-F238E27FC236}">
              <a16:creationId xmlns:a16="http://schemas.microsoft.com/office/drawing/2014/main" id="{4E901EED-968F-41B7-BBFA-FCF1EAF16BF9}"/>
            </a:ext>
          </a:extLst>
        </xdr:cNvPr>
        <xdr:cNvCxnSpPr/>
      </xdr:nvCxnSpPr>
      <xdr:spPr>
        <a:xfrm>
          <a:off x="6033259" y="8670452"/>
          <a:ext cx="90818" cy="7830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104253</xdr:colOff>
      <xdr:row>35</xdr:row>
      <xdr:rowOff>111702</xdr:rowOff>
    </xdr:from>
    <xdr:to>
      <xdr:col>26</xdr:col>
      <xdr:colOff>192350</xdr:colOff>
      <xdr:row>35</xdr:row>
      <xdr:rowOff>190010</xdr:rowOff>
    </xdr:to>
    <xdr:cxnSp macro="">
      <xdr:nvCxnSpPr>
        <xdr:cNvPr id="14" name="直線コネクタ 13">
          <a:extLst>
            <a:ext uri="{FF2B5EF4-FFF2-40B4-BE49-F238E27FC236}">
              <a16:creationId xmlns:a16="http://schemas.microsoft.com/office/drawing/2014/main" id="{4E0C77D0-C399-44AE-BC6A-02480E48B7D2}"/>
            </a:ext>
          </a:extLst>
        </xdr:cNvPr>
        <xdr:cNvCxnSpPr/>
      </xdr:nvCxnSpPr>
      <xdr:spPr>
        <a:xfrm>
          <a:off x="5985941" y="8672296"/>
          <a:ext cx="88097" cy="7830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104289</xdr:colOff>
      <xdr:row>35</xdr:row>
      <xdr:rowOff>152534</xdr:rowOff>
    </xdr:from>
    <xdr:to>
      <xdr:col>26</xdr:col>
      <xdr:colOff>135015</xdr:colOff>
      <xdr:row>35</xdr:row>
      <xdr:rowOff>173735</xdr:rowOff>
    </xdr:to>
    <xdr:cxnSp macro="">
      <xdr:nvCxnSpPr>
        <xdr:cNvPr id="15" name="直線コネクタ 14">
          <a:extLst>
            <a:ext uri="{FF2B5EF4-FFF2-40B4-BE49-F238E27FC236}">
              <a16:creationId xmlns:a16="http://schemas.microsoft.com/office/drawing/2014/main" id="{594E83E2-0A1D-41A8-9958-026F17AEC278}"/>
            </a:ext>
          </a:extLst>
        </xdr:cNvPr>
        <xdr:cNvCxnSpPr/>
      </xdr:nvCxnSpPr>
      <xdr:spPr>
        <a:xfrm flipH="1">
          <a:off x="5985977" y="8713128"/>
          <a:ext cx="30726" cy="212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124573</xdr:colOff>
      <xdr:row>35</xdr:row>
      <xdr:rowOff>169732</xdr:rowOff>
    </xdr:from>
    <xdr:to>
      <xdr:col>26</xdr:col>
      <xdr:colOff>156382</xdr:colOff>
      <xdr:row>35</xdr:row>
      <xdr:rowOff>189325</xdr:rowOff>
    </xdr:to>
    <xdr:cxnSp macro="">
      <xdr:nvCxnSpPr>
        <xdr:cNvPr id="16" name="直線コネクタ 15">
          <a:extLst>
            <a:ext uri="{FF2B5EF4-FFF2-40B4-BE49-F238E27FC236}">
              <a16:creationId xmlns:a16="http://schemas.microsoft.com/office/drawing/2014/main" id="{1A022F74-5583-42CE-808A-C4B76B69DB01}"/>
            </a:ext>
          </a:extLst>
        </xdr:cNvPr>
        <xdr:cNvCxnSpPr/>
      </xdr:nvCxnSpPr>
      <xdr:spPr>
        <a:xfrm flipH="1">
          <a:off x="6006261" y="8730326"/>
          <a:ext cx="31809" cy="1959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71438</xdr:colOff>
      <xdr:row>35</xdr:row>
      <xdr:rowOff>105369</xdr:rowOff>
    </xdr:from>
    <xdr:to>
      <xdr:col>27</xdr:col>
      <xdr:colOff>161961</xdr:colOff>
      <xdr:row>35</xdr:row>
      <xdr:rowOff>183677</xdr:rowOff>
    </xdr:to>
    <xdr:cxnSp macro="">
      <xdr:nvCxnSpPr>
        <xdr:cNvPr id="17" name="直線コネクタ 16">
          <a:extLst>
            <a:ext uri="{FF2B5EF4-FFF2-40B4-BE49-F238E27FC236}">
              <a16:creationId xmlns:a16="http://schemas.microsoft.com/office/drawing/2014/main" id="{CB57CF30-063E-4DEA-8CF5-982EC3BC954B}"/>
            </a:ext>
          </a:extLst>
        </xdr:cNvPr>
        <xdr:cNvCxnSpPr/>
      </xdr:nvCxnSpPr>
      <xdr:spPr>
        <a:xfrm>
          <a:off x="6179344" y="8665963"/>
          <a:ext cx="90523" cy="7830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24120</xdr:colOff>
      <xdr:row>35</xdr:row>
      <xdr:rowOff>107213</xdr:rowOff>
    </xdr:from>
    <xdr:to>
      <xdr:col>27</xdr:col>
      <xdr:colOff>113562</xdr:colOff>
      <xdr:row>35</xdr:row>
      <xdr:rowOff>180326</xdr:rowOff>
    </xdr:to>
    <xdr:cxnSp macro="">
      <xdr:nvCxnSpPr>
        <xdr:cNvPr id="18" name="直線コネクタ 17">
          <a:extLst>
            <a:ext uri="{FF2B5EF4-FFF2-40B4-BE49-F238E27FC236}">
              <a16:creationId xmlns:a16="http://schemas.microsoft.com/office/drawing/2014/main" id="{C3809121-581D-4EB1-B15A-CF51B3820C0C}"/>
            </a:ext>
          </a:extLst>
        </xdr:cNvPr>
        <xdr:cNvCxnSpPr/>
      </xdr:nvCxnSpPr>
      <xdr:spPr>
        <a:xfrm>
          <a:off x="6132026" y="8667807"/>
          <a:ext cx="89442" cy="7311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24156</xdr:colOff>
      <xdr:row>35</xdr:row>
      <xdr:rowOff>148040</xdr:rowOff>
    </xdr:from>
    <xdr:to>
      <xdr:col>27</xdr:col>
      <xdr:colOff>54882</xdr:colOff>
      <xdr:row>35</xdr:row>
      <xdr:rowOff>178766</xdr:rowOff>
    </xdr:to>
    <xdr:cxnSp macro="">
      <xdr:nvCxnSpPr>
        <xdr:cNvPr id="19" name="直線コネクタ 18">
          <a:extLst>
            <a:ext uri="{FF2B5EF4-FFF2-40B4-BE49-F238E27FC236}">
              <a16:creationId xmlns:a16="http://schemas.microsoft.com/office/drawing/2014/main" id="{F8F5A3F3-7EEB-4DA5-91A1-5872269E2592}"/>
            </a:ext>
          </a:extLst>
        </xdr:cNvPr>
        <xdr:cNvCxnSpPr/>
      </xdr:nvCxnSpPr>
      <xdr:spPr>
        <a:xfrm flipH="1">
          <a:off x="6132062" y="8708634"/>
          <a:ext cx="3072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44440</xdr:colOff>
      <xdr:row>35</xdr:row>
      <xdr:rowOff>165238</xdr:rowOff>
    </xdr:from>
    <xdr:to>
      <xdr:col>27</xdr:col>
      <xdr:colOff>75166</xdr:colOff>
      <xdr:row>35</xdr:row>
      <xdr:rowOff>184831</xdr:rowOff>
    </xdr:to>
    <xdr:cxnSp macro="">
      <xdr:nvCxnSpPr>
        <xdr:cNvPr id="20" name="直線コネクタ 19">
          <a:extLst>
            <a:ext uri="{FF2B5EF4-FFF2-40B4-BE49-F238E27FC236}">
              <a16:creationId xmlns:a16="http://schemas.microsoft.com/office/drawing/2014/main" id="{7A3B4FFC-7E9F-4A9A-B428-C13AD0760490}"/>
            </a:ext>
          </a:extLst>
        </xdr:cNvPr>
        <xdr:cNvCxnSpPr/>
      </xdr:nvCxnSpPr>
      <xdr:spPr>
        <a:xfrm flipH="1">
          <a:off x="6152346" y="8725832"/>
          <a:ext cx="30726" cy="1959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176874</xdr:colOff>
      <xdr:row>35</xdr:row>
      <xdr:rowOff>113351</xdr:rowOff>
    </xdr:from>
    <xdr:to>
      <xdr:col>27</xdr:col>
      <xdr:colOff>37992</xdr:colOff>
      <xdr:row>43</xdr:row>
      <xdr:rowOff>36625</xdr:rowOff>
    </xdr:to>
    <xdr:cxnSp macro="">
      <xdr:nvCxnSpPr>
        <xdr:cNvPr id="21" name="直線コネクタ 20">
          <a:extLst>
            <a:ext uri="{FF2B5EF4-FFF2-40B4-BE49-F238E27FC236}">
              <a16:creationId xmlns:a16="http://schemas.microsoft.com/office/drawing/2014/main" id="{1FA41767-A17D-4F7D-9719-CA7F295F73ED}"/>
            </a:ext>
          </a:extLst>
        </xdr:cNvPr>
        <xdr:cNvCxnSpPr/>
      </xdr:nvCxnSpPr>
      <xdr:spPr>
        <a:xfrm>
          <a:off x="5379905" y="8673945"/>
          <a:ext cx="765993" cy="1852086"/>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22</xdr:col>
      <xdr:colOff>184179</xdr:colOff>
      <xdr:row>43</xdr:row>
      <xdr:rowOff>33181</xdr:rowOff>
    </xdr:from>
    <xdr:to>
      <xdr:col>27</xdr:col>
      <xdr:colOff>18285</xdr:colOff>
      <xdr:row>43</xdr:row>
      <xdr:rowOff>33181</xdr:rowOff>
    </xdr:to>
    <xdr:cxnSp macro="">
      <xdr:nvCxnSpPr>
        <xdr:cNvPr id="22" name="直線コネクタ 21">
          <a:extLst>
            <a:ext uri="{FF2B5EF4-FFF2-40B4-BE49-F238E27FC236}">
              <a16:creationId xmlns:a16="http://schemas.microsoft.com/office/drawing/2014/main" id="{13D2A472-BA9D-421D-8480-5DED319365BA}"/>
            </a:ext>
          </a:extLst>
        </xdr:cNvPr>
        <xdr:cNvCxnSpPr/>
      </xdr:nvCxnSpPr>
      <xdr:spPr>
        <a:xfrm>
          <a:off x="5160992" y="10522587"/>
          <a:ext cx="965199"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26</xdr:col>
      <xdr:colOff>31421</xdr:colOff>
      <xdr:row>43</xdr:row>
      <xdr:rowOff>43194</xdr:rowOff>
    </xdr:from>
    <xdr:to>
      <xdr:col>27</xdr:col>
      <xdr:colOff>24854</xdr:colOff>
      <xdr:row>48</xdr:row>
      <xdr:rowOff>189118</xdr:rowOff>
    </xdr:to>
    <xdr:cxnSp macro="">
      <xdr:nvCxnSpPr>
        <xdr:cNvPr id="23" name="直線コネクタ 22">
          <a:extLst>
            <a:ext uri="{FF2B5EF4-FFF2-40B4-BE49-F238E27FC236}">
              <a16:creationId xmlns:a16="http://schemas.microsoft.com/office/drawing/2014/main" id="{D57DECAB-85D1-4C05-A491-38E318ED5DEC}"/>
            </a:ext>
          </a:extLst>
        </xdr:cNvPr>
        <xdr:cNvCxnSpPr/>
      </xdr:nvCxnSpPr>
      <xdr:spPr>
        <a:xfrm flipH="1">
          <a:off x="5913109" y="10532600"/>
          <a:ext cx="219651" cy="1384174"/>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19</xdr:col>
      <xdr:colOff>57697</xdr:colOff>
      <xdr:row>43</xdr:row>
      <xdr:rowOff>10796</xdr:rowOff>
    </xdr:from>
    <xdr:to>
      <xdr:col>22</xdr:col>
      <xdr:colOff>197112</xdr:colOff>
      <xdr:row>48</xdr:row>
      <xdr:rowOff>195687</xdr:rowOff>
    </xdr:to>
    <xdr:cxnSp macro="">
      <xdr:nvCxnSpPr>
        <xdr:cNvPr id="24" name="直線コネクタ 23">
          <a:extLst>
            <a:ext uri="{FF2B5EF4-FFF2-40B4-BE49-F238E27FC236}">
              <a16:creationId xmlns:a16="http://schemas.microsoft.com/office/drawing/2014/main" id="{A5C6A8A8-C8AE-4B88-B6C9-A599F63BCAEA}"/>
            </a:ext>
          </a:extLst>
        </xdr:cNvPr>
        <xdr:cNvCxnSpPr/>
      </xdr:nvCxnSpPr>
      <xdr:spPr>
        <a:xfrm flipH="1">
          <a:off x="4355853" y="10500202"/>
          <a:ext cx="818072" cy="1423141"/>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19</xdr:col>
      <xdr:colOff>83973</xdr:colOff>
      <xdr:row>48</xdr:row>
      <xdr:rowOff>179469</xdr:rowOff>
    </xdr:from>
    <xdr:to>
      <xdr:col>26</xdr:col>
      <xdr:colOff>31421</xdr:colOff>
      <xdr:row>48</xdr:row>
      <xdr:rowOff>179469</xdr:rowOff>
    </xdr:to>
    <xdr:cxnSp macro="">
      <xdr:nvCxnSpPr>
        <xdr:cNvPr id="25" name="直線コネクタ 24">
          <a:extLst>
            <a:ext uri="{FF2B5EF4-FFF2-40B4-BE49-F238E27FC236}">
              <a16:creationId xmlns:a16="http://schemas.microsoft.com/office/drawing/2014/main" id="{1813AD2D-1932-4B9C-9897-7E4961A7BF0A}"/>
            </a:ext>
          </a:extLst>
        </xdr:cNvPr>
        <xdr:cNvCxnSpPr/>
      </xdr:nvCxnSpPr>
      <xdr:spPr>
        <a:xfrm>
          <a:off x="4382129" y="11907125"/>
          <a:ext cx="1530980"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22</xdr:col>
      <xdr:colOff>193853</xdr:colOff>
      <xdr:row>35</xdr:row>
      <xdr:rowOff>115152</xdr:rowOff>
    </xdr:from>
    <xdr:to>
      <xdr:col>23</xdr:col>
      <xdr:colOff>186648</xdr:colOff>
      <xdr:row>35</xdr:row>
      <xdr:rowOff>115152</xdr:rowOff>
    </xdr:to>
    <xdr:cxnSp macro="">
      <xdr:nvCxnSpPr>
        <xdr:cNvPr id="26" name="直線コネクタ 25">
          <a:extLst>
            <a:ext uri="{FF2B5EF4-FFF2-40B4-BE49-F238E27FC236}">
              <a16:creationId xmlns:a16="http://schemas.microsoft.com/office/drawing/2014/main" id="{FE02BB14-49A1-406F-A14B-6CD8E8194FD5}"/>
            </a:ext>
          </a:extLst>
        </xdr:cNvPr>
        <xdr:cNvCxnSpPr/>
      </xdr:nvCxnSpPr>
      <xdr:spPr>
        <a:xfrm>
          <a:off x="5170666" y="8675746"/>
          <a:ext cx="219013"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22</xdr:col>
      <xdr:colOff>195403</xdr:colOff>
      <xdr:row>35</xdr:row>
      <xdr:rowOff>113351</xdr:rowOff>
    </xdr:from>
    <xdr:to>
      <xdr:col>22</xdr:col>
      <xdr:colOff>195403</xdr:colOff>
      <xdr:row>48</xdr:row>
      <xdr:rowOff>202256</xdr:rowOff>
    </xdr:to>
    <xdr:cxnSp macro="">
      <xdr:nvCxnSpPr>
        <xdr:cNvPr id="27" name="直線コネクタ 26">
          <a:extLst>
            <a:ext uri="{FF2B5EF4-FFF2-40B4-BE49-F238E27FC236}">
              <a16:creationId xmlns:a16="http://schemas.microsoft.com/office/drawing/2014/main" id="{766D5BD4-0E60-4642-ABB4-2D9138904A28}"/>
            </a:ext>
          </a:extLst>
        </xdr:cNvPr>
        <xdr:cNvCxnSpPr/>
      </xdr:nvCxnSpPr>
      <xdr:spPr>
        <a:xfrm>
          <a:off x="5172216" y="8673945"/>
          <a:ext cx="0" cy="3255967"/>
        </a:xfrm>
        <a:prstGeom prst="line">
          <a:avLst/>
        </a:prstGeom>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206271</xdr:colOff>
      <xdr:row>38</xdr:row>
      <xdr:rowOff>180551</xdr:rowOff>
    </xdr:from>
    <xdr:to>
      <xdr:col>33</xdr:col>
      <xdr:colOff>164807</xdr:colOff>
      <xdr:row>38</xdr:row>
      <xdr:rowOff>180551</xdr:rowOff>
    </xdr:to>
    <xdr:cxnSp macro="">
      <xdr:nvCxnSpPr>
        <xdr:cNvPr id="33" name="直線コネクタ 32">
          <a:extLst>
            <a:ext uri="{FF2B5EF4-FFF2-40B4-BE49-F238E27FC236}">
              <a16:creationId xmlns:a16="http://schemas.microsoft.com/office/drawing/2014/main" id="{CDD0FE9E-9585-4355-91F7-7673589013DB}"/>
            </a:ext>
          </a:extLst>
        </xdr:cNvPr>
        <xdr:cNvCxnSpPr/>
      </xdr:nvCxnSpPr>
      <xdr:spPr>
        <a:xfrm>
          <a:off x="5183084" y="9455520"/>
          <a:ext cx="2446942"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22</xdr:col>
      <xdr:colOff>204206</xdr:colOff>
      <xdr:row>36</xdr:row>
      <xdr:rowOff>115141</xdr:rowOff>
    </xdr:from>
    <xdr:to>
      <xdr:col>33</xdr:col>
      <xdr:colOff>164807</xdr:colOff>
      <xdr:row>36</xdr:row>
      <xdr:rowOff>115141</xdr:rowOff>
    </xdr:to>
    <xdr:cxnSp macro="">
      <xdr:nvCxnSpPr>
        <xdr:cNvPr id="34" name="直線コネクタ 33">
          <a:extLst>
            <a:ext uri="{FF2B5EF4-FFF2-40B4-BE49-F238E27FC236}">
              <a16:creationId xmlns:a16="http://schemas.microsoft.com/office/drawing/2014/main" id="{7042741A-1832-493E-99D3-A9E552EE3478}"/>
            </a:ext>
          </a:extLst>
        </xdr:cNvPr>
        <xdr:cNvCxnSpPr/>
      </xdr:nvCxnSpPr>
      <xdr:spPr>
        <a:xfrm>
          <a:off x="5181019" y="8913860"/>
          <a:ext cx="2449007"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22</xdr:col>
      <xdr:colOff>210061</xdr:colOff>
      <xdr:row>36</xdr:row>
      <xdr:rowOff>110687</xdr:rowOff>
    </xdr:from>
    <xdr:to>
      <xdr:col>24</xdr:col>
      <xdr:colOff>44559</xdr:colOff>
      <xdr:row>38</xdr:row>
      <xdr:rowOff>185279</xdr:rowOff>
    </xdr:to>
    <xdr:cxnSp macro="">
      <xdr:nvCxnSpPr>
        <xdr:cNvPr id="37" name="直線コネクタ 36">
          <a:extLst>
            <a:ext uri="{FF2B5EF4-FFF2-40B4-BE49-F238E27FC236}">
              <a16:creationId xmlns:a16="http://schemas.microsoft.com/office/drawing/2014/main" id="{F146E769-F5F5-E462-FEB8-DDB528082F7C}"/>
            </a:ext>
          </a:extLst>
        </xdr:cNvPr>
        <xdr:cNvCxnSpPr/>
      </xdr:nvCxnSpPr>
      <xdr:spPr>
        <a:xfrm flipV="1">
          <a:off x="5186874" y="8909406"/>
          <a:ext cx="286935" cy="550842"/>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22</xdr:col>
      <xdr:colOff>210061</xdr:colOff>
      <xdr:row>38</xdr:row>
      <xdr:rowOff>196912</xdr:rowOff>
    </xdr:from>
    <xdr:to>
      <xdr:col>25</xdr:col>
      <xdr:colOff>37991</xdr:colOff>
      <xdr:row>42</xdr:row>
      <xdr:rowOff>236802</xdr:rowOff>
    </xdr:to>
    <xdr:cxnSp macro="">
      <xdr:nvCxnSpPr>
        <xdr:cNvPr id="41" name="直線コネクタ 40">
          <a:extLst>
            <a:ext uri="{FF2B5EF4-FFF2-40B4-BE49-F238E27FC236}">
              <a16:creationId xmlns:a16="http://schemas.microsoft.com/office/drawing/2014/main" id="{D430A86E-6C8A-33C1-34B6-E3B33A5BB4B2}"/>
            </a:ext>
          </a:extLst>
        </xdr:cNvPr>
        <xdr:cNvCxnSpPr/>
      </xdr:nvCxnSpPr>
      <xdr:spPr>
        <a:xfrm flipV="1">
          <a:off x="5186874" y="9471881"/>
          <a:ext cx="506586" cy="1016202"/>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22</xdr:col>
      <xdr:colOff>224796</xdr:colOff>
      <xdr:row>43</xdr:row>
      <xdr:rowOff>71347</xdr:rowOff>
    </xdr:from>
    <xdr:to>
      <xdr:col>27</xdr:col>
      <xdr:colOff>5147</xdr:colOff>
      <xdr:row>48</xdr:row>
      <xdr:rowOff>163077</xdr:rowOff>
    </xdr:to>
    <xdr:cxnSp macro="">
      <xdr:nvCxnSpPr>
        <xdr:cNvPr id="44" name="直線コネクタ 43">
          <a:extLst>
            <a:ext uri="{FF2B5EF4-FFF2-40B4-BE49-F238E27FC236}">
              <a16:creationId xmlns:a16="http://schemas.microsoft.com/office/drawing/2014/main" id="{29208D0C-69EC-EF53-D176-AFBF32D5B0A4}"/>
            </a:ext>
          </a:extLst>
        </xdr:cNvPr>
        <xdr:cNvCxnSpPr/>
      </xdr:nvCxnSpPr>
      <xdr:spPr>
        <a:xfrm flipV="1">
          <a:off x="5201609" y="10560753"/>
          <a:ext cx="911444" cy="132998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27</xdr:col>
      <xdr:colOff>182279</xdr:colOff>
      <xdr:row>38</xdr:row>
      <xdr:rowOff>183774</xdr:rowOff>
    </xdr:from>
    <xdr:to>
      <xdr:col>27</xdr:col>
      <xdr:colOff>182279</xdr:colOff>
      <xdr:row>48</xdr:row>
      <xdr:rowOff>175980</xdr:rowOff>
    </xdr:to>
    <xdr:cxnSp macro="">
      <xdr:nvCxnSpPr>
        <xdr:cNvPr id="46" name="直線コネクタ 45">
          <a:extLst>
            <a:ext uri="{FF2B5EF4-FFF2-40B4-BE49-F238E27FC236}">
              <a16:creationId xmlns:a16="http://schemas.microsoft.com/office/drawing/2014/main" id="{105840C2-D32A-4F19-5F2D-49CCA6BCFE73}"/>
            </a:ext>
          </a:extLst>
        </xdr:cNvPr>
        <xdr:cNvCxnSpPr/>
      </xdr:nvCxnSpPr>
      <xdr:spPr>
        <a:xfrm>
          <a:off x="6290185" y="9458743"/>
          <a:ext cx="0" cy="2444893"/>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27</xdr:col>
      <xdr:colOff>190855</xdr:colOff>
      <xdr:row>43</xdr:row>
      <xdr:rowOff>33459</xdr:rowOff>
    </xdr:from>
    <xdr:to>
      <xdr:col>32</xdr:col>
      <xdr:colOff>136526</xdr:colOff>
      <xdr:row>48</xdr:row>
      <xdr:rowOff>162420</xdr:rowOff>
    </xdr:to>
    <xdr:cxnSp macro="">
      <xdr:nvCxnSpPr>
        <xdr:cNvPr id="48" name="直線コネクタ 47">
          <a:extLst>
            <a:ext uri="{FF2B5EF4-FFF2-40B4-BE49-F238E27FC236}">
              <a16:creationId xmlns:a16="http://schemas.microsoft.com/office/drawing/2014/main" id="{23CE19F5-BF26-41F4-AAD4-384E7FC7D59B}"/>
            </a:ext>
          </a:extLst>
        </xdr:cNvPr>
        <xdr:cNvCxnSpPr/>
      </xdr:nvCxnSpPr>
      <xdr:spPr>
        <a:xfrm flipH="1">
          <a:off x="6298761" y="10522865"/>
          <a:ext cx="1076765" cy="1367211"/>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27</xdr:col>
      <xdr:colOff>174300</xdr:colOff>
      <xdr:row>38</xdr:row>
      <xdr:rowOff>179388</xdr:rowOff>
    </xdr:from>
    <xdr:to>
      <xdr:col>32</xdr:col>
      <xdr:colOff>117945</xdr:colOff>
      <xdr:row>43</xdr:row>
      <xdr:rowOff>32461</xdr:rowOff>
    </xdr:to>
    <xdr:cxnSp macro="">
      <xdr:nvCxnSpPr>
        <xdr:cNvPr id="51" name="直線コネクタ 50">
          <a:extLst>
            <a:ext uri="{FF2B5EF4-FFF2-40B4-BE49-F238E27FC236}">
              <a16:creationId xmlns:a16="http://schemas.microsoft.com/office/drawing/2014/main" id="{67746E6C-9FB4-4F55-B0DA-26ED40CDEC4C}"/>
            </a:ext>
          </a:extLst>
        </xdr:cNvPr>
        <xdr:cNvCxnSpPr/>
      </xdr:nvCxnSpPr>
      <xdr:spPr>
        <a:xfrm flipH="1" flipV="1">
          <a:off x="6282206" y="9454357"/>
          <a:ext cx="1074739" cy="1067510"/>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27</xdr:col>
      <xdr:colOff>191038</xdr:colOff>
      <xdr:row>43</xdr:row>
      <xdr:rowOff>36346</xdr:rowOff>
    </xdr:from>
    <xdr:to>
      <xdr:col>32</xdr:col>
      <xdr:colOff>149664</xdr:colOff>
      <xdr:row>43</xdr:row>
      <xdr:rowOff>36346</xdr:rowOff>
    </xdr:to>
    <xdr:cxnSp macro="">
      <xdr:nvCxnSpPr>
        <xdr:cNvPr id="54" name="直線コネクタ 53">
          <a:extLst>
            <a:ext uri="{FF2B5EF4-FFF2-40B4-BE49-F238E27FC236}">
              <a16:creationId xmlns:a16="http://schemas.microsoft.com/office/drawing/2014/main" id="{25047189-7A2E-987B-62AE-5EB9B4B2A051}"/>
            </a:ext>
          </a:extLst>
        </xdr:cNvPr>
        <xdr:cNvCxnSpPr/>
      </xdr:nvCxnSpPr>
      <xdr:spPr>
        <a:xfrm>
          <a:off x="6298944" y="10525752"/>
          <a:ext cx="1089720"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22</xdr:col>
      <xdr:colOff>138109</xdr:colOff>
      <xdr:row>36</xdr:row>
      <xdr:rowOff>97595</xdr:rowOff>
    </xdr:from>
    <xdr:to>
      <xdr:col>23</xdr:col>
      <xdr:colOff>198322</xdr:colOff>
      <xdr:row>37</xdr:row>
      <xdr:rowOff>121680</xdr:rowOff>
    </xdr:to>
    <xdr:sp macro="" textlink="">
      <xdr:nvSpPr>
        <xdr:cNvPr id="58" name="テキスト ボックス 57">
          <a:extLst>
            <a:ext uri="{FF2B5EF4-FFF2-40B4-BE49-F238E27FC236}">
              <a16:creationId xmlns:a16="http://schemas.microsoft.com/office/drawing/2014/main" id="{14A70202-A404-896A-1056-A437E373703A}"/>
            </a:ext>
          </a:extLst>
        </xdr:cNvPr>
        <xdr:cNvSpPr txBox="1"/>
      </xdr:nvSpPr>
      <xdr:spPr>
        <a:xfrm>
          <a:off x="5114922" y="8896314"/>
          <a:ext cx="286431" cy="262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23</xdr:col>
      <xdr:colOff>93357</xdr:colOff>
      <xdr:row>37</xdr:row>
      <xdr:rowOff>98572</xdr:rowOff>
    </xdr:from>
    <xdr:to>
      <xdr:col>24</xdr:col>
      <xdr:colOff>159752</xdr:colOff>
      <xdr:row>38</xdr:row>
      <xdr:rowOff>113425</xdr:rowOff>
    </xdr:to>
    <xdr:sp macro="" textlink="">
      <xdr:nvSpPr>
        <xdr:cNvPr id="59" name="テキスト ボックス 58">
          <a:extLst>
            <a:ext uri="{FF2B5EF4-FFF2-40B4-BE49-F238E27FC236}">
              <a16:creationId xmlns:a16="http://schemas.microsoft.com/office/drawing/2014/main" id="{2D8AC1E7-107F-0854-63E5-66EDAEFB1766}"/>
            </a:ext>
          </a:extLst>
        </xdr:cNvPr>
        <xdr:cNvSpPr txBox="1"/>
      </xdr:nvSpPr>
      <xdr:spPr>
        <a:xfrm>
          <a:off x="5296388" y="9135416"/>
          <a:ext cx="292614" cy="252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22</xdr:col>
      <xdr:colOff>177678</xdr:colOff>
      <xdr:row>39</xdr:row>
      <xdr:rowOff>161216</xdr:rowOff>
    </xdr:from>
    <xdr:to>
      <xdr:col>24</xdr:col>
      <xdr:colOff>16031</xdr:colOff>
      <xdr:row>40</xdr:row>
      <xdr:rowOff>179270</xdr:rowOff>
    </xdr:to>
    <xdr:sp macro="" textlink="">
      <xdr:nvSpPr>
        <xdr:cNvPr id="60" name="テキスト ボックス 59">
          <a:extLst>
            <a:ext uri="{FF2B5EF4-FFF2-40B4-BE49-F238E27FC236}">
              <a16:creationId xmlns:a16="http://schemas.microsoft.com/office/drawing/2014/main" id="{B74CB08B-3A87-A3EF-BAFF-B944EE33A7F8}"/>
            </a:ext>
          </a:extLst>
        </xdr:cNvPr>
        <xdr:cNvSpPr txBox="1"/>
      </xdr:nvSpPr>
      <xdr:spPr>
        <a:xfrm>
          <a:off x="5154491" y="9698122"/>
          <a:ext cx="290790" cy="256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p>
      </xdr:txBody>
    </xdr:sp>
    <xdr:clientData/>
  </xdr:twoCellAnchor>
  <xdr:twoCellAnchor>
    <xdr:from>
      <xdr:col>24</xdr:col>
      <xdr:colOff>149663</xdr:colOff>
      <xdr:row>41</xdr:row>
      <xdr:rowOff>14956</xdr:rowOff>
    </xdr:from>
    <xdr:to>
      <xdr:col>25</xdr:col>
      <xdr:colOff>211188</xdr:colOff>
      <xdr:row>42</xdr:row>
      <xdr:rowOff>34613</xdr:rowOff>
    </xdr:to>
    <xdr:sp macro="" textlink="">
      <xdr:nvSpPr>
        <xdr:cNvPr id="61" name="テキスト ボックス 60">
          <a:extLst>
            <a:ext uri="{FF2B5EF4-FFF2-40B4-BE49-F238E27FC236}">
              <a16:creationId xmlns:a16="http://schemas.microsoft.com/office/drawing/2014/main" id="{7F5D9E77-6101-D657-0DF7-5E2B2266C3E7}"/>
            </a:ext>
          </a:extLst>
        </xdr:cNvPr>
        <xdr:cNvSpPr txBox="1"/>
      </xdr:nvSpPr>
      <xdr:spPr>
        <a:xfrm>
          <a:off x="5578913" y="10028112"/>
          <a:ext cx="287744" cy="257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23</xdr:col>
      <xdr:colOff>17649</xdr:colOff>
      <xdr:row>44</xdr:row>
      <xdr:rowOff>212044</xdr:rowOff>
    </xdr:from>
    <xdr:to>
      <xdr:col>24</xdr:col>
      <xdr:colOff>82962</xdr:colOff>
      <xdr:row>45</xdr:row>
      <xdr:rowOff>210546</xdr:rowOff>
    </xdr:to>
    <xdr:sp macro="" textlink="">
      <xdr:nvSpPr>
        <xdr:cNvPr id="62" name="テキスト ボックス 61">
          <a:extLst>
            <a:ext uri="{FF2B5EF4-FFF2-40B4-BE49-F238E27FC236}">
              <a16:creationId xmlns:a16="http://schemas.microsoft.com/office/drawing/2014/main" id="{6D149CC0-2716-F33C-8ECE-229D2243B8E0}"/>
            </a:ext>
          </a:extLst>
        </xdr:cNvPr>
        <xdr:cNvSpPr txBox="1"/>
      </xdr:nvSpPr>
      <xdr:spPr>
        <a:xfrm>
          <a:off x="5220680" y="10939575"/>
          <a:ext cx="291532" cy="24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⑤</a:t>
          </a:r>
        </a:p>
      </xdr:txBody>
    </xdr:sp>
    <xdr:clientData/>
  </xdr:twoCellAnchor>
  <xdr:twoCellAnchor>
    <xdr:from>
      <xdr:col>24</xdr:col>
      <xdr:colOff>128138</xdr:colOff>
      <xdr:row>46</xdr:row>
      <xdr:rowOff>246950</xdr:rowOff>
    </xdr:from>
    <xdr:to>
      <xdr:col>25</xdr:col>
      <xdr:colOff>192832</xdr:colOff>
      <xdr:row>48</xdr:row>
      <xdr:rowOff>1344</xdr:rowOff>
    </xdr:to>
    <xdr:sp macro="" textlink="">
      <xdr:nvSpPr>
        <xdr:cNvPr id="63" name="テキスト ボックス 62">
          <a:extLst>
            <a:ext uri="{FF2B5EF4-FFF2-40B4-BE49-F238E27FC236}">
              <a16:creationId xmlns:a16="http://schemas.microsoft.com/office/drawing/2014/main" id="{F024B5F5-C5F3-52C0-5753-E48B533E73A9}"/>
            </a:ext>
          </a:extLst>
        </xdr:cNvPr>
        <xdr:cNvSpPr txBox="1"/>
      </xdr:nvSpPr>
      <xdr:spPr>
        <a:xfrm>
          <a:off x="5557388" y="11474544"/>
          <a:ext cx="290913" cy="254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⑥</a:t>
          </a:r>
        </a:p>
      </xdr:txBody>
    </xdr:sp>
    <xdr:clientData/>
  </xdr:twoCellAnchor>
  <xdr:twoCellAnchor>
    <xdr:from>
      <xdr:col>28</xdr:col>
      <xdr:colOff>155249</xdr:colOff>
      <xdr:row>41</xdr:row>
      <xdr:rowOff>47614</xdr:rowOff>
    </xdr:from>
    <xdr:to>
      <xdr:col>29</xdr:col>
      <xdr:colOff>215691</xdr:colOff>
      <xdr:row>42</xdr:row>
      <xdr:rowOff>79381</xdr:rowOff>
    </xdr:to>
    <xdr:sp macro="" textlink="">
      <xdr:nvSpPr>
        <xdr:cNvPr id="64" name="テキスト ボックス 63">
          <a:extLst>
            <a:ext uri="{FF2B5EF4-FFF2-40B4-BE49-F238E27FC236}">
              <a16:creationId xmlns:a16="http://schemas.microsoft.com/office/drawing/2014/main" id="{E2843795-6899-400D-D494-9C6766D2078B}"/>
            </a:ext>
          </a:extLst>
        </xdr:cNvPr>
        <xdr:cNvSpPr txBox="1"/>
      </xdr:nvSpPr>
      <xdr:spPr>
        <a:xfrm>
          <a:off x="6489374" y="10060770"/>
          <a:ext cx="286661" cy="269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⑦</a:t>
          </a:r>
        </a:p>
      </xdr:txBody>
    </xdr:sp>
    <xdr:clientData/>
  </xdr:twoCellAnchor>
  <xdr:twoCellAnchor>
    <xdr:from>
      <xdr:col>28</xdr:col>
      <xdr:colOff>151257</xdr:colOff>
      <xdr:row>44</xdr:row>
      <xdr:rowOff>111568</xdr:rowOff>
    </xdr:from>
    <xdr:to>
      <xdr:col>29</xdr:col>
      <xdr:colOff>212782</xdr:colOff>
      <xdr:row>45</xdr:row>
      <xdr:rowOff>122645</xdr:rowOff>
    </xdr:to>
    <xdr:sp macro="" textlink="">
      <xdr:nvSpPr>
        <xdr:cNvPr id="65" name="テキスト ボックス 64">
          <a:extLst>
            <a:ext uri="{FF2B5EF4-FFF2-40B4-BE49-F238E27FC236}">
              <a16:creationId xmlns:a16="http://schemas.microsoft.com/office/drawing/2014/main" id="{89738C47-12BE-371E-AD54-7BF0C5B32B75}"/>
            </a:ext>
          </a:extLst>
        </xdr:cNvPr>
        <xdr:cNvSpPr txBox="1"/>
      </xdr:nvSpPr>
      <xdr:spPr>
        <a:xfrm>
          <a:off x="6485382" y="10839099"/>
          <a:ext cx="287744" cy="261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⑧</a:t>
          </a:r>
        </a:p>
      </xdr:txBody>
    </xdr:sp>
    <xdr:clientData/>
  </xdr:twoCellAnchor>
  <xdr:twoCellAnchor>
    <xdr:from>
      <xdr:col>21</xdr:col>
      <xdr:colOff>30000</xdr:colOff>
      <xdr:row>46</xdr:row>
      <xdr:rowOff>69014</xdr:rowOff>
    </xdr:from>
    <xdr:to>
      <xdr:col>22</xdr:col>
      <xdr:colOff>95312</xdr:colOff>
      <xdr:row>47</xdr:row>
      <xdr:rowOff>57038</xdr:rowOff>
    </xdr:to>
    <xdr:sp macro="" textlink="">
      <xdr:nvSpPr>
        <xdr:cNvPr id="66" name="テキスト ボックス 65">
          <a:extLst>
            <a:ext uri="{FF2B5EF4-FFF2-40B4-BE49-F238E27FC236}">
              <a16:creationId xmlns:a16="http://schemas.microsoft.com/office/drawing/2014/main" id="{E9AD7595-3F4F-41DA-4BC0-D0D00379BEFC}"/>
            </a:ext>
          </a:extLst>
        </xdr:cNvPr>
        <xdr:cNvSpPr txBox="1"/>
      </xdr:nvSpPr>
      <xdr:spPr>
        <a:xfrm>
          <a:off x="4780594" y="11296608"/>
          <a:ext cx="291531" cy="2499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⑨</a:t>
          </a:r>
        </a:p>
      </xdr:txBody>
    </xdr:sp>
    <xdr:clientData/>
  </xdr:twoCellAnchor>
  <xdr:twoCellAnchor>
    <xdr:from>
      <xdr:col>31</xdr:col>
      <xdr:colOff>109282</xdr:colOff>
      <xdr:row>35</xdr:row>
      <xdr:rowOff>101426</xdr:rowOff>
    </xdr:from>
    <xdr:to>
      <xdr:col>33</xdr:col>
      <xdr:colOff>201385</xdr:colOff>
      <xdr:row>36</xdr:row>
      <xdr:rowOff>112660</xdr:rowOff>
    </xdr:to>
    <xdr:sp macro="" textlink="">
      <xdr:nvSpPr>
        <xdr:cNvPr id="32" name="テキスト ボックス 31">
          <a:extLst>
            <a:ext uri="{FF2B5EF4-FFF2-40B4-BE49-F238E27FC236}">
              <a16:creationId xmlns:a16="http://schemas.microsoft.com/office/drawing/2014/main" id="{54689311-75C2-CA56-4EF0-7656D763F4BE}"/>
            </a:ext>
          </a:extLst>
        </xdr:cNvPr>
        <xdr:cNvSpPr txBox="1"/>
      </xdr:nvSpPr>
      <xdr:spPr>
        <a:xfrm>
          <a:off x="7122063" y="8662020"/>
          <a:ext cx="544541" cy="2493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１層</a:t>
          </a:r>
        </a:p>
      </xdr:txBody>
    </xdr:sp>
    <xdr:clientData/>
  </xdr:twoCellAnchor>
  <xdr:twoCellAnchor>
    <xdr:from>
      <xdr:col>31</xdr:col>
      <xdr:colOff>118996</xdr:colOff>
      <xdr:row>36</xdr:row>
      <xdr:rowOff>231257</xdr:rowOff>
    </xdr:from>
    <xdr:to>
      <xdr:col>33</xdr:col>
      <xdr:colOff>215485</xdr:colOff>
      <xdr:row>38</xdr:row>
      <xdr:rowOff>8057</xdr:rowOff>
    </xdr:to>
    <xdr:sp macro="" textlink="">
      <xdr:nvSpPr>
        <xdr:cNvPr id="35" name="テキスト ボックス 34">
          <a:extLst>
            <a:ext uri="{FF2B5EF4-FFF2-40B4-BE49-F238E27FC236}">
              <a16:creationId xmlns:a16="http://schemas.microsoft.com/office/drawing/2014/main" id="{9A51EA95-73D8-630B-1352-F3D5BB04C1F6}"/>
            </a:ext>
          </a:extLst>
        </xdr:cNvPr>
        <xdr:cNvSpPr txBox="1"/>
      </xdr:nvSpPr>
      <xdr:spPr>
        <a:xfrm>
          <a:off x="7131777" y="9029976"/>
          <a:ext cx="548927" cy="25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２層</a:t>
          </a:r>
        </a:p>
      </xdr:txBody>
    </xdr:sp>
    <xdr:clientData/>
  </xdr:twoCellAnchor>
  <xdr:twoCellAnchor>
    <xdr:from>
      <xdr:col>22</xdr:col>
      <xdr:colOff>196244</xdr:colOff>
      <xdr:row>43</xdr:row>
      <xdr:rowOff>32232</xdr:rowOff>
    </xdr:from>
    <xdr:to>
      <xdr:col>33</xdr:col>
      <xdr:colOff>153697</xdr:colOff>
      <xdr:row>43</xdr:row>
      <xdr:rowOff>32232</xdr:rowOff>
    </xdr:to>
    <xdr:cxnSp macro="">
      <xdr:nvCxnSpPr>
        <xdr:cNvPr id="43" name="直線コネクタ 42">
          <a:extLst>
            <a:ext uri="{FF2B5EF4-FFF2-40B4-BE49-F238E27FC236}">
              <a16:creationId xmlns:a16="http://schemas.microsoft.com/office/drawing/2014/main" id="{9C68E1A2-B6B6-D99B-EA0C-DE3261C52FDC}"/>
            </a:ext>
          </a:extLst>
        </xdr:cNvPr>
        <xdr:cNvCxnSpPr/>
      </xdr:nvCxnSpPr>
      <xdr:spPr>
        <a:xfrm>
          <a:off x="5173057" y="10521638"/>
          <a:ext cx="2445859"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31</xdr:col>
      <xdr:colOff>118996</xdr:colOff>
      <xdr:row>40</xdr:row>
      <xdr:rowOff>90071</xdr:rowOff>
    </xdr:from>
    <xdr:to>
      <xdr:col>33</xdr:col>
      <xdr:colOff>215485</xdr:colOff>
      <xdr:row>41</xdr:row>
      <xdr:rowOff>98743</xdr:rowOff>
    </xdr:to>
    <xdr:sp macro="" textlink="">
      <xdr:nvSpPr>
        <xdr:cNvPr id="45" name="テキスト ボックス 44">
          <a:extLst>
            <a:ext uri="{FF2B5EF4-FFF2-40B4-BE49-F238E27FC236}">
              <a16:creationId xmlns:a16="http://schemas.microsoft.com/office/drawing/2014/main" id="{89F4094F-4A46-A0D6-661E-8176098F52AF}"/>
            </a:ext>
          </a:extLst>
        </xdr:cNvPr>
        <xdr:cNvSpPr txBox="1"/>
      </xdr:nvSpPr>
      <xdr:spPr>
        <a:xfrm>
          <a:off x="7131777" y="9865102"/>
          <a:ext cx="548927" cy="246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３層</a:t>
          </a:r>
        </a:p>
      </xdr:txBody>
    </xdr:sp>
    <xdr:clientData/>
  </xdr:twoCellAnchor>
  <xdr:twoCellAnchor>
    <xdr:from>
      <xdr:col>31</xdr:col>
      <xdr:colOff>118996</xdr:colOff>
      <xdr:row>44</xdr:row>
      <xdr:rowOff>204325</xdr:rowOff>
    </xdr:from>
    <xdr:to>
      <xdr:col>33</xdr:col>
      <xdr:colOff>215485</xdr:colOff>
      <xdr:row>45</xdr:row>
      <xdr:rowOff>202283</xdr:rowOff>
    </xdr:to>
    <xdr:sp macro="" textlink="">
      <xdr:nvSpPr>
        <xdr:cNvPr id="47" name="テキスト ボックス 46">
          <a:extLst>
            <a:ext uri="{FF2B5EF4-FFF2-40B4-BE49-F238E27FC236}">
              <a16:creationId xmlns:a16="http://schemas.microsoft.com/office/drawing/2014/main" id="{F4B8A1B4-D909-48FD-CADF-3E78854FA9AA}"/>
            </a:ext>
          </a:extLst>
        </xdr:cNvPr>
        <xdr:cNvSpPr txBox="1"/>
      </xdr:nvSpPr>
      <xdr:spPr>
        <a:xfrm>
          <a:off x="7131777" y="10931856"/>
          <a:ext cx="548927" cy="2479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４層</a:t>
          </a:r>
        </a:p>
      </xdr:txBody>
    </xdr:sp>
    <xdr:clientData/>
  </xdr:twoCellAnchor>
  <xdr:twoCellAnchor>
    <xdr:from>
      <xdr:col>18</xdr:col>
      <xdr:colOff>51932</xdr:colOff>
      <xdr:row>36</xdr:row>
      <xdr:rowOff>32593</xdr:rowOff>
    </xdr:from>
    <xdr:to>
      <xdr:col>22</xdr:col>
      <xdr:colOff>295</xdr:colOff>
      <xdr:row>36</xdr:row>
      <xdr:rowOff>32593</xdr:rowOff>
    </xdr:to>
    <xdr:cxnSp macro="">
      <xdr:nvCxnSpPr>
        <xdr:cNvPr id="2" name="直線コネクタ 1">
          <a:extLst>
            <a:ext uri="{FF2B5EF4-FFF2-40B4-BE49-F238E27FC236}">
              <a16:creationId xmlns:a16="http://schemas.microsoft.com/office/drawing/2014/main" id="{B3951F29-0F15-B37D-0228-4CEEA16EF567}"/>
            </a:ext>
          </a:extLst>
        </xdr:cNvPr>
        <xdr:cNvCxnSpPr/>
      </xdr:nvCxnSpPr>
      <xdr:spPr>
        <a:xfrm>
          <a:off x="4123870" y="8831312"/>
          <a:ext cx="85323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41906</xdr:colOff>
      <xdr:row>36</xdr:row>
      <xdr:rowOff>186914</xdr:rowOff>
    </xdr:from>
    <xdr:to>
      <xdr:col>21</xdr:col>
      <xdr:colOff>216488</xdr:colOff>
      <xdr:row>36</xdr:row>
      <xdr:rowOff>186914</xdr:rowOff>
    </xdr:to>
    <xdr:cxnSp macro="">
      <xdr:nvCxnSpPr>
        <xdr:cNvPr id="28" name="直線コネクタ 27">
          <a:extLst>
            <a:ext uri="{FF2B5EF4-FFF2-40B4-BE49-F238E27FC236}">
              <a16:creationId xmlns:a16="http://schemas.microsoft.com/office/drawing/2014/main" id="{FB3070F3-D89B-F0E2-B32A-13868FDC618D}"/>
            </a:ext>
          </a:extLst>
        </xdr:cNvPr>
        <xdr:cNvCxnSpPr/>
      </xdr:nvCxnSpPr>
      <xdr:spPr>
        <a:xfrm>
          <a:off x="4113844" y="8985633"/>
          <a:ext cx="85323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224509</xdr:colOff>
      <xdr:row>36</xdr:row>
      <xdr:rowOff>37489</xdr:rowOff>
    </xdr:from>
    <xdr:to>
      <xdr:col>21</xdr:col>
      <xdr:colOff>224509</xdr:colOff>
      <xdr:row>36</xdr:row>
      <xdr:rowOff>187299</xdr:rowOff>
    </xdr:to>
    <xdr:cxnSp macro="">
      <xdr:nvCxnSpPr>
        <xdr:cNvPr id="29" name="直線コネクタ 28">
          <a:extLst>
            <a:ext uri="{FF2B5EF4-FFF2-40B4-BE49-F238E27FC236}">
              <a16:creationId xmlns:a16="http://schemas.microsoft.com/office/drawing/2014/main" id="{8364523D-E7A5-15D9-C532-94DD95107DA9}"/>
            </a:ext>
          </a:extLst>
        </xdr:cNvPr>
        <xdr:cNvCxnSpPr/>
      </xdr:nvCxnSpPr>
      <xdr:spPr>
        <a:xfrm>
          <a:off x="4975103" y="8836208"/>
          <a:ext cx="0" cy="1498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25504</xdr:colOff>
      <xdr:row>36</xdr:row>
      <xdr:rowOff>27284</xdr:rowOff>
    </xdr:from>
    <xdr:to>
      <xdr:col>22</xdr:col>
      <xdr:colOff>25504</xdr:colOff>
      <xdr:row>36</xdr:row>
      <xdr:rowOff>201085</xdr:rowOff>
    </xdr:to>
    <xdr:cxnSp macro="">
      <xdr:nvCxnSpPr>
        <xdr:cNvPr id="36" name="直線コネクタ 35">
          <a:extLst>
            <a:ext uri="{FF2B5EF4-FFF2-40B4-BE49-F238E27FC236}">
              <a16:creationId xmlns:a16="http://schemas.microsoft.com/office/drawing/2014/main" id="{BBC87188-FF7D-C43C-6A1D-CEABFC0AE078}"/>
            </a:ext>
          </a:extLst>
        </xdr:cNvPr>
        <xdr:cNvCxnSpPr/>
      </xdr:nvCxnSpPr>
      <xdr:spPr>
        <a:xfrm>
          <a:off x="5002317" y="8826003"/>
          <a:ext cx="0" cy="1738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169462</xdr:colOff>
      <xdr:row>36</xdr:row>
      <xdr:rowOff>27284</xdr:rowOff>
    </xdr:from>
    <xdr:to>
      <xdr:col>22</xdr:col>
      <xdr:colOff>169462</xdr:colOff>
      <xdr:row>36</xdr:row>
      <xdr:rowOff>201085</xdr:rowOff>
    </xdr:to>
    <xdr:cxnSp macro="">
      <xdr:nvCxnSpPr>
        <xdr:cNvPr id="40" name="直線コネクタ 39">
          <a:extLst>
            <a:ext uri="{FF2B5EF4-FFF2-40B4-BE49-F238E27FC236}">
              <a16:creationId xmlns:a16="http://schemas.microsoft.com/office/drawing/2014/main" id="{D4871F4E-7EF2-B2A4-D4FA-BB02F7B18B39}"/>
            </a:ext>
          </a:extLst>
        </xdr:cNvPr>
        <xdr:cNvCxnSpPr/>
      </xdr:nvCxnSpPr>
      <xdr:spPr>
        <a:xfrm>
          <a:off x="5146275" y="8826003"/>
          <a:ext cx="0" cy="1738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24434</xdr:colOff>
      <xdr:row>36</xdr:row>
      <xdr:rowOff>116967</xdr:rowOff>
    </xdr:from>
    <xdr:to>
      <xdr:col>22</xdr:col>
      <xdr:colOff>164991</xdr:colOff>
      <xdr:row>36</xdr:row>
      <xdr:rowOff>116967</xdr:rowOff>
    </xdr:to>
    <xdr:cxnSp macro="">
      <xdr:nvCxnSpPr>
        <xdr:cNvPr id="42" name="直線コネクタ 41">
          <a:extLst>
            <a:ext uri="{FF2B5EF4-FFF2-40B4-BE49-F238E27FC236}">
              <a16:creationId xmlns:a16="http://schemas.microsoft.com/office/drawing/2014/main" id="{C75DFEB6-6D56-47CE-C724-E76FE2CE9A1A}"/>
            </a:ext>
          </a:extLst>
        </xdr:cNvPr>
        <xdr:cNvCxnSpPr/>
      </xdr:nvCxnSpPr>
      <xdr:spPr>
        <a:xfrm>
          <a:off x="5001247" y="8915686"/>
          <a:ext cx="14055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131529</xdr:colOff>
      <xdr:row>11</xdr:row>
      <xdr:rowOff>80758</xdr:rowOff>
    </xdr:from>
    <xdr:to>
      <xdr:col>34</xdr:col>
      <xdr:colOff>42671</xdr:colOff>
      <xdr:row>11</xdr:row>
      <xdr:rowOff>80758</xdr:rowOff>
    </xdr:to>
    <xdr:cxnSp macro="">
      <xdr:nvCxnSpPr>
        <xdr:cNvPr id="2" name="直線コネクタ 1">
          <a:extLst>
            <a:ext uri="{FF2B5EF4-FFF2-40B4-BE49-F238E27FC236}">
              <a16:creationId xmlns:a16="http://schemas.microsoft.com/office/drawing/2014/main" id="{BF49E981-6F6A-4FA2-AF07-34FE542216DC}"/>
            </a:ext>
          </a:extLst>
        </xdr:cNvPr>
        <xdr:cNvCxnSpPr/>
      </xdr:nvCxnSpPr>
      <xdr:spPr>
        <a:xfrm>
          <a:off x="5286235" y="2669317"/>
          <a:ext cx="237643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76761</xdr:colOff>
      <xdr:row>18</xdr:row>
      <xdr:rowOff>172753</xdr:rowOff>
    </xdr:from>
    <xdr:to>
      <xdr:col>23</xdr:col>
      <xdr:colOff>113386</xdr:colOff>
      <xdr:row>18</xdr:row>
      <xdr:rowOff>172753</xdr:rowOff>
    </xdr:to>
    <xdr:cxnSp macro="">
      <xdr:nvCxnSpPr>
        <xdr:cNvPr id="3" name="直線コネクタ 2">
          <a:extLst>
            <a:ext uri="{FF2B5EF4-FFF2-40B4-BE49-F238E27FC236}">
              <a16:creationId xmlns:a16="http://schemas.microsoft.com/office/drawing/2014/main" id="{BE9FC3E9-B0C3-441F-B0E8-9E3501C58179}"/>
            </a:ext>
          </a:extLst>
        </xdr:cNvPr>
        <xdr:cNvCxnSpPr/>
      </xdr:nvCxnSpPr>
      <xdr:spPr>
        <a:xfrm>
          <a:off x="4559114" y="4498224"/>
          <a:ext cx="70897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212560</xdr:colOff>
      <xdr:row>18</xdr:row>
      <xdr:rowOff>180389</xdr:rowOff>
    </xdr:from>
    <xdr:to>
      <xdr:col>22</xdr:col>
      <xdr:colOff>81155</xdr:colOff>
      <xdr:row>19</xdr:row>
      <xdr:rowOff>45442</xdr:rowOff>
    </xdr:to>
    <xdr:cxnSp macro="">
      <xdr:nvCxnSpPr>
        <xdr:cNvPr id="4" name="直線コネクタ 3">
          <a:extLst>
            <a:ext uri="{FF2B5EF4-FFF2-40B4-BE49-F238E27FC236}">
              <a16:creationId xmlns:a16="http://schemas.microsoft.com/office/drawing/2014/main" id="{7432B4BD-C202-4C0B-B8A8-E61C6DA628C7}"/>
            </a:ext>
          </a:extLst>
        </xdr:cNvPr>
        <xdr:cNvCxnSpPr/>
      </xdr:nvCxnSpPr>
      <xdr:spPr>
        <a:xfrm>
          <a:off x="4919031" y="4505860"/>
          <a:ext cx="92712" cy="10037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163834</xdr:colOff>
      <xdr:row>18</xdr:row>
      <xdr:rowOff>182233</xdr:rowOff>
    </xdr:from>
    <xdr:to>
      <xdr:col>22</xdr:col>
      <xdr:colOff>33837</xdr:colOff>
      <xdr:row>19</xdr:row>
      <xdr:rowOff>47286</xdr:rowOff>
    </xdr:to>
    <xdr:cxnSp macro="">
      <xdr:nvCxnSpPr>
        <xdr:cNvPr id="5" name="直線コネクタ 4">
          <a:extLst>
            <a:ext uri="{FF2B5EF4-FFF2-40B4-BE49-F238E27FC236}">
              <a16:creationId xmlns:a16="http://schemas.microsoft.com/office/drawing/2014/main" id="{506D2398-06EA-4A4A-8CF0-074B69F10F70}"/>
            </a:ext>
          </a:extLst>
        </xdr:cNvPr>
        <xdr:cNvCxnSpPr/>
      </xdr:nvCxnSpPr>
      <xdr:spPr>
        <a:xfrm>
          <a:off x="4870305" y="4507704"/>
          <a:ext cx="94120" cy="10037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164749</xdr:colOff>
      <xdr:row>19</xdr:row>
      <xdr:rowOff>1474</xdr:rowOff>
    </xdr:from>
    <xdr:to>
      <xdr:col>21</xdr:col>
      <xdr:colOff>197813</xdr:colOff>
      <xdr:row>19</xdr:row>
      <xdr:rowOff>29398</xdr:rowOff>
    </xdr:to>
    <xdr:cxnSp macro="">
      <xdr:nvCxnSpPr>
        <xdr:cNvPr id="6" name="直線コネクタ 5">
          <a:extLst>
            <a:ext uri="{FF2B5EF4-FFF2-40B4-BE49-F238E27FC236}">
              <a16:creationId xmlns:a16="http://schemas.microsoft.com/office/drawing/2014/main" id="{45356F08-DAA4-44DC-AD4B-8E3518C93C6C}"/>
            </a:ext>
          </a:extLst>
        </xdr:cNvPr>
        <xdr:cNvCxnSpPr/>
      </xdr:nvCxnSpPr>
      <xdr:spPr>
        <a:xfrm flipH="1">
          <a:off x="4871220" y="4562268"/>
          <a:ext cx="33064" cy="279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186441</xdr:colOff>
      <xdr:row>19</xdr:row>
      <xdr:rowOff>15870</xdr:rowOff>
    </xdr:from>
    <xdr:to>
      <xdr:col>21</xdr:col>
      <xdr:colOff>218097</xdr:colOff>
      <xdr:row>19</xdr:row>
      <xdr:rowOff>46596</xdr:rowOff>
    </xdr:to>
    <xdr:cxnSp macro="">
      <xdr:nvCxnSpPr>
        <xdr:cNvPr id="7" name="直線コネクタ 6">
          <a:extLst>
            <a:ext uri="{FF2B5EF4-FFF2-40B4-BE49-F238E27FC236}">
              <a16:creationId xmlns:a16="http://schemas.microsoft.com/office/drawing/2014/main" id="{703725D7-D8FB-494E-A36A-9FB76217BE03}"/>
            </a:ext>
          </a:extLst>
        </xdr:cNvPr>
        <xdr:cNvCxnSpPr/>
      </xdr:nvCxnSpPr>
      <xdr:spPr>
        <a:xfrm flipH="1">
          <a:off x="4892912" y="4576664"/>
          <a:ext cx="3165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67458</xdr:colOff>
      <xdr:row>18</xdr:row>
      <xdr:rowOff>188259</xdr:rowOff>
    </xdr:from>
    <xdr:to>
      <xdr:col>21</xdr:col>
      <xdr:colOff>155721</xdr:colOff>
      <xdr:row>19</xdr:row>
      <xdr:rowOff>53312</xdr:rowOff>
    </xdr:to>
    <xdr:cxnSp macro="">
      <xdr:nvCxnSpPr>
        <xdr:cNvPr id="8" name="直線コネクタ 7">
          <a:extLst>
            <a:ext uri="{FF2B5EF4-FFF2-40B4-BE49-F238E27FC236}">
              <a16:creationId xmlns:a16="http://schemas.microsoft.com/office/drawing/2014/main" id="{5EAFED2A-6A24-4F10-AB23-51EC5DAE1D8E}"/>
            </a:ext>
          </a:extLst>
        </xdr:cNvPr>
        <xdr:cNvCxnSpPr/>
      </xdr:nvCxnSpPr>
      <xdr:spPr>
        <a:xfrm>
          <a:off x="4773929" y="4513730"/>
          <a:ext cx="88263" cy="10037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20140</xdr:colOff>
      <xdr:row>18</xdr:row>
      <xdr:rowOff>190103</xdr:rowOff>
    </xdr:from>
    <xdr:to>
      <xdr:col>21</xdr:col>
      <xdr:colOff>111124</xdr:colOff>
      <xdr:row>19</xdr:row>
      <xdr:rowOff>55156</xdr:rowOff>
    </xdr:to>
    <xdr:cxnSp macro="">
      <xdr:nvCxnSpPr>
        <xdr:cNvPr id="9" name="直線コネクタ 8">
          <a:extLst>
            <a:ext uri="{FF2B5EF4-FFF2-40B4-BE49-F238E27FC236}">
              <a16:creationId xmlns:a16="http://schemas.microsoft.com/office/drawing/2014/main" id="{B534E622-8DDB-4ED8-B187-D6622877F0DA}"/>
            </a:ext>
          </a:extLst>
        </xdr:cNvPr>
        <xdr:cNvCxnSpPr/>
      </xdr:nvCxnSpPr>
      <xdr:spPr>
        <a:xfrm>
          <a:off x="4726611" y="4515574"/>
          <a:ext cx="90984" cy="10037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20176</xdr:colOff>
      <xdr:row>19</xdr:row>
      <xdr:rowOff>6542</xdr:rowOff>
    </xdr:from>
    <xdr:to>
      <xdr:col>21</xdr:col>
      <xdr:colOff>50902</xdr:colOff>
      <xdr:row>19</xdr:row>
      <xdr:rowOff>37268</xdr:rowOff>
    </xdr:to>
    <xdr:cxnSp macro="">
      <xdr:nvCxnSpPr>
        <xdr:cNvPr id="10" name="直線コネクタ 9">
          <a:extLst>
            <a:ext uri="{FF2B5EF4-FFF2-40B4-BE49-F238E27FC236}">
              <a16:creationId xmlns:a16="http://schemas.microsoft.com/office/drawing/2014/main" id="{C2DAC063-C674-49D5-AB86-99198322F693}"/>
            </a:ext>
          </a:extLst>
        </xdr:cNvPr>
        <xdr:cNvCxnSpPr/>
      </xdr:nvCxnSpPr>
      <xdr:spPr>
        <a:xfrm flipH="1">
          <a:off x="4726647" y="4567336"/>
          <a:ext cx="3072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40460</xdr:colOff>
      <xdr:row>19</xdr:row>
      <xdr:rowOff>23740</xdr:rowOff>
    </xdr:from>
    <xdr:to>
      <xdr:col>21</xdr:col>
      <xdr:colOff>71186</xdr:colOff>
      <xdr:row>19</xdr:row>
      <xdr:rowOff>54466</xdr:rowOff>
    </xdr:to>
    <xdr:cxnSp macro="">
      <xdr:nvCxnSpPr>
        <xdr:cNvPr id="11" name="直線コネクタ 10">
          <a:extLst>
            <a:ext uri="{FF2B5EF4-FFF2-40B4-BE49-F238E27FC236}">
              <a16:creationId xmlns:a16="http://schemas.microsoft.com/office/drawing/2014/main" id="{3250E102-DFE2-4A42-94B5-3331529323D6}"/>
            </a:ext>
          </a:extLst>
        </xdr:cNvPr>
        <xdr:cNvCxnSpPr/>
      </xdr:nvCxnSpPr>
      <xdr:spPr>
        <a:xfrm flipH="1">
          <a:off x="4746931" y="4584534"/>
          <a:ext cx="3072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100703</xdr:colOff>
      <xdr:row>11</xdr:row>
      <xdr:rowOff>75527</xdr:rowOff>
    </xdr:from>
    <xdr:to>
      <xdr:col>27</xdr:col>
      <xdr:colOff>189418</xdr:colOff>
      <xdr:row>11</xdr:row>
      <xdr:rowOff>158165</xdr:rowOff>
    </xdr:to>
    <xdr:cxnSp macro="">
      <xdr:nvCxnSpPr>
        <xdr:cNvPr id="12" name="直線コネクタ 11">
          <a:extLst>
            <a:ext uri="{FF2B5EF4-FFF2-40B4-BE49-F238E27FC236}">
              <a16:creationId xmlns:a16="http://schemas.microsoft.com/office/drawing/2014/main" id="{502F732B-8609-4600-9ECA-91C01AC8F70B}"/>
            </a:ext>
          </a:extLst>
        </xdr:cNvPr>
        <xdr:cNvCxnSpPr/>
      </xdr:nvCxnSpPr>
      <xdr:spPr>
        <a:xfrm>
          <a:off x="6151879" y="2664086"/>
          <a:ext cx="88715"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53385</xdr:colOff>
      <xdr:row>11</xdr:row>
      <xdr:rowOff>77371</xdr:rowOff>
    </xdr:from>
    <xdr:to>
      <xdr:col>27</xdr:col>
      <xdr:colOff>139379</xdr:colOff>
      <xdr:row>11</xdr:row>
      <xdr:rowOff>160009</xdr:rowOff>
    </xdr:to>
    <xdr:cxnSp macro="">
      <xdr:nvCxnSpPr>
        <xdr:cNvPr id="13" name="直線コネクタ 12">
          <a:extLst>
            <a:ext uri="{FF2B5EF4-FFF2-40B4-BE49-F238E27FC236}">
              <a16:creationId xmlns:a16="http://schemas.microsoft.com/office/drawing/2014/main" id="{03220834-E14E-4492-BE6B-82B4E48325EC}"/>
            </a:ext>
          </a:extLst>
        </xdr:cNvPr>
        <xdr:cNvCxnSpPr/>
      </xdr:nvCxnSpPr>
      <xdr:spPr>
        <a:xfrm>
          <a:off x="6104561" y="2665930"/>
          <a:ext cx="85994"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53421</xdr:colOff>
      <xdr:row>11</xdr:row>
      <xdr:rowOff>118203</xdr:rowOff>
    </xdr:from>
    <xdr:to>
      <xdr:col>27</xdr:col>
      <xdr:colOff>84147</xdr:colOff>
      <xdr:row>11</xdr:row>
      <xdr:rowOff>139404</xdr:rowOff>
    </xdr:to>
    <xdr:cxnSp macro="">
      <xdr:nvCxnSpPr>
        <xdr:cNvPr id="14" name="直線コネクタ 13">
          <a:extLst>
            <a:ext uri="{FF2B5EF4-FFF2-40B4-BE49-F238E27FC236}">
              <a16:creationId xmlns:a16="http://schemas.microsoft.com/office/drawing/2014/main" id="{4E1AE089-584C-4508-9AC8-00E32DFC5460}"/>
            </a:ext>
          </a:extLst>
        </xdr:cNvPr>
        <xdr:cNvCxnSpPr/>
      </xdr:nvCxnSpPr>
      <xdr:spPr>
        <a:xfrm flipH="1">
          <a:off x="6104597" y="2706762"/>
          <a:ext cx="30726" cy="212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73705</xdr:colOff>
      <xdr:row>11</xdr:row>
      <xdr:rowOff>135401</xdr:rowOff>
    </xdr:from>
    <xdr:to>
      <xdr:col>27</xdr:col>
      <xdr:colOff>104431</xdr:colOff>
      <xdr:row>11</xdr:row>
      <xdr:rowOff>159324</xdr:rowOff>
    </xdr:to>
    <xdr:cxnSp macro="">
      <xdr:nvCxnSpPr>
        <xdr:cNvPr id="15" name="直線コネクタ 14">
          <a:extLst>
            <a:ext uri="{FF2B5EF4-FFF2-40B4-BE49-F238E27FC236}">
              <a16:creationId xmlns:a16="http://schemas.microsoft.com/office/drawing/2014/main" id="{FFB18853-9227-42C1-970A-3EF46AA5EA57}"/>
            </a:ext>
          </a:extLst>
        </xdr:cNvPr>
        <xdr:cNvCxnSpPr/>
      </xdr:nvCxnSpPr>
      <xdr:spPr>
        <a:xfrm flipH="1">
          <a:off x="6124881" y="2723960"/>
          <a:ext cx="30726"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20567</xdr:colOff>
      <xdr:row>11</xdr:row>
      <xdr:rowOff>71038</xdr:rowOff>
    </xdr:from>
    <xdr:to>
      <xdr:col>28</xdr:col>
      <xdr:colOff>105527</xdr:colOff>
      <xdr:row>11</xdr:row>
      <xdr:rowOff>153676</xdr:rowOff>
    </xdr:to>
    <xdr:cxnSp macro="">
      <xdr:nvCxnSpPr>
        <xdr:cNvPr id="16" name="直線コネクタ 15">
          <a:extLst>
            <a:ext uri="{FF2B5EF4-FFF2-40B4-BE49-F238E27FC236}">
              <a16:creationId xmlns:a16="http://schemas.microsoft.com/office/drawing/2014/main" id="{4D61054A-75C9-41A5-85D2-10E4F24310A3}"/>
            </a:ext>
          </a:extLst>
        </xdr:cNvPr>
        <xdr:cNvCxnSpPr/>
      </xdr:nvCxnSpPr>
      <xdr:spPr>
        <a:xfrm>
          <a:off x="6295861" y="2659597"/>
          <a:ext cx="84960"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197367</xdr:colOff>
      <xdr:row>11</xdr:row>
      <xdr:rowOff>72882</xdr:rowOff>
    </xdr:from>
    <xdr:to>
      <xdr:col>28</xdr:col>
      <xdr:colOff>62691</xdr:colOff>
      <xdr:row>11</xdr:row>
      <xdr:rowOff>155520</xdr:rowOff>
    </xdr:to>
    <xdr:cxnSp macro="">
      <xdr:nvCxnSpPr>
        <xdr:cNvPr id="17" name="直線コネクタ 16">
          <a:extLst>
            <a:ext uri="{FF2B5EF4-FFF2-40B4-BE49-F238E27FC236}">
              <a16:creationId xmlns:a16="http://schemas.microsoft.com/office/drawing/2014/main" id="{0113F9A8-A29C-486A-A6D6-E4CFF140C0AC}"/>
            </a:ext>
          </a:extLst>
        </xdr:cNvPr>
        <xdr:cNvCxnSpPr/>
      </xdr:nvCxnSpPr>
      <xdr:spPr>
        <a:xfrm>
          <a:off x="6248543" y="2661441"/>
          <a:ext cx="89442"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197403</xdr:colOff>
      <xdr:row>11</xdr:row>
      <xdr:rowOff>113709</xdr:rowOff>
    </xdr:from>
    <xdr:to>
      <xdr:col>28</xdr:col>
      <xdr:colOff>4011</xdr:colOff>
      <xdr:row>11</xdr:row>
      <xdr:rowOff>144435</xdr:rowOff>
    </xdr:to>
    <xdr:cxnSp macro="">
      <xdr:nvCxnSpPr>
        <xdr:cNvPr id="18" name="直線コネクタ 17">
          <a:extLst>
            <a:ext uri="{FF2B5EF4-FFF2-40B4-BE49-F238E27FC236}">
              <a16:creationId xmlns:a16="http://schemas.microsoft.com/office/drawing/2014/main" id="{44133097-D84C-40DA-856D-3EECE99BF7DD}"/>
            </a:ext>
          </a:extLst>
        </xdr:cNvPr>
        <xdr:cNvCxnSpPr/>
      </xdr:nvCxnSpPr>
      <xdr:spPr>
        <a:xfrm flipH="1">
          <a:off x="6248579" y="2702268"/>
          <a:ext cx="3072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217687</xdr:colOff>
      <xdr:row>11</xdr:row>
      <xdr:rowOff>130907</xdr:rowOff>
    </xdr:from>
    <xdr:to>
      <xdr:col>28</xdr:col>
      <xdr:colOff>24295</xdr:colOff>
      <xdr:row>11</xdr:row>
      <xdr:rowOff>154830</xdr:rowOff>
    </xdr:to>
    <xdr:cxnSp macro="">
      <xdr:nvCxnSpPr>
        <xdr:cNvPr id="19" name="直線コネクタ 18">
          <a:extLst>
            <a:ext uri="{FF2B5EF4-FFF2-40B4-BE49-F238E27FC236}">
              <a16:creationId xmlns:a16="http://schemas.microsoft.com/office/drawing/2014/main" id="{158F84E4-EBFF-4228-9A70-001EE0E3E575}"/>
            </a:ext>
          </a:extLst>
        </xdr:cNvPr>
        <xdr:cNvCxnSpPr/>
      </xdr:nvCxnSpPr>
      <xdr:spPr>
        <a:xfrm flipH="1">
          <a:off x="6268863" y="2719466"/>
          <a:ext cx="30726"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120440</xdr:colOff>
      <xdr:row>11</xdr:row>
      <xdr:rowOff>88545</xdr:rowOff>
    </xdr:from>
    <xdr:to>
      <xdr:col>27</xdr:col>
      <xdr:colOff>211239</xdr:colOff>
      <xdr:row>18</xdr:row>
      <xdr:rowOff>187290</xdr:rowOff>
    </xdr:to>
    <xdr:cxnSp macro="">
      <xdr:nvCxnSpPr>
        <xdr:cNvPr id="20" name="直線コネクタ 19">
          <a:extLst>
            <a:ext uri="{FF2B5EF4-FFF2-40B4-BE49-F238E27FC236}">
              <a16:creationId xmlns:a16="http://schemas.microsoft.com/office/drawing/2014/main" id="{CCD1082A-5C4D-4138-A58F-8B0DE5072A31}"/>
            </a:ext>
          </a:extLst>
        </xdr:cNvPr>
        <xdr:cNvCxnSpPr/>
      </xdr:nvCxnSpPr>
      <xdr:spPr>
        <a:xfrm>
          <a:off x="5499264" y="2677104"/>
          <a:ext cx="763151" cy="1835657"/>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23</xdr:col>
      <xdr:colOff>127745</xdr:colOff>
      <xdr:row>18</xdr:row>
      <xdr:rowOff>180443</xdr:rowOff>
    </xdr:from>
    <xdr:to>
      <xdr:col>27</xdr:col>
      <xdr:colOff>191532</xdr:colOff>
      <xdr:row>18</xdr:row>
      <xdr:rowOff>180443</xdr:rowOff>
    </xdr:to>
    <xdr:cxnSp macro="">
      <xdr:nvCxnSpPr>
        <xdr:cNvPr id="21" name="直線コネクタ 20">
          <a:extLst>
            <a:ext uri="{FF2B5EF4-FFF2-40B4-BE49-F238E27FC236}">
              <a16:creationId xmlns:a16="http://schemas.microsoft.com/office/drawing/2014/main" id="{95E8A60A-6837-4286-95E1-573661DCDECC}"/>
            </a:ext>
          </a:extLst>
        </xdr:cNvPr>
        <xdr:cNvCxnSpPr/>
      </xdr:nvCxnSpPr>
      <xdr:spPr>
        <a:xfrm>
          <a:off x="5282451" y="4505914"/>
          <a:ext cx="960257"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26</xdr:col>
      <xdr:colOff>204670</xdr:colOff>
      <xdr:row>18</xdr:row>
      <xdr:rowOff>193859</xdr:rowOff>
    </xdr:from>
    <xdr:to>
      <xdr:col>27</xdr:col>
      <xdr:colOff>198101</xdr:colOff>
      <xdr:row>24</xdr:row>
      <xdr:rowOff>146562</xdr:rowOff>
    </xdr:to>
    <xdr:cxnSp macro="">
      <xdr:nvCxnSpPr>
        <xdr:cNvPr id="22" name="直線コネクタ 21">
          <a:extLst>
            <a:ext uri="{FF2B5EF4-FFF2-40B4-BE49-F238E27FC236}">
              <a16:creationId xmlns:a16="http://schemas.microsoft.com/office/drawing/2014/main" id="{3F951645-DC2F-4976-A4E1-69F1B393530D}"/>
            </a:ext>
          </a:extLst>
        </xdr:cNvPr>
        <xdr:cNvCxnSpPr/>
      </xdr:nvCxnSpPr>
      <xdr:spPr>
        <a:xfrm flipH="1">
          <a:off x="6031729" y="4519330"/>
          <a:ext cx="217548" cy="1364644"/>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20</xdr:col>
      <xdr:colOff>6827</xdr:colOff>
      <xdr:row>18</xdr:row>
      <xdr:rowOff>158059</xdr:rowOff>
    </xdr:from>
    <xdr:to>
      <xdr:col>23</xdr:col>
      <xdr:colOff>144142</xdr:colOff>
      <xdr:row>24</xdr:row>
      <xdr:rowOff>153131</xdr:rowOff>
    </xdr:to>
    <xdr:cxnSp macro="">
      <xdr:nvCxnSpPr>
        <xdr:cNvPr id="23" name="直線コネクタ 22">
          <a:extLst>
            <a:ext uri="{FF2B5EF4-FFF2-40B4-BE49-F238E27FC236}">
              <a16:creationId xmlns:a16="http://schemas.microsoft.com/office/drawing/2014/main" id="{C80A03D7-7646-4EA1-A825-ED60DE572EB6}"/>
            </a:ext>
          </a:extLst>
        </xdr:cNvPr>
        <xdr:cNvCxnSpPr/>
      </xdr:nvCxnSpPr>
      <xdr:spPr>
        <a:xfrm flipH="1">
          <a:off x="4489180" y="4483530"/>
          <a:ext cx="809668" cy="1407013"/>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20</xdr:col>
      <xdr:colOff>33103</xdr:colOff>
      <xdr:row>24</xdr:row>
      <xdr:rowOff>136913</xdr:rowOff>
    </xdr:from>
    <xdr:to>
      <xdr:col>26</xdr:col>
      <xdr:colOff>204670</xdr:colOff>
      <xdr:row>24</xdr:row>
      <xdr:rowOff>136913</xdr:rowOff>
    </xdr:to>
    <xdr:cxnSp macro="">
      <xdr:nvCxnSpPr>
        <xdr:cNvPr id="24" name="直線コネクタ 23">
          <a:extLst>
            <a:ext uri="{FF2B5EF4-FFF2-40B4-BE49-F238E27FC236}">
              <a16:creationId xmlns:a16="http://schemas.microsoft.com/office/drawing/2014/main" id="{332C0429-87F1-4AB4-822C-59EBB0E5379E}"/>
            </a:ext>
          </a:extLst>
        </xdr:cNvPr>
        <xdr:cNvCxnSpPr/>
      </xdr:nvCxnSpPr>
      <xdr:spPr>
        <a:xfrm>
          <a:off x="4515456" y="5874325"/>
          <a:ext cx="1516273"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23</xdr:col>
      <xdr:colOff>140883</xdr:colOff>
      <xdr:row>11</xdr:row>
      <xdr:rowOff>80821</xdr:rowOff>
    </xdr:from>
    <xdr:to>
      <xdr:col>24</xdr:col>
      <xdr:colOff>130214</xdr:colOff>
      <xdr:row>11</xdr:row>
      <xdr:rowOff>80821</xdr:rowOff>
    </xdr:to>
    <xdr:cxnSp macro="">
      <xdr:nvCxnSpPr>
        <xdr:cNvPr id="25" name="直線コネクタ 24">
          <a:extLst>
            <a:ext uri="{FF2B5EF4-FFF2-40B4-BE49-F238E27FC236}">
              <a16:creationId xmlns:a16="http://schemas.microsoft.com/office/drawing/2014/main" id="{F3C0E54C-771E-4741-A492-DDC42F72D2FF}"/>
            </a:ext>
          </a:extLst>
        </xdr:cNvPr>
        <xdr:cNvCxnSpPr/>
      </xdr:nvCxnSpPr>
      <xdr:spPr>
        <a:xfrm>
          <a:off x="5295589" y="2669380"/>
          <a:ext cx="213449"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23</xdr:col>
      <xdr:colOff>142433</xdr:colOff>
      <xdr:row>11</xdr:row>
      <xdr:rowOff>88545</xdr:rowOff>
    </xdr:from>
    <xdr:to>
      <xdr:col>23</xdr:col>
      <xdr:colOff>142433</xdr:colOff>
      <xdr:row>24</xdr:row>
      <xdr:rowOff>159700</xdr:rowOff>
    </xdr:to>
    <xdr:cxnSp macro="">
      <xdr:nvCxnSpPr>
        <xdr:cNvPr id="26" name="直線コネクタ 25">
          <a:extLst>
            <a:ext uri="{FF2B5EF4-FFF2-40B4-BE49-F238E27FC236}">
              <a16:creationId xmlns:a16="http://schemas.microsoft.com/office/drawing/2014/main" id="{18470316-41A4-441B-90CC-FDC644D9A80B}"/>
            </a:ext>
          </a:extLst>
        </xdr:cNvPr>
        <xdr:cNvCxnSpPr/>
      </xdr:nvCxnSpPr>
      <xdr:spPr>
        <a:xfrm>
          <a:off x="5297139" y="2677104"/>
          <a:ext cx="0" cy="3220008"/>
        </a:xfrm>
        <a:prstGeom prst="line">
          <a:avLst/>
        </a:prstGeom>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23</xdr:col>
      <xdr:colOff>153301</xdr:colOff>
      <xdr:row>14</xdr:row>
      <xdr:rowOff>156828</xdr:rowOff>
    </xdr:from>
    <xdr:to>
      <xdr:col>33</xdr:col>
      <xdr:colOff>190501</xdr:colOff>
      <xdr:row>14</xdr:row>
      <xdr:rowOff>156828</xdr:rowOff>
    </xdr:to>
    <xdr:cxnSp macro="">
      <xdr:nvCxnSpPr>
        <xdr:cNvPr id="27" name="直線コネクタ 26">
          <a:extLst>
            <a:ext uri="{FF2B5EF4-FFF2-40B4-BE49-F238E27FC236}">
              <a16:creationId xmlns:a16="http://schemas.microsoft.com/office/drawing/2014/main" id="{A1C70F62-1A79-4C41-AFB5-0F6DA50C0A0A}"/>
            </a:ext>
          </a:extLst>
        </xdr:cNvPr>
        <xdr:cNvCxnSpPr/>
      </xdr:nvCxnSpPr>
      <xdr:spPr>
        <a:xfrm>
          <a:off x="5308007" y="3451357"/>
          <a:ext cx="2278376"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151236</xdr:colOff>
      <xdr:row>12</xdr:row>
      <xdr:rowOff>77099</xdr:rowOff>
    </xdr:from>
    <xdr:to>
      <xdr:col>34</xdr:col>
      <xdr:colOff>33619</xdr:colOff>
      <xdr:row>12</xdr:row>
      <xdr:rowOff>77099</xdr:rowOff>
    </xdr:to>
    <xdr:cxnSp macro="">
      <xdr:nvCxnSpPr>
        <xdr:cNvPr id="28" name="直線コネクタ 27">
          <a:extLst>
            <a:ext uri="{FF2B5EF4-FFF2-40B4-BE49-F238E27FC236}">
              <a16:creationId xmlns:a16="http://schemas.microsoft.com/office/drawing/2014/main" id="{26726161-501B-4A85-B9BC-FDE00D24BFEF}"/>
            </a:ext>
          </a:extLst>
        </xdr:cNvPr>
        <xdr:cNvCxnSpPr/>
      </xdr:nvCxnSpPr>
      <xdr:spPr>
        <a:xfrm>
          <a:off x="5305942" y="2900981"/>
          <a:ext cx="2347677"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28</xdr:col>
      <xdr:colOff>125845</xdr:colOff>
      <xdr:row>14</xdr:row>
      <xdr:rowOff>171524</xdr:rowOff>
    </xdr:from>
    <xdr:to>
      <xdr:col>28</xdr:col>
      <xdr:colOff>125845</xdr:colOff>
      <xdr:row>24</xdr:row>
      <xdr:rowOff>133424</xdr:rowOff>
    </xdr:to>
    <xdr:cxnSp macro="">
      <xdr:nvCxnSpPr>
        <xdr:cNvPr id="32" name="直線コネクタ 31">
          <a:extLst>
            <a:ext uri="{FF2B5EF4-FFF2-40B4-BE49-F238E27FC236}">
              <a16:creationId xmlns:a16="http://schemas.microsoft.com/office/drawing/2014/main" id="{A6BCA9B0-4B28-468F-B889-F31BAB0E5391}"/>
            </a:ext>
          </a:extLst>
        </xdr:cNvPr>
        <xdr:cNvCxnSpPr/>
      </xdr:nvCxnSpPr>
      <xdr:spPr>
        <a:xfrm>
          <a:off x="6401139" y="3466053"/>
          <a:ext cx="0" cy="2404783"/>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28</xdr:col>
      <xdr:colOff>137885</xdr:colOff>
      <xdr:row>18</xdr:row>
      <xdr:rowOff>180721</xdr:rowOff>
    </xdr:from>
    <xdr:to>
      <xdr:col>33</xdr:col>
      <xdr:colOff>85657</xdr:colOff>
      <xdr:row>24</xdr:row>
      <xdr:rowOff>119864</xdr:rowOff>
    </xdr:to>
    <xdr:cxnSp macro="">
      <xdr:nvCxnSpPr>
        <xdr:cNvPr id="33" name="直線コネクタ 32">
          <a:extLst>
            <a:ext uri="{FF2B5EF4-FFF2-40B4-BE49-F238E27FC236}">
              <a16:creationId xmlns:a16="http://schemas.microsoft.com/office/drawing/2014/main" id="{E5E30101-DA15-47F3-A189-B9E6B109CFEA}"/>
            </a:ext>
          </a:extLst>
        </xdr:cNvPr>
        <xdr:cNvCxnSpPr/>
      </xdr:nvCxnSpPr>
      <xdr:spPr>
        <a:xfrm flipH="1">
          <a:off x="6413179" y="4506192"/>
          <a:ext cx="1068360" cy="1351084"/>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28</xdr:col>
      <xdr:colOff>117866</xdr:colOff>
      <xdr:row>14</xdr:row>
      <xdr:rowOff>155665</xdr:rowOff>
    </xdr:from>
    <xdr:to>
      <xdr:col>33</xdr:col>
      <xdr:colOff>67076</xdr:colOff>
      <xdr:row>18</xdr:row>
      <xdr:rowOff>179723</xdr:rowOff>
    </xdr:to>
    <xdr:cxnSp macro="">
      <xdr:nvCxnSpPr>
        <xdr:cNvPr id="34" name="直線コネクタ 33">
          <a:extLst>
            <a:ext uri="{FF2B5EF4-FFF2-40B4-BE49-F238E27FC236}">
              <a16:creationId xmlns:a16="http://schemas.microsoft.com/office/drawing/2014/main" id="{F8201A66-5694-4F60-9DB4-5EBDF4505A4E}"/>
            </a:ext>
          </a:extLst>
        </xdr:cNvPr>
        <xdr:cNvCxnSpPr/>
      </xdr:nvCxnSpPr>
      <xdr:spPr>
        <a:xfrm flipH="1" flipV="1">
          <a:off x="6393160" y="3450194"/>
          <a:ext cx="1069798" cy="1055000"/>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28</xdr:col>
      <xdr:colOff>138068</xdr:colOff>
      <xdr:row>18</xdr:row>
      <xdr:rowOff>187011</xdr:rowOff>
    </xdr:from>
    <xdr:to>
      <xdr:col>33</xdr:col>
      <xdr:colOff>98795</xdr:colOff>
      <xdr:row>18</xdr:row>
      <xdr:rowOff>187011</xdr:rowOff>
    </xdr:to>
    <xdr:cxnSp macro="">
      <xdr:nvCxnSpPr>
        <xdr:cNvPr id="35" name="直線コネクタ 34">
          <a:extLst>
            <a:ext uri="{FF2B5EF4-FFF2-40B4-BE49-F238E27FC236}">
              <a16:creationId xmlns:a16="http://schemas.microsoft.com/office/drawing/2014/main" id="{1C75098B-7EDA-4012-9917-11EE9434C85C}"/>
            </a:ext>
          </a:extLst>
        </xdr:cNvPr>
        <xdr:cNvCxnSpPr/>
      </xdr:nvCxnSpPr>
      <xdr:spPr>
        <a:xfrm>
          <a:off x="6413362" y="4512482"/>
          <a:ext cx="1081315"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editAs="absolute">
    <xdr:from>
      <xdr:col>32</xdr:col>
      <xdr:colOff>16566</xdr:colOff>
      <xdr:row>11</xdr:row>
      <xdr:rowOff>45140</xdr:rowOff>
    </xdr:from>
    <xdr:to>
      <xdr:col>34</xdr:col>
      <xdr:colOff>74544</xdr:colOff>
      <xdr:row>12</xdr:row>
      <xdr:rowOff>61467</xdr:rowOff>
    </xdr:to>
    <xdr:sp macro="" textlink="">
      <xdr:nvSpPr>
        <xdr:cNvPr id="46" name="テキスト ボックス 45">
          <a:extLst>
            <a:ext uri="{FF2B5EF4-FFF2-40B4-BE49-F238E27FC236}">
              <a16:creationId xmlns:a16="http://schemas.microsoft.com/office/drawing/2014/main" id="{A3B45E27-0498-4C83-9C65-305563DCCA90}"/>
            </a:ext>
          </a:extLst>
        </xdr:cNvPr>
        <xdr:cNvSpPr txBox="1"/>
      </xdr:nvSpPr>
      <xdr:spPr>
        <a:xfrm>
          <a:off x="7437783" y="2687292"/>
          <a:ext cx="521804" cy="2565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１層</a:t>
          </a:r>
        </a:p>
      </xdr:txBody>
    </xdr:sp>
    <xdr:clientData/>
  </xdr:twoCellAnchor>
  <xdr:twoCellAnchor>
    <xdr:from>
      <xdr:col>23</xdr:col>
      <xdr:colOff>143274</xdr:colOff>
      <xdr:row>18</xdr:row>
      <xdr:rowOff>182897</xdr:rowOff>
    </xdr:from>
    <xdr:to>
      <xdr:col>33</xdr:col>
      <xdr:colOff>168090</xdr:colOff>
      <xdr:row>18</xdr:row>
      <xdr:rowOff>182897</xdr:rowOff>
    </xdr:to>
    <xdr:cxnSp macro="">
      <xdr:nvCxnSpPr>
        <xdr:cNvPr id="48" name="直線コネクタ 47">
          <a:extLst>
            <a:ext uri="{FF2B5EF4-FFF2-40B4-BE49-F238E27FC236}">
              <a16:creationId xmlns:a16="http://schemas.microsoft.com/office/drawing/2014/main" id="{35945E3F-EA1D-446B-B4C2-26B7ECC8E1EC}"/>
            </a:ext>
          </a:extLst>
        </xdr:cNvPr>
        <xdr:cNvCxnSpPr/>
      </xdr:nvCxnSpPr>
      <xdr:spPr>
        <a:xfrm>
          <a:off x="5297980" y="4508368"/>
          <a:ext cx="2265992"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20</xdr:col>
      <xdr:colOff>76761</xdr:colOff>
      <xdr:row>11</xdr:row>
      <xdr:rowOff>233913</xdr:rowOff>
    </xdr:from>
    <xdr:to>
      <xdr:col>22</xdr:col>
      <xdr:colOff>173544</xdr:colOff>
      <xdr:row>11</xdr:row>
      <xdr:rowOff>233913</xdr:rowOff>
    </xdr:to>
    <xdr:cxnSp macro="">
      <xdr:nvCxnSpPr>
        <xdr:cNvPr id="51" name="直線コネクタ 50">
          <a:extLst>
            <a:ext uri="{FF2B5EF4-FFF2-40B4-BE49-F238E27FC236}">
              <a16:creationId xmlns:a16="http://schemas.microsoft.com/office/drawing/2014/main" id="{6F022E3F-9BA8-4A69-B12A-7590A9FB34B4}"/>
            </a:ext>
          </a:extLst>
        </xdr:cNvPr>
        <xdr:cNvCxnSpPr/>
      </xdr:nvCxnSpPr>
      <xdr:spPr>
        <a:xfrm>
          <a:off x="4559114" y="2822472"/>
          <a:ext cx="54501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95811</xdr:colOff>
      <xdr:row>12</xdr:row>
      <xdr:rowOff>153201</xdr:rowOff>
    </xdr:from>
    <xdr:to>
      <xdr:col>22</xdr:col>
      <xdr:colOff>163518</xdr:colOff>
      <xdr:row>12</xdr:row>
      <xdr:rowOff>153201</xdr:rowOff>
    </xdr:to>
    <xdr:cxnSp macro="">
      <xdr:nvCxnSpPr>
        <xdr:cNvPr id="52" name="直線コネクタ 51">
          <a:extLst>
            <a:ext uri="{FF2B5EF4-FFF2-40B4-BE49-F238E27FC236}">
              <a16:creationId xmlns:a16="http://schemas.microsoft.com/office/drawing/2014/main" id="{CC2D5028-0841-4F8D-AD81-79CF9D92B515}"/>
            </a:ext>
          </a:extLst>
        </xdr:cNvPr>
        <xdr:cNvCxnSpPr/>
      </xdr:nvCxnSpPr>
      <xdr:spPr>
        <a:xfrm>
          <a:off x="4578164" y="2977083"/>
          <a:ext cx="51594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171539</xdr:colOff>
      <xdr:row>12</xdr:row>
      <xdr:rowOff>684</xdr:rowOff>
    </xdr:from>
    <xdr:to>
      <xdr:col>22</xdr:col>
      <xdr:colOff>171539</xdr:colOff>
      <xdr:row>12</xdr:row>
      <xdr:rowOff>153586</xdr:rowOff>
    </xdr:to>
    <xdr:cxnSp macro="">
      <xdr:nvCxnSpPr>
        <xdr:cNvPr id="53" name="直線コネクタ 52">
          <a:extLst>
            <a:ext uri="{FF2B5EF4-FFF2-40B4-BE49-F238E27FC236}">
              <a16:creationId xmlns:a16="http://schemas.microsoft.com/office/drawing/2014/main" id="{B597DAC1-EE08-4E70-8026-F5F0856AA431}"/>
            </a:ext>
          </a:extLst>
        </xdr:cNvPr>
        <xdr:cNvCxnSpPr/>
      </xdr:nvCxnSpPr>
      <xdr:spPr>
        <a:xfrm>
          <a:off x="5102127" y="2824566"/>
          <a:ext cx="0" cy="15290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198753</xdr:colOff>
      <xdr:row>11</xdr:row>
      <xdr:rowOff>228604</xdr:rowOff>
    </xdr:from>
    <xdr:to>
      <xdr:col>22</xdr:col>
      <xdr:colOff>198753</xdr:colOff>
      <xdr:row>12</xdr:row>
      <xdr:rowOff>167372</xdr:rowOff>
    </xdr:to>
    <xdr:cxnSp macro="">
      <xdr:nvCxnSpPr>
        <xdr:cNvPr id="54" name="直線コネクタ 53">
          <a:extLst>
            <a:ext uri="{FF2B5EF4-FFF2-40B4-BE49-F238E27FC236}">
              <a16:creationId xmlns:a16="http://schemas.microsoft.com/office/drawing/2014/main" id="{BC915D35-01A0-4138-9356-9D5FDA1170A1}"/>
            </a:ext>
          </a:extLst>
        </xdr:cNvPr>
        <xdr:cNvCxnSpPr/>
      </xdr:nvCxnSpPr>
      <xdr:spPr>
        <a:xfrm>
          <a:off x="5129341" y="2817163"/>
          <a:ext cx="0" cy="17409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113028</xdr:colOff>
      <xdr:row>11</xdr:row>
      <xdr:rowOff>228604</xdr:rowOff>
    </xdr:from>
    <xdr:to>
      <xdr:col>23</xdr:col>
      <xdr:colOff>113028</xdr:colOff>
      <xdr:row>12</xdr:row>
      <xdr:rowOff>167372</xdr:rowOff>
    </xdr:to>
    <xdr:cxnSp macro="">
      <xdr:nvCxnSpPr>
        <xdr:cNvPr id="55" name="直線コネクタ 54">
          <a:extLst>
            <a:ext uri="{FF2B5EF4-FFF2-40B4-BE49-F238E27FC236}">
              <a16:creationId xmlns:a16="http://schemas.microsoft.com/office/drawing/2014/main" id="{F245BFBB-2183-4BCB-AA6E-0B417F1DB038}"/>
            </a:ext>
          </a:extLst>
        </xdr:cNvPr>
        <xdr:cNvCxnSpPr/>
      </xdr:nvCxnSpPr>
      <xdr:spPr>
        <a:xfrm>
          <a:off x="5267734" y="2817163"/>
          <a:ext cx="0" cy="17409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197683</xdr:colOff>
      <xdr:row>12</xdr:row>
      <xdr:rowOff>78925</xdr:rowOff>
    </xdr:from>
    <xdr:to>
      <xdr:col>23</xdr:col>
      <xdr:colOff>108557</xdr:colOff>
      <xdr:row>12</xdr:row>
      <xdr:rowOff>78925</xdr:rowOff>
    </xdr:to>
    <xdr:cxnSp macro="">
      <xdr:nvCxnSpPr>
        <xdr:cNvPr id="56" name="直線コネクタ 55">
          <a:extLst>
            <a:ext uri="{FF2B5EF4-FFF2-40B4-BE49-F238E27FC236}">
              <a16:creationId xmlns:a16="http://schemas.microsoft.com/office/drawing/2014/main" id="{F61709BA-C586-41A3-A02D-F6BAE11D1576}"/>
            </a:ext>
          </a:extLst>
        </xdr:cNvPr>
        <xdr:cNvCxnSpPr/>
      </xdr:nvCxnSpPr>
      <xdr:spPr>
        <a:xfrm>
          <a:off x="5128271" y="2902807"/>
          <a:ext cx="13499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2192</xdr:colOff>
      <xdr:row>22</xdr:row>
      <xdr:rowOff>150322</xdr:rowOff>
    </xdr:from>
    <xdr:to>
      <xdr:col>23</xdr:col>
      <xdr:colOff>91838</xdr:colOff>
      <xdr:row>22</xdr:row>
      <xdr:rowOff>150322</xdr:rowOff>
    </xdr:to>
    <xdr:cxnSp macro="">
      <xdr:nvCxnSpPr>
        <xdr:cNvPr id="64" name="直線矢印コネクタ 63">
          <a:extLst>
            <a:ext uri="{FF2B5EF4-FFF2-40B4-BE49-F238E27FC236}">
              <a16:creationId xmlns:a16="http://schemas.microsoft.com/office/drawing/2014/main" id="{3981D4FA-5310-390A-C7EE-8621222F2666}"/>
            </a:ext>
          </a:extLst>
        </xdr:cNvPr>
        <xdr:cNvCxnSpPr/>
      </xdr:nvCxnSpPr>
      <xdr:spPr>
        <a:xfrm>
          <a:off x="4783277" y="5437859"/>
          <a:ext cx="544988" cy="0"/>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105105</xdr:colOff>
      <xdr:row>12</xdr:row>
      <xdr:rowOff>85396</xdr:rowOff>
    </xdr:from>
    <xdr:to>
      <xdr:col>21</xdr:col>
      <xdr:colOff>105105</xdr:colOff>
      <xdr:row>22</xdr:row>
      <xdr:rowOff>137949</xdr:rowOff>
    </xdr:to>
    <xdr:cxnSp macro="">
      <xdr:nvCxnSpPr>
        <xdr:cNvPr id="67" name="直線矢印コネクタ 66">
          <a:extLst>
            <a:ext uri="{FF2B5EF4-FFF2-40B4-BE49-F238E27FC236}">
              <a16:creationId xmlns:a16="http://schemas.microsoft.com/office/drawing/2014/main" id="{112D5832-6FA5-B6C6-2A25-9333D78EE4E4}"/>
            </a:ext>
          </a:extLst>
        </xdr:cNvPr>
        <xdr:cNvCxnSpPr/>
      </xdr:nvCxnSpPr>
      <xdr:spPr>
        <a:xfrm>
          <a:off x="4933295" y="2923189"/>
          <a:ext cx="0" cy="2502777"/>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32</xdr:col>
      <xdr:colOff>28156</xdr:colOff>
      <xdr:row>12</xdr:row>
      <xdr:rowOff>197541</xdr:rowOff>
    </xdr:from>
    <xdr:to>
      <xdr:col>34</xdr:col>
      <xdr:colOff>57980</xdr:colOff>
      <xdr:row>13</xdr:row>
      <xdr:rowOff>213869</xdr:rowOff>
    </xdr:to>
    <xdr:sp macro="" textlink="">
      <xdr:nvSpPr>
        <xdr:cNvPr id="29" name="テキスト ボックス 28">
          <a:extLst>
            <a:ext uri="{FF2B5EF4-FFF2-40B4-BE49-F238E27FC236}">
              <a16:creationId xmlns:a16="http://schemas.microsoft.com/office/drawing/2014/main" id="{2CA88E2A-2B59-4EDC-B84D-0E181F8E0A2C}"/>
            </a:ext>
          </a:extLst>
        </xdr:cNvPr>
        <xdr:cNvSpPr txBox="1"/>
      </xdr:nvSpPr>
      <xdr:spPr>
        <a:xfrm>
          <a:off x="7449373" y="3079889"/>
          <a:ext cx="493650" cy="2565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２層</a:t>
          </a:r>
        </a:p>
      </xdr:txBody>
    </xdr:sp>
    <xdr:clientData/>
  </xdr:twoCellAnchor>
  <xdr:twoCellAnchor editAs="absolute">
    <xdr:from>
      <xdr:col>32</xdr:col>
      <xdr:colOff>43368</xdr:colOff>
      <xdr:row>15</xdr:row>
      <xdr:rowOff>71437</xdr:rowOff>
    </xdr:from>
    <xdr:to>
      <xdr:col>34</xdr:col>
      <xdr:colOff>130968</xdr:colOff>
      <xdr:row>16</xdr:row>
      <xdr:rowOff>39627</xdr:rowOff>
    </xdr:to>
    <xdr:sp macro="" textlink="">
      <xdr:nvSpPr>
        <xdr:cNvPr id="30" name="テキスト ボックス 29">
          <a:extLst>
            <a:ext uri="{FF2B5EF4-FFF2-40B4-BE49-F238E27FC236}">
              <a16:creationId xmlns:a16="http://schemas.microsoft.com/office/drawing/2014/main" id="{FC68FDCB-2C88-40EE-8EC4-67660C5CEC8F}"/>
            </a:ext>
          </a:extLst>
        </xdr:cNvPr>
        <xdr:cNvSpPr txBox="1"/>
      </xdr:nvSpPr>
      <xdr:spPr>
        <a:xfrm>
          <a:off x="7282368" y="3667125"/>
          <a:ext cx="540038" cy="230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３層</a:t>
          </a:r>
        </a:p>
      </xdr:txBody>
    </xdr:sp>
    <xdr:clientData/>
  </xdr:twoCellAnchor>
  <xdr:twoCellAnchor editAs="absolute">
    <xdr:from>
      <xdr:col>32</xdr:col>
      <xdr:colOff>48025</xdr:colOff>
      <xdr:row>20</xdr:row>
      <xdr:rowOff>176012</xdr:rowOff>
    </xdr:from>
    <xdr:to>
      <xdr:col>34</xdr:col>
      <xdr:colOff>82826</xdr:colOff>
      <xdr:row>21</xdr:row>
      <xdr:rowOff>192339</xdr:rowOff>
    </xdr:to>
    <xdr:sp macro="" textlink="">
      <xdr:nvSpPr>
        <xdr:cNvPr id="31" name="テキスト ボックス 30">
          <a:extLst>
            <a:ext uri="{FF2B5EF4-FFF2-40B4-BE49-F238E27FC236}">
              <a16:creationId xmlns:a16="http://schemas.microsoft.com/office/drawing/2014/main" id="{B754444F-CD13-F9D3-E640-E839C858FEA0}"/>
            </a:ext>
          </a:extLst>
        </xdr:cNvPr>
        <xdr:cNvSpPr txBox="1"/>
      </xdr:nvSpPr>
      <xdr:spPr>
        <a:xfrm>
          <a:off x="7469242" y="5046186"/>
          <a:ext cx="498627" cy="2565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４層</a:t>
          </a:r>
        </a:p>
      </xdr:txBody>
    </xdr:sp>
    <xdr:clientData/>
  </xdr:twoCellAnchor>
  <xdr:twoCellAnchor>
    <xdr:from>
      <xdr:col>23</xdr:col>
      <xdr:colOff>10500</xdr:colOff>
      <xdr:row>58</xdr:row>
      <xdr:rowOff>52183</xdr:rowOff>
    </xdr:from>
    <xdr:to>
      <xdr:col>33</xdr:col>
      <xdr:colOff>141278</xdr:colOff>
      <xdr:row>58</xdr:row>
      <xdr:rowOff>52183</xdr:rowOff>
    </xdr:to>
    <xdr:cxnSp macro="">
      <xdr:nvCxnSpPr>
        <xdr:cNvPr id="36" name="直線コネクタ 35">
          <a:extLst>
            <a:ext uri="{FF2B5EF4-FFF2-40B4-BE49-F238E27FC236}">
              <a16:creationId xmlns:a16="http://schemas.microsoft.com/office/drawing/2014/main" id="{63E638CB-93B3-4FB0-A98C-DB667342C6B6}"/>
            </a:ext>
          </a:extLst>
        </xdr:cNvPr>
        <xdr:cNvCxnSpPr/>
      </xdr:nvCxnSpPr>
      <xdr:spPr>
        <a:xfrm>
          <a:off x="5165206" y="14776712"/>
          <a:ext cx="237195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39511</xdr:colOff>
      <xdr:row>65</xdr:row>
      <xdr:rowOff>220938</xdr:rowOff>
    </xdr:from>
    <xdr:to>
      <xdr:col>22</xdr:col>
      <xdr:colOff>216475</xdr:colOff>
      <xdr:row>65</xdr:row>
      <xdr:rowOff>220938</xdr:rowOff>
    </xdr:to>
    <xdr:cxnSp macro="">
      <xdr:nvCxnSpPr>
        <xdr:cNvPr id="37" name="直線コネクタ 36">
          <a:extLst>
            <a:ext uri="{FF2B5EF4-FFF2-40B4-BE49-F238E27FC236}">
              <a16:creationId xmlns:a16="http://schemas.microsoft.com/office/drawing/2014/main" id="{40580AEB-C7D4-46A6-8766-7CDC6C62C05A}"/>
            </a:ext>
          </a:extLst>
        </xdr:cNvPr>
        <xdr:cNvCxnSpPr/>
      </xdr:nvCxnSpPr>
      <xdr:spPr>
        <a:xfrm>
          <a:off x="4297746" y="16592732"/>
          <a:ext cx="84931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87049</xdr:colOff>
      <xdr:row>65</xdr:row>
      <xdr:rowOff>228574</xdr:rowOff>
    </xdr:from>
    <xdr:to>
      <xdr:col>21</xdr:col>
      <xdr:colOff>179761</xdr:colOff>
      <xdr:row>66</xdr:row>
      <xdr:rowOff>96428</xdr:rowOff>
    </xdr:to>
    <xdr:cxnSp macro="">
      <xdr:nvCxnSpPr>
        <xdr:cNvPr id="38" name="直線コネクタ 37">
          <a:extLst>
            <a:ext uri="{FF2B5EF4-FFF2-40B4-BE49-F238E27FC236}">
              <a16:creationId xmlns:a16="http://schemas.microsoft.com/office/drawing/2014/main" id="{E162BB39-9160-47EB-9C74-64D92F3141C8}"/>
            </a:ext>
          </a:extLst>
        </xdr:cNvPr>
        <xdr:cNvCxnSpPr/>
      </xdr:nvCxnSpPr>
      <xdr:spPr>
        <a:xfrm>
          <a:off x="4793520" y="16600368"/>
          <a:ext cx="92712" cy="10317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38323</xdr:colOff>
      <xdr:row>65</xdr:row>
      <xdr:rowOff>230418</xdr:rowOff>
    </xdr:from>
    <xdr:to>
      <xdr:col>21</xdr:col>
      <xdr:colOff>132443</xdr:colOff>
      <xdr:row>66</xdr:row>
      <xdr:rowOff>98272</xdr:rowOff>
    </xdr:to>
    <xdr:cxnSp macro="">
      <xdr:nvCxnSpPr>
        <xdr:cNvPr id="39" name="直線コネクタ 38">
          <a:extLst>
            <a:ext uri="{FF2B5EF4-FFF2-40B4-BE49-F238E27FC236}">
              <a16:creationId xmlns:a16="http://schemas.microsoft.com/office/drawing/2014/main" id="{5A59FE00-3014-4DCA-8BDE-EF217B984790}"/>
            </a:ext>
          </a:extLst>
        </xdr:cNvPr>
        <xdr:cNvCxnSpPr/>
      </xdr:nvCxnSpPr>
      <xdr:spPr>
        <a:xfrm>
          <a:off x="4744794" y="16602212"/>
          <a:ext cx="94120" cy="10317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39238</xdr:colOff>
      <xdr:row>66</xdr:row>
      <xdr:rowOff>49658</xdr:rowOff>
    </xdr:from>
    <xdr:to>
      <xdr:col>21</xdr:col>
      <xdr:colOff>72302</xdr:colOff>
      <xdr:row>66</xdr:row>
      <xdr:rowOff>80384</xdr:rowOff>
    </xdr:to>
    <xdr:cxnSp macro="">
      <xdr:nvCxnSpPr>
        <xdr:cNvPr id="40" name="直線コネクタ 39">
          <a:extLst>
            <a:ext uri="{FF2B5EF4-FFF2-40B4-BE49-F238E27FC236}">
              <a16:creationId xmlns:a16="http://schemas.microsoft.com/office/drawing/2014/main" id="{FFCE08F9-BD00-4247-A308-C50E63B81A6A}"/>
            </a:ext>
          </a:extLst>
        </xdr:cNvPr>
        <xdr:cNvCxnSpPr/>
      </xdr:nvCxnSpPr>
      <xdr:spPr>
        <a:xfrm flipH="1">
          <a:off x="4745709" y="16656776"/>
          <a:ext cx="33064"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60930</xdr:colOff>
      <xdr:row>66</xdr:row>
      <xdr:rowOff>66856</xdr:rowOff>
    </xdr:from>
    <xdr:to>
      <xdr:col>21</xdr:col>
      <xdr:colOff>92586</xdr:colOff>
      <xdr:row>66</xdr:row>
      <xdr:rowOff>97582</xdr:rowOff>
    </xdr:to>
    <xdr:cxnSp macro="">
      <xdr:nvCxnSpPr>
        <xdr:cNvPr id="41" name="直線コネクタ 40">
          <a:extLst>
            <a:ext uri="{FF2B5EF4-FFF2-40B4-BE49-F238E27FC236}">
              <a16:creationId xmlns:a16="http://schemas.microsoft.com/office/drawing/2014/main" id="{FBA8DB75-FF36-486A-9FAF-35077FE5847C}"/>
            </a:ext>
          </a:extLst>
        </xdr:cNvPr>
        <xdr:cNvCxnSpPr/>
      </xdr:nvCxnSpPr>
      <xdr:spPr>
        <a:xfrm flipH="1">
          <a:off x="4767401" y="16673974"/>
          <a:ext cx="3165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166065</xdr:colOff>
      <xdr:row>66</xdr:row>
      <xdr:rowOff>1120</xdr:rowOff>
    </xdr:from>
    <xdr:to>
      <xdr:col>21</xdr:col>
      <xdr:colOff>30210</xdr:colOff>
      <xdr:row>66</xdr:row>
      <xdr:rowOff>104298</xdr:rowOff>
    </xdr:to>
    <xdr:cxnSp macro="">
      <xdr:nvCxnSpPr>
        <xdr:cNvPr id="42" name="直線コネクタ 41">
          <a:extLst>
            <a:ext uri="{FF2B5EF4-FFF2-40B4-BE49-F238E27FC236}">
              <a16:creationId xmlns:a16="http://schemas.microsoft.com/office/drawing/2014/main" id="{EC4EE90D-24B5-4E11-9E43-0251F3832F8A}"/>
            </a:ext>
          </a:extLst>
        </xdr:cNvPr>
        <xdr:cNvCxnSpPr/>
      </xdr:nvCxnSpPr>
      <xdr:spPr>
        <a:xfrm>
          <a:off x="4648418" y="16608238"/>
          <a:ext cx="88263" cy="10317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118747</xdr:colOff>
      <xdr:row>66</xdr:row>
      <xdr:rowOff>2964</xdr:rowOff>
    </xdr:from>
    <xdr:to>
      <xdr:col>20</xdr:col>
      <xdr:colOff>214213</xdr:colOff>
      <xdr:row>66</xdr:row>
      <xdr:rowOff>106142</xdr:rowOff>
    </xdr:to>
    <xdr:cxnSp macro="">
      <xdr:nvCxnSpPr>
        <xdr:cNvPr id="43" name="直線コネクタ 42">
          <a:extLst>
            <a:ext uri="{FF2B5EF4-FFF2-40B4-BE49-F238E27FC236}">
              <a16:creationId xmlns:a16="http://schemas.microsoft.com/office/drawing/2014/main" id="{FA8F7259-CF84-4121-95E6-B4A25BF0F819}"/>
            </a:ext>
          </a:extLst>
        </xdr:cNvPr>
        <xdr:cNvCxnSpPr/>
      </xdr:nvCxnSpPr>
      <xdr:spPr>
        <a:xfrm>
          <a:off x="4601100" y="16610082"/>
          <a:ext cx="95466" cy="10317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118783</xdr:colOff>
      <xdr:row>66</xdr:row>
      <xdr:rowOff>57528</xdr:rowOff>
    </xdr:from>
    <xdr:to>
      <xdr:col>20</xdr:col>
      <xdr:colOff>149509</xdr:colOff>
      <xdr:row>66</xdr:row>
      <xdr:rowOff>88254</xdr:rowOff>
    </xdr:to>
    <xdr:cxnSp macro="">
      <xdr:nvCxnSpPr>
        <xdr:cNvPr id="44" name="直線コネクタ 43">
          <a:extLst>
            <a:ext uri="{FF2B5EF4-FFF2-40B4-BE49-F238E27FC236}">
              <a16:creationId xmlns:a16="http://schemas.microsoft.com/office/drawing/2014/main" id="{E12FC25B-912C-4E42-9BEF-F48C89165D91}"/>
            </a:ext>
          </a:extLst>
        </xdr:cNvPr>
        <xdr:cNvCxnSpPr/>
      </xdr:nvCxnSpPr>
      <xdr:spPr>
        <a:xfrm flipH="1">
          <a:off x="4601136" y="16664646"/>
          <a:ext cx="3072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139067</xdr:colOff>
      <xdr:row>66</xdr:row>
      <xdr:rowOff>74726</xdr:rowOff>
    </xdr:from>
    <xdr:to>
      <xdr:col>20</xdr:col>
      <xdr:colOff>169793</xdr:colOff>
      <xdr:row>66</xdr:row>
      <xdr:rowOff>105452</xdr:rowOff>
    </xdr:to>
    <xdr:cxnSp macro="">
      <xdr:nvCxnSpPr>
        <xdr:cNvPr id="45" name="直線コネクタ 44">
          <a:extLst>
            <a:ext uri="{FF2B5EF4-FFF2-40B4-BE49-F238E27FC236}">
              <a16:creationId xmlns:a16="http://schemas.microsoft.com/office/drawing/2014/main" id="{DD873A6A-EB0B-4E5B-BC5F-205900B65A72}"/>
            </a:ext>
          </a:extLst>
        </xdr:cNvPr>
        <xdr:cNvCxnSpPr/>
      </xdr:nvCxnSpPr>
      <xdr:spPr>
        <a:xfrm flipH="1">
          <a:off x="4621420" y="16681844"/>
          <a:ext cx="3072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199309</xdr:colOff>
      <xdr:row>58</xdr:row>
      <xdr:rowOff>46952</xdr:rowOff>
    </xdr:from>
    <xdr:to>
      <xdr:col>27</xdr:col>
      <xdr:colOff>63907</xdr:colOff>
      <xdr:row>58</xdr:row>
      <xdr:rowOff>126788</xdr:rowOff>
    </xdr:to>
    <xdr:cxnSp macro="">
      <xdr:nvCxnSpPr>
        <xdr:cNvPr id="47" name="直線コネクタ 46">
          <a:extLst>
            <a:ext uri="{FF2B5EF4-FFF2-40B4-BE49-F238E27FC236}">
              <a16:creationId xmlns:a16="http://schemas.microsoft.com/office/drawing/2014/main" id="{CAB009B9-44A8-48C1-8C00-9DBE2CC73D14}"/>
            </a:ext>
          </a:extLst>
        </xdr:cNvPr>
        <xdr:cNvCxnSpPr/>
      </xdr:nvCxnSpPr>
      <xdr:spPr>
        <a:xfrm>
          <a:off x="6026368" y="14771481"/>
          <a:ext cx="88715" cy="7983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151991</xdr:colOff>
      <xdr:row>58</xdr:row>
      <xdr:rowOff>48796</xdr:rowOff>
    </xdr:from>
    <xdr:to>
      <xdr:col>27</xdr:col>
      <xdr:colOff>13868</xdr:colOff>
      <xdr:row>58</xdr:row>
      <xdr:rowOff>128632</xdr:rowOff>
    </xdr:to>
    <xdr:cxnSp macro="">
      <xdr:nvCxnSpPr>
        <xdr:cNvPr id="49" name="直線コネクタ 48">
          <a:extLst>
            <a:ext uri="{FF2B5EF4-FFF2-40B4-BE49-F238E27FC236}">
              <a16:creationId xmlns:a16="http://schemas.microsoft.com/office/drawing/2014/main" id="{1F932B50-63DD-4116-9F14-8018EEBEA14B}"/>
            </a:ext>
          </a:extLst>
        </xdr:cNvPr>
        <xdr:cNvCxnSpPr/>
      </xdr:nvCxnSpPr>
      <xdr:spPr>
        <a:xfrm>
          <a:off x="5979050" y="14773325"/>
          <a:ext cx="85994" cy="7983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152027</xdr:colOff>
      <xdr:row>58</xdr:row>
      <xdr:rowOff>89628</xdr:rowOff>
    </xdr:from>
    <xdr:to>
      <xdr:col>26</xdr:col>
      <xdr:colOff>182753</xdr:colOff>
      <xdr:row>58</xdr:row>
      <xdr:rowOff>110829</xdr:rowOff>
    </xdr:to>
    <xdr:cxnSp macro="">
      <xdr:nvCxnSpPr>
        <xdr:cNvPr id="50" name="直線コネクタ 49">
          <a:extLst>
            <a:ext uri="{FF2B5EF4-FFF2-40B4-BE49-F238E27FC236}">
              <a16:creationId xmlns:a16="http://schemas.microsoft.com/office/drawing/2014/main" id="{6AC92800-79C4-4E60-BA84-02E0AD1C445C}"/>
            </a:ext>
          </a:extLst>
        </xdr:cNvPr>
        <xdr:cNvCxnSpPr/>
      </xdr:nvCxnSpPr>
      <xdr:spPr>
        <a:xfrm flipH="1">
          <a:off x="5979086" y="14814157"/>
          <a:ext cx="30726" cy="212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172311</xdr:colOff>
      <xdr:row>58</xdr:row>
      <xdr:rowOff>106826</xdr:rowOff>
    </xdr:from>
    <xdr:to>
      <xdr:col>26</xdr:col>
      <xdr:colOff>203037</xdr:colOff>
      <xdr:row>58</xdr:row>
      <xdr:rowOff>127947</xdr:rowOff>
    </xdr:to>
    <xdr:cxnSp macro="">
      <xdr:nvCxnSpPr>
        <xdr:cNvPr id="57" name="直線コネクタ 56">
          <a:extLst>
            <a:ext uri="{FF2B5EF4-FFF2-40B4-BE49-F238E27FC236}">
              <a16:creationId xmlns:a16="http://schemas.microsoft.com/office/drawing/2014/main" id="{3CB09809-AC8B-4CF8-861B-58808F3783C3}"/>
            </a:ext>
          </a:extLst>
        </xdr:cNvPr>
        <xdr:cNvCxnSpPr/>
      </xdr:nvCxnSpPr>
      <xdr:spPr>
        <a:xfrm flipH="1">
          <a:off x="5999370" y="14831355"/>
          <a:ext cx="30726" cy="211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119174</xdr:colOff>
      <xdr:row>58</xdr:row>
      <xdr:rowOff>42463</xdr:rowOff>
    </xdr:from>
    <xdr:to>
      <xdr:col>27</xdr:col>
      <xdr:colOff>208616</xdr:colOff>
      <xdr:row>58</xdr:row>
      <xdr:rowOff>122299</xdr:rowOff>
    </xdr:to>
    <xdr:cxnSp macro="">
      <xdr:nvCxnSpPr>
        <xdr:cNvPr id="58" name="直線コネクタ 57">
          <a:extLst>
            <a:ext uri="{FF2B5EF4-FFF2-40B4-BE49-F238E27FC236}">
              <a16:creationId xmlns:a16="http://schemas.microsoft.com/office/drawing/2014/main" id="{F937A875-CF69-4D81-B085-92E293973069}"/>
            </a:ext>
          </a:extLst>
        </xdr:cNvPr>
        <xdr:cNvCxnSpPr/>
      </xdr:nvCxnSpPr>
      <xdr:spPr>
        <a:xfrm>
          <a:off x="6170350" y="14766992"/>
          <a:ext cx="89442" cy="7983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71856</xdr:colOff>
      <xdr:row>58</xdr:row>
      <xdr:rowOff>44307</xdr:rowOff>
    </xdr:from>
    <xdr:to>
      <xdr:col>27</xdr:col>
      <xdr:colOff>161298</xdr:colOff>
      <xdr:row>58</xdr:row>
      <xdr:rowOff>124143</xdr:rowOff>
    </xdr:to>
    <xdr:cxnSp macro="">
      <xdr:nvCxnSpPr>
        <xdr:cNvPr id="59" name="直線コネクタ 58">
          <a:extLst>
            <a:ext uri="{FF2B5EF4-FFF2-40B4-BE49-F238E27FC236}">
              <a16:creationId xmlns:a16="http://schemas.microsoft.com/office/drawing/2014/main" id="{C13C65CE-6C20-4BC6-AFF9-B4C53F9A9A06}"/>
            </a:ext>
          </a:extLst>
        </xdr:cNvPr>
        <xdr:cNvCxnSpPr/>
      </xdr:nvCxnSpPr>
      <xdr:spPr>
        <a:xfrm>
          <a:off x="6123032" y="14768836"/>
          <a:ext cx="89442" cy="7983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71892</xdr:colOff>
      <xdr:row>58</xdr:row>
      <xdr:rowOff>85134</xdr:rowOff>
    </xdr:from>
    <xdr:to>
      <xdr:col>27</xdr:col>
      <xdr:colOff>102618</xdr:colOff>
      <xdr:row>58</xdr:row>
      <xdr:rowOff>113058</xdr:rowOff>
    </xdr:to>
    <xdr:cxnSp macro="">
      <xdr:nvCxnSpPr>
        <xdr:cNvPr id="60" name="直線コネクタ 59">
          <a:extLst>
            <a:ext uri="{FF2B5EF4-FFF2-40B4-BE49-F238E27FC236}">
              <a16:creationId xmlns:a16="http://schemas.microsoft.com/office/drawing/2014/main" id="{3421D94A-3440-433C-AFB3-8E7CBC9563CB}"/>
            </a:ext>
          </a:extLst>
        </xdr:cNvPr>
        <xdr:cNvCxnSpPr/>
      </xdr:nvCxnSpPr>
      <xdr:spPr>
        <a:xfrm flipH="1">
          <a:off x="6123068" y="14809663"/>
          <a:ext cx="30726" cy="279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92176</xdr:colOff>
      <xdr:row>58</xdr:row>
      <xdr:rowOff>102332</xdr:rowOff>
    </xdr:from>
    <xdr:to>
      <xdr:col>27</xdr:col>
      <xdr:colOff>122902</xdr:colOff>
      <xdr:row>58</xdr:row>
      <xdr:rowOff>123453</xdr:rowOff>
    </xdr:to>
    <xdr:cxnSp macro="">
      <xdr:nvCxnSpPr>
        <xdr:cNvPr id="61" name="直線コネクタ 60">
          <a:extLst>
            <a:ext uri="{FF2B5EF4-FFF2-40B4-BE49-F238E27FC236}">
              <a16:creationId xmlns:a16="http://schemas.microsoft.com/office/drawing/2014/main" id="{350F8492-2E86-4801-91FA-B72B76F48B91}"/>
            </a:ext>
          </a:extLst>
        </xdr:cNvPr>
        <xdr:cNvCxnSpPr/>
      </xdr:nvCxnSpPr>
      <xdr:spPr>
        <a:xfrm flipH="1">
          <a:off x="6143352" y="14826861"/>
          <a:ext cx="30726" cy="211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223529</xdr:colOff>
      <xdr:row>58</xdr:row>
      <xdr:rowOff>59970</xdr:rowOff>
    </xdr:from>
    <xdr:to>
      <xdr:col>25</xdr:col>
      <xdr:colOff>98534</xdr:colOff>
      <xdr:row>61</xdr:row>
      <xdr:rowOff>131379</xdr:rowOff>
    </xdr:to>
    <xdr:cxnSp macro="">
      <xdr:nvCxnSpPr>
        <xdr:cNvPr id="62" name="直線コネクタ 61">
          <a:extLst>
            <a:ext uri="{FF2B5EF4-FFF2-40B4-BE49-F238E27FC236}">
              <a16:creationId xmlns:a16="http://schemas.microsoft.com/office/drawing/2014/main" id="{85050968-6EE5-498D-9B9D-B17198D21A32}"/>
            </a:ext>
          </a:extLst>
        </xdr:cNvPr>
        <xdr:cNvCxnSpPr/>
      </xdr:nvCxnSpPr>
      <xdr:spPr>
        <a:xfrm>
          <a:off x="5511546" y="14846711"/>
          <a:ext cx="334833" cy="780858"/>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23</xdr:col>
      <xdr:colOff>6716</xdr:colOff>
      <xdr:row>65</xdr:row>
      <xdr:rowOff>228628</xdr:rowOff>
    </xdr:from>
    <xdr:to>
      <xdr:col>32</xdr:col>
      <xdr:colOff>38100</xdr:colOff>
      <xdr:row>65</xdr:row>
      <xdr:rowOff>228628</xdr:rowOff>
    </xdr:to>
    <xdr:cxnSp macro="">
      <xdr:nvCxnSpPr>
        <xdr:cNvPr id="63" name="直線コネクタ 62">
          <a:extLst>
            <a:ext uri="{FF2B5EF4-FFF2-40B4-BE49-F238E27FC236}">
              <a16:creationId xmlns:a16="http://schemas.microsoft.com/office/drawing/2014/main" id="{66BBFBA5-BAD5-424E-9FDE-A3C044D59FA1}"/>
            </a:ext>
          </a:extLst>
        </xdr:cNvPr>
        <xdr:cNvCxnSpPr/>
      </xdr:nvCxnSpPr>
      <xdr:spPr>
        <a:xfrm>
          <a:off x="5264516" y="16773553"/>
          <a:ext cx="2088784"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23</xdr:col>
      <xdr:colOff>15372</xdr:colOff>
      <xdr:row>58</xdr:row>
      <xdr:rowOff>52246</xdr:rowOff>
    </xdr:from>
    <xdr:to>
      <xdr:col>24</xdr:col>
      <xdr:colOff>9185</xdr:colOff>
      <xdr:row>58</xdr:row>
      <xdr:rowOff>52246</xdr:rowOff>
    </xdr:to>
    <xdr:cxnSp macro="">
      <xdr:nvCxnSpPr>
        <xdr:cNvPr id="69" name="直線コネクタ 68">
          <a:extLst>
            <a:ext uri="{FF2B5EF4-FFF2-40B4-BE49-F238E27FC236}">
              <a16:creationId xmlns:a16="http://schemas.microsoft.com/office/drawing/2014/main" id="{6C9FA19F-3848-4E1F-9F73-CDDA1B214095}"/>
            </a:ext>
          </a:extLst>
        </xdr:cNvPr>
        <xdr:cNvCxnSpPr/>
      </xdr:nvCxnSpPr>
      <xdr:spPr>
        <a:xfrm>
          <a:off x="5170078" y="14776775"/>
          <a:ext cx="217931"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23</xdr:col>
      <xdr:colOff>16922</xdr:colOff>
      <xdr:row>58</xdr:row>
      <xdr:rowOff>59970</xdr:rowOff>
    </xdr:from>
    <xdr:to>
      <xdr:col>23</xdr:col>
      <xdr:colOff>16922</xdr:colOff>
      <xdr:row>71</xdr:row>
      <xdr:rowOff>214609</xdr:rowOff>
    </xdr:to>
    <xdr:cxnSp macro="">
      <xdr:nvCxnSpPr>
        <xdr:cNvPr id="70" name="直線コネクタ 69">
          <a:extLst>
            <a:ext uri="{FF2B5EF4-FFF2-40B4-BE49-F238E27FC236}">
              <a16:creationId xmlns:a16="http://schemas.microsoft.com/office/drawing/2014/main" id="{FF7A2DF5-7DA2-4D6E-8F97-2FE59B807563}"/>
            </a:ext>
          </a:extLst>
        </xdr:cNvPr>
        <xdr:cNvCxnSpPr/>
      </xdr:nvCxnSpPr>
      <xdr:spPr>
        <a:xfrm>
          <a:off x="5171628" y="14784499"/>
          <a:ext cx="0" cy="3213845"/>
        </a:xfrm>
        <a:prstGeom prst="line">
          <a:avLst/>
        </a:prstGeom>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23</xdr:col>
      <xdr:colOff>27790</xdr:colOff>
      <xdr:row>61</xdr:row>
      <xdr:rowOff>129933</xdr:rowOff>
    </xdr:from>
    <xdr:to>
      <xdr:col>33</xdr:col>
      <xdr:colOff>211462</xdr:colOff>
      <xdr:row>61</xdr:row>
      <xdr:rowOff>129933</xdr:rowOff>
    </xdr:to>
    <xdr:cxnSp macro="">
      <xdr:nvCxnSpPr>
        <xdr:cNvPr id="71" name="直線コネクタ 70">
          <a:extLst>
            <a:ext uri="{FF2B5EF4-FFF2-40B4-BE49-F238E27FC236}">
              <a16:creationId xmlns:a16="http://schemas.microsoft.com/office/drawing/2014/main" id="{627161B2-4B90-422D-BD35-2DE33C887A8B}"/>
            </a:ext>
          </a:extLst>
        </xdr:cNvPr>
        <xdr:cNvCxnSpPr/>
      </xdr:nvCxnSpPr>
      <xdr:spPr>
        <a:xfrm>
          <a:off x="5182496" y="15560433"/>
          <a:ext cx="2424848"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25725</xdr:colOff>
      <xdr:row>59</xdr:row>
      <xdr:rowOff>48523</xdr:rowOff>
    </xdr:from>
    <xdr:to>
      <xdr:col>33</xdr:col>
      <xdr:colOff>211462</xdr:colOff>
      <xdr:row>59</xdr:row>
      <xdr:rowOff>48523</xdr:rowOff>
    </xdr:to>
    <xdr:cxnSp macro="">
      <xdr:nvCxnSpPr>
        <xdr:cNvPr id="72" name="直線コネクタ 71">
          <a:extLst>
            <a:ext uri="{FF2B5EF4-FFF2-40B4-BE49-F238E27FC236}">
              <a16:creationId xmlns:a16="http://schemas.microsoft.com/office/drawing/2014/main" id="{73287F38-BC98-403F-B669-89A24FB01B0A}"/>
            </a:ext>
          </a:extLst>
        </xdr:cNvPr>
        <xdr:cNvCxnSpPr/>
      </xdr:nvCxnSpPr>
      <xdr:spPr>
        <a:xfrm>
          <a:off x="5180431" y="15008376"/>
          <a:ext cx="2426913"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31580</xdr:colOff>
      <xdr:row>59</xdr:row>
      <xdr:rowOff>45306</xdr:rowOff>
    </xdr:from>
    <xdr:to>
      <xdr:col>24</xdr:col>
      <xdr:colOff>92296</xdr:colOff>
      <xdr:row>61</xdr:row>
      <xdr:rowOff>135489</xdr:rowOff>
    </xdr:to>
    <xdr:cxnSp macro="">
      <xdr:nvCxnSpPr>
        <xdr:cNvPr id="73" name="直線コネクタ 72">
          <a:extLst>
            <a:ext uri="{FF2B5EF4-FFF2-40B4-BE49-F238E27FC236}">
              <a16:creationId xmlns:a16="http://schemas.microsoft.com/office/drawing/2014/main" id="{5C8508F6-F7E2-4BD2-A3BB-456C283056BE}"/>
            </a:ext>
          </a:extLst>
        </xdr:cNvPr>
        <xdr:cNvCxnSpPr/>
      </xdr:nvCxnSpPr>
      <xdr:spPr>
        <a:xfrm flipV="1">
          <a:off x="5186286" y="15005159"/>
          <a:ext cx="284834" cy="56083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31580</xdr:colOff>
      <xdr:row>61</xdr:row>
      <xdr:rowOff>156647</xdr:rowOff>
    </xdr:from>
    <xdr:to>
      <xdr:col>25</xdr:col>
      <xdr:colOff>85729</xdr:colOff>
      <xdr:row>65</xdr:row>
      <xdr:rowOff>194125</xdr:rowOff>
    </xdr:to>
    <xdr:cxnSp macro="">
      <xdr:nvCxnSpPr>
        <xdr:cNvPr id="74" name="直線コネクタ 73">
          <a:extLst>
            <a:ext uri="{FF2B5EF4-FFF2-40B4-BE49-F238E27FC236}">
              <a16:creationId xmlns:a16="http://schemas.microsoft.com/office/drawing/2014/main" id="{726F1642-A308-42D2-8E89-5DAEDA4B7FD3}"/>
            </a:ext>
          </a:extLst>
        </xdr:cNvPr>
        <xdr:cNvCxnSpPr/>
      </xdr:nvCxnSpPr>
      <xdr:spPr>
        <a:xfrm flipV="1">
          <a:off x="5186286" y="15587147"/>
          <a:ext cx="502384" cy="978772"/>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20</xdr:col>
      <xdr:colOff>215567</xdr:colOff>
      <xdr:row>65</xdr:row>
      <xdr:rowOff>224278</xdr:rowOff>
    </xdr:from>
    <xdr:to>
      <xdr:col>32</xdr:col>
      <xdr:colOff>37339</xdr:colOff>
      <xdr:row>69</xdr:row>
      <xdr:rowOff>69146</xdr:rowOff>
    </xdr:to>
    <xdr:cxnSp macro="">
      <xdr:nvCxnSpPr>
        <xdr:cNvPr id="77" name="直線コネクタ 76">
          <a:extLst>
            <a:ext uri="{FF2B5EF4-FFF2-40B4-BE49-F238E27FC236}">
              <a16:creationId xmlns:a16="http://schemas.microsoft.com/office/drawing/2014/main" id="{CFB053A2-255D-47EF-8655-D97100077D68}"/>
            </a:ext>
          </a:extLst>
        </xdr:cNvPr>
        <xdr:cNvCxnSpPr/>
      </xdr:nvCxnSpPr>
      <xdr:spPr>
        <a:xfrm flipH="1">
          <a:off x="4827672" y="16923107"/>
          <a:ext cx="2589035" cy="807394"/>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25</xdr:col>
      <xdr:colOff>102577</xdr:colOff>
      <xdr:row>61</xdr:row>
      <xdr:rowOff>124558</xdr:rowOff>
    </xdr:from>
    <xdr:to>
      <xdr:col>31</xdr:col>
      <xdr:colOff>223344</xdr:colOff>
      <xdr:row>65</xdr:row>
      <xdr:rowOff>223345</xdr:rowOff>
    </xdr:to>
    <xdr:cxnSp macro="">
      <xdr:nvCxnSpPr>
        <xdr:cNvPr id="78" name="直線コネクタ 77">
          <a:extLst>
            <a:ext uri="{FF2B5EF4-FFF2-40B4-BE49-F238E27FC236}">
              <a16:creationId xmlns:a16="http://schemas.microsoft.com/office/drawing/2014/main" id="{4CCF62E6-41E5-483A-AC19-59D14B11C75F}"/>
            </a:ext>
          </a:extLst>
        </xdr:cNvPr>
        <xdr:cNvCxnSpPr/>
      </xdr:nvCxnSpPr>
      <xdr:spPr>
        <a:xfrm flipH="1" flipV="1">
          <a:off x="5850422" y="15620748"/>
          <a:ext cx="1500250" cy="1044718"/>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20</xdr:col>
      <xdr:colOff>210962</xdr:colOff>
      <xdr:row>69</xdr:row>
      <xdr:rowOff>77475</xdr:rowOff>
    </xdr:from>
    <xdr:to>
      <xdr:col>22</xdr:col>
      <xdr:colOff>177967</xdr:colOff>
      <xdr:row>69</xdr:row>
      <xdr:rowOff>77475</xdr:rowOff>
    </xdr:to>
    <xdr:cxnSp macro="">
      <xdr:nvCxnSpPr>
        <xdr:cNvPr id="79" name="直線コネクタ 78">
          <a:extLst>
            <a:ext uri="{FF2B5EF4-FFF2-40B4-BE49-F238E27FC236}">
              <a16:creationId xmlns:a16="http://schemas.microsoft.com/office/drawing/2014/main" id="{CEFDFF16-F062-41D4-90C9-8955EE35954D}"/>
            </a:ext>
          </a:extLst>
        </xdr:cNvPr>
        <xdr:cNvCxnSpPr/>
      </xdr:nvCxnSpPr>
      <xdr:spPr>
        <a:xfrm>
          <a:off x="4782962" y="17574900"/>
          <a:ext cx="424205"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editAs="absolute">
    <xdr:from>
      <xdr:col>22</xdr:col>
      <xdr:colOff>185847</xdr:colOff>
      <xdr:row>59</xdr:row>
      <xdr:rowOff>37922</xdr:rowOff>
    </xdr:from>
    <xdr:to>
      <xdr:col>24</xdr:col>
      <xdr:colOff>19840</xdr:colOff>
      <xdr:row>60</xdr:row>
      <xdr:rowOff>54250</xdr:rowOff>
    </xdr:to>
    <xdr:sp macro="" textlink="">
      <xdr:nvSpPr>
        <xdr:cNvPr id="80" name="テキスト ボックス 79">
          <a:extLst>
            <a:ext uri="{FF2B5EF4-FFF2-40B4-BE49-F238E27FC236}">
              <a16:creationId xmlns:a16="http://schemas.microsoft.com/office/drawing/2014/main" id="{B0C1B8CF-0758-4748-844C-E88142F10D77}"/>
            </a:ext>
          </a:extLst>
        </xdr:cNvPr>
        <xdr:cNvSpPr txBox="1"/>
      </xdr:nvSpPr>
      <xdr:spPr>
        <a:xfrm>
          <a:off x="5162660" y="14206360"/>
          <a:ext cx="286430" cy="254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editAs="absolute">
    <xdr:from>
      <xdr:col>23</xdr:col>
      <xdr:colOff>141094</xdr:colOff>
      <xdr:row>60</xdr:row>
      <xdr:rowOff>31142</xdr:rowOff>
    </xdr:from>
    <xdr:to>
      <xdr:col>24</xdr:col>
      <xdr:colOff>206407</xdr:colOff>
      <xdr:row>61</xdr:row>
      <xdr:rowOff>46696</xdr:rowOff>
    </xdr:to>
    <xdr:sp macro="" textlink="">
      <xdr:nvSpPr>
        <xdr:cNvPr id="81" name="テキスト ボックス 80">
          <a:extLst>
            <a:ext uri="{FF2B5EF4-FFF2-40B4-BE49-F238E27FC236}">
              <a16:creationId xmlns:a16="http://schemas.microsoft.com/office/drawing/2014/main" id="{E3F1553F-4520-4277-8C7B-DDFE1A39B237}"/>
            </a:ext>
          </a:extLst>
        </xdr:cNvPr>
        <xdr:cNvSpPr txBox="1"/>
      </xdr:nvSpPr>
      <xdr:spPr>
        <a:xfrm>
          <a:off x="5344125" y="14437705"/>
          <a:ext cx="291532" cy="25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editAs="absolute">
    <xdr:from>
      <xdr:col>23</xdr:col>
      <xdr:colOff>215</xdr:colOff>
      <xdr:row>62</xdr:row>
      <xdr:rowOff>136729</xdr:rowOff>
    </xdr:from>
    <xdr:to>
      <xdr:col>24</xdr:col>
      <xdr:colOff>63768</xdr:colOff>
      <xdr:row>63</xdr:row>
      <xdr:rowOff>148187</xdr:rowOff>
    </xdr:to>
    <xdr:sp macro="" textlink="">
      <xdr:nvSpPr>
        <xdr:cNvPr id="82" name="テキスト ボックス 81">
          <a:extLst>
            <a:ext uri="{FF2B5EF4-FFF2-40B4-BE49-F238E27FC236}">
              <a16:creationId xmlns:a16="http://schemas.microsoft.com/office/drawing/2014/main" id="{1FDD4171-AF07-48F6-A415-7C842B8ED8EE}"/>
            </a:ext>
          </a:extLst>
        </xdr:cNvPr>
        <xdr:cNvSpPr txBox="1"/>
      </xdr:nvSpPr>
      <xdr:spPr>
        <a:xfrm>
          <a:off x="5203246" y="15019542"/>
          <a:ext cx="289772" cy="249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p>
      </xdr:txBody>
    </xdr:sp>
    <xdr:clientData/>
  </xdr:twoCellAnchor>
  <xdr:twoCellAnchor editAs="absolute">
    <xdr:from>
      <xdr:col>24</xdr:col>
      <xdr:colOff>197400</xdr:colOff>
      <xdr:row>63</xdr:row>
      <xdr:rowOff>216056</xdr:rowOff>
    </xdr:from>
    <xdr:to>
      <xdr:col>26</xdr:col>
      <xdr:colOff>32707</xdr:colOff>
      <xdr:row>64</xdr:row>
      <xdr:rowOff>226693</xdr:rowOff>
    </xdr:to>
    <xdr:sp macro="" textlink="">
      <xdr:nvSpPr>
        <xdr:cNvPr id="83" name="テキスト ボックス 82">
          <a:extLst>
            <a:ext uri="{FF2B5EF4-FFF2-40B4-BE49-F238E27FC236}">
              <a16:creationId xmlns:a16="http://schemas.microsoft.com/office/drawing/2014/main" id="{CE60BE9C-E4F6-4F88-9239-06366FA590E7}"/>
            </a:ext>
          </a:extLst>
        </xdr:cNvPr>
        <xdr:cNvSpPr txBox="1"/>
      </xdr:nvSpPr>
      <xdr:spPr>
        <a:xfrm>
          <a:off x="5626650" y="15336994"/>
          <a:ext cx="287745" cy="256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editAs="absolute">
    <xdr:from>
      <xdr:col>24</xdr:col>
      <xdr:colOff>14097</xdr:colOff>
      <xdr:row>66</xdr:row>
      <xdr:rowOff>81130</xdr:rowOff>
    </xdr:from>
    <xdr:to>
      <xdr:col>25</xdr:col>
      <xdr:colOff>79411</xdr:colOff>
      <xdr:row>67</xdr:row>
      <xdr:rowOff>91918</xdr:rowOff>
    </xdr:to>
    <xdr:sp macro="" textlink="">
      <xdr:nvSpPr>
        <xdr:cNvPr id="84" name="テキスト ボックス 83">
          <a:extLst>
            <a:ext uri="{FF2B5EF4-FFF2-40B4-BE49-F238E27FC236}">
              <a16:creationId xmlns:a16="http://schemas.microsoft.com/office/drawing/2014/main" id="{AE398637-A25B-4CDF-BAC6-99F0DB68DC42}"/>
            </a:ext>
          </a:extLst>
        </xdr:cNvPr>
        <xdr:cNvSpPr txBox="1"/>
      </xdr:nvSpPr>
      <xdr:spPr>
        <a:xfrm>
          <a:off x="5443347" y="15916443"/>
          <a:ext cx="291533" cy="248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⑤</a:t>
          </a:r>
        </a:p>
      </xdr:txBody>
    </xdr:sp>
    <xdr:clientData/>
  </xdr:twoCellAnchor>
  <xdr:twoCellAnchor editAs="absolute">
    <xdr:from>
      <xdr:col>31</xdr:col>
      <xdr:colOff>157019</xdr:colOff>
      <xdr:row>58</xdr:row>
      <xdr:rowOff>10263</xdr:rowOff>
    </xdr:from>
    <xdr:to>
      <xdr:col>34</xdr:col>
      <xdr:colOff>22904</xdr:colOff>
      <xdr:row>59</xdr:row>
      <xdr:rowOff>28232</xdr:rowOff>
    </xdr:to>
    <xdr:sp macro="" textlink="">
      <xdr:nvSpPr>
        <xdr:cNvPr id="89" name="テキスト ボックス 88">
          <a:extLst>
            <a:ext uri="{FF2B5EF4-FFF2-40B4-BE49-F238E27FC236}">
              <a16:creationId xmlns:a16="http://schemas.microsoft.com/office/drawing/2014/main" id="{C0FE3136-BA42-463F-B6EF-406EF7E81F48}"/>
            </a:ext>
          </a:extLst>
        </xdr:cNvPr>
        <xdr:cNvSpPr txBox="1"/>
      </xdr:nvSpPr>
      <xdr:spPr>
        <a:xfrm>
          <a:off x="7169800" y="13940576"/>
          <a:ext cx="544542" cy="256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１層</a:t>
          </a:r>
        </a:p>
      </xdr:txBody>
    </xdr:sp>
    <xdr:clientData/>
  </xdr:twoCellAnchor>
  <xdr:twoCellAnchor editAs="absolute">
    <xdr:from>
      <xdr:col>31</xdr:col>
      <xdr:colOff>166733</xdr:colOff>
      <xdr:row>59</xdr:row>
      <xdr:rowOff>149158</xdr:rowOff>
    </xdr:from>
    <xdr:to>
      <xdr:col>34</xdr:col>
      <xdr:colOff>37004</xdr:colOff>
      <xdr:row>60</xdr:row>
      <xdr:rowOff>164785</xdr:rowOff>
    </xdr:to>
    <xdr:sp macro="" textlink="">
      <xdr:nvSpPr>
        <xdr:cNvPr id="90" name="テキスト ボックス 89">
          <a:extLst>
            <a:ext uri="{FF2B5EF4-FFF2-40B4-BE49-F238E27FC236}">
              <a16:creationId xmlns:a16="http://schemas.microsoft.com/office/drawing/2014/main" id="{D0FD5129-6B89-4BE3-A917-F5F6322D12BB}"/>
            </a:ext>
          </a:extLst>
        </xdr:cNvPr>
        <xdr:cNvSpPr txBox="1"/>
      </xdr:nvSpPr>
      <xdr:spPr>
        <a:xfrm>
          <a:off x="7179514" y="14317596"/>
          <a:ext cx="548928" cy="25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２層</a:t>
          </a:r>
        </a:p>
      </xdr:txBody>
    </xdr:sp>
    <xdr:clientData/>
  </xdr:twoCellAnchor>
  <xdr:twoCellAnchor>
    <xdr:from>
      <xdr:col>23</xdr:col>
      <xdr:colOff>3726</xdr:colOff>
      <xdr:row>65</xdr:row>
      <xdr:rowOff>223255</xdr:rowOff>
    </xdr:from>
    <xdr:to>
      <xdr:col>33</xdr:col>
      <xdr:colOff>185393</xdr:colOff>
      <xdr:row>65</xdr:row>
      <xdr:rowOff>223255</xdr:rowOff>
    </xdr:to>
    <xdr:cxnSp macro="">
      <xdr:nvCxnSpPr>
        <xdr:cNvPr id="91" name="直線コネクタ 90">
          <a:extLst>
            <a:ext uri="{FF2B5EF4-FFF2-40B4-BE49-F238E27FC236}">
              <a16:creationId xmlns:a16="http://schemas.microsoft.com/office/drawing/2014/main" id="{28A99B94-388E-44EA-9D6B-4ED66DC53B11}"/>
            </a:ext>
          </a:extLst>
        </xdr:cNvPr>
        <xdr:cNvCxnSpPr/>
      </xdr:nvCxnSpPr>
      <xdr:spPr>
        <a:xfrm>
          <a:off x="5261526" y="16768180"/>
          <a:ext cx="2467667"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editAs="absolute">
    <xdr:from>
      <xdr:col>31</xdr:col>
      <xdr:colOff>166733</xdr:colOff>
      <xdr:row>63</xdr:row>
      <xdr:rowOff>31495</xdr:rowOff>
    </xdr:from>
    <xdr:to>
      <xdr:col>34</xdr:col>
      <xdr:colOff>37004</xdr:colOff>
      <xdr:row>64</xdr:row>
      <xdr:rowOff>40929</xdr:rowOff>
    </xdr:to>
    <xdr:sp macro="" textlink="">
      <xdr:nvSpPr>
        <xdr:cNvPr id="92" name="テキスト ボックス 91">
          <a:extLst>
            <a:ext uri="{FF2B5EF4-FFF2-40B4-BE49-F238E27FC236}">
              <a16:creationId xmlns:a16="http://schemas.microsoft.com/office/drawing/2014/main" id="{0125B55B-DFAC-433C-A4C6-94CB2B6C946F}"/>
            </a:ext>
          </a:extLst>
        </xdr:cNvPr>
        <xdr:cNvSpPr txBox="1"/>
      </xdr:nvSpPr>
      <xdr:spPr>
        <a:xfrm>
          <a:off x="7179514" y="15152433"/>
          <a:ext cx="548928" cy="247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３層</a:t>
          </a:r>
        </a:p>
      </xdr:txBody>
    </xdr:sp>
    <xdr:clientData/>
  </xdr:twoCellAnchor>
  <xdr:twoCellAnchor editAs="absolute">
    <xdr:from>
      <xdr:col>31</xdr:col>
      <xdr:colOff>166733</xdr:colOff>
      <xdr:row>67</xdr:row>
      <xdr:rowOff>153314</xdr:rowOff>
    </xdr:from>
    <xdr:to>
      <xdr:col>34</xdr:col>
      <xdr:colOff>37004</xdr:colOff>
      <xdr:row>68</xdr:row>
      <xdr:rowOff>166111</xdr:rowOff>
    </xdr:to>
    <xdr:sp macro="" textlink="">
      <xdr:nvSpPr>
        <xdr:cNvPr id="93" name="テキスト ボックス 92">
          <a:extLst>
            <a:ext uri="{FF2B5EF4-FFF2-40B4-BE49-F238E27FC236}">
              <a16:creationId xmlns:a16="http://schemas.microsoft.com/office/drawing/2014/main" id="{4E29A537-D907-4964-B061-F6496E96527A}"/>
            </a:ext>
          </a:extLst>
        </xdr:cNvPr>
        <xdr:cNvSpPr txBox="1"/>
      </xdr:nvSpPr>
      <xdr:spPr>
        <a:xfrm>
          <a:off x="7179514" y="16226752"/>
          <a:ext cx="548928" cy="250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４層</a:t>
          </a:r>
        </a:p>
      </xdr:txBody>
    </xdr:sp>
    <xdr:clientData/>
  </xdr:twoCellAnchor>
  <xdr:twoCellAnchor>
    <xdr:from>
      <xdr:col>18</xdr:col>
      <xdr:colOff>99669</xdr:colOff>
      <xdr:row>58</xdr:row>
      <xdr:rowOff>202536</xdr:rowOff>
    </xdr:from>
    <xdr:to>
      <xdr:col>22</xdr:col>
      <xdr:colOff>48033</xdr:colOff>
      <xdr:row>58</xdr:row>
      <xdr:rowOff>202536</xdr:rowOff>
    </xdr:to>
    <xdr:cxnSp macro="">
      <xdr:nvCxnSpPr>
        <xdr:cNvPr id="94" name="直線コネクタ 93">
          <a:extLst>
            <a:ext uri="{FF2B5EF4-FFF2-40B4-BE49-F238E27FC236}">
              <a16:creationId xmlns:a16="http://schemas.microsoft.com/office/drawing/2014/main" id="{0EBB9366-D42C-4A7C-AFE4-8419D5FA9E9B}"/>
            </a:ext>
          </a:extLst>
        </xdr:cNvPr>
        <xdr:cNvCxnSpPr/>
      </xdr:nvCxnSpPr>
      <xdr:spPr>
        <a:xfrm>
          <a:off x="4133787" y="14927065"/>
          <a:ext cx="84483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89643</xdr:colOff>
      <xdr:row>59</xdr:row>
      <xdr:rowOff>121824</xdr:rowOff>
    </xdr:from>
    <xdr:to>
      <xdr:col>22</xdr:col>
      <xdr:colOff>38007</xdr:colOff>
      <xdr:row>59</xdr:row>
      <xdr:rowOff>121824</xdr:rowOff>
    </xdr:to>
    <xdr:cxnSp macro="">
      <xdr:nvCxnSpPr>
        <xdr:cNvPr id="95" name="直線コネクタ 94">
          <a:extLst>
            <a:ext uri="{FF2B5EF4-FFF2-40B4-BE49-F238E27FC236}">
              <a16:creationId xmlns:a16="http://schemas.microsoft.com/office/drawing/2014/main" id="{497E546E-4D07-4BB7-B0BE-3719F9734818}"/>
            </a:ext>
          </a:extLst>
        </xdr:cNvPr>
        <xdr:cNvCxnSpPr/>
      </xdr:nvCxnSpPr>
      <xdr:spPr>
        <a:xfrm>
          <a:off x="4123761" y="15081677"/>
          <a:ext cx="84483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46028</xdr:colOff>
      <xdr:row>58</xdr:row>
      <xdr:rowOff>207432</xdr:rowOff>
    </xdr:from>
    <xdr:to>
      <xdr:col>22</xdr:col>
      <xdr:colOff>46028</xdr:colOff>
      <xdr:row>59</xdr:row>
      <xdr:rowOff>122209</xdr:rowOff>
    </xdr:to>
    <xdr:cxnSp macro="">
      <xdr:nvCxnSpPr>
        <xdr:cNvPr id="96" name="直線コネクタ 95">
          <a:extLst>
            <a:ext uri="{FF2B5EF4-FFF2-40B4-BE49-F238E27FC236}">
              <a16:creationId xmlns:a16="http://schemas.microsoft.com/office/drawing/2014/main" id="{DB2FFFD3-420B-40D4-9FB5-35870BC25A4E}"/>
            </a:ext>
          </a:extLst>
        </xdr:cNvPr>
        <xdr:cNvCxnSpPr/>
      </xdr:nvCxnSpPr>
      <xdr:spPr>
        <a:xfrm>
          <a:off x="4976616" y="14931961"/>
          <a:ext cx="0" cy="1501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73242</xdr:colOff>
      <xdr:row>58</xdr:row>
      <xdr:rowOff>197227</xdr:rowOff>
    </xdr:from>
    <xdr:to>
      <xdr:col>22</xdr:col>
      <xdr:colOff>73242</xdr:colOff>
      <xdr:row>59</xdr:row>
      <xdr:rowOff>135995</xdr:rowOff>
    </xdr:to>
    <xdr:cxnSp macro="">
      <xdr:nvCxnSpPr>
        <xdr:cNvPr id="97" name="直線コネクタ 96">
          <a:extLst>
            <a:ext uri="{FF2B5EF4-FFF2-40B4-BE49-F238E27FC236}">
              <a16:creationId xmlns:a16="http://schemas.microsoft.com/office/drawing/2014/main" id="{40EE2E0F-A580-4E4D-BF29-6E23327F8392}"/>
            </a:ext>
          </a:extLst>
        </xdr:cNvPr>
        <xdr:cNvCxnSpPr/>
      </xdr:nvCxnSpPr>
      <xdr:spPr>
        <a:xfrm>
          <a:off x="5003830" y="14921756"/>
          <a:ext cx="0" cy="17409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216117</xdr:colOff>
      <xdr:row>58</xdr:row>
      <xdr:rowOff>197227</xdr:rowOff>
    </xdr:from>
    <xdr:to>
      <xdr:col>22</xdr:col>
      <xdr:colOff>216117</xdr:colOff>
      <xdr:row>59</xdr:row>
      <xdr:rowOff>135995</xdr:rowOff>
    </xdr:to>
    <xdr:cxnSp macro="">
      <xdr:nvCxnSpPr>
        <xdr:cNvPr id="98" name="直線コネクタ 97">
          <a:extLst>
            <a:ext uri="{FF2B5EF4-FFF2-40B4-BE49-F238E27FC236}">
              <a16:creationId xmlns:a16="http://schemas.microsoft.com/office/drawing/2014/main" id="{9A3709F8-38C8-454D-AFC4-F664829B419D}"/>
            </a:ext>
          </a:extLst>
        </xdr:cNvPr>
        <xdr:cNvCxnSpPr/>
      </xdr:nvCxnSpPr>
      <xdr:spPr>
        <a:xfrm>
          <a:off x="5146705" y="14921756"/>
          <a:ext cx="0" cy="17409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72172</xdr:colOff>
      <xdr:row>59</xdr:row>
      <xdr:rowOff>50349</xdr:rowOff>
    </xdr:from>
    <xdr:to>
      <xdr:col>22</xdr:col>
      <xdr:colOff>211646</xdr:colOff>
      <xdr:row>59</xdr:row>
      <xdr:rowOff>50349</xdr:rowOff>
    </xdr:to>
    <xdr:cxnSp macro="">
      <xdr:nvCxnSpPr>
        <xdr:cNvPr id="99" name="直線コネクタ 98">
          <a:extLst>
            <a:ext uri="{FF2B5EF4-FFF2-40B4-BE49-F238E27FC236}">
              <a16:creationId xmlns:a16="http://schemas.microsoft.com/office/drawing/2014/main" id="{7C408F9E-9116-43AB-B051-2570F9277DA4}"/>
            </a:ext>
          </a:extLst>
        </xdr:cNvPr>
        <xdr:cNvCxnSpPr/>
      </xdr:nvCxnSpPr>
      <xdr:spPr>
        <a:xfrm>
          <a:off x="5002760" y="15010202"/>
          <a:ext cx="13947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74343</xdr:colOff>
      <xdr:row>22</xdr:row>
      <xdr:rowOff>85600</xdr:rowOff>
    </xdr:from>
    <xdr:to>
      <xdr:col>23</xdr:col>
      <xdr:colOff>201223</xdr:colOff>
      <xdr:row>22</xdr:row>
      <xdr:rowOff>212480</xdr:rowOff>
    </xdr:to>
    <xdr:sp macro="" textlink="">
      <xdr:nvSpPr>
        <xdr:cNvPr id="107" name="楕円 106">
          <a:extLst>
            <a:ext uri="{FF2B5EF4-FFF2-40B4-BE49-F238E27FC236}">
              <a16:creationId xmlns:a16="http://schemas.microsoft.com/office/drawing/2014/main" id="{B47B04A3-F3B3-2A10-E878-1196A61E90D4}"/>
            </a:ext>
          </a:extLst>
        </xdr:cNvPr>
        <xdr:cNvSpPr/>
      </xdr:nvSpPr>
      <xdr:spPr>
        <a:xfrm>
          <a:off x="5310770" y="5373137"/>
          <a:ext cx="126880" cy="12688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194346</xdr:colOff>
      <xdr:row>69</xdr:row>
      <xdr:rowOff>22111</xdr:rowOff>
    </xdr:from>
    <xdr:to>
      <xdr:col>23</xdr:col>
      <xdr:colOff>93555</xdr:colOff>
      <xdr:row>69</xdr:row>
      <xdr:rowOff>148511</xdr:rowOff>
    </xdr:to>
    <xdr:sp macro="" textlink="">
      <xdr:nvSpPr>
        <xdr:cNvPr id="108" name="楕円 107">
          <a:extLst>
            <a:ext uri="{FF2B5EF4-FFF2-40B4-BE49-F238E27FC236}">
              <a16:creationId xmlns:a16="http://schemas.microsoft.com/office/drawing/2014/main" id="{6FFC22E9-3544-46DD-9EBE-B8324B3720D6}"/>
            </a:ext>
          </a:extLst>
        </xdr:cNvPr>
        <xdr:cNvSpPr/>
      </xdr:nvSpPr>
      <xdr:spPr>
        <a:xfrm>
          <a:off x="5252449" y="17410163"/>
          <a:ext cx="129123" cy="12640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22</xdr:col>
      <xdr:colOff>28575</xdr:colOff>
      <xdr:row>58</xdr:row>
      <xdr:rowOff>211931</xdr:rowOff>
    </xdr:from>
    <xdr:to>
      <xdr:col>23</xdr:col>
      <xdr:colOff>194354</xdr:colOff>
      <xdr:row>60</xdr:row>
      <xdr:rowOff>370</xdr:rowOff>
    </xdr:to>
    <xdr:sp macro="" textlink="">
      <xdr:nvSpPr>
        <xdr:cNvPr id="116" name="テキスト ボックス 115">
          <a:extLst>
            <a:ext uri="{FF2B5EF4-FFF2-40B4-BE49-F238E27FC236}">
              <a16:creationId xmlns:a16="http://schemas.microsoft.com/office/drawing/2014/main" id="{D2E8FDF7-F91E-7A00-6D3D-E5DC50541EC6}"/>
            </a:ext>
          </a:extLst>
        </xdr:cNvPr>
        <xdr:cNvSpPr txBox="1"/>
      </xdr:nvSpPr>
      <xdr:spPr>
        <a:xfrm>
          <a:off x="5005388" y="14142244"/>
          <a:ext cx="391997" cy="254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a:t>
          </a:r>
          <a:endParaRPr kumimoji="1" lang="ja-JP" altLang="en-US" sz="1100">
            <a:solidFill>
              <a:srgbClr val="FF0000"/>
            </a:solidFill>
          </a:endParaRPr>
        </a:p>
      </xdr:txBody>
    </xdr:sp>
    <xdr:clientData/>
  </xdr:twoCellAnchor>
  <xdr:twoCellAnchor editAs="absolute">
    <xdr:from>
      <xdr:col>22</xdr:col>
      <xdr:colOff>28575</xdr:colOff>
      <xdr:row>69</xdr:row>
      <xdr:rowOff>50006</xdr:rowOff>
    </xdr:from>
    <xdr:to>
      <xdr:col>23</xdr:col>
      <xdr:colOff>194354</xdr:colOff>
      <xdr:row>70</xdr:row>
      <xdr:rowOff>66332</xdr:rowOff>
    </xdr:to>
    <xdr:sp macro="" textlink="">
      <xdr:nvSpPr>
        <xdr:cNvPr id="117" name="テキスト ボックス 116">
          <a:extLst>
            <a:ext uri="{FF2B5EF4-FFF2-40B4-BE49-F238E27FC236}">
              <a16:creationId xmlns:a16="http://schemas.microsoft.com/office/drawing/2014/main" id="{0B42A1AD-6261-515E-9642-89851AA14938}"/>
            </a:ext>
          </a:extLst>
        </xdr:cNvPr>
        <xdr:cNvSpPr txBox="1"/>
      </xdr:nvSpPr>
      <xdr:spPr>
        <a:xfrm>
          <a:off x="5005388" y="16599694"/>
          <a:ext cx="391997" cy="254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B</a:t>
          </a:r>
          <a:endParaRPr kumimoji="1" lang="ja-JP" altLang="en-US" sz="1100">
            <a:solidFill>
              <a:srgbClr val="FF0000"/>
            </a:solidFill>
          </a:endParaRPr>
        </a:p>
      </xdr:txBody>
    </xdr:sp>
    <xdr:clientData/>
  </xdr:twoCellAnchor>
  <xdr:twoCellAnchor>
    <xdr:from>
      <xdr:col>22</xdr:col>
      <xdr:colOff>21706</xdr:colOff>
      <xdr:row>107</xdr:row>
      <xdr:rowOff>95610</xdr:rowOff>
    </xdr:from>
    <xdr:to>
      <xdr:col>32</xdr:col>
      <xdr:colOff>152483</xdr:colOff>
      <xdr:row>107</xdr:row>
      <xdr:rowOff>95610</xdr:rowOff>
    </xdr:to>
    <xdr:cxnSp macro="">
      <xdr:nvCxnSpPr>
        <xdr:cNvPr id="65" name="直線コネクタ 64">
          <a:extLst>
            <a:ext uri="{FF2B5EF4-FFF2-40B4-BE49-F238E27FC236}">
              <a16:creationId xmlns:a16="http://schemas.microsoft.com/office/drawing/2014/main" id="{3AE8CB4A-0560-428B-B97D-50377D8964DD}"/>
            </a:ext>
          </a:extLst>
        </xdr:cNvPr>
        <xdr:cNvCxnSpPr/>
      </xdr:nvCxnSpPr>
      <xdr:spPr>
        <a:xfrm>
          <a:off x="4998519" y="25289235"/>
          <a:ext cx="239296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47625</xdr:colOff>
      <xdr:row>115</xdr:row>
      <xdr:rowOff>29042</xdr:rowOff>
    </xdr:from>
    <xdr:to>
      <xdr:col>22</xdr:col>
      <xdr:colOff>3563</xdr:colOff>
      <xdr:row>115</xdr:row>
      <xdr:rowOff>29042</xdr:rowOff>
    </xdr:to>
    <xdr:cxnSp macro="">
      <xdr:nvCxnSpPr>
        <xdr:cNvPr id="66" name="直線コネクタ 65">
          <a:extLst>
            <a:ext uri="{FF2B5EF4-FFF2-40B4-BE49-F238E27FC236}">
              <a16:creationId xmlns:a16="http://schemas.microsoft.com/office/drawing/2014/main" id="{3A095F6F-2856-4C04-929F-176629D93348}"/>
            </a:ext>
          </a:extLst>
        </xdr:cNvPr>
        <xdr:cNvCxnSpPr/>
      </xdr:nvCxnSpPr>
      <xdr:spPr>
        <a:xfrm>
          <a:off x="4391025" y="25860842"/>
          <a:ext cx="64173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98255</xdr:colOff>
      <xdr:row>115</xdr:row>
      <xdr:rowOff>36678</xdr:rowOff>
    </xdr:from>
    <xdr:to>
      <xdr:col>20</xdr:col>
      <xdr:colOff>190967</xdr:colOff>
      <xdr:row>115</xdr:row>
      <xdr:rowOff>139856</xdr:rowOff>
    </xdr:to>
    <xdr:cxnSp macro="">
      <xdr:nvCxnSpPr>
        <xdr:cNvPr id="68" name="直線コネクタ 67">
          <a:extLst>
            <a:ext uri="{FF2B5EF4-FFF2-40B4-BE49-F238E27FC236}">
              <a16:creationId xmlns:a16="http://schemas.microsoft.com/office/drawing/2014/main" id="{DD91CA75-C7CA-4227-A7E6-57B8FBDAD9CE}"/>
            </a:ext>
          </a:extLst>
        </xdr:cNvPr>
        <xdr:cNvCxnSpPr/>
      </xdr:nvCxnSpPr>
      <xdr:spPr>
        <a:xfrm>
          <a:off x="4622630" y="27159116"/>
          <a:ext cx="92712" cy="10317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49529</xdr:colOff>
      <xdr:row>115</xdr:row>
      <xdr:rowOff>38522</xdr:rowOff>
    </xdr:from>
    <xdr:to>
      <xdr:col>20</xdr:col>
      <xdr:colOff>143649</xdr:colOff>
      <xdr:row>115</xdr:row>
      <xdr:rowOff>141700</xdr:rowOff>
    </xdr:to>
    <xdr:cxnSp macro="">
      <xdr:nvCxnSpPr>
        <xdr:cNvPr id="75" name="直線コネクタ 74">
          <a:extLst>
            <a:ext uri="{FF2B5EF4-FFF2-40B4-BE49-F238E27FC236}">
              <a16:creationId xmlns:a16="http://schemas.microsoft.com/office/drawing/2014/main" id="{62D9BF39-5BE2-4792-AE3C-414BE4808C59}"/>
            </a:ext>
          </a:extLst>
        </xdr:cNvPr>
        <xdr:cNvCxnSpPr/>
      </xdr:nvCxnSpPr>
      <xdr:spPr>
        <a:xfrm>
          <a:off x="4573904" y="27160960"/>
          <a:ext cx="94120" cy="10317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50444</xdr:colOff>
      <xdr:row>115</xdr:row>
      <xdr:rowOff>93086</xdr:rowOff>
    </xdr:from>
    <xdr:to>
      <xdr:col>20</xdr:col>
      <xdr:colOff>83508</xdr:colOff>
      <xdr:row>115</xdr:row>
      <xdr:rowOff>123812</xdr:rowOff>
    </xdr:to>
    <xdr:cxnSp macro="">
      <xdr:nvCxnSpPr>
        <xdr:cNvPr id="76" name="直線コネクタ 75">
          <a:extLst>
            <a:ext uri="{FF2B5EF4-FFF2-40B4-BE49-F238E27FC236}">
              <a16:creationId xmlns:a16="http://schemas.microsoft.com/office/drawing/2014/main" id="{A2C5339F-000A-4B12-B78B-582D5C1A70D1}"/>
            </a:ext>
          </a:extLst>
        </xdr:cNvPr>
        <xdr:cNvCxnSpPr/>
      </xdr:nvCxnSpPr>
      <xdr:spPr>
        <a:xfrm flipH="1">
          <a:off x="4574819" y="27215524"/>
          <a:ext cx="33064"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72136</xdr:colOff>
      <xdr:row>115</xdr:row>
      <xdr:rowOff>110284</xdr:rowOff>
    </xdr:from>
    <xdr:to>
      <xdr:col>20</xdr:col>
      <xdr:colOff>103792</xdr:colOff>
      <xdr:row>115</xdr:row>
      <xdr:rowOff>141010</xdr:rowOff>
    </xdr:to>
    <xdr:cxnSp macro="">
      <xdr:nvCxnSpPr>
        <xdr:cNvPr id="85" name="直線コネクタ 84">
          <a:extLst>
            <a:ext uri="{FF2B5EF4-FFF2-40B4-BE49-F238E27FC236}">
              <a16:creationId xmlns:a16="http://schemas.microsoft.com/office/drawing/2014/main" id="{CE1B134A-CDA7-4BC8-AD94-A5D7108D89C1}"/>
            </a:ext>
          </a:extLst>
        </xdr:cNvPr>
        <xdr:cNvCxnSpPr/>
      </xdr:nvCxnSpPr>
      <xdr:spPr>
        <a:xfrm flipH="1">
          <a:off x="4596511" y="27232722"/>
          <a:ext cx="3165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177271</xdr:colOff>
      <xdr:row>115</xdr:row>
      <xdr:rowOff>44548</xdr:rowOff>
    </xdr:from>
    <xdr:to>
      <xdr:col>20</xdr:col>
      <xdr:colOff>41416</xdr:colOff>
      <xdr:row>115</xdr:row>
      <xdr:rowOff>147726</xdr:rowOff>
    </xdr:to>
    <xdr:cxnSp macro="">
      <xdr:nvCxnSpPr>
        <xdr:cNvPr id="86" name="直線コネクタ 85">
          <a:extLst>
            <a:ext uri="{FF2B5EF4-FFF2-40B4-BE49-F238E27FC236}">
              <a16:creationId xmlns:a16="http://schemas.microsoft.com/office/drawing/2014/main" id="{1F119E49-641C-460C-A06E-518E8BD848ED}"/>
            </a:ext>
          </a:extLst>
        </xdr:cNvPr>
        <xdr:cNvCxnSpPr/>
      </xdr:nvCxnSpPr>
      <xdr:spPr>
        <a:xfrm>
          <a:off x="4475427" y="27166986"/>
          <a:ext cx="90364" cy="10317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129953</xdr:colOff>
      <xdr:row>115</xdr:row>
      <xdr:rowOff>46392</xdr:rowOff>
    </xdr:from>
    <xdr:to>
      <xdr:col>20</xdr:col>
      <xdr:colOff>1301</xdr:colOff>
      <xdr:row>115</xdr:row>
      <xdr:rowOff>149570</xdr:rowOff>
    </xdr:to>
    <xdr:cxnSp macro="">
      <xdr:nvCxnSpPr>
        <xdr:cNvPr id="87" name="直線コネクタ 86">
          <a:extLst>
            <a:ext uri="{FF2B5EF4-FFF2-40B4-BE49-F238E27FC236}">
              <a16:creationId xmlns:a16="http://schemas.microsoft.com/office/drawing/2014/main" id="{F5334584-8ECA-41D2-8857-B49C159F58CE}"/>
            </a:ext>
          </a:extLst>
        </xdr:cNvPr>
        <xdr:cNvCxnSpPr/>
      </xdr:nvCxnSpPr>
      <xdr:spPr>
        <a:xfrm>
          <a:off x="4428109" y="27168830"/>
          <a:ext cx="97567" cy="10317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129989</xdr:colOff>
      <xdr:row>115</xdr:row>
      <xdr:rowOff>100956</xdr:rowOff>
    </xdr:from>
    <xdr:to>
      <xdr:col>19</xdr:col>
      <xdr:colOff>160715</xdr:colOff>
      <xdr:row>115</xdr:row>
      <xdr:rowOff>131682</xdr:rowOff>
    </xdr:to>
    <xdr:cxnSp macro="">
      <xdr:nvCxnSpPr>
        <xdr:cNvPr id="88" name="直線コネクタ 87">
          <a:extLst>
            <a:ext uri="{FF2B5EF4-FFF2-40B4-BE49-F238E27FC236}">
              <a16:creationId xmlns:a16="http://schemas.microsoft.com/office/drawing/2014/main" id="{C803121B-6A62-4856-AC6B-A8B9EA1C3AA9}"/>
            </a:ext>
          </a:extLst>
        </xdr:cNvPr>
        <xdr:cNvCxnSpPr/>
      </xdr:nvCxnSpPr>
      <xdr:spPr>
        <a:xfrm flipH="1">
          <a:off x="4428145" y="27223394"/>
          <a:ext cx="3072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150273</xdr:colOff>
      <xdr:row>115</xdr:row>
      <xdr:rowOff>118154</xdr:rowOff>
    </xdr:from>
    <xdr:to>
      <xdr:col>19</xdr:col>
      <xdr:colOff>180999</xdr:colOff>
      <xdr:row>115</xdr:row>
      <xdr:rowOff>148880</xdr:rowOff>
    </xdr:to>
    <xdr:cxnSp macro="">
      <xdr:nvCxnSpPr>
        <xdr:cNvPr id="100" name="直線コネクタ 99">
          <a:extLst>
            <a:ext uri="{FF2B5EF4-FFF2-40B4-BE49-F238E27FC236}">
              <a16:creationId xmlns:a16="http://schemas.microsoft.com/office/drawing/2014/main" id="{D02485B6-5CF6-4477-B71B-CB9245263A84}"/>
            </a:ext>
          </a:extLst>
        </xdr:cNvPr>
        <xdr:cNvCxnSpPr/>
      </xdr:nvCxnSpPr>
      <xdr:spPr>
        <a:xfrm flipH="1">
          <a:off x="4448429" y="27240592"/>
          <a:ext cx="3072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210515</xdr:colOff>
      <xdr:row>107</xdr:row>
      <xdr:rowOff>90379</xdr:rowOff>
    </xdr:from>
    <xdr:to>
      <xdr:col>26</xdr:col>
      <xdr:colOff>75112</xdr:colOff>
      <xdr:row>107</xdr:row>
      <xdr:rowOff>170215</xdr:rowOff>
    </xdr:to>
    <xdr:cxnSp macro="">
      <xdr:nvCxnSpPr>
        <xdr:cNvPr id="101" name="直線コネクタ 100">
          <a:extLst>
            <a:ext uri="{FF2B5EF4-FFF2-40B4-BE49-F238E27FC236}">
              <a16:creationId xmlns:a16="http://schemas.microsoft.com/office/drawing/2014/main" id="{05B2E8F7-D09C-47D0-B1DC-417E7001C377}"/>
            </a:ext>
          </a:extLst>
        </xdr:cNvPr>
        <xdr:cNvCxnSpPr/>
      </xdr:nvCxnSpPr>
      <xdr:spPr>
        <a:xfrm>
          <a:off x="5865984" y="25284004"/>
          <a:ext cx="90816" cy="7983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163197</xdr:colOff>
      <xdr:row>107</xdr:row>
      <xdr:rowOff>92223</xdr:rowOff>
    </xdr:from>
    <xdr:to>
      <xdr:col>26</xdr:col>
      <xdr:colOff>25073</xdr:colOff>
      <xdr:row>107</xdr:row>
      <xdr:rowOff>172059</xdr:rowOff>
    </xdr:to>
    <xdr:cxnSp macro="">
      <xdr:nvCxnSpPr>
        <xdr:cNvPr id="102" name="直線コネクタ 101">
          <a:extLst>
            <a:ext uri="{FF2B5EF4-FFF2-40B4-BE49-F238E27FC236}">
              <a16:creationId xmlns:a16="http://schemas.microsoft.com/office/drawing/2014/main" id="{5795ED11-52FE-42BB-B302-BD2E29B6EAB1}"/>
            </a:ext>
          </a:extLst>
        </xdr:cNvPr>
        <xdr:cNvCxnSpPr/>
      </xdr:nvCxnSpPr>
      <xdr:spPr>
        <a:xfrm>
          <a:off x="5818666" y="25285848"/>
          <a:ext cx="88095" cy="7983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163233</xdr:colOff>
      <xdr:row>107</xdr:row>
      <xdr:rowOff>133055</xdr:rowOff>
    </xdr:from>
    <xdr:to>
      <xdr:col>25</xdr:col>
      <xdr:colOff>193959</xdr:colOff>
      <xdr:row>107</xdr:row>
      <xdr:rowOff>154256</xdr:rowOff>
    </xdr:to>
    <xdr:cxnSp macro="">
      <xdr:nvCxnSpPr>
        <xdr:cNvPr id="103" name="直線コネクタ 102">
          <a:extLst>
            <a:ext uri="{FF2B5EF4-FFF2-40B4-BE49-F238E27FC236}">
              <a16:creationId xmlns:a16="http://schemas.microsoft.com/office/drawing/2014/main" id="{0E85514F-42DF-4BD6-8743-FDC186643346}"/>
            </a:ext>
          </a:extLst>
        </xdr:cNvPr>
        <xdr:cNvCxnSpPr/>
      </xdr:nvCxnSpPr>
      <xdr:spPr>
        <a:xfrm flipH="1">
          <a:off x="5818702" y="25326680"/>
          <a:ext cx="30726" cy="212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183517</xdr:colOff>
      <xdr:row>107</xdr:row>
      <xdr:rowOff>150253</xdr:rowOff>
    </xdr:from>
    <xdr:to>
      <xdr:col>25</xdr:col>
      <xdr:colOff>214243</xdr:colOff>
      <xdr:row>107</xdr:row>
      <xdr:rowOff>171374</xdr:rowOff>
    </xdr:to>
    <xdr:cxnSp macro="">
      <xdr:nvCxnSpPr>
        <xdr:cNvPr id="104" name="直線コネクタ 103">
          <a:extLst>
            <a:ext uri="{FF2B5EF4-FFF2-40B4-BE49-F238E27FC236}">
              <a16:creationId xmlns:a16="http://schemas.microsoft.com/office/drawing/2014/main" id="{3DB52982-76D8-4D9F-9BC4-C3A4E1F79C99}"/>
            </a:ext>
          </a:extLst>
        </xdr:cNvPr>
        <xdr:cNvCxnSpPr/>
      </xdr:nvCxnSpPr>
      <xdr:spPr>
        <a:xfrm flipH="1">
          <a:off x="5838986" y="25343878"/>
          <a:ext cx="30726" cy="211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130379</xdr:colOff>
      <xdr:row>107</xdr:row>
      <xdr:rowOff>85890</xdr:rowOff>
    </xdr:from>
    <xdr:to>
      <xdr:col>26</xdr:col>
      <xdr:colOff>219821</xdr:colOff>
      <xdr:row>107</xdr:row>
      <xdr:rowOff>165726</xdr:rowOff>
    </xdr:to>
    <xdr:cxnSp macro="">
      <xdr:nvCxnSpPr>
        <xdr:cNvPr id="105" name="直線コネクタ 104">
          <a:extLst>
            <a:ext uri="{FF2B5EF4-FFF2-40B4-BE49-F238E27FC236}">
              <a16:creationId xmlns:a16="http://schemas.microsoft.com/office/drawing/2014/main" id="{CA4E5F73-42A5-4A2C-8683-377448054C4E}"/>
            </a:ext>
          </a:extLst>
        </xdr:cNvPr>
        <xdr:cNvCxnSpPr/>
      </xdr:nvCxnSpPr>
      <xdr:spPr>
        <a:xfrm>
          <a:off x="6012067" y="25279515"/>
          <a:ext cx="89442" cy="7983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83061</xdr:colOff>
      <xdr:row>107</xdr:row>
      <xdr:rowOff>87734</xdr:rowOff>
    </xdr:from>
    <xdr:to>
      <xdr:col>26</xdr:col>
      <xdr:colOff>172503</xdr:colOff>
      <xdr:row>107</xdr:row>
      <xdr:rowOff>167570</xdr:rowOff>
    </xdr:to>
    <xdr:cxnSp macro="">
      <xdr:nvCxnSpPr>
        <xdr:cNvPr id="106" name="直線コネクタ 105">
          <a:extLst>
            <a:ext uri="{FF2B5EF4-FFF2-40B4-BE49-F238E27FC236}">
              <a16:creationId xmlns:a16="http://schemas.microsoft.com/office/drawing/2014/main" id="{C24E0427-1203-4FE6-A36C-9856511EFD66}"/>
            </a:ext>
          </a:extLst>
        </xdr:cNvPr>
        <xdr:cNvCxnSpPr/>
      </xdr:nvCxnSpPr>
      <xdr:spPr>
        <a:xfrm>
          <a:off x="5964749" y="25281359"/>
          <a:ext cx="89442" cy="7983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83097</xdr:colOff>
      <xdr:row>107</xdr:row>
      <xdr:rowOff>128561</xdr:rowOff>
    </xdr:from>
    <xdr:to>
      <xdr:col>26</xdr:col>
      <xdr:colOff>113823</xdr:colOff>
      <xdr:row>107</xdr:row>
      <xdr:rowOff>156485</xdr:rowOff>
    </xdr:to>
    <xdr:cxnSp macro="">
      <xdr:nvCxnSpPr>
        <xdr:cNvPr id="109" name="直線コネクタ 108">
          <a:extLst>
            <a:ext uri="{FF2B5EF4-FFF2-40B4-BE49-F238E27FC236}">
              <a16:creationId xmlns:a16="http://schemas.microsoft.com/office/drawing/2014/main" id="{0BC5B3FD-91E9-45C9-8A5B-25E89D474213}"/>
            </a:ext>
          </a:extLst>
        </xdr:cNvPr>
        <xdr:cNvCxnSpPr/>
      </xdr:nvCxnSpPr>
      <xdr:spPr>
        <a:xfrm flipH="1">
          <a:off x="5964785" y="25322186"/>
          <a:ext cx="30726" cy="279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103381</xdr:colOff>
      <xdr:row>107</xdr:row>
      <xdr:rowOff>145759</xdr:rowOff>
    </xdr:from>
    <xdr:to>
      <xdr:col>26</xdr:col>
      <xdr:colOff>134107</xdr:colOff>
      <xdr:row>107</xdr:row>
      <xdr:rowOff>166880</xdr:rowOff>
    </xdr:to>
    <xdr:cxnSp macro="">
      <xdr:nvCxnSpPr>
        <xdr:cNvPr id="110" name="直線コネクタ 109">
          <a:extLst>
            <a:ext uri="{FF2B5EF4-FFF2-40B4-BE49-F238E27FC236}">
              <a16:creationId xmlns:a16="http://schemas.microsoft.com/office/drawing/2014/main" id="{6497BF2F-FBBE-47A2-8B95-AE1CB8BA49D6}"/>
            </a:ext>
          </a:extLst>
        </xdr:cNvPr>
        <xdr:cNvCxnSpPr/>
      </xdr:nvCxnSpPr>
      <xdr:spPr>
        <a:xfrm flipH="1">
          <a:off x="5985069" y="25339384"/>
          <a:ext cx="30726" cy="211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10617</xdr:colOff>
      <xdr:row>107</xdr:row>
      <xdr:rowOff>103397</xdr:rowOff>
    </xdr:from>
    <xdr:to>
      <xdr:col>24</xdr:col>
      <xdr:colOff>109739</xdr:colOff>
      <xdr:row>110</xdr:row>
      <xdr:rowOff>174806</xdr:rowOff>
    </xdr:to>
    <xdr:cxnSp macro="">
      <xdr:nvCxnSpPr>
        <xdr:cNvPr id="111" name="直線コネクタ 110">
          <a:extLst>
            <a:ext uri="{FF2B5EF4-FFF2-40B4-BE49-F238E27FC236}">
              <a16:creationId xmlns:a16="http://schemas.microsoft.com/office/drawing/2014/main" id="{6762FD74-8C88-46C4-9907-B4375B2CA8A3}"/>
            </a:ext>
          </a:extLst>
        </xdr:cNvPr>
        <xdr:cNvCxnSpPr/>
      </xdr:nvCxnSpPr>
      <xdr:spPr>
        <a:xfrm>
          <a:off x="5213648" y="25297022"/>
          <a:ext cx="325341" cy="809597"/>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22</xdr:col>
      <xdr:colOff>17922</xdr:colOff>
      <xdr:row>115</xdr:row>
      <xdr:rowOff>36732</xdr:rowOff>
    </xdr:from>
    <xdr:to>
      <xdr:col>31</xdr:col>
      <xdr:colOff>49306</xdr:colOff>
      <xdr:row>115</xdr:row>
      <xdr:rowOff>36732</xdr:rowOff>
    </xdr:to>
    <xdr:cxnSp macro="">
      <xdr:nvCxnSpPr>
        <xdr:cNvPr id="112" name="直線コネクタ 111">
          <a:extLst>
            <a:ext uri="{FF2B5EF4-FFF2-40B4-BE49-F238E27FC236}">
              <a16:creationId xmlns:a16="http://schemas.microsoft.com/office/drawing/2014/main" id="{C0C7F1DB-1381-49D0-BB17-2D8EE78B207D}"/>
            </a:ext>
          </a:extLst>
        </xdr:cNvPr>
        <xdr:cNvCxnSpPr/>
      </xdr:nvCxnSpPr>
      <xdr:spPr>
        <a:xfrm>
          <a:off x="4994735" y="27159170"/>
          <a:ext cx="2067352"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22</xdr:col>
      <xdr:colOff>26578</xdr:colOff>
      <xdr:row>107</xdr:row>
      <xdr:rowOff>95673</xdr:rowOff>
    </xdr:from>
    <xdr:to>
      <xdr:col>23</xdr:col>
      <xdr:colOff>20391</xdr:colOff>
      <xdr:row>107</xdr:row>
      <xdr:rowOff>95673</xdr:rowOff>
    </xdr:to>
    <xdr:cxnSp macro="">
      <xdr:nvCxnSpPr>
        <xdr:cNvPr id="113" name="直線コネクタ 112">
          <a:extLst>
            <a:ext uri="{FF2B5EF4-FFF2-40B4-BE49-F238E27FC236}">
              <a16:creationId xmlns:a16="http://schemas.microsoft.com/office/drawing/2014/main" id="{02925B8D-8CF3-4831-BDCB-DD45B83199F2}"/>
            </a:ext>
          </a:extLst>
        </xdr:cNvPr>
        <xdr:cNvCxnSpPr/>
      </xdr:nvCxnSpPr>
      <xdr:spPr>
        <a:xfrm>
          <a:off x="5003391" y="25289298"/>
          <a:ext cx="220031"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22</xdr:col>
      <xdr:colOff>28128</xdr:colOff>
      <xdr:row>107</xdr:row>
      <xdr:rowOff>103397</xdr:rowOff>
    </xdr:from>
    <xdr:to>
      <xdr:col>22</xdr:col>
      <xdr:colOff>28128</xdr:colOff>
      <xdr:row>119</xdr:row>
      <xdr:rowOff>214310</xdr:rowOff>
    </xdr:to>
    <xdr:cxnSp macro="">
      <xdr:nvCxnSpPr>
        <xdr:cNvPr id="114" name="直線コネクタ 113">
          <a:extLst>
            <a:ext uri="{FF2B5EF4-FFF2-40B4-BE49-F238E27FC236}">
              <a16:creationId xmlns:a16="http://schemas.microsoft.com/office/drawing/2014/main" id="{86E24774-79D4-4141-A55E-3BD6D2C98D4D}"/>
            </a:ext>
          </a:extLst>
        </xdr:cNvPr>
        <xdr:cNvCxnSpPr/>
      </xdr:nvCxnSpPr>
      <xdr:spPr>
        <a:xfrm>
          <a:off x="5004941" y="25297022"/>
          <a:ext cx="0" cy="2992226"/>
        </a:xfrm>
        <a:prstGeom prst="line">
          <a:avLst/>
        </a:prstGeom>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38996</xdr:colOff>
      <xdr:row>110</xdr:row>
      <xdr:rowOff>173360</xdr:rowOff>
    </xdr:from>
    <xdr:to>
      <xdr:col>32</xdr:col>
      <xdr:colOff>222667</xdr:colOff>
      <xdr:row>110</xdr:row>
      <xdr:rowOff>173360</xdr:rowOff>
    </xdr:to>
    <xdr:cxnSp macro="">
      <xdr:nvCxnSpPr>
        <xdr:cNvPr id="115" name="直線コネクタ 114">
          <a:extLst>
            <a:ext uri="{FF2B5EF4-FFF2-40B4-BE49-F238E27FC236}">
              <a16:creationId xmlns:a16="http://schemas.microsoft.com/office/drawing/2014/main" id="{F2D02BA1-B076-48A6-9520-D75621FA6BE8}"/>
            </a:ext>
          </a:extLst>
        </xdr:cNvPr>
        <xdr:cNvCxnSpPr/>
      </xdr:nvCxnSpPr>
      <xdr:spPr>
        <a:xfrm>
          <a:off x="5015809" y="26105173"/>
          <a:ext cx="2445858"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22</xdr:col>
      <xdr:colOff>36931</xdr:colOff>
      <xdr:row>108</xdr:row>
      <xdr:rowOff>91950</xdr:rowOff>
    </xdr:from>
    <xdr:to>
      <xdr:col>32</xdr:col>
      <xdr:colOff>222667</xdr:colOff>
      <xdr:row>108</xdr:row>
      <xdr:rowOff>91950</xdr:rowOff>
    </xdr:to>
    <xdr:cxnSp macro="">
      <xdr:nvCxnSpPr>
        <xdr:cNvPr id="118" name="直線コネクタ 117">
          <a:extLst>
            <a:ext uri="{FF2B5EF4-FFF2-40B4-BE49-F238E27FC236}">
              <a16:creationId xmlns:a16="http://schemas.microsoft.com/office/drawing/2014/main" id="{E16818C9-AF8C-4533-93EB-6B8B646C3054}"/>
            </a:ext>
          </a:extLst>
        </xdr:cNvPr>
        <xdr:cNvCxnSpPr/>
      </xdr:nvCxnSpPr>
      <xdr:spPr>
        <a:xfrm>
          <a:off x="5013744" y="25523700"/>
          <a:ext cx="2447923"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22</xdr:col>
      <xdr:colOff>42786</xdr:colOff>
      <xdr:row>108</xdr:row>
      <xdr:rowOff>88733</xdr:rowOff>
    </xdr:from>
    <xdr:to>
      <xdr:col>23</xdr:col>
      <xdr:colOff>103502</xdr:colOff>
      <xdr:row>110</xdr:row>
      <xdr:rowOff>178916</xdr:rowOff>
    </xdr:to>
    <xdr:cxnSp macro="">
      <xdr:nvCxnSpPr>
        <xdr:cNvPr id="119" name="直線コネクタ 118">
          <a:extLst>
            <a:ext uri="{FF2B5EF4-FFF2-40B4-BE49-F238E27FC236}">
              <a16:creationId xmlns:a16="http://schemas.microsoft.com/office/drawing/2014/main" id="{884CA80C-1764-4916-9D37-93D6A116CBAC}"/>
            </a:ext>
          </a:extLst>
        </xdr:cNvPr>
        <xdr:cNvCxnSpPr/>
      </xdr:nvCxnSpPr>
      <xdr:spPr>
        <a:xfrm flipV="1">
          <a:off x="5019599" y="25520483"/>
          <a:ext cx="286934" cy="590246"/>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22</xdr:col>
      <xdr:colOff>39414</xdr:colOff>
      <xdr:row>110</xdr:row>
      <xdr:rowOff>200074</xdr:rowOff>
    </xdr:from>
    <xdr:to>
      <xdr:col>24</xdr:col>
      <xdr:colOff>96934</xdr:colOff>
      <xdr:row>113</xdr:row>
      <xdr:rowOff>127275</xdr:rowOff>
    </xdr:to>
    <xdr:cxnSp macro="">
      <xdr:nvCxnSpPr>
        <xdr:cNvPr id="120" name="直線コネクタ 119">
          <a:extLst>
            <a:ext uri="{FF2B5EF4-FFF2-40B4-BE49-F238E27FC236}">
              <a16:creationId xmlns:a16="http://schemas.microsoft.com/office/drawing/2014/main" id="{EC0BA9D7-0AD7-4A55-B79D-360AF3F02514}"/>
            </a:ext>
          </a:extLst>
        </xdr:cNvPr>
        <xdr:cNvCxnSpPr/>
      </xdr:nvCxnSpPr>
      <xdr:spPr>
        <a:xfrm flipV="1">
          <a:off x="5016227" y="26131887"/>
          <a:ext cx="509957" cy="641576"/>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20</xdr:col>
      <xdr:colOff>2655</xdr:colOff>
      <xdr:row>115</xdr:row>
      <xdr:rowOff>32382</xdr:rowOff>
    </xdr:from>
    <xdr:to>
      <xdr:col>31</xdr:col>
      <xdr:colOff>48545</xdr:colOff>
      <xdr:row>118</xdr:row>
      <xdr:rowOff>112573</xdr:rowOff>
    </xdr:to>
    <xdr:cxnSp macro="">
      <xdr:nvCxnSpPr>
        <xdr:cNvPr id="121" name="直線コネクタ 120">
          <a:extLst>
            <a:ext uri="{FF2B5EF4-FFF2-40B4-BE49-F238E27FC236}">
              <a16:creationId xmlns:a16="http://schemas.microsoft.com/office/drawing/2014/main" id="{233D9249-8C08-47A4-BBF0-F3537298555E}"/>
            </a:ext>
          </a:extLst>
        </xdr:cNvPr>
        <xdr:cNvCxnSpPr/>
      </xdr:nvCxnSpPr>
      <xdr:spPr>
        <a:xfrm flipH="1">
          <a:off x="4527030" y="27154820"/>
          <a:ext cx="2534296" cy="794566"/>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24</xdr:col>
      <xdr:colOff>113782</xdr:colOff>
      <xdr:row>110</xdr:row>
      <xdr:rowOff>167985</xdr:rowOff>
    </xdr:from>
    <xdr:to>
      <xdr:col>31</xdr:col>
      <xdr:colOff>10432</xdr:colOff>
      <xdr:row>115</xdr:row>
      <xdr:rowOff>31449</xdr:rowOff>
    </xdr:to>
    <xdr:cxnSp macro="">
      <xdr:nvCxnSpPr>
        <xdr:cNvPr id="122" name="直線コネクタ 121">
          <a:extLst>
            <a:ext uri="{FF2B5EF4-FFF2-40B4-BE49-F238E27FC236}">
              <a16:creationId xmlns:a16="http://schemas.microsoft.com/office/drawing/2014/main" id="{82091FC9-1B0C-4144-9AE0-3B46D6804578}"/>
            </a:ext>
          </a:extLst>
        </xdr:cNvPr>
        <xdr:cNvCxnSpPr/>
      </xdr:nvCxnSpPr>
      <xdr:spPr>
        <a:xfrm flipH="1" flipV="1">
          <a:off x="5543032" y="26099798"/>
          <a:ext cx="1480181" cy="1054089"/>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19</xdr:col>
      <xdr:colOff>222168</xdr:colOff>
      <xdr:row>118</xdr:row>
      <xdr:rowOff>120902</xdr:rowOff>
    </xdr:from>
    <xdr:to>
      <xdr:col>21</xdr:col>
      <xdr:colOff>189172</xdr:colOff>
      <xdr:row>118</xdr:row>
      <xdr:rowOff>120902</xdr:rowOff>
    </xdr:to>
    <xdr:cxnSp macro="">
      <xdr:nvCxnSpPr>
        <xdr:cNvPr id="123" name="直線コネクタ 122">
          <a:extLst>
            <a:ext uri="{FF2B5EF4-FFF2-40B4-BE49-F238E27FC236}">
              <a16:creationId xmlns:a16="http://schemas.microsoft.com/office/drawing/2014/main" id="{7D4F7541-4CB5-4625-AD53-77520CBA0E93}"/>
            </a:ext>
          </a:extLst>
        </xdr:cNvPr>
        <xdr:cNvCxnSpPr/>
      </xdr:nvCxnSpPr>
      <xdr:spPr>
        <a:xfrm>
          <a:off x="4520324" y="27957715"/>
          <a:ext cx="419442"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editAs="absolute">
    <xdr:from>
      <xdr:col>21</xdr:col>
      <xdr:colOff>173240</xdr:colOff>
      <xdr:row>108</xdr:row>
      <xdr:rowOff>21988</xdr:rowOff>
    </xdr:from>
    <xdr:to>
      <xdr:col>23</xdr:col>
      <xdr:colOff>7234</xdr:colOff>
      <xdr:row>109</xdr:row>
      <xdr:rowOff>38316</xdr:rowOff>
    </xdr:to>
    <xdr:sp macro="" textlink="">
      <xdr:nvSpPr>
        <xdr:cNvPr id="124" name="テキスト ボックス 123">
          <a:extLst>
            <a:ext uri="{FF2B5EF4-FFF2-40B4-BE49-F238E27FC236}">
              <a16:creationId xmlns:a16="http://schemas.microsoft.com/office/drawing/2014/main" id="{0EDF6AF2-C4B4-4565-9033-EFE49F929287}"/>
            </a:ext>
          </a:extLst>
        </xdr:cNvPr>
        <xdr:cNvSpPr txBox="1"/>
      </xdr:nvSpPr>
      <xdr:spPr>
        <a:xfrm>
          <a:off x="4958885" y="24819035"/>
          <a:ext cx="289770" cy="244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editAs="absolute">
    <xdr:from>
      <xdr:col>22</xdr:col>
      <xdr:colOff>164206</xdr:colOff>
      <xdr:row>109</xdr:row>
      <xdr:rowOff>62832</xdr:rowOff>
    </xdr:from>
    <xdr:to>
      <xdr:col>24</xdr:col>
      <xdr:colOff>3300</xdr:colOff>
      <xdr:row>110</xdr:row>
      <xdr:rowOff>52259</xdr:rowOff>
    </xdr:to>
    <xdr:sp macro="" textlink="">
      <xdr:nvSpPr>
        <xdr:cNvPr id="125" name="テキスト ボックス 124">
          <a:extLst>
            <a:ext uri="{FF2B5EF4-FFF2-40B4-BE49-F238E27FC236}">
              <a16:creationId xmlns:a16="http://schemas.microsoft.com/office/drawing/2014/main" id="{2D3AAF40-AD0F-4248-9493-71A585CD5424}"/>
            </a:ext>
          </a:extLst>
        </xdr:cNvPr>
        <xdr:cNvSpPr txBox="1"/>
      </xdr:nvSpPr>
      <xdr:spPr>
        <a:xfrm>
          <a:off x="5177739" y="25087767"/>
          <a:ext cx="294869" cy="238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editAs="absolute">
    <xdr:from>
      <xdr:col>22</xdr:col>
      <xdr:colOff>11421</xdr:colOff>
      <xdr:row>110</xdr:row>
      <xdr:rowOff>209241</xdr:rowOff>
    </xdr:from>
    <xdr:to>
      <xdr:col>23</xdr:col>
      <xdr:colOff>74974</xdr:colOff>
      <xdr:row>112</xdr:row>
      <xdr:rowOff>58</xdr:rowOff>
    </xdr:to>
    <xdr:sp macro="" textlink="">
      <xdr:nvSpPr>
        <xdr:cNvPr id="126" name="テキスト ボックス 125">
          <a:extLst>
            <a:ext uri="{FF2B5EF4-FFF2-40B4-BE49-F238E27FC236}">
              <a16:creationId xmlns:a16="http://schemas.microsoft.com/office/drawing/2014/main" id="{F4139303-A40A-4BCE-9D0B-21D9A226485B}"/>
            </a:ext>
          </a:extLst>
        </xdr:cNvPr>
        <xdr:cNvSpPr txBox="1"/>
      </xdr:nvSpPr>
      <xdr:spPr>
        <a:xfrm>
          <a:off x="5024954" y="25483428"/>
          <a:ext cx="291441" cy="246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p>
      </xdr:txBody>
    </xdr:sp>
    <xdr:clientData/>
  </xdr:twoCellAnchor>
  <xdr:twoCellAnchor editAs="absolute">
    <xdr:from>
      <xdr:col>24</xdr:col>
      <xdr:colOff>40687</xdr:colOff>
      <xdr:row>111</xdr:row>
      <xdr:rowOff>132314</xdr:rowOff>
    </xdr:from>
    <xdr:to>
      <xdr:col>25</xdr:col>
      <xdr:colOff>102213</xdr:colOff>
      <xdr:row>112</xdr:row>
      <xdr:rowOff>150571</xdr:rowOff>
    </xdr:to>
    <xdr:sp macro="" textlink="">
      <xdr:nvSpPr>
        <xdr:cNvPr id="127" name="テキスト ボックス 126">
          <a:extLst>
            <a:ext uri="{FF2B5EF4-FFF2-40B4-BE49-F238E27FC236}">
              <a16:creationId xmlns:a16="http://schemas.microsoft.com/office/drawing/2014/main" id="{863C4E13-4EB3-4B78-9379-EAC0F6E141D2}"/>
            </a:ext>
          </a:extLst>
        </xdr:cNvPr>
        <xdr:cNvSpPr txBox="1"/>
      </xdr:nvSpPr>
      <xdr:spPr>
        <a:xfrm>
          <a:off x="5509995" y="25634389"/>
          <a:ext cx="289414" cy="246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editAs="absolute">
    <xdr:from>
      <xdr:col>30</xdr:col>
      <xdr:colOff>168225</xdr:colOff>
      <xdr:row>107</xdr:row>
      <xdr:rowOff>43543</xdr:rowOff>
    </xdr:from>
    <xdr:to>
      <xdr:col>33</xdr:col>
      <xdr:colOff>34110</xdr:colOff>
      <xdr:row>108</xdr:row>
      <xdr:rowOff>59869</xdr:rowOff>
    </xdr:to>
    <xdr:sp macro="" textlink="">
      <xdr:nvSpPr>
        <xdr:cNvPr id="129" name="テキスト ボックス 128">
          <a:extLst>
            <a:ext uri="{FF2B5EF4-FFF2-40B4-BE49-F238E27FC236}">
              <a16:creationId xmlns:a16="http://schemas.microsoft.com/office/drawing/2014/main" id="{493796FD-A1B9-4D0C-9889-2B0D26E6CB63}"/>
            </a:ext>
          </a:extLst>
        </xdr:cNvPr>
        <xdr:cNvSpPr txBox="1"/>
      </xdr:nvSpPr>
      <xdr:spPr>
        <a:xfrm>
          <a:off x="7004861" y="24612702"/>
          <a:ext cx="549548" cy="2442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１層</a:t>
          </a:r>
        </a:p>
      </xdr:txBody>
    </xdr:sp>
    <xdr:clientData/>
  </xdr:twoCellAnchor>
  <xdr:twoCellAnchor editAs="absolute">
    <xdr:from>
      <xdr:col>30</xdr:col>
      <xdr:colOff>177939</xdr:colOff>
      <xdr:row>108</xdr:row>
      <xdr:rowOff>180795</xdr:rowOff>
    </xdr:from>
    <xdr:to>
      <xdr:col>33</xdr:col>
      <xdr:colOff>48210</xdr:colOff>
      <xdr:row>109</xdr:row>
      <xdr:rowOff>195710</xdr:rowOff>
    </xdr:to>
    <xdr:sp macro="" textlink="">
      <xdr:nvSpPr>
        <xdr:cNvPr id="130" name="テキスト ボックス 129">
          <a:extLst>
            <a:ext uri="{FF2B5EF4-FFF2-40B4-BE49-F238E27FC236}">
              <a16:creationId xmlns:a16="http://schemas.microsoft.com/office/drawing/2014/main" id="{5EF9AE47-C940-4EFD-A0AF-5946E95BE1CD}"/>
            </a:ext>
          </a:extLst>
        </xdr:cNvPr>
        <xdr:cNvSpPr txBox="1"/>
      </xdr:nvSpPr>
      <xdr:spPr>
        <a:xfrm>
          <a:off x="7014575" y="24977842"/>
          <a:ext cx="553934" cy="242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２層</a:t>
          </a:r>
        </a:p>
      </xdr:txBody>
    </xdr:sp>
    <xdr:clientData/>
  </xdr:twoCellAnchor>
  <xdr:twoCellAnchor>
    <xdr:from>
      <xdr:col>22</xdr:col>
      <xdr:colOff>14932</xdr:colOff>
      <xdr:row>115</xdr:row>
      <xdr:rowOff>31359</xdr:rowOff>
    </xdr:from>
    <xdr:to>
      <xdr:col>32</xdr:col>
      <xdr:colOff>196598</xdr:colOff>
      <xdr:row>115</xdr:row>
      <xdr:rowOff>31359</xdr:rowOff>
    </xdr:to>
    <xdr:cxnSp macro="">
      <xdr:nvCxnSpPr>
        <xdr:cNvPr id="131" name="直線コネクタ 130">
          <a:extLst>
            <a:ext uri="{FF2B5EF4-FFF2-40B4-BE49-F238E27FC236}">
              <a16:creationId xmlns:a16="http://schemas.microsoft.com/office/drawing/2014/main" id="{FB4C26B2-B001-468A-847E-F6AA7D0E89EF}"/>
            </a:ext>
          </a:extLst>
        </xdr:cNvPr>
        <xdr:cNvCxnSpPr/>
      </xdr:nvCxnSpPr>
      <xdr:spPr>
        <a:xfrm>
          <a:off x="4991745" y="27153797"/>
          <a:ext cx="2443853"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editAs="absolute">
    <xdr:from>
      <xdr:col>30</xdr:col>
      <xdr:colOff>177939</xdr:colOff>
      <xdr:row>112</xdr:row>
      <xdr:rowOff>44253</xdr:rowOff>
    </xdr:from>
    <xdr:to>
      <xdr:col>33</xdr:col>
      <xdr:colOff>48210</xdr:colOff>
      <xdr:row>113</xdr:row>
      <xdr:rowOff>56002</xdr:rowOff>
    </xdr:to>
    <xdr:sp macro="" textlink="">
      <xdr:nvSpPr>
        <xdr:cNvPr id="132" name="テキスト ボックス 131">
          <a:extLst>
            <a:ext uri="{FF2B5EF4-FFF2-40B4-BE49-F238E27FC236}">
              <a16:creationId xmlns:a16="http://schemas.microsoft.com/office/drawing/2014/main" id="{AC55877B-CF7A-4AFD-8727-DC0EF147F3F9}"/>
            </a:ext>
          </a:extLst>
        </xdr:cNvPr>
        <xdr:cNvSpPr txBox="1"/>
      </xdr:nvSpPr>
      <xdr:spPr>
        <a:xfrm>
          <a:off x="7014575" y="25774216"/>
          <a:ext cx="553934" cy="239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３層</a:t>
          </a:r>
        </a:p>
      </xdr:txBody>
    </xdr:sp>
    <xdr:clientData/>
  </xdr:twoCellAnchor>
  <xdr:twoCellAnchor editAs="absolute">
    <xdr:from>
      <xdr:col>30</xdr:col>
      <xdr:colOff>177939</xdr:colOff>
      <xdr:row>116</xdr:row>
      <xdr:rowOff>168386</xdr:rowOff>
    </xdr:from>
    <xdr:to>
      <xdr:col>33</xdr:col>
      <xdr:colOff>48210</xdr:colOff>
      <xdr:row>117</xdr:row>
      <xdr:rowOff>181184</xdr:rowOff>
    </xdr:to>
    <xdr:sp macro="" textlink="">
      <xdr:nvSpPr>
        <xdr:cNvPr id="133" name="テキスト ボックス 132">
          <a:extLst>
            <a:ext uri="{FF2B5EF4-FFF2-40B4-BE49-F238E27FC236}">
              <a16:creationId xmlns:a16="http://schemas.microsoft.com/office/drawing/2014/main" id="{CED0F9AE-BEA6-4408-81A8-247E1EA400C9}"/>
            </a:ext>
          </a:extLst>
        </xdr:cNvPr>
        <xdr:cNvSpPr txBox="1"/>
      </xdr:nvSpPr>
      <xdr:spPr>
        <a:xfrm>
          <a:off x="7014575" y="26809900"/>
          <a:ext cx="553934" cy="2406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４層</a:t>
          </a:r>
        </a:p>
      </xdr:txBody>
    </xdr:sp>
    <xdr:clientData/>
  </xdr:twoCellAnchor>
  <xdr:twoCellAnchor>
    <xdr:from>
      <xdr:col>19</xdr:col>
      <xdr:colOff>47625</xdr:colOff>
      <xdr:row>108</xdr:row>
      <xdr:rowOff>10639</xdr:rowOff>
    </xdr:from>
    <xdr:to>
      <xdr:col>21</xdr:col>
      <xdr:colOff>59238</xdr:colOff>
      <xdr:row>108</xdr:row>
      <xdr:rowOff>10639</xdr:rowOff>
    </xdr:to>
    <xdr:cxnSp macro="">
      <xdr:nvCxnSpPr>
        <xdr:cNvPr id="134" name="直線コネクタ 133">
          <a:extLst>
            <a:ext uri="{FF2B5EF4-FFF2-40B4-BE49-F238E27FC236}">
              <a16:creationId xmlns:a16="http://schemas.microsoft.com/office/drawing/2014/main" id="{6CFEE8EA-F1BA-42E5-8C50-FC5C78FD1C1D}"/>
            </a:ext>
          </a:extLst>
        </xdr:cNvPr>
        <xdr:cNvCxnSpPr/>
      </xdr:nvCxnSpPr>
      <xdr:spPr>
        <a:xfrm>
          <a:off x="4391025" y="24223189"/>
          <a:ext cx="46881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66675</xdr:colOff>
      <xdr:row>108</xdr:row>
      <xdr:rowOff>165251</xdr:rowOff>
    </xdr:from>
    <xdr:to>
      <xdr:col>21</xdr:col>
      <xdr:colOff>49212</xdr:colOff>
      <xdr:row>108</xdr:row>
      <xdr:rowOff>165251</xdr:rowOff>
    </xdr:to>
    <xdr:cxnSp macro="">
      <xdr:nvCxnSpPr>
        <xdr:cNvPr id="135" name="直線コネクタ 134">
          <a:extLst>
            <a:ext uri="{FF2B5EF4-FFF2-40B4-BE49-F238E27FC236}">
              <a16:creationId xmlns:a16="http://schemas.microsoft.com/office/drawing/2014/main" id="{6032FD03-5DD2-4EF0-9028-B4AB26CCE905}"/>
            </a:ext>
          </a:extLst>
        </xdr:cNvPr>
        <xdr:cNvCxnSpPr/>
      </xdr:nvCxnSpPr>
      <xdr:spPr>
        <a:xfrm>
          <a:off x="4410075" y="24377801"/>
          <a:ext cx="43973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57233</xdr:colOff>
      <xdr:row>108</xdr:row>
      <xdr:rowOff>15535</xdr:rowOff>
    </xdr:from>
    <xdr:to>
      <xdr:col>21</xdr:col>
      <xdr:colOff>57233</xdr:colOff>
      <xdr:row>108</xdr:row>
      <xdr:rowOff>165636</xdr:rowOff>
    </xdr:to>
    <xdr:cxnSp macro="">
      <xdr:nvCxnSpPr>
        <xdr:cNvPr id="136" name="直線コネクタ 135">
          <a:extLst>
            <a:ext uri="{FF2B5EF4-FFF2-40B4-BE49-F238E27FC236}">
              <a16:creationId xmlns:a16="http://schemas.microsoft.com/office/drawing/2014/main" id="{70F84FDB-771A-48F1-B7D3-4D07C337B649}"/>
            </a:ext>
          </a:extLst>
        </xdr:cNvPr>
        <xdr:cNvCxnSpPr/>
      </xdr:nvCxnSpPr>
      <xdr:spPr>
        <a:xfrm>
          <a:off x="4807827" y="25447285"/>
          <a:ext cx="0" cy="1501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84447</xdr:colOff>
      <xdr:row>108</xdr:row>
      <xdr:rowOff>5330</xdr:rowOff>
    </xdr:from>
    <xdr:to>
      <xdr:col>21</xdr:col>
      <xdr:colOff>84447</xdr:colOff>
      <xdr:row>108</xdr:row>
      <xdr:rowOff>179422</xdr:rowOff>
    </xdr:to>
    <xdr:cxnSp macro="">
      <xdr:nvCxnSpPr>
        <xdr:cNvPr id="137" name="直線コネクタ 136">
          <a:extLst>
            <a:ext uri="{FF2B5EF4-FFF2-40B4-BE49-F238E27FC236}">
              <a16:creationId xmlns:a16="http://schemas.microsoft.com/office/drawing/2014/main" id="{4DC614AA-80E8-49CA-8A54-530E45735D10}"/>
            </a:ext>
          </a:extLst>
        </xdr:cNvPr>
        <xdr:cNvCxnSpPr/>
      </xdr:nvCxnSpPr>
      <xdr:spPr>
        <a:xfrm>
          <a:off x="4835041" y="25437080"/>
          <a:ext cx="0" cy="17409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3205</xdr:colOff>
      <xdr:row>108</xdr:row>
      <xdr:rowOff>5330</xdr:rowOff>
    </xdr:from>
    <xdr:to>
      <xdr:col>22</xdr:col>
      <xdr:colOff>3205</xdr:colOff>
      <xdr:row>108</xdr:row>
      <xdr:rowOff>179422</xdr:rowOff>
    </xdr:to>
    <xdr:cxnSp macro="">
      <xdr:nvCxnSpPr>
        <xdr:cNvPr id="138" name="直線コネクタ 137">
          <a:extLst>
            <a:ext uri="{FF2B5EF4-FFF2-40B4-BE49-F238E27FC236}">
              <a16:creationId xmlns:a16="http://schemas.microsoft.com/office/drawing/2014/main" id="{8FA73B85-8831-4A65-BC59-BD363DD6C4EF}"/>
            </a:ext>
          </a:extLst>
        </xdr:cNvPr>
        <xdr:cNvCxnSpPr/>
      </xdr:nvCxnSpPr>
      <xdr:spPr>
        <a:xfrm>
          <a:off x="4980018" y="25437080"/>
          <a:ext cx="0" cy="17409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83377</xdr:colOff>
      <xdr:row>108</xdr:row>
      <xdr:rowOff>93776</xdr:rowOff>
    </xdr:from>
    <xdr:to>
      <xdr:col>21</xdr:col>
      <xdr:colOff>222851</xdr:colOff>
      <xdr:row>108</xdr:row>
      <xdr:rowOff>93776</xdr:rowOff>
    </xdr:to>
    <xdr:cxnSp macro="">
      <xdr:nvCxnSpPr>
        <xdr:cNvPr id="139" name="直線コネクタ 138">
          <a:extLst>
            <a:ext uri="{FF2B5EF4-FFF2-40B4-BE49-F238E27FC236}">
              <a16:creationId xmlns:a16="http://schemas.microsoft.com/office/drawing/2014/main" id="{79A8B7B0-D618-4E20-8393-73A203F831F5}"/>
            </a:ext>
          </a:extLst>
        </xdr:cNvPr>
        <xdr:cNvCxnSpPr/>
      </xdr:nvCxnSpPr>
      <xdr:spPr>
        <a:xfrm>
          <a:off x="4833971" y="25525526"/>
          <a:ext cx="13947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205551</xdr:colOff>
      <xdr:row>118</xdr:row>
      <xdr:rowOff>65538</xdr:rowOff>
    </xdr:from>
    <xdr:to>
      <xdr:col>22</xdr:col>
      <xdr:colOff>104761</xdr:colOff>
      <xdr:row>118</xdr:row>
      <xdr:rowOff>191938</xdr:rowOff>
    </xdr:to>
    <xdr:sp macro="" textlink="">
      <xdr:nvSpPr>
        <xdr:cNvPr id="140" name="楕円 139">
          <a:extLst>
            <a:ext uri="{FF2B5EF4-FFF2-40B4-BE49-F238E27FC236}">
              <a16:creationId xmlns:a16="http://schemas.microsoft.com/office/drawing/2014/main" id="{2AFF18DF-CC24-45D6-BDDA-5AA8A9DC2B43}"/>
            </a:ext>
          </a:extLst>
        </xdr:cNvPr>
        <xdr:cNvSpPr/>
      </xdr:nvSpPr>
      <xdr:spPr>
        <a:xfrm>
          <a:off x="4956145" y="27902351"/>
          <a:ext cx="125429" cy="12640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21</xdr:col>
      <xdr:colOff>39780</xdr:colOff>
      <xdr:row>107</xdr:row>
      <xdr:rowOff>200482</xdr:rowOff>
    </xdr:from>
    <xdr:to>
      <xdr:col>22</xdr:col>
      <xdr:colOff>205560</xdr:colOff>
      <xdr:row>108</xdr:row>
      <xdr:rowOff>216809</xdr:rowOff>
    </xdr:to>
    <xdr:sp macro="" textlink="">
      <xdr:nvSpPr>
        <xdr:cNvPr id="141" name="テキスト ボックス 140">
          <a:extLst>
            <a:ext uri="{FF2B5EF4-FFF2-40B4-BE49-F238E27FC236}">
              <a16:creationId xmlns:a16="http://schemas.microsoft.com/office/drawing/2014/main" id="{526EF6DD-EDC4-4AC4-A5B6-3C968863BC2F}"/>
            </a:ext>
          </a:extLst>
        </xdr:cNvPr>
        <xdr:cNvSpPr txBox="1"/>
      </xdr:nvSpPr>
      <xdr:spPr>
        <a:xfrm>
          <a:off x="4825425" y="24769641"/>
          <a:ext cx="393668" cy="244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a:t>
          </a:r>
          <a:endParaRPr kumimoji="1" lang="ja-JP" altLang="en-US" sz="1100">
            <a:solidFill>
              <a:srgbClr val="FF0000"/>
            </a:solidFill>
          </a:endParaRPr>
        </a:p>
      </xdr:txBody>
    </xdr:sp>
    <xdr:clientData/>
  </xdr:twoCellAnchor>
  <xdr:twoCellAnchor editAs="absolute">
    <xdr:from>
      <xdr:col>21</xdr:col>
      <xdr:colOff>39780</xdr:colOff>
      <xdr:row>118</xdr:row>
      <xdr:rowOff>65077</xdr:rowOff>
    </xdr:from>
    <xdr:to>
      <xdr:col>22</xdr:col>
      <xdr:colOff>205560</xdr:colOff>
      <xdr:row>119</xdr:row>
      <xdr:rowOff>81404</xdr:rowOff>
    </xdr:to>
    <xdr:sp macro="" textlink="">
      <xdr:nvSpPr>
        <xdr:cNvPr id="142" name="テキスト ボックス 141">
          <a:extLst>
            <a:ext uri="{FF2B5EF4-FFF2-40B4-BE49-F238E27FC236}">
              <a16:creationId xmlns:a16="http://schemas.microsoft.com/office/drawing/2014/main" id="{1D2455E8-B637-4EBD-A43C-1C34A07E5AAB}"/>
            </a:ext>
          </a:extLst>
        </xdr:cNvPr>
        <xdr:cNvSpPr txBox="1"/>
      </xdr:nvSpPr>
      <xdr:spPr>
        <a:xfrm>
          <a:off x="4825425" y="27162367"/>
          <a:ext cx="393668" cy="244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B</a:t>
          </a:r>
          <a:endParaRPr kumimoji="1" lang="ja-JP" altLang="en-US" sz="1100">
            <a:solidFill>
              <a:srgbClr val="FF0000"/>
            </a:solidFill>
          </a:endParaRPr>
        </a:p>
      </xdr:txBody>
    </xdr:sp>
    <xdr:clientData/>
  </xdr:twoCellAnchor>
  <xdr:twoCellAnchor>
    <xdr:from>
      <xdr:col>22</xdr:col>
      <xdr:colOff>23306</xdr:colOff>
      <xdr:row>113</xdr:row>
      <xdr:rowOff>156905</xdr:rowOff>
    </xdr:from>
    <xdr:to>
      <xdr:col>28</xdr:col>
      <xdr:colOff>201706</xdr:colOff>
      <xdr:row>113</xdr:row>
      <xdr:rowOff>156905</xdr:rowOff>
    </xdr:to>
    <xdr:cxnSp macro="">
      <xdr:nvCxnSpPr>
        <xdr:cNvPr id="143" name="直線コネクタ 142">
          <a:extLst>
            <a:ext uri="{FF2B5EF4-FFF2-40B4-BE49-F238E27FC236}">
              <a16:creationId xmlns:a16="http://schemas.microsoft.com/office/drawing/2014/main" id="{B0B22BC2-6F55-41BB-9BF5-0DD03763EB06}"/>
            </a:ext>
          </a:extLst>
        </xdr:cNvPr>
        <xdr:cNvCxnSpPr/>
      </xdr:nvCxnSpPr>
      <xdr:spPr>
        <a:xfrm>
          <a:off x="5000119" y="26803093"/>
          <a:ext cx="1535712" cy="0"/>
        </a:xfrm>
        <a:prstGeom prst="line">
          <a:avLst/>
        </a:prstGeom>
        <a:ln w="952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20</xdr:col>
      <xdr:colOff>49581</xdr:colOff>
      <xdr:row>110</xdr:row>
      <xdr:rowOff>170043</xdr:rowOff>
    </xdr:from>
    <xdr:to>
      <xdr:col>21</xdr:col>
      <xdr:colOff>52551</xdr:colOff>
      <xdr:row>110</xdr:row>
      <xdr:rowOff>170043</xdr:rowOff>
    </xdr:to>
    <xdr:cxnSp macro="">
      <xdr:nvCxnSpPr>
        <xdr:cNvPr id="146" name="直線コネクタ 145">
          <a:extLst>
            <a:ext uri="{FF2B5EF4-FFF2-40B4-BE49-F238E27FC236}">
              <a16:creationId xmlns:a16="http://schemas.microsoft.com/office/drawing/2014/main" id="{E33F709B-62AF-151C-9B53-593FD7F07009}"/>
            </a:ext>
          </a:extLst>
        </xdr:cNvPr>
        <xdr:cNvCxnSpPr/>
      </xdr:nvCxnSpPr>
      <xdr:spPr>
        <a:xfrm>
          <a:off x="4573956" y="26101856"/>
          <a:ext cx="229189" cy="0"/>
        </a:xfrm>
        <a:prstGeom prst="line">
          <a:avLst/>
        </a:prstGeom>
        <a:ln w="952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20</xdr:col>
      <xdr:colOff>49581</xdr:colOff>
      <xdr:row>113</xdr:row>
      <xdr:rowOff>150336</xdr:rowOff>
    </xdr:from>
    <xdr:to>
      <xdr:col>21</xdr:col>
      <xdr:colOff>52551</xdr:colOff>
      <xdr:row>113</xdr:row>
      <xdr:rowOff>150336</xdr:rowOff>
    </xdr:to>
    <xdr:cxnSp macro="">
      <xdr:nvCxnSpPr>
        <xdr:cNvPr id="148" name="直線コネクタ 147">
          <a:extLst>
            <a:ext uri="{FF2B5EF4-FFF2-40B4-BE49-F238E27FC236}">
              <a16:creationId xmlns:a16="http://schemas.microsoft.com/office/drawing/2014/main" id="{6D11D006-6AC6-177E-89A1-18C25B47FCB9}"/>
            </a:ext>
          </a:extLst>
        </xdr:cNvPr>
        <xdr:cNvCxnSpPr/>
      </xdr:nvCxnSpPr>
      <xdr:spPr>
        <a:xfrm>
          <a:off x="4573956" y="26796524"/>
          <a:ext cx="229189" cy="0"/>
        </a:xfrm>
        <a:prstGeom prst="line">
          <a:avLst/>
        </a:prstGeom>
        <a:ln w="952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20</xdr:col>
      <xdr:colOff>126044</xdr:colOff>
      <xdr:row>110</xdr:row>
      <xdr:rowOff>174115</xdr:rowOff>
    </xdr:from>
    <xdr:to>
      <xdr:col>20</xdr:col>
      <xdr:colOff>129540</xdr:colOff>
      <xdr:row>113</xdr:row>
      <xdr:rowOff>151448</xdr:rowOff>
    </xdr:to>
    <xdr:cxnSp macro="">
      <xdr:nvCxnSpPr>
        <xdr:cNvPr id="149" name="直線コネクタ 148">
          <a:extLst>
            <a:ext uri="{FF2B5EF4-FFF2-40B4-BE49-F238E27FC236}">
              <a16:creationId xmlns:a16="http://schemas.microsoft.com/office/drawing/2014/main" id="{2A2D82CC-CDB0-CDB5-19D6-FA1E876824BD}"/>
            </a:ext>
          </a:extLst>
        </xdr:cNvPr>
        <xdr:cNvCxnSpPr/>
      </xdr:nvCxnSpPr>
      <xdr:spPr>
        <a:xfrm>
          <a:off x="4650419" y="26105928"/>
          <a:ext cx="3496" cy="691708"/>
        </a:xfrm>
        <a:prstGeom prst="line">
          <a:avLst/>
        </a:prstGeom>
        <a:ln w="9525" cap="flat" cmpd="sng" algn="ctr">
          <a:solidFill>
            <a:srgbClr val="FF0000"/>
          </a:solidFill>
          <a:prstDash val="solid"/>
          <a:round/>
          <a:headEnd type="arrow"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editAs="absolute">
    <xdr:from>
      <xdr:col>19</xdr:col>
      <xdr:colOff>153269</xdr:colOff>
      <xdr:row>111</xdr:row>
      <xdr:rowOff>120369</xdr:rowOff>
    </xdr:from>
    <xdr:to>
      <xdr:col>21</xdr:col>
      <xdr:colOff>92071</xdr:colOff>
      <xdr:row>112</xdr:row>
      <xdr:rowOff>143944</xdr:rowOff>
    </xdr:to>
    <xdr:sp macro="" textlink="">
      <xdr:nvSpPr>
        <xdr:cNvPr id="152" name="テキスト ボックス 151">
          <a:extLst>
            <a:ext uri="{FF2B5EF4-FFF2-40B4-BE49-F238E27FC236}">
              <a16:creationId xmlns:a16="http://schemas.microsoft.com/office/drawing/2014/main" id="{C860B7E0-217F-2E5C-53A1-40B4CF0C5F3D}"/>
            </a:ext>
          </a:extLst>
        </xdr:cNvPr>
        <xdr:cNvSpPr txBox="1"/>
      </xdr:nvSpPr>
      <xdr:spPr>
        <a:xfrm>
          <a:off x="4483138" y="25622444"/>
          <a:ext cx="394578" cy="25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i="1" baseline="0">
              <a:solidFill>
                <a:srgbClr val="FF0000"/>
              </a:solidFill>
              <a:latin typeface="Times New Roman" panose="02020603050405020304" pitchFamily="18" charset="0"/>
            </a:rPr>
            <a:t>x</a:t>
          </a:r>
          <a:endParaRPr kumimoji="1" lang="ja-JP" altLang="en-US" sz="1100" b="0" i="1" baseline="0">
            <a:solidFill>
              <a:srgbClr val="FF0000"/>
            </a:solidFill>
            <a:latin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133766</xdr:colOff>
      <xdr:row>14</xdr:row>
      <xdr:rowOff>229367</xdr:rowOff>
    </xdr:from>
    <xdr:to>
      <xdr:col>34</xdr:col>
      <xdr:colOff>40426</xdr:colOff>
      <xdr:row>14</xdr:row>
      <xdr:rowOff>229367</xdr:rowOff>
    </xdr:to>
    <xdr:cxnSp macro="">
      <xdr:nvCxnSpPr>
        <xdr:cNvPr id="147" name="直線コネクタ 146">
          <a:extLst>
            <a:ext uri="{FF2B5EF4-FFF2-40B4-BE49-F238E27FC236}">
              <a16:creationId xmlns:a16="http://schemas.microsoft.com/office/drawing/2014/main" id="{99F23272-E6E8-4901-A9C6-34CD216AE63C}"/>
            </a:ext>
          </a:extLst>
        </xdr:cNvPr>
        <xdr:cNvCxnSpPr/>
      </xdr:nvCxnSpPr>
      <xdr:spPr>
        <a:xfrm>
          <a:off x="5336797" y="3586930"/>
          <a:ext cx="239506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156882</xdr:colOff>
      <xdr:row>22</xdr:row>
      <xdr:rowOff>162798</xdr:rowOff>
    </xdr:from>
    <xdr:to>
      <xdr:col>23</xdr:col>
      <xdr:colOff>115623</xdr:colOff>
      <xdr:row>22</xdr:row>
      <xdr:rowOff>162798</xdr:rowOff>
    </xdr:to>
    <xdr:cxnSp macro="">
      <xdr:nvCxnSpPr>
        <xdr:cNvPr id="148" name="直線コネクタ 147">
          <a:extLst>
            <a:ext uri="{FF2B5EF4-FFF2-40B4-BE49-F238E27FC236}">
              <a16:creationId xmlns:a16="http://schemas.microsoft.com/office/drawing/2014/main" id="{06EAC924-C820-46D1-9092-57F32961D7D0}"/>
            </a:ext>
          </a:extLst>
        </xdr:cNvPr>
        <xdr:cNvCxnSpPr/>
      </xdr:nvCxnSpPr>
      <xdr:spPr>
        <a:xfrm>
          <a:off x="4681257" y="5449173"/>
          <a:ext cx="63739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210315</xdr:colOff>
      <xdr:row>22</xdr:row>
      <xdr:rowOff>170434</xdr:rowOff>
    </xdr:from>
    <xdr:to>
      <xdr:col>22</xdr:col>
      <xdr:colOff>78910</xdr:colOff>
      <xdr:row>23</xdr:row>
      <xdr:rowOff>35487</xdr:rowOff>
    </xdr:to>
    <xdr:cxnSp macro="">
      <xdr:nvCxnSpPr>
        <xdr:cNvPr id="149" name="直線コネクタ 148">
          <a:extLst>
            <a:ext uri="{FF2B5EF4-FFF2-40B4-BE49-F238E27FC236}">
              <a16:creationId xmlns:a16="http://schemas.microsoft.com/office/drawing/2014/main" id="{921EE829-9894-4DD4-A9F5-0BB841E3747C}"/>
            </a:ext>
          </a:extLst>
        </xdr:cNvPr>
        <xdr:cNvCxnSpPr/>
      </xdr:nvCxnSpPr>
      <xdr:spPr>
        <a:xfrm>
          <a:off x="4960909" y="5456809"/>
          <a:ext cx="94814" cy="10317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161589</xdr:colOff>
      <xdr:row>22</xdr:row>
      <xdr:rowOff>172278</xdr:rowOff>
    </xdr:from>
    <xdr:to>
      <xdr:col>22</xdr:col>
      <xdr:colOff>31592</xdr:colOff>
      <xdr:row>23</xdr:row>
      <xdr:rowOff>37331</xdr:rowOff>
    </xdr:to>
    <xdr:cxnSp macro="">
      <xdr:nvCxnSpPr>
        <xdr:cNvPr id="150" name="直線コネクタ 149">
          <a:extLst>
            <a:ext uri="{FF2B5EF4-FFF2-40B4-BE49-F238E27FC236}">
              <a16:creationId xmlns:a16="http://schemas.microsoft.com/office/drawing/2014/main" id="{CBCCBCC4-75B5-4B17-882F-51F2EA812293}"/>
            </a:ext>
          </a:extLst>
        </xdr:cNvPr>
        <xdr:cNvCxnSpPr/>
      </xdr:nvCxnSpPr>
      <xdr:spPr>
        <a:xfrm>
          <a:off x="4912183" y="5458653"/>
          <a:ext cx="96222" cy="10317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162504</xdr:colOff>
      <xdr:row>22</xdr:row>
      <xdr:rowOff>226842</xdr:rowOff>
    </xdr:from>
    <xdr:to>
      <xdr:col>21</xdr:col>
      <xdr:colOff>195568</xdr:colOff>
      <xdr:row>23</xdr:row>
      <xdr:rowOff>19443</xdr:rowOff>
    </xdr:to>
    <xdr:cxnSp macro="">
      <xdr:nvCxnSpPr>
        <xdr:cNvPr id="151" name="直線コネクタ 150">
          <a:extLst>
            <a:ext uri="{FF2B5EF4-FFF2-40B4-BE49-F238E27FC236}">
              <a16:creationId xmlns:a16="http://schemas.microsoft.com/office/drawing/2014/main" id="{928A15E9-A2DF-4F68-8F27-9412DDCEE15B}"/>
            </a:ext>
          </a:extLst>
        </xdr:cNvPr>
        <xdr:cNvCxnSpPr/>
      </xdr:nvCxnSpPr>
      <xdr:spPr>
        <a:xfrm flipH="1">
          <a:off x="4913098" y="5513217"/>
          <a:ext cx="33064"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184196</xdr:colOff>
      <xdr:row>23</xdr:row>
      <xdr:rowOff>5915</xdr:rowOff>
    </xdr:from>
    <xdr:to>
      <xdr:col>21</xdr:col>
      <xdr:colOff>215852</xdr:colOff>
      <xdr:row>23</xdr:row>
      <xdr:rowOff>36641</xdr:rowOff>
    </xdr:to>
    <xdr:cxnSp macro="">
      <xdr:nvCxnSpPr>
        <xdr:cNvPr id="152" name="直線コネクタ 151">
          <a:extLst>
            <a:ext uri="{FF2B5EF4-FFF2-40B4-BE49-F238E27FC236}">
              <a16:creationId xmlns:a16="http://schemas.microsoft.com/office/drawing/2014/main" id="{980E9A17-0199-4E4F-88DD-E1CBA1CFB139}"/>
            </a:ext>
          </a:extLst>
        </xdr:cNvPr>
        <xdr:cNvCxnSpPr/>
      </xdr:nvCxnSpPr>
      <xdr:spPr>
        <a:xfrm flipH="1">
          <a:off x="4934790" y="5530415"/>
          <a:ext cx="3165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65213</xdr:colOff>
      <xdr:row>22</xdr:row>
      <xdr:rowOff>178304</xdr:rowOff>
    </xdr:from>
    <xdr:to>
      <xdr:col>21</xdr:col>
      <xdr:colOff>153476</xdr:colOff>
      <xdr:row>23</xdr:row>
      <xdr:rowOff>43357</xdr:rowOff>
    </xdr:to>
    <xdr:cxnSp macro="">
      <xdr:nvCxnSpPr>
        <xdr:cNvPr id="153" name="直線コネクタ 152">
          <a:extLst>
            <a:ext uri="{FF2B5EF4-FFF2-40B4-BE49-F238E27FC236}">
              <a16:creationId xmlns:a16="http://schemas.microsoft.com/office/drawing/2014/main" id="{95D0EEA0-35A2-4475-BB55-45EA4182E1F6}"/>
            </a:ext>
          </a:extLst>
        </xdr:cNvPr>
        <xdr:cNvCxnSpPr/>
      </xdr:nvCxnSpPr>
      <xdr:spPr>
        <a:xfrm>
          <a:off x="4815807" y="5464679"/>
          <a:ext cx="88263" cy="10317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17895</xdr:colOff>
      <xdr:row>22</xdr:row>
      <xdr:rowOff>180148</xdr:rowOff>
    </xdr:from>
    <xdr:to>
      <xdr:col>21</xdr:col>
      <xdr:colOff>113361</xdr:colOff>
      <xdr:row>23</xdr:row>
      <xdr:rowOff>45201</xdr:rowOff>
    </xdr:to>
    <xdr:cxnSp macro="">
      <xdr:nvCxnSpPr>
        <xdr:cNvPr id="154" name="直線コネクタ 153">
          <a:extLst>
            <a:ext uri="{FF2B5EF4-FFF2-40B4-BE49-F238E27FC236}">
              <a16:creationId xmlns:a16="http://schemas.microsoft.com/office/drawing/2014/main" id="{2BB90403-F4EE-4299-A1AA-83B84BEDC9B7}"/>
            </a:ext>
          </a:extLst>
        </xdr:cNvPr>
        <xdr:cNvCxnSpPr/>
      </xdr:nvCxnSpPr>
      <xdr:spPr>
        <a:xfrm>
          <a:off x="4768489" y="5466523"/>
          <a:ext cx="95466" cy="10317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17931</xdr:colOff>
      <xdr:row>22</xdr:row>
      <xdr:rowOff>234712</xdr:rowOff>
    </xdr:from>
    <xdr:to>
      <xdr:col>21</xdr:col>
      <xdr:colOff>48657</xdr:colOff>
      <xdr:row>23</xdr:row>
      <xdr:rowOff>27313</xdr:rowOff>
    </xdr:to>
    <xdr:cxnSp macro="">
      <xdr:nvCxnSpPr>
        <xdr:cNvPr id="155" name="直線コネクタ 154">
          <a:extLst>
            <a:ext uri="{FF2B5EF4-FFF2-40B4-BE49-F238E27FC236}">
              <a16:creationId xmlns:a16="http://schemas.microsoft.com/office/drawing/2014/main" id="{D7428A2E-F0DF-4A26-B769-60BE5261A4C6}"/>
            </a:ext>
          </a:extLst>
        </xdr:cNvPr>
        <xdr:cNvCxnSpPr/>
      </xdr:nvCxnSpPr>
      <xdr:spPr>
        <a:xfrm flipH="1">
          <a:off x="4768525" y="5521087"/>
          <a:ext cx="3072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38215</xdr:colOff>
      <xdr:row>23</xdr:row>
      <xdr:rowOff>13785</xdr:rowOff>
    </xdr:from>
    <xdr:to>
      <xdr:col>21</xdr:col>
      <xdr:colOff>68941</xdr:colOff>
      <xdr:row>23</xdr:row>
      <xdr:rowOff>44511</xdr:rowOff>
    </xdr:to>
    <xdr:cxnSp macro="">
      <xdr:nvCxnSpPr>
        <xdr:cNvPr id="156" name="直線コネクタ 155">
          <a:extLst>
            <a:ext uri="{FF2B5EF4-FFF2-40B4-BE49-F238E27FC236}">
              <a16:creationId xmlns:a16="http://schemas.microsoft.com/office/drawing/2014/main" id="{B2BAE061-B5D8-438F-9EC5-8842C5B5090F}"/>
            </a:ext>
          </a:extLst>
        </xdr:cNvPr>
        <xdr:cNvCxnSpPr/>
      </xdr:nvCxnSpPr>
      <xdr:spPr>
        <a:xfrm flipH="1">
          <a:off x="4788809" y="5538285"/>
          <a:ext cx="3072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98458</xdr:colOff>
      <xdr:row>14</xdr:row>
      <xdr:rowOff>224136</xdr:rowOff>
    </xdr:from>
    <xdr:to>
      <xdr:col>27</xdr:col>
      <xdr:colOff>187173</xdr:colOff>
      <xdr:row>15</xdr:row>
      <xdr:rowOff>65847</xdr:rowOff>
    </xdr:to>
    <xdr:cxnSp macro="">
      <xdr:nvCxnSpPr>
        <xdr:cNvPr id="157" name="直線コネクタ 156">
          <a:extLst>
            <a:ext uri="{FF2B5EF4-FFF2-40B4-BE49-F238E27FC236}">
              <a16:creationId xmlns:a16="http://schemas.microsoft.com/office/drawing/2014/main" id="{E00D7A25-AD59-4E09-8719-936FA26750FF}"/>
            </a:ext>
          </a:extLst>
        </xdr:cNvPr>
        <xdr:cNvCxnSpPr/>
      </xdr:nvCxnSpPr>
      <xdr:spPr>
        <a:xfrm>
          <a:off x="6206364" y="3581699"/>
          <a:ext cx="88715" cy="7983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51140</xdr:colOff>
      <xdr:row>14</xdr:row>
      <xdr:rowOff>225980</xdr:rowOff>
    </xdr:from>
    <xdr:to>
      <xdr:col>27</xdr:col>
      <xdr:colOff>137134</xdr:colOff>
      <xdr:row>15</xdr:row>
      <xdr:rowOff>67691</xdr:rowOff>
    </xdr:to>
    <xdr:cxnSp macro="">
      <xdr:nvCxnSpPr>
        <xdr:cNvPr id="158" name="直線コネクタ 157">
          <a:extLst>
            <a:ext uri="{FF2B5EF4-FFF2-40B4-BE49-F238E27FC236}">
              <a16:creationId xmlns:a16="http://schemas.microsoft.com/office/drawing/2014/main" id="{09FEA841-6AFC-4527-BD6A-2728A9C90B1D}"/>
            </a:ext>
          </a:extLst>
        </xdr:cNvPr>
        <xdr:cNvCxnSpPr/>
      </xdr:nvCxnSpPr>
      <xdr:spPr>
        <a:xfrm>
          <a:off x="6159046" y="3583543"/>
          <a:ext cx="85994" cy="7983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51176</xdr:colOff>
      <xdr:row>15</xdr:row>
      <xdr:rowOff>28687</xdr:rowOff>
    </xdr:from>
    <xdr:to>
      <xdr:col>27</xdr:col>
      <xdr:colOff>81902</xdr:colOff>
      <xdr:row>15</xdr:row>
      <xdr:rowOff>49888</xdr:rowOff>
    </xdr:to>
    <xdr:cxnSp macro="">
      <xdr:nvCxnSpPr>
        <xdr:cNvPr id="159" name="直線コネクタ 158">
          <a:extLst>
            <a:ext uri="{FF2B5EF4-FFF2-40B4-BE49-F238E27FC236}">
              <a16:creationId xmlns:a16="http://schemas.microsoft.com/office/drawing/2014/main" id="{6B8B3F17-94C8-4D22-8C66-46755E90BFB8}"/>
            </a:ext>
          </a:extLst>
        </xdr:cNvPr>
        <xdr:cNvCxnSpPr/>
      </xdr:nvCxnSpPr>
      <xdr:spPr>
        <a:xfrm flipH="1">
          <a:off x="6159082" y="3624375"/>
          <a:ext cx="30726" cy="212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71460</xdr:colOff>
      <xdr:row>15</xdr:row>
      <xdr:rowOff>45885</xdr:rowOff>
    </xdr:from>
    <xdr:to>
      <xdr:col>27</xdr:col>
      <xdr:colOff>102186</xdr:colOff>
      <xdr:row>15</xdr:row>
      <xdr:rowOff>67006</xdr:rowOff>
    </xdr:to>
    <xdr:cxnSp macro="">
      <xdr:nvCxnSpPr>
        <xdr:cNvPr id="160" name="直線コネクタ 159">
          <a:extLst>
            <a:ext uri="{FF2B5EF4-FFF2-40B4-BE49-F238E27FC236}">
              <a16:creationId xmlns:a16="http://schemas.microsoft.com/office/drawing/2014/main" id="{0EE0E6CC-705B-4D25-B14D-58D137A7ED20}"/>
            </a:ext>
          </a:extLst>
        </xdr:cNvPr>
        <xdr:cNvCxnSpPr/>
      </xdr:nvCxnSpPr>
      <xdr:spPr>
        <a:xfrm flipH="1">
          <a:off x="6179366" y="3641573"/>
          <a:ext cx="30726" cy="211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18322</xdr:colOff>
      <xdr:row>14</xdr:row>
      <xdr:rowOff>219647</xdr:rowOff>
    </xdr:from>
    <xdr:to>
      <xdr:col>28</xdr:col>
      <xdr:colOff>107764</xdr:colOff>
      <xdr:row>15</xdr:row>
      <xdr:rowOff>61358</xdr:rowOff>
    </xdr:to>
    <xdr:cxnSp macro="">
      <xdr:nvCxnSpPr>
        <xdr:cNvPr id="161" name="直線コネクタ 160">
          <a:extLst>
            <a:ext uri="{FF2B5EF4-FFF2-40B4-BE49-F238E27FC236}">
              <a16:creationId xmlns:a16="http://schemas.microsoft.com/office/drawing/2014/main" id="{1044A5C0-03F7-42C2-9CC0-E0E5EE266272}"/>
            </a:ext>
          </a:extLst>
        </xdr:cNvPr>
        <xdr:cNvCxnSpPr/>
      </xdr:nvCxnSpPr>
      <xdr:spPr>
        <a:xfrm>
          <a:off x="6352447" y="3577210"/>
          <a:ext cx="89442" cy="7983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195122</xdr:colOff>
      <xdr:row>14</xdr:row>
      <xdr:rowOff>221491</xdr:rowOff>
    </xdr:from>
    <xdr:to>
      <xdr:col>28</xdr:col>
      <xdr:colOff>60446</xdr:colOff>
      <xdr:row>15</xdr:row>
      <xdr:rowOff>63202</xdr:rowOff>
    </xdr:to>
    <xdr:cxnSp macro="">
      <xdr:nvCxnSpPr>
        <xdr:cNvPr id="162" name="直線コネクタ 161">
          <a:extLst>
            <a:ext uri="{FF2B5EF4-FFF2-40B4-BE49-F238E27FC236}">
              <a16:creationId xmlns:a16="http://schemas.microsoft.com/office/drawing/2014/main" id="{DC38F360-B107-4F87-A61D-E614AD1E9E96}"/>
            </a:ext>
          </a:extLst>
        </xdr:cNvPr>
        <xdr:cNvCxnSpPr/>
      </xdr:nvCxnSpPr>
      <xdr:spPr>
        <a:xfrm>
          <a:off x="6303028" y="3579054"/>
          <a:ext cx="91543" cy="7983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195158</xdr:colOff>
      <xdr:row>15</xdr:row>
      <xdr:rowOff>24193</xdr:rowOff>
    </xdr:from>
    <xdr:to>
      <xdr:col>28</xdr:col>
      <xdr:colOff>1766</xdr:colOff>
      <xdr:row>15</xdr:row>
      <xdr:rowOff>52117</xdr:rowOff>
    </xdr:to>
    <xdr:cxnSp macro="">
      <xdr:nvCxnSpPr>
        <xdr:cNvPr id="163" name="直線コネクタ 162">
          <a:extLst>
            <a:ext uri="{FF2B5EF4-FFF2-40B4-BE49-F238E27FC236}">
              <a16:creationId xmlns:a16="http://schemas.microsoft.com/office/drawing/2014/main" id="{8A99CFA1-3961-4887-8FE4-A53A340B8195}"/>
            </a:ext>
          </a:extLst>
        </xdr:cNvPr>
        <xdr:cNvCxnSpPr/>
      </xdr:nvCxnSpPr>
      <xdr:spPr>
        <a:xfrm flipH="1">
          <a:off x="6303064" y="3619881"/>
          <a:ext cx="32827" cy="279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215442</xdr:colOff>
      <xdr:row>15</xdr:row>
      <xdr:rowOff>41391</xdr:rowOff>
    </xdr:from>
    <xdr:to>
      <xdr:col>28</xdr:col>
      <xdr:colOff>22050</xdr:colOff>
      <xdr:row>15</xdr:row>
      <xdr:rowOff>62512</xdr:rowOff>
    </xdr:to>
    <xdr:cxnSp macro="">
      <xdr:nvCxnSpPr>
        <xdr:cNvPr id="164" name="直線コネクタ 163">
          <a:extLst>
            <a:ext uri="{FF2B5EF4-FFF2-40B4-BE49-F238E27FC236}">
              <a16:creationId xmlns:a16="http://schemas.microsoft.com/office/drawing/2014/main" id="{1F635722-9F08-4024-A7C2-A1C30B3E477D}"/>
            </a:ext>
          </a:extLst>
        </xdr:cNvPr>
        <xdr:cNvCxnSpPr/>
      </xdr:nvCxnSpPr>
      <xdr:spPr>
        <a:xfrm flipH="1">
          <a:off x="6323348" y="3637079"/>
          <a:ext cx="32827" cy="211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122677</xdr:colOff>
      <xdr:row>14</xdr:row>
      <xdr:rowOff>237154</xdr:rowOff>
    </xdr:from>
    <xdr:to>
      <xdr:col>25</xdr:col>
      <xdr:colOff>221800</xdr:colOff>
      <xdr:row>18</xdr:row>
      <xdr:rowOff>70437</xdr:rowOff>
    </xdr:to>
    <xdr:cxnSp macro="">
      <xdr:nvCxnSpPr>
        <xdr:cNvPr id="165" name="直線コネクタ 164">
          <a:extLst>
            <a:ext uri="{FF2B5EF4-FFF2-40B4-BE49-F238E27FC236}">
              <a16:creationId xmlns:a16="http://schemas.microsoft.com/office/drawing/2014/main" id="{D8B99159-4D9E-42D2-87B6-0135000B5826}"/>
            </a:ext>
          </a:extLst>
        </xdr:cNvPr>
        <xdr:cNvCxnSpPr/>
      </xdr:nvCxnSpPr>
      <xdr:spPr>
        <a:xfrm>
          <a:off x="5551927" y="3594717"/>
          <a:ext cx="325342" cy="785783"/>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23</xdr:col>
      <xdr:colOff>129982</xdr:colOff>
      <xdr:row>22</xdr:row>
      <xdr:rowOff>170488</xdr:rowOff>
    </xdr:from>
    <xdr:to>
      <xdr:col>32</xdr:col>
      <xdr:colOff>161366</xdr:colOff>
      <xdr:row>22</xdr:row>
      <xdr:rowOff>170488</xdr:rowOff>
    </xdr:to>
    <xdr:cxnSp macro="">
      <xdr:nvCxnSpPr>
        <xdr:cNvPr id="166" name="直線コネクタ 165">
          <a:extLst>
            <a:ext uri="{FF2B5EF4-FFF2-40B4-BE49-F238E27FC236}">
              <a16:creationId xmlns:a16="http://schemas.microsoft.com/office/drawing/2014/main" id="{592D7CB9-AB30-49A8-BB4C-2D97C3ADBE85}"/>
            </a:ext>
          </a:extLst>
        </xdr:cNvPr>
        <xdr:cNvCxnSpPr/>
      </xdr:nvCxnSpPr>
      <xdr:spPr>
        <a:xfrm>
          <a:off x="5333013" y="5456863"/>
          <a:ext cx="2067353"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23</xdr:col>
      <xdr:colOff>138638</xdr:colOff>
      <xdr:row>14</xdr:row>
      <xdr:rowOff>229430</xdr:rowOff>
    </xdr:from>
    <xdr:to>
      <xdr:col>24</xdr:col>
      <xdr:colOff>132451</xdr:colOff>
      <xdr:row>14</xdr:row>
      <xdr:rowOff>229430</xdr:rowOff>
    </xdr:to>
    <xdr:cxnSp macro="">
      <xdr:nvCxnSpPr>
        <xdr:cNvPr id="167" name="直線コネクタ 166">
          <a:extLst>
            <a:ext uri="{FF2B5EF4-FFF2-40B4-BE49-F238E27FC236}">
              <a16:creationId xmlns:a16="http://schemas.microsoft.com/office/drawing/2014/main" id="{2C9B1258-EF17-4AAD-8C18-EA0EDEC20BA7}"/>
            </a:ext>
          </a:extLst>
        </xdr:cNvPr>
        <xdr:cNvCxnSpPr/>
      </xdr:nvCxnSpPr>
      <xdr:spPr>
        <a:xfrm>
          <a:off x="5341669" y="3586993"/>
          <a:ext cx="220032"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23</xdr:col>
      <xdr:colOff>140188</xdr:colOff>
      <xdr:row>14</xdr:row>
      <xdr:rowOff>237154</xdr:rowOff>
    </xdr:from>
    <xdr:to>
      <xdr:col>23</xdr:col>
      <xdr:colOff>140188</xdr:colOff>
      <xdr:row>24</xdr:row>
      <xdr:rowOff>95945</xdr:rowOff>
    </xdr:to>
    <xdr:cxnSp macro="">
      <xdr:nvCxnSpPr>
        <xdr:cNvPr id="168" name="直線コネクタ 167">
          <a:extLst>
            <a:ext uri="{FF2B5EF4-FFF2-40B4-BE49-F238E27FC236}">
              <a16:creationId xmlns:a16="http://schemas.microsoft.com/office/drawing/2014/main" id="{B104DF4E-CEE2-4FD1-BB75-617074E911C0}"/>
            </a:ext>
          </a:extLst>
        </xdr:cNvPr>
        <xdr:cNvCxnSpPr/>
      </xdr:nvCxnSpPr>
      <xdr:spPr>
        <a:xfrm>
          <a:off x="5343219" y="3594717"/>
          <a:ext cx="0" cy="2263853"/>
        </a:xfrm>
        <a:prstGeom prst="line">
          <a:avLst/>
        </a:prstGeom>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23</xdr:col>
      <xdr:colOff>151056</xdr:colOff>
      <xdr:row>18</xdr:row>
      <xdr:rowOff>68991</xdr:rowOff>
    </xdr:from>
    <xdr:to>
      <xdr:col>34</xdr:col>
      <xdr:colOff>110610</xdr:colOff>
      <xdr:row>18</xdr:row>
      <xdr:rowOff>68991</xdr:rowOff>
    </xdr:to>
    <xdr:cxnSp macro="">
      <xdr:nvCxnSpPr>
        <xdr:cNvPr id="169" name="直線コネクタ 168">
          <a:extLst>
            <a:ext uri="{FF2B5EF4-FFF2-40B4-BE49-F238E27FC236}">
              <a16:creationId xmlns:a16="http://schemas.microsoft.com/office/drawing/2014/main" id="{CDCB6FB3-C1B7-4466-8829-2B0F0FB17B3F}"/>
            </a:ext>
          </a:extLst>
        </xdr:cNvPr>
        <xdr:cNvCxnSpPr/>
      </xdr:nvCxnSpPr>
      <xdr:spPr>
        <a:xfrm>
          <a:off x="5354087" y="4379054"/>
          <a:ext cx="2447961"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148991</xdr:colOff>
      <xdr:row>15</xdr:row>
      <xdr:rowOff>225706</xdr:rowOff>
    </xdr:from>
    <xdr:to>
      <xdr:col>34</xdr:col>
      <xdr:colOff>110610</xdr:colOff>
      <xdr:row>15</xdr:row>
      <xdr:rowOff>225706</xdr:rowOff>
    </xdr:to>
    <xdr:cxnSp macro="">
      <xdr:nvCxnSpPr>
        <xdr:cNvPr id="170" name="直線コネクタ 169">
          <a:extLst>
            <a:ext uri="{FF2B5EF4-FFF2-40B4-BE49-F238E27FC236}">
              <a16:creationId xmlns:a16="http://schemas.microsoft.com/office/drawing/2014/main" id="{0573AFC4-07B5-420A-9F96-F80BEE64F2DD}"/>
            </a:ext>
          </a:extLst>
        </xdr:cNvPr>
        <xdr:cNvCxnSpPr/>
      </xdr:nvCxnSpPr>
      <xdr:spPr>
        <a:xfrm>
          <a:off x="5352022" y="3821394"/>
          <a:ext cx="2450026"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26</xdr:col>
      <xdr:colOff>1725</xdr:colOff>
      <xdr:row>18</xdr:row>
      <xdr:rowOff>63616</xdr:rowOff>
    </xdr:from>
    <xdr:to>
      <xdr:col>32</xdr:col>
      <xdr:colOff>122492</xdr:colOff>
      <xdr:row>22</xdr:row>
      <xdr:rowOff>165205</xdr:rowOff>
    </xdr:to>
    <xdr:cxnSp macro="">
      <xdr:nvCxnSpPr>
        <xdr:cNvPr id="174" name="直線コネクタ 173">
          <a:extLst>
            <a:ext uri="{FF2B5EF4-FFF2-40B4-BE49-F238E27FC236}">
              <a16:creationId xmlns:a16="http://schemas.microsoft.com/office/drawing/2014/main" id="{0A4C8B47-C301-46F4-89A0-1CF36E43A63A}"/>
            </a:ext>
          </a:extLst>
        </xdr:cNvPr>
        <xdr:cNvCxnSpPr/>
      </xdr:nvCxnSpPr>
      <xdr:spPr>
        <a:xfrm flipH="1" flipV="1">
          <a:off x="5883413" y="4373679"/>
          <a:ext cx="1478079" cy="1077901"/>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23</xdr:col>
      <xdr:colOff>126992</xdr:colOff>
      <xdr:row>22</xdr:row>
      <xdr:rowOff>165115</xdr:rowOff>
    </xdr:from>
    <xdr:to>
      <xdr:col>34</xdr:col>
      <xdr:colOff>84541</xdr:colOff>
      <xdr:row>22</xdr:row>
      <xdr:rowOff>165115</xdr:rowOff>
    </xdr:to>
    <xdr:cxnSp macro="">
      <xdr:nvCxnSpPr>
        <xdr:cNvPr id="176" name="直線コネクタ 175">
          <a:extLst>
            <a:ext uri="{FF2B5EF4-FFF2-40B4-BE49-F238E27FC236}">
              <a16:creationId xmlns:a16="http://schemas.microsoft.com/office/drawing/2014/main" id="{380FC170-4F1C-4860-9CB0-102F85EE7872}"/>
            </a:ext>
          </a:extLst>
        </xdr:cNvPr>
        <xdr:cNvCxnSpPr/>
      </xdr:nvCxnSpPr>
      <xdr:spPr>
        <a:xfrm>
          <a:off x="5330023" y="5451490"/>
          <a:ext cx="2445956"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20</xdr:col>
      <xdr:colOff>145676</xdr:colOff>
      <xdr:row>15</xdr:row>
      <xdr:rowOff>141594</xdr:rowOff>
    </xdr:from>
    <xdr:to>
      <xdr:col>22</xdr:col>
      <xdr:colOff>171299</xdr:colOff>
      <xdr:row>15</xdr:row>
      <xdr:rowOff>141594</xdr:rowOff>
    </xdr:to>
    <xdr:cxnSp macro="">
      <xdr:nvCxnSpPr>
        <xdr:cNvPr id="177" name="直線コネクタ 176">
          <a:extLst>
            <a:ext uri="{FF2B5EF4-FFF2-40B4-BE49-F238E27FC236}">
              <a16:creationId xmlns:a16="http://schemas.microsoft.com/office/drawing/2014/main" id="{54510BF7-8B04-4F7A-B689-2C1542E2BA2F}"/>
            </a:ext>
          </a:extLst>
        </xdr:cNvPr>
        <xdr:cNvCxnSpPr/>
      </xdr:nvCxnSpPr>
      <xdr:spPr>
        <a:xfrm>
          <a:off x="4670051" y="3737282"/>
          <a:ext cx="47806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148828</xdr:colOff>
      <xdr:row>16</xdr:row>
      <xdr:rowOff>60882</xdr:rowOff>
    </xdr:from>
    <xdr:to>
      <xdr:col>22</xdr:col>
      <xdr:colOff>161273</xdr:colOff>
      <xdr:row>16</xdr:row>
      <xdr:rowOff>60882</xdr:rowOff>
    </xdr:to>
    <xdr:cxnSp macro="">
      <xdr:nvCxnSpPr>
        <xdr:cNvPr id="178" name="直線コネクタ 177">
          <a:extLst>
            <a:ext uri="{FF2B5EF4-FFF2-40B4-BE49-F238E27FC236}">
              <a16:creationId xmlns:a16="http://schemas.microsoft.com/office/drawing/2014/main" id="{5482485F-9E9C-4620-B5AB-DDB82EEA4AA0}"/>
            </a:ext>
          </a:extLst>
        </xdr:cNvPr>
        <xdr:cNvCxnSpPr/>
      </xdr:nvCxnSpPr>
      <xdr:spPr>
        <a:xfrm>
          <a:off x="4673203" y="3894695"/>
          <a:ext cx="46488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169294</xdr:colOff>
      <xdr:row>15</xdr:row>
      <xdr:rowOff>146490</xdr:rowOff>
    </xdr:from>
    <xdr:to>
      <xdr:col>22</xdr:col>
      <xdr:colOff>169294</xdr:colOff>
      <xdr:row>16</xdr:row>
      <xdr:rowOff>61267</xdr:rowOff>
    </xdr:to>
    <xdr:cxnSp macro="">
      <xdr:nvCxnSpPr>
        <xdr:cNvPr id="179" name="直線コネクタ 178">
          <a:extLst>
            <a:ext uri="{FF2B5EF4-FFF2-40B4-BE49-F238E27FC236}">
              <a16:creationId xmlns:a16="http://schemas.microsoft.com/office/drawing/2014/main" id="{BC4ACEE8-3A05-4E40-8613-F72870B5C92D}"/>
            </a:ext>
          </a:extLst>
        </xdr:cNvPr>
        <xdr:cNvCxnSpPr/>
      </xdr:nvCxnSpPr>
      <xdr:spPr>
        <a:xfrm>
          <a:off x="5146107" y="3742178"/>
          <a:ext cx="0" cy="15290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196508</xdr:colOff>
      <xdr:row>15</xdr:row>
      <xdr:rowOff>136285</xdr:rowOff>
    </xdr:from>
    <xdr:to>
      <xdr:col>22</xdr:col>
      <xdr:colOff>196508</xdr:colOff>
      <xdr:row>16</xdr:row>
      <xdr:rowOff>75053</xdr:rowOff>
    </xdr:to>
    <xdr:cxnSp macro="">
      <xdr:nvCxnSpPr>
        <xdr:cNvPr id="180" name="直線コネクタ 179">
          <a:extLst>
            <a:ext uri="{FF2B5EF4-FFF2-40B4-BE49-F238E27FC236}">
              <a16:creationId xmlns:a16="http://schemas.microsoft.com/office/drawing/2014/main" id="{560B849E-196B-45F7-B7BB-C3B9B9704E5F}"/>
            </a:ext>
          </a:extLst>
        </xdr:cNvPr>
        <xdr:cNvCxnSpPr/>
      </xdr:nvCxnSpPr>
      <xdr:spPr>
        <a:xfrm>
          <a:off x="5173321" y="3731973"/>
          <a:ext cx="0" cy="17689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115265</xdr:colOff>
      <xdr:row>15</xdr:row>
      <xdr:rowOff>136285</xdr:rowOff>
    </xdr:from>
    <xdr:to>
      <xdr:col>23</xdr:col>
      <xdr:colOff>115265</xdr:colOff>
      <xdr:row>16</xdr:row>
      <xdr:rowOff>75053</xdr:rowOff>
    </xdr:to>
    <xdr:cxnSp macro="">
      <xdr:nvCxnSpPr>
        <xdr:cNvPr id="181" name="直線コネクタ 180">
          <a:extLst>
            <a:ext uri="{FF2B5EF4-FFF2-40B4-BE49-F238E27FC236}">
              <a16:creationId xmlns:a16="http://schemas.microsoft.com/office/drawing/2014/main" id="{FD71925D-44E5-4D8C-991C-1B29759E786C}"/>
            </a:ext>
          </a:extLst>
        </xdr:cNvPr>
        <xdr:cNvCxnSpPr/>
      </xdr:nvCxnSpPr>
      <xdr:spPr>
        <a:xfrm>
          <a:off x="5318296" y="3731973"/>
          <a:ext cx="0" cy="17689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195438</xdr:colOff>
      <xdr:row>15</xdr:row>
      <xdr:rowOff>227532</xdr:rowOff>
    </xdr:from>
    <xdr:to>
      <xdr:col>23</xdr:col>
      <xdr:colOff>110794</xdr:colOff>
      <xdr:row>15</xdr:row>
      <xdr:rowOff>227532</xdr:rowOff>
    </xdr:to>
    <xdr:cxnSp macro="">
      <xdr:nvCxnSpPr>
        <xdr:cNvPr id="182" name="直線コネクタ 181">
          <a:extLst>
            <a:ext uri="{FF2B5EF4-FFF2-40B4-BE49-F238E27FC236}">
              <a16:creationId xmlns:a16="http://schemas.microsoft.com/office/drawing/2014/main" id="{8A8239CC-C121-43AC-99EC-B7193D02D56D}"/>
            </a:ext>
          </a:extLst>
        </xdr:cNvPr>
        <xdr:cNvCxnSpPr/>
      </xdr:nvCxnSpPr>
      <xdr:spPr>
        <a:xfrm>
          <a:off x="5172251" y="3823220"/>
          <a:ext cx="14157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31</xdr:col>
      <xdr:colOff>165686</xdr:colOff>
      <xdr:row>14</xdr:row>
      <xdr:rowOff>206614</xdr:rowOff>
    </xdr:from>
    <xdr:to>
      <xdr:col>34</xdr:col>
      <xdr:colOff>9959</xdr:colOff>
      <xdr:row>15</xdr:row>
      <xdr:rowOff>212176</xdr:rowOff>
    </xdr:to>
    <xdr:sp macro="" textlink="">
      <xdr:nvSpPr>
        <xdr:cNvPr id="189" name="テキスト ボックス 188">
          <a:extLst>
            <a:ext uri="{FF2B5EF4-FFF2-40B4-BE49-F238E27FC236}">
              <a16:creationId xmlns:a16="http://schemas.microsoft.com/office/drawing/2014/main" id="{665A86B5-4F39-47C5-8758-4B7A52862E72}"/>
            </a:ext>
          </a:extLst>
        </xdr:cNvPr>
        <xdr:cNvSpPr txBox="1"/>
      </xdr:nvSpPr>
      <xdr:spPr>
        <a:xfrm>
          <a:off x="7178467" y="3564177"/>
          <a:ext cx="522930" cy="2436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１層</a:t>
          </a:r>
        </a:p>
      </xdr:txBody>
    </xdr:sp>
    <xdr:clientData/>
  </xdr:twoCellAnchor>
  <xdr:twoCellAnchor editAs="absolute">
    <xdr:from>
      <xdr:col>31</xdr:col>
      <xdr:colOff>166006</xdr:colOff>
      <xdr:row>16</xdr:row>
      <xdr:rowOff>156108</xdr:rowOff>
    </xdr:from>
    <xdr:to>
      <xdr:col>34</xdr:col>
      <xdr:colOff>10279</xdr:colOff>
      <xdr:row>17</xdr:row>
      <xdr:rowOff>161669</xdr:rowOff>
    </xdr:to>
    <xdr:sp macro="" textlink="">
      <xdr:nvSpPr>
        <xdr:cNvPr id="190" name="テキスト ボックス 189">
          <a:extLst>
            <a:ext uri="{FF2B5EF4-FFF2-40B4-BE49-F238E27FC236}">
              <a16:creationId xmlns:a16="http://schemas.microsoft.com/office/drawing/2014/main" id="{991C2D13-B18B-433B-9456-D194C81E855B}"/>
            </a:ext>
          </a:extLst>
        </xdr:cNvPr>
        <xdr:cNvSpPr txBox="1"/>
      </xdr:nvSpPr>
      <xdr:spPr>
        <a:xfrm>
          <a:off x="7178787" y="3989921"/>
          <a:ext cx="522930" cy="2436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２層</a:t>
          </a:r>
        </a:p>
      </xdr:txBody>
    </xdr:sp>
    <xdr:clientData/>
  </xdr:twoCellAnchor>
  <xdr:twoCellAnchor editAs="absolute">
    <xdr:from>
      <xdr:col>31</xdr:col>
      <xdr:colOff>168727</xdr:colOff>
      <xdr:row>19</xdr:row>
      <xdr:rowOff>141218</xdr:rowOff>
    </xdr:from>
    <xdr:to>
      <xdr:col>34</xdr:col>
      <xdr:colOff>13000</xdr:colOff>
      <xdr:row>20</xdr:row>
      <xdr:rowOff>146782</xdr:rowOff>
    </xdr:to>
    <xdr:sp macro="" textlink="">
      <xdr:nvSpPr>
        <xdr:cNvPr id="191" name="テキスト ボックス 190">
          <a:extLst>
            <a:ext uri="{FF2B5EF4-FFF2-40B4-BE49-F238E27FC236}">
              <a16:creationId xmlns:a16="http://schemas.microsoft.com/office/drawing/2014/main" id="{6B4FBC2A-8B56-4FD3-AF96-46FF86F6407A}"/>
            </a:ext>
          </a:extLst>
        </xdr:cNvPr>
        <xdr:cNvSpPr txBox="1"/>
      </xdr:nvSpPr>
      <xdr:spPr>
        <a:xfrm>
          <a:off x="7181508" y="4689406"/>
          <a:ext cx="522930" cy="2436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３層</a:t>
          </a:r>
        </a:p>
      </xdr:txBody>
    </xdr:sp>
    <xdr:clientData/>
  </xdr:twoCellAnchor>
  <xdr:twoCellAnchor>
    <xdr:from>
      <xdr:col>20</xdr:col>
      <xdr:colOff>56029</xdr:colOff>
      <xdr:row>15</xdr:row>
      <xdr:rowOff>222013</xdr:rowOff>
    </xdr:from>
    <xdr:to>
      <xdr:col>22</xdr:col>
      <xdr:colOff>67231</xdr:colOff>
      <xdr:row>15</xdr:row>
      <xdr:rowOff>222013</xdr:rowOff>
    </xdr:to>
    <xdr:cxnSp macro="">
      <xdr:nvCxnSpPr>
        <xdr:cNvPr id="192" name="直線矢印コネクタ 191">
          <a:extLst>
            <a:ext uri="{FF2B5EF4-FFF2-40B4-BE49-F238E27FC236}">
              <a16:creationId xmlns:a16="http://schemas.microsoft.com/office/drawing/2014/main" id="{4F578217-AC43-4227-A3ED-BCEEF5F3A832}"/>
            </a:ext>
          </a:extLst>
        </xdr:cNvPr>
        <xdr:cNvCxnSpPr/>
      </xdr:nvCxnSpPr>
      <xdr:spPr>
        <a:xfrm>
          <a:off x="4580404" y="3817701"/>
          <a:ext cx="463640" cy="0"/>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20</xdr:col>
      <xdr:colOff>98449</xdr:colOff>
      <xdr:row>16</xdr:row>
      <xdr:rowOff>32921</xdr:rowOff>
    </xdr:from>
    <xdr:to>
      <xdr:col>22</xdr:col>
      <xdr:colOff>166840</xdr:colOff>
      <xdr:row>17</xdr:row>
      <xdr:rowOff>38482</xdr:rowOff>
    </xdr:to>
    <xdr:sp macro="" textlink="">
      <xdr:nvSpPr>
        <xdr:cNvPr id="193" name="テキスト ボックス 192">
          <a:extLst>
            <a:ext uri="{FF2B5EF4-FFF2-40B4-BE49-F238E27FC236}">
              <a16:creationId xmlns:a16="http://schemas.microsoft.com/office/drawing/2014/main" id="{CCAF67F4-6449-DF5A-6371-290C77B843BB}"/>
            </a:ext>
          </a:extLst>
        </xdr:cNvPr>
        <xdr:cNvSpPr txBox="1"/>
      </xdr:nvSpPr>
      <xdr:spPr>
        <a:xfrm>
          <a:off x="4622824" y="3866734"/>
          <a:ext cx="520829" cy="2436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R</a:t>
          </a:r>
          <a:r>
            <a:rPr kumimoji="1" lang="en-US" altLang="ja-JP" sz="1100" baseline="-25000">
              <a:solidFill>
                <a:srgbClr val="FF0000"/>
              </a:solidFill>
            </a:rPr>
            <a:t>1</a:t>
          </a:r>
          <a:endParaRPr kumimoji="1" lang="ja-JP" altLang="en-US" sz="1100" baseline="-25000">
            <a:solidFill>
              <a:srgbClr val="FF0000"/>
            </a:solidFill>
          </a:endParaRPr>
        </a:p>
      </xdr:txBody>
    </xdr:sp>
    <xdr:clientData/>
  </xdr:twoCellAnchor>
  <xdr:twoCellAnchor>
    <xdr:from>
      <xdr:col>26</xdr:col>
      <xdr:colOff>14287</xdr:colOff>
      <xdr:row>96</xdr:row>
      <xdr:rowOff>88540</xdr:rowOff>
    </xdr:from>
    <xdr:to>
      <xdr:col>30</xdr:col>
      <xdr:colOff>121444</xdr:colOff>
      <xdr:row>96</xdr:row>
      <xdr:rowOff>88540</xdr:rowOff>
    </xdr:to>
    <xdr:cxnSp macro="">
      <xdr:nvCxnSpPr>
        <xdr:cNvPr id="3" name="直線コネクタ 2">
          <a:extLst>
            <a:ext uri="{FF2B5EF4-FFF2-40B4-BE49-F238E27FC236}">
              <a16:creationId xmlns:a16="http://schemas.microsoft.com/office/drawing/2014/main" id="{767606C9-1B73-CEE8-97C1-ED2C43A57F64}"/>
            </a:ext>
          </a:extLst>
        </xdr:cNvPr>
        <xdr:cNvCxnSpPr/>
      </xdr:nvCxnSpPr>
      <xdr:spPr>
        <a:xfrm>
          <a:off x="5957887" y="27196690"/>
          <a:ext cx="102155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14287</xdr:colOff>
      <xdr:row>100</xdr:row>
      <xdr:rowOff>97607</xdr:rowOff>
    </xdr:from>
    <xdr:to>
      <xdr:col>30</xdr:col>
      <xdr:colOff>123825</xdr:colOff>
      <xdr:row>100</xdr:row>
      <xdr:rowOff>97607</xdr:rowOff>
    </xdr:to>
    <xdr:cxnSp macro="">
      <xdr:nvCxnSpPr>
        <xdr:cNvPr id="5" name="直線コネクタ 4">
          <a:extLst>
            <a:ext uri="{FF2B5EF4-FFF2-40B4-BE49-F238E27FC236}">
              <a16:creationId xmlns:a16="http://schemas.microsoft.com/office/drawing/2014/main" id="{247E0307-82E1-4847-8724-2C719FB83266}"/>
            </a:ext>
          </a:extLst>
        </xdr:cNvPr>
        <xdr:cNvCxnSpPr/>
      </xdr:nvCxnSpPr>
      <xdr:spPr>
        <a:xfrm>
          <a:off x="5957887" y="28158257"/>
          <a:ext cx="102393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14287</xdr:colOff>
      <xdr:row>96</xdr:row>
      <xdr:rowOff>218964</xdr:rowOff>
    </xdr:from>
    <xdr:to>
      <xdr:col>27</xdr:col>
      <xdr:colOff>205458</xdr:colOff>
      <xdr:row>96</xdr:row>
      <xdr:rowOff>219879</xdr:rowOff>
    </xdr:to>
    <xdr:cxnSp macro="">
      <xdr:nvCxnSpPr>
        <xdr:cNvPr id="6" name="直線コネクタ 5">
          <a:extLst>
            <a:ext uri="{FF2B5EF4-FFF2-40B4-BE49-F238E27FC236}">
              <a16:creationId xmlns:a16="http://schemas.microsoft.com/office/drawing/2014/main" id="{E091636C-1F1A-9D66-6F17-7D9C09D8D28D}"/>
            </a:ext>
          </a:extLst>
        </xdr:cNvPr>
        <xdr:cNvCxnSpPr>
          <a:endCxn id="24" idx="0"/>
        </xdr:cNvCxnSpPr>
      </xdr:nvCxnSpPr>
      <xdr:spPr>
        <a:xfrm flipV="1">
          <a:off x="5957887" y="27327114"/>
          <a:ext cx="419771" cy="91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14287</xdr:colOff>
      <xdr:row>99</xdr:row>
      <xdr:rowOff>208574</xdr:rowOff>
    </xdr:from>
    <xdr:to>
      <xdr:col>27</xdr:col>
      <xdr:colOff>204788</xdr:colOff>
      <xdr:row>99</xdr:row>
      <xdr:rowOff>208574</xdr:rowOff>
    </xdr:to>
    <xdr:cxnSp macro="">
      <xdr:nvCxnSpPr>
        <xdr:cNvPr id="8" name="直線コネクタ 7">
          <a:extLst>
            <a:ext uri="{FF2B5EF4-FFF2-40B4-BE49-F238E27FC236}">
              <a16:creationId xmlns:a16="http://schemas.microsoft.com/office/drawing/2014/main" id="{0A387486-4489-84FC-427C-772BFF00C2C8}"/>
            </a:ext>
          </a:extLst>
        </xdr:cNvPr>
        <xdr:cNvCxnSpPr/>
      </xdr:nvCxnSpPr>
      <xdr:spPr>
        <a:xfrm>
          <a:off x="5957887" y="28031099"/>
          <a:ext cx="41910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155463</xdr:colOff>
      <xdr:row>96</xdr:row>
      <xdr:rowOff>219879</xdr:rowOff>
    </xdr:from>
    <xdr:to>
      <xdr:col>30</xdr:col>
      <xdr:colOff>123825</xdr:colOff>
      <xdr:row>96</xdr:row>
      <xdr:rowOff>219879</xdr:rowOff>
    </xdr:to>
    <xdr:cxnSp macro="">
      <xdr:nvCxnSpPr>
        <xdr:cNvPr id="9" name="直線コネクタ 8">
          <a:extLst>
            <a:ext uri="{FF2B5EF4-FFF2-40B4-BE49-F238E27FC236}">
              <a16:creationId xmlns:a16="http://schemas.microsoft.com/office/drawing/2014/main" id="{7E00544E-4A21-38EC-A0E7-333DC0CEA9DB}"/>
            </a:ext>
          </a:extLst>
        </xdr:cNvPr>
        <xdr:cNvCxnSpPr/>
      </xdr:nvCxnSpPr>
      <xdr:spPr>
        <a:xfrm>
          <a:off x="6556263" y="27328029"/>
          <a:ext cx="42556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157844</xdr:colOff>
      <xdr:row>99</xdr:row>
      <xdr:rowOff>208574</xdr:rowOff>
    </xdr:from>
    <xdr:to>
      <xdr:col>30</xdr:col>
      <xdr:colOff>121444</xdr:colOff>
      <xdr:row>99</xdr:row>
      <xdr:rowOff>208574</xdr:rowOff>
    </xdr:to>
    <xdr:cxnSp macro="">
      <xdr:nvCxnSpPr>
        <xdr:cNvPr id="10" name="直線コネクタ 9">
          <a:extLst>
            <a:ext uri="{FF2B5EF4-FFF2-40B4-BE49-F238E27FC236}">
              <a16:creationId xmlns:a16="http://schemas.microsoft.com/office/drawing/2014/main" id="{0BE810EB-C792-63F8-5AFB-BDB7C8674403}"/>
            </a:ext>
          </a:extLst>
        </xdr:cNvPr>
        <xdr:cNvCxnSpPr/>
      </xdr:nvCxnSpPr>
      <xdr:spPr>
        <a:xfrm>
          <a:off x="6558644" y="28031099"/>
          <a:ext cx="4208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28028</xdr:colOff>
      <xdr:row>97</xdr:row>
      <xdr:rowOff>26630</xdr:rowOff>
    </xdr:from>
    <xdr:to>
      <xdr:col>28</xdr:col>
      <xdr:colOff>28028</xdr:colOff>
      <xdr:row>99</xdr:row>
      <xdr:rowOff>159978</xdr:rowOff>
    </xdr:to>
    <xdr:cxnSp macro="">
      <xdr:nvCxnSpPr>
        <xdr:cNvPr id="11" name="直線コネクタ 10">
          <a:extLst>
            <a:ext uri="{FF2B5EF4-FFF2-40B4-BE49-F238E27FC236}">
              <a16:creationId xmlns:a16="http://schemas.microsoft.com/office/drawing/2014/main" id="{558C6E26-0034-0929-14D3-FDB13F55C882}"/>
            </a:ext>
          </a:extLst>
        </xdr:cNvPr>
        <xdr:cNvCxnSpPr/>
      </xdr:nvCxnSpPr>
      <xdr:spPr>
        <a:xfrm>
          <a:off x="6428828" y="27372905"/>
          <a:ext cx="0" cy="60959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104679</xdr:colOff>
      <xdr:row>97</xdr:row>
      <xdr:rowOff>28422</xdr:rowOff>
    </xdr:from>
    <xdr:to>
      <xdr:col>28</xdr:col>
      <xdr:colOff>104679</xdr:colOff>
      <xdr:row>99</xdr:row>
      <xdr:rowOff>159978</xdr:rowOff>
    </xdr:to>
    <xdr:cxnSp macro="">
      <xdr:nvCxnSpPr>
        <xdr:cNvPr id="17" name="直線コネクタ 16">
          <a:extLst>
            <a:ext uri="{FF2B5EF4-FFF2-40B4-BE49-F238E27FC236}">
              <a16:creationId xmlns:a16="http://schemas.microsoft.com/office/drawing/2014/main" id="{FEA959C3-12D7-89A6-1343-A0405BB806A6}"/>
            </a:ext>
          </a:extLst>
        </xdr:cNvPr>
        <xdr:cNvCxnSpPr/>
      </xdr:nvCxnSpPr>
      <xdr:spPr>
        <a:xfrm>
          <a:off x="6505479" y="27374697"/>
          <a:ext cx="0" cy="6078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12437</xdr:colOff>
      <xdr:row>96</xdr:row>
      <xdr:rowOff>86187</xdr:rowOff>
    </xdr:from>
    <xdr:to>
      <xdr:col>26</xdr:col>
      <xdr:colOff>12437</xdr:colOff>
      <xdr:row>96</xdr:row>
      <xdr:rowOff>219568</xdr:rowOff>
    </xdr:to>
    <xdr:cxnSp macro="">
      <xdr:nvCxnSpPr>
        <xdr:cNvPr id="18" name="直線コネクタ 17">
          <a:extLst>
            <a:ext uri="{FF2B5EF4-FFF2-40B4-BE49-F238E27FC236}">
              <a16:creationId xmlns:a16="http://schemas.microsoft.com/office/drawing/2014/main" id="{532D20A2-A3F0-1DC8-F84A-28C8A2E84236}"/>
            </a:ext>
          </a:extLst>
        </xdr:cNvPr>
        <xdr:cNvCxnSpPr/>
      </xdr:nvCxnSpPr>
      <xdr:spPr>
        <a:xfrm>
          <a:off x="5956037" y="27194337"/>
          <a:ext cx="0" cy="1333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17272</xdr:colOff>
      <xdr:row>99</xdr:row>
      <xdr:rowOff>205101</xdr:rowOff>
    </xdr:from>
    <xdr:to>
      <xdr:col>26</xdr:col>
      <xdr:colOff>17272</xdr:colOff>
      <xdr:row>100</xdr:row>
      <xdr:rowOff>99371</xdr:rowOff>
    </xdr:to>
    <xdr:cxnSp macro="">
      <xdr:nvCxnSpPr>
        <xdr:cNvPr id="21" name="直線コネクタ 20">
          <a:extLst>
            <a:ext uri="{FF2B5EF4-FFF2-40B4-BE49-F238E27FC236}">
              <a16:creationId xmlns:a16="http://schemas.microsoft.com/office/drawing/2014/main" id="{68C0669B-A834-4723-877B-B7D70B6241E7}"/>
            </a:ext>
          </a:extLst>
        </xdr:cNvPr>
        <xdr:cNvCxnSpPr/>
      </xdr:nvCxnSpPr>
      <xdr:spPr>
        <a:xfrm>
          <a:off x="5960872" y="28027626"/>
          <a:ext cx="0" cy="1323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122443</xdr:colOff>
      <xdr:row>96</xdr:row>
      <xdr:rowOff>86187</xdr:rowOff>
    </xdr:from>
    <xdr:to>
      <xdr:col>30</xdr:col>
      <xdr:colOff>122443</xdr:colOff>
      <xdr:row>96</xdr:row>
      <xdr:rowOff>219568</xdr:rowOff>
    </xdr:to>
    <xdr:cxnSp macro="">
      <xdr:nvCxnSpPr>
        <xdr:cNvPr id="22" name="直線コネクタ 21">
          <a:extLst>
            <a:ext uri="{FF2B5EF4-FFF2-40B4-BE49-F238E27FC236}">
              <a16:creationId xmlns:a16="http://schemas.microsoft.com/office/drawing/2014/main" id="{EAAE8A5A-CD37-33F7-5053-16ABCA79889E}"/>
            </a:ext>
          </a:extLst>
        </xdr:cNvPr>
        <xdr:cNvCxnSpPr/>
      </xdr:nvCxnSpPr>
      <xdr:spPr>
        <a:xfrm>
          <a:off x="6980443" y="27194337"/>
          <a:ext cx="0" cy="1333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121913</xdr:colOff>
      <xdr:row>99</xdr:row>
      <xdr:rowOff>205101</xdr:rowOff>
    </xdr:from>
    <xdr:to>
      <xdr:col>30</xdr:col>
      <xdr:colOff>121913</xdr:colOff>
      <xdr:row>100</xdr:row>
      <xdr:rowOff>99371</xdr:rowOff>
    </xdr:to>
    <xdr:cxnSp macro="">
      <xdr:nvCxnSpPr>
        <xdr:cNvPr id="23" name="直線コネクタ 22">
          <a:extLst>
            <a:ext uri="{FF2B5EF4-FFF2-40B4-BE49-F238E27FC236}">
              <a16:creationId xmlns:a16="http://schemas.microsoft.com/office/drawing/2014/main" id="{0CF43422-9DC2-9D51-85F0-409333010B43}"/>
            </a:ext>
          </a:extLst>
        </xdr:cNvPr>
        <xdr:cNvCxnSpPr/>
      </xdr:nvCxnSpPr>
      <xdr:spPr>
        <a:xfrm>
          <a:off x="6979913" y="28027626"/>
          <a:ext cx="0" cy="1323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154211</xdr:colOff>
      <xdr:row>96</xdr:row>
      <xdr:rowOff>218964</xdr:rowOff>
    </xdr:from>
    <xdr:to>
      <xdr:col>28</xdr:col>
      <xdr:colOff>28105</xdr:colOff>
      <xdr:row>97</xdr:row>
      <xdr:rowOff>80725</xdr:rowOff>
    </xdr:to>
    <xdr:sp macro="" textlink="">
      <xdr:nvSpPr>
        <xdr:cNvPr id="24" name="円弧 23">
          <a:extLst>
            <a:ext uri="{FF2B5EF4-FFF2-40B4-BE49-F238E27FC236}">
              <a16:creationId xmlns:a16="http://schemas.microsoft.com/office/drawing/2014/main" id="{09C5242C-DC97-7CD9-5368-D8F80313E6D2}"/>
            </a:ext>
          </a:extLst>
        </xdr:cNvPr>
        <xdr:cNvSpPr/>
      </xdr:nvSpPr>
      <xdr:spPr>
        <a:xfrm>
          <a:off x="6326411" y="27327114"/>
          <a:ext cx="102494" cy="99886"/>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104308</xdr:colOff>
      <xdr:row>96</xdr:row>
      <xdr:rowOff>223294</xdr:rowOff>
    </xdr:from>
    <xdr:to>
      <xdr:col>28</xdr:col>
      <xdr:colOff>207172</xdr:colOff>
      <xdr:row>97</xdr:row>
      <xdr:rowOff>85055</xdr:rowOff>
    </xdr:to>
    <xdr:sp macro="" textlink="">
      <xdr:nvSpPr>
        <xdr:cNvPr id="27" name="円弧 26">
          <a:extLst>
            <a:ext uri="{FF2B5EF4-FFF2-40B4-BE49-F238E27FC236}">
              <a16:creationId xmlns:a16="http://schemas.microsoft.com/office/drawing/2014/main" id="{E77B665E-CDAB-43FB-9DEB-BCE471AACA66}"/>
            </a:ext>
          </a:extLst>
        </xdr:cNvPr>
        <xdr:cNvSpPr/>
      </xdr:nvSpPr>
      <xdr:spPr>
        <a:xfrm flipH="1">
          <a:off x="6505108" y="27331444"/>
          <a:ext cx="102864" cy="99886"/>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104303</xdr:colOff>
      <xdr:row>99</xdr:row>
      <xdr:rowOff>100447</xdr:rowOff>
    </xdr:from>
    <xdr:to>
      <xdr:col>28</xdr:col>
      <xdr:colOff>216692</xdr:colOff>
      <xdr:row>99</xdr:row>
      <xdr:rowOff>209439</xdr:rowOff>
    </xdr:to>
    <xdr:sp macro="" textlink="">
      <xdr:nvSpPr>
        <xdr:cNvPr id="30" name="円弧 29">
          <a:extLst>
            <a:ext uri="{FF2B5EF4-FFF2-40B4-BE49-F238E27FC236}">
              <a16:creationId xmlns:a16="http://schemas.microsoft.com/office/drawing/2014/main" id="{F232D400-1C8C-4A1B-8161-E24B5AF81364}"/>
            </a:ext>
          </a:extLst>
        </xdr:cNvPr>
        <xdr:cNvSpPr/>
      </xdr:nvSpPr>
      <xdr:spPr>
        <a:xfrm flipH="1" flipV="1">
          <a:off x="6505103" y="27922972"/>
          <a:ext cx="112389" cy="108992"/>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150018</xdr:colOff>
      <xdr:row>99</xdr:row>
      <xdr:rowOff>100446</xdr:rowOff>
    </xdr:from>
    <xdr:to>
      <xdr:col>28</xdr:col>
      <xdr:colOff>28102</xdr:colOff>
      <xdr:row>99</xdr:row>
      <xdr:rowOff>209438</xdr:rowOff>
    </xdr:to>
    <xdr:sp macro="" textlink="">
      <xdr:nvSpPr>
        <xdr:cNvPr id="34" name="円弧 33">
          <a:extLst>
            <a:ext uri="{FF2B5EF4-FFF2-40B4-BE49-F238E27FC236}">
              <a16:creationId xmlns:a16="http://schemas.microsoft.com/office/drawing/2014/main" id="{6D0BF304-18C9-4197-8F15-75B8C87E90F7}"/>
            </a:ext>
          </a:extLst>
        </xdr:cNvPr>
        <xdr:cNvSpPr/>
      </xdr:nvSpPr>
      <xdr:spPr>
        <a:xfrm flipV="1">
          <a:off x="6322218" y="27922971"/>
          <a:ext cx="106684" cy="108992"/>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20240</xdr:colOff>
      <xdr:row>94</xdr:row>
      <xdr:rowOff>163348</xdr:rowOff>
    </xdr:from>
    <xdr:to>
      <xdr:col>30</xdr:col>
      <xdr:colOff>121443</xdr:colOff>
      <xdr:row>94</xdr:row>
      <xdr:rowOff>163348</xdr:rowOff>
    </xdr:to>
    <xdr:cxnSp macro="">
      <xdr:nvCxnSpPr>
        <xdr:cNvPr id="39" name="直線矢印コネクタ 38">
          <a:extLst>
            <a:ext uri="{FF2B5EF4-FFF2-40B4-BE49-F238E27FC236}">
              <a16:creationId xmlns:a16="http://schemas.microsoft.com/office/drawing/2014/main" id="{00891E7B-A581-D221-37C6-EFAD913D3D2A}"/>
            </a:ext>
          </a:extLst>
        </xdr:cNvPr>
        <xdr:cNvCxnSpPr/>
      </xdr:nvCxnSpPr>
      <xdr:spPr>
        <a:xfrm flipH="1">
          <a:off x="5963840" y="26795248"/>
          <a:ext cx="1015603"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122443</xdr:colOff>
      <xdr:row>94</xdr:row>
      <xdr:rowOff>105340</xdr:rowOff>
    </xdr:from>
    <xdr:to>
      <xdr:col>30</xdr:col>
      <xdr:colOff>122443</xdr:colOff>
      <xdr:row>95</xdr:row>
      <xdr:rowOff>596</xdr:rowOff>
    </xdr:to>
    <xdr:cxnSp macro="">
      <xdr:nvCxnSpPr>
        <xdr:cNvPr id="43" name="直線コネクタ 42">
          <a:extLst>
            <a:ext uri="{FF2B5EF4-FFF2-40B4-BE49-F238E27FC236}">
              <a16:creationId xmlns:a16="http://schemas.microsoft.com/office/drawing/2014/main" id="{5CD517D8-A39E-ACF0-04BC-5269C4274D0C}"/>
            </a:ext>
          </a:extLst>
        </xdr:cNvPr>
        <xdr:cNvCxnSpPr/>
      </xdr:nvCxnSpPr>
      <xdr:spPr>
        <a:xfrm>
          <a:off x="6980443" y="26737240"/>
          <a:ext cx="0" cy="1333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12437</xdr:colOff>
      <xdr:row>94</xdr:row>
      <xdr:rowOff>111293</xdr:rowOff>
    </xdr:from>
    <xdr:to>
      <xdr:col>26</xdr:col>
      <xdr:colOff>12437</xdr:colOff>
      <xdr:row>95</xdr:row>
      <xdr:rowOff>4478</xdr:rowOff>
    </xdr:to>
    <xdr:cxnSp macro="">
      <xdr:nvCxnSpPr>
        <xdr:cNvPr id="44" name="直線コネクタ 43">
          <a:extLst>
            <a:ext uri="{FF2B5EF4-FFF2-40B4-BE49-F238E27FC236}">
              <a16:creationId xmlns:a16="http://schemas.microsoft.com/office/drawing/2014/main" id="{6684CADF-E3A6-57E7-E055-E2213C99D1F0}"/>
            </a:ext>
          </a:extLst>
        </xdr:cNvPr>
        <xdr:cNvCxnSpPr/>
      </xdr:nvCxnSpPr>
      <xdr:spPr>
        <a:xfrm>
          <a:off x="5956037" y="26743193"/>
          <a:ext cx="0" cy="1313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122443</xdr:colOff>
      <xdr:row>95</xdr:row>
      <xdr:rowOff>99387</xdr:rowOff>
    </xdr:from>
    <xdr:to>
      <xdr:col>30</xdr:col>
      <xdr:colOff>122443</xdr:colOff>
      <xdr:row>95</xdr:row>
      <xdr:rowOff>231474</xdr:rowOff>
    </xdr:to>
    <xdr:cxnSp macro="">
      <xdr:nvCxnSpPr>
        <xdr:cNvPr id="45" name="直線コネクタ 44">
          <a:extLst>
            <a:ext uri="{FF2B5EF4-FFF2-40B4-BE49-F238E27FC236}">
              <a16:creationId xmlns:a16="http://schemas.microsoft.com/office/drawing/2014/main" id="{41981C65-0262-084D-EB33-BC6D1D90E692}"/>
            </a:ext>
          </a:extLst>
        </xdr:cNvPr>
        <xdr:cNvCxnSpPr/>
      </xdr:nvCxnSpPr>
      <xdr:spPr>
        <a:xfrm>
          <a:off x="6980443" y="26969412"/>
          <a:ext cx="0" cy="1320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110536</xdr:colOff>
      <xdr:row>95</xdr:row>
      <xdr:rowOff>99387</xdr:rowOff>
    </xdr:from>
    <xdr:to>
      <xdr:col>28</xdr:col>
      <xdr:colOff>110536</xdr:colOff>
      <xdr:row>95</xdr:row>
      <xdr:rowOff>231474</xdr:rowOff>
    </xdr:to>
    <xdr:cxnSp macro="">
      <xdr:nvCxnSpPr>
        <xdr:cNvPr id="46" name="直線コネクタ 45">
          <a:extLst>
            <a:ext uri="{FF2B5EF4-FFF2-40B4-BE49-F238E27FC236}">
              <a16:creationId xmlns:a16="http://schemas.microsoft.com/office/drawing/2014/main" id="{1BBEF615-EB6D-6DCB-DF64-917A02C8C806}"/>
            </a:ext>
          </a:extLst>
        </xdr:cNvPr>
        <xdr:cNvCxnSpPr/>
      </xdr:nvCxnSpPr>
      <xdr:spPr>
        <a:xfrm>
          <a:off x="6511336" y="26969412"/>
          <a:ext cx="0" cy="1320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33145</xdr:colOff>
      <xdr:row>95</xdr:row>
      <xdr:rowOff>99387</xdr:rowOff>
    </xdr:from>
    <xdr:to>
      <xdr:col>28</xdr:col>
      <xdr:colOff>33145</xdr:colOff>
      <xdr:row>95</xdr:row>
      <xdr:rowOff>231474</xdr:rowOff>
    </xdr:to>
    <xdr:cxnSp macro="">
      <xdr:nvCxnSpPr>
        <xdr:cNvPr id="47" name="直線コネクタ 46">
          <a:extLst>
            <a:ext uri="{FF2B5EF4-FFF2-40B4-BE49-F238E27FC236}">
              <a16:creationId xmlns:a16="http://schemas.microsoft.com/office/drawing/2014/main" id="{BA818FC8-31FB-A811-BB16-D19702F85EDA}"/>
            </a:ext>
          </a:extLst>
        </xdr:cNvPr>
        <xdr:cNvCxnSpPr/>
      </xdr:nvCxnSpPr>
      <xdr:spPr>
        <a:xfrm>
          <a:off x="6433945" y="26969412"/>
          <a:ext cx="0" cy="1320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12437</xdr:colOff>
      <xdr:row>95</xdr:row>
      <xdr:rowOff>117246</xdr:rowOff>
    </xdr:from>
    <xdr:to>
      <xdr:col>26</xdr:col>
      <xdr:colOff>12437</xdr:colOff>
      <xdr:row>96</xdr:row>
      <xdr:rowOff>9138</xdr:rowOff>
    </xdr:to>
    <xdr:cxnSp macro="">
      <xdr:nvCxnSpPr>
        <xdr:cNvPr id="48" name="直線コネクタ 47">
          <a:extLst>
            <a:ext uri="{FF2B5EF4-FFF2-40B4-BE49-F238E27FC236}">
              <a16:creationId xmlns:a16="http://schemas.microsoft.com/office/drawing/2014/main" id="{9595C7A6-708E-3626-7B0D-51DAF03A25A8}"/>
            </a:ext>
          </a:extLst>
        </xdr:cNvPr>
        <xdr:cNvCxnSpPr/>
      </xdr:nvCxnSpPr>
      <xdr:spPr>
        <a:xfrm>
          <a:off x="5956037" y="26987271"/>
          <a:ext cx="0" cy="13001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20240</xdr:colOff>
      <xdr:row>95</xdr:row>
      <xdr:rowOff>155324</xdr:rowOff>
    </xdr:from>
    <xdr:to>
      <xdr:col>28</xdr:col>
      <xdr:colOff>32147</xdr:colOff>
      <xdr:row>95</xdr:row>
      <xdr:rowOff>155324</xdr:rowOff>
    </xdr:to>
    <xdr:cxnSp macro="">
      <xdr:nvCxnSpPr>
        <xdr:cNvPr id="49" name="直線矢印コネクタ 48">
          <a:extLst>
            <a:ext uri="{FF2B5EF4-FFF2-40B4-BE49-F238E27FC236}">
              <a16:creationId xmlns:a16="http://schemas.microsoft.com/office/drawing/2014/main" id="{B0A2FCE6-69F3-3AF6-CB65-305DEC509A08}"/>
            </a:ext>
          </a:extLst>
        </xdr:cNvPr>
        <xdr:cNvCxnSpPr/>
      </xdr:nvCxnSpPr>
      <xdr:spPr>
        <a:xfrm flipH="1">
          <a:off x="5963840" y="27025349"/>
          <a:ext cx="469107"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109537</xdr:colOff>
      <xdr:row>95</xdr:row>
      <xdr:rowOff>155324</xdr:rowOff>
    </xdr:from>
    <xdr:to>
      <xdr:col>30</xdr:col>
      <xdr:colOff>121443</xdr:colOff>
      <xdr:row>95</xdr:row>
      <xdr:rowOff>155324</xdr:rowOff>
    </xdr:to>
    <xdr:cxnSp macro="">
      <xdr:nvCxnSpPr>
        <xdr:cNvPr id="51" name="直線矢印コネクタ 50">
          <a:extLst>
            <a:ext uri="{FF2B5EF4-FFF2-40B4-BE49-F238E27FC236}">
              <a16:creationId xmlns:a16="http://schemas.microsoft.com/office/drawing/2014/main" id="{36D7668B-4184-778B-AEBD-7A392B506D88}"/>
            </a:ext>
          </a:extLst>
        </xdr:cNvPr>
        <xdr:cNvCxnSpPr/>
      </xdr:nvCxnSpPr>
      <xdr:spPr>
        <a:xfrm flipH="1">
          <a:off x="6510337" y="27025349"/>
          <a:ext cx="469106"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1116</xdr:colOff>
      <xdr:row>96</xdr:row>
      <xdr:rowOff>93953</xdr:rowOff>
    </xdr:from>
    <xdr:to>
      <xdr:col>33</xdr:col>
      <xdr:colOff>1116</xdr:colOff>
      <xdr:row>100</xdr:row>
      <xdr:rowOff>105097</xdr:rowOff>
    </xdr:to>
    <xdr:cxnSp macro="">
      <xdr:nvCxnSpPr>
        <xdr:cNvPr id="53" name="直線矢印コネクタ 52">
          <a:extLst>
            <a:ext uri="{FF2B5EF4-FFF2-40B4-BE49-F238E27FC236}">
              <a16:creationId xmlns:a16="http://schemas.microsoft.com/office/drawing/2014/main" id="{E07E91C5-5168-7B06-894B-852C80751567}"/>
            </a:ext>
          </a:extLst>
        </xdr:cNvPr>
        <xdr:cNvCxnSpPr/>
      </xdr:nvCxnSpPr>
      <xdr:spPr>
        <a:xfrm flipV="1">
          <a:off x="7544916" y="27202103"/>
          <a:ext cx="0" cy="963644"/>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74719</xdr:colOff>
      <xdr:row>96</xdr:row>
      <xdr:rowOff>88540</xdr:rowOff>
    </xdr:from>
    <xdr:to>
      <xdr:col>33</xdr:col>
      <xdr:colOff>67142</xdr:colOff>
      <xdr:row>96</xdr:row>
      <xdr:rowOff>88540</xdr:rowOff>
    </xdr:to>
    <xdr:cxnSp macro="">
      <xdr:nvCxnSpPr>
        <xdr:cNvPr id="60" name="直線コネクタ 59">
          <a:extLst>
            <a:ext uri="{FF2B5EF4-FFF2-40B4-BE49-F238E27FC236}">
              <a16:creationId xmlns:a16="http://schemas.microsoft.com/office/drawing/2014/main" id="{726D98FE-7E16-0D80-31C8-8ACF1475817E}"/>
            </a:ext>
          </a:extLst>
        </xdr:cNvPr>
        <xdr:cNvCxnSpPr/>
      </xdr:nvCxnSpPr>
      <xdr:spPr>
        <a:xfrm>
          <a:off x="7389919" y="27196690"/>
          <a:ext cx="22102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92037</xdr:colOff>
      <xdr:row>100</xdr:row>
      <xdr:rowOff>97607</xdr:rowOff>
    </xdr:from>
    <xdr:to>
      <xdr:col>33</xdr:col>
      <xdr:colOff>86841</xdr:colOff>
      <xdr:row>100</xdr:row>
      <xdr:rowOff>97607</xdr:rowOff>
    </xdr:to>
    <xdr:cxnSp macro="">
      <xdr:nvCxnSpPr>
        <xdr:cNvPr id="62" name="直線コネクタ 61">
          <a:extLst>
            <a:ext uri="{FF2B5EF4-FFF2-40B4-BE49-F238E27FC236}">
              <a16:creationId xmlns:a16="http://schemas.microsoft.com/office/drawing/2014/main" id="{9C959C12-12E9-0F3C-69DD-2B66947217C0}"/>
            </a:ext>
          </a:extLst>
        </xdr:cNvPr>
        <xdr:cNvCxnSpPr/>
      </xdr:nvCxnSpPr>
      <xdr:spPr>
        <a:xfrm>
          <a:off x="7407237" y="28158257"/>
          <a:ext cx="22340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176640</xdr:colOff>
      <xdr:row>93</xdr:row>
      <xdr:rowOff>189530</xdr:rowOff>
    </xdr:from>
    <xdr:ext cx="270843" cy="254493"/>
    <xdr:sp macro="" textlink="">
      <xdr:nvSpPr>
        <xdr:cNvPr id="129" name="テキスト ボックス 128">
          <a:extLst>
            <a:ext uri="{FF2B5EF4-FFF2-40B4-BE49-F238E27FC236}">
              <a16:creationId xmlns:a16="http://schemas.microsoft.com/office/drawing/2014/main" id="{791710F5-B1C3-8D76-8CC5-B56050175AC2}"/>
            </a:ext>
          </a:extLst>
        </xdr:cNvPr>
        <xdr:cNvSpPr txBox="1"/>
      </xdr:nvSpPr>
      <xdr:spPr>
        <a:xfrm>
          <a:off x="6348840" y="26583305"/>
          <a:ext cx="270843"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B</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oneCellAnchor>
    <xdr:from>
      <xdr:col>28</xdr:col>
      <xdr:colOff>190504</xdr:colOff>
      <xdr:row>94</xdr:row>
      <xdr:rowOff>188560</xdr:rowOff>
    </xdr:from>
    <xdr:ext cx="285399" cy="254493"/>
    <xdr:sp macro="" textlink="">
      <xdr:nvSpPr>
        <xdr:cNvPr id="130" name="テキスト ボックス 129">
          <a:extLst>
            <a:ext uri="{FF2B5EF4-FFF2-40B4-BE49-F238E27FC236}">
              <a16:creationId xmlns:a16="http://schemas.microsoft.com/office/drawing/2014/main" id="{130C43FA-F4D6-460B-B72E-244CD662680B}"/>
            </a:ext>
          </a:extLst>
        </xdr:cNvPr>
        <xdr:cNvSpPr txBox="1"/>
      </xdr:nvSpPr>
      <xdr:spPr>
        <a:xfrm>
          <a:off x="6591304" y="26820460"/>
          <a:ext cx="285399"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b'</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oneCellAnchor>
    <xdr:from>
      <xdr:col>26</xdr:col>
      <xdr:colOff>100447</xdr:colOff>
      <xdr:row>94</xdr:row>
      <xdr:rowOff>189437</xdr:rowOff>
    </xdr:from>
    <xdr:ext cx="285399" cy="254493"/>
    <xdr:sp macro="" textlink="">
      <xdr:nvSpPr>
        <xdr:cNvPr id="131" name="テキスト ボックス 130">
          <a:extLst>
            <a:ext uri="{FF2B5EF4-FFF2-40B4-BE49-F238E27FC236}">
              <a16:creationId xmlns:a16="http://schemas.microsoft.com/office/drawing/2014/main" id="{A6C0FEB6-480A-4ADC-927F-8CEFBFAFD336}"/>
            </a:ext>
          </a:extLst>
        </xdr:cNvPr>
        <xdr:cNvSpPr txBox="1"/>
      </xdr:nvSpPr>
      <xdr:spPr>
        <a:xfrm>
          <a:off x="6044047" y="26821337"/>
          <a:ext cx="285399"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b'</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oneCellAnchor>
    <xdr:from>
      <xdr:col>32</xdr:col>
      <xdr:colOff>203733</xdr:colOff>
      <xdr:row>97</xdr:row>
      <xdr:rowOff>182602</xdr:rowOff>
    </xdr:from>
    <xdr:ext cx="286553" cy="254493"/>
    <xdr:sp macro="" textlink="">
      <xdr:nvSpPr>
        <xdr:cNvPr id="132" name="テキスト ボックス 131">
          <a:extLst>
            <a:ext uri="{FF2B5EF4-FFF2-40B4-BE49-F238E27FC236}">
              <a16:creationId xmlns:a16="http://schemas.microsoft.com/office/drawing/2014/main" id="{3C1FF360-3871-CDFF-F0A4-828F44747686}"/>
            </a:ext>
          </a:extLst>
        </xdr:cNvPr>
        <xdr:cNvSpPr txBox="1"/>
      </xdr:nvSpPr>
      <xdr:spPr>
        <a:xfrm>
          <a:off x="7518933" y="27528877"/>
          <a:ext cx="286553"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H</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twoCellAnchor>
    <xdr:from>
      <xdr:col>25</xdr:col>
      <xdr:colOff>193963</xdr:colOff>
      <xdr:row>98</xdr:row>
      <xdr:rowOff>76616</xdr:rowOff>
    </xdr:from>
    <xdr:to>
      <xdr:col>30</xdr:col>
      <xdr:colOff>202623</xdr:colOff>
      <xdr:row>98</xdr:row>
      <xdr:rowOff>76616</xdr:rowOff>
    </xdr:to>
    <xdr:cxnSp macro="">
      <xdr:nvCxnSpPr>
        <xdr:cNvPr id="133" name="直線コネクタ 132">
          <a:extLst>
            <a:ext uri="{FF2B5EF4-FFF2-40B4-BE49-F238E27FC236}">
              <a16:creationId xmlns:a16="http://schemas.microsoft.com/office/drawing/2014/main" id="{9AE52D44-10CA-7997-9907-F6A5AF8E76F2}"/>
            </a:ext>
          </a:extLst>
        </xdr:cNvPr>
        <xdr:cNvCxnSpPr/>
      </xdr:nvCxnSpPr>
      <xdr:spPr>
        <a:xfrm>
          <a:off x="5908963" y="27661016"/>
          <a:ext cx="1151660" cy="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64075</xdr:colOff>
      <xdr:row>96</xdr:row>
      <xdr:rowOff>7358</xdr:rowOff>
    </xdr:from>
    <xdr:to>
      <xdr:col>28</xdr:col>
      <xdr:colOff>68405</xdr:colOff>
      <xdr:row>100</xdr:row>
      <xdr:rowOff>211072</xdr:rowOff>
    </xdr:to>
    <xdr:cxnSp macro="">
      <xdr:nvCxnSpPr>
        <xdr:cNvPr id="136" name="直線コネクタ 135">
          <a:extLst>
            <a:ext uri="{FF2B5EF4-FFF2-40B4-BE49-F238E27FC236}">
              <a16:creationId xmlns:a16="http://schemas.microsoft.com/office/drawing/2014/main" id="{C9870582-D008-0F7A-683E-5B66EA7C6E92}"/>
            </a:ext>
          </a:extLst>
        </xdr:cNvPr>
        <xdr:cNvCxnSpPr/>
      </xdr:nvCxnSpPr>
      <xdr:spPr>
        <a:xfrm flipH="1">
          <a:off x="6464875" y="27115508"/>
          <a:ext cx="4330" cy="1156214"/>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3574</xdr:colOff>
      <xdr:row>97</xdr:row>
      <xdr:rowOff>148830</xdr:rowOff>
    </xdr:from>
    <xdr:ext cx="768159" cy="328423"/>
    <xdr:sp macro="" textlink="">
      <xdr:nvSpPr>
        <xdr:cNvPr id="139" name="テキスト ボックス 138">
          <a:extLst>
            <a:ext uri="{FF2B5EF4-FFF2-40B4-BE49-F238E27FC236}">
              <a16:creationId xmlns:a16="http://schemas.microsoft.com/office/drawing/2014/main" id="{651CDA3F-066C-EDCF-4204-FA834B1B4700}"/>
            </a:ext>
          </a:extLst>
        </xdr:cNvPr>
        <xdr:cNvSpPr txBox="1"/>
      </xdr:nvSpPr>
      <xdr:spPr>
        <a:xfrm>
          <a:off x="5261374" y="27495105"/>
          <a:ext cx="7681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強軸</a:t>
          </a:r>
          <a:r>
            <a:rPr kumimoji="1" lang="en-US" altLang="ja-JP" sz="1100">
              <a:latin typeface="Times New Roman" panose="02020603050405020304" pitchFamily="18" charset="0"/>
              <a:cs typeface="Times New Roman" panose="02020603050405020304" pitchFamily="18" charset="0"/>
            </a:rPr>
            <a:t>(y</a:t>
          </a:r>
          <a:r>
            <a:rPr kumimoji="1" lang="ja-JP" altLang="en-US" sz="1100"/>
            <a:t>軸</a:t>
          </a:r>
          <a:r>
            <a:rPr kumimoji="1" lang="en-US" altLang="ja-JP" sz="1100"/>
            <a:t>)</a:t>
          </a:r>
        </a:p>
      </xdr:txBody>
    </xdr:sp>
    <xdr:clientData/>
  </xdr:oneCellAnchor>
  <xdr:oneCellAnchor>
    <xdr:from>
      <xdr:col>26</xdr:col>
      <xdr:colOff>219077</xdr:colOff>
      <xdr:row>100</xdr:row>
      <xdr:rowOff>132160</xdr:rowOff>
    </xdr:from>
    <xdr:ext cx="760208" cy="328423"/>
    <xdr:sp macro="" textlink="">
      <xdr:nvSpPr>
        <xdr:cNvPr id="140" name="テキスト ボックス 139">
          <a:extLst>
            <a:ext uri="{FF2B5EF4-FFF2-40B4-BE49-F238E27FC236}">
              <a16:creationId xmlns:a16="http://schemas.microsoft.com/office/drawing/2014/main" id="{9DE3667C-1110-3448-D268-7505BBA9A4C9}"/>
            </a:ext>
          </a:extLst>
        </xdr:cNvPr>
        <xdr:cNvSpPr txBox="1"/>
      </xdr:nvSpPr>
      <xdr:spPr>
        <a:xfrm>
          <a:off x="6162677" y="28192810"/>
          <a:ext cx="760208"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弱</a:t>
          </a:r>
          <a:r>
            <a:rPr kumimoji="1" lang="ja-JP" altLang="ja-JP" sz="1100">
              <a:solidFill>
                <a:schemeClr val="tx1"/>
              </a:solidFill>
              <a:effectLst/>
              <a:latin typeface="+mn-lt"/>
              <a:ea typeface="+mn-ea"/>
              <a:cs typeface="+mn-cs"/>
            </a:rPr>
            <a:t>軸</a:t>
          </a:r>
          <a:r>
            <a:rPr kumimoji="1" lang="en-US" altLang="ja-JP" sz="1100">
              <a:latin typeface="Times New Roman" panose="02020603050405020304" pitchFamily="18" charset="0"/>
              <a:cs typeface="Times New Roman" panose="02020603050405020304" pitchFamily="18" charset="0"/>
            </a:rPr>
            <a:t>(z</a:t>
          </a:r>
          <a:r>
            <a:rPr kumimoji="1" lang="ja-JP" altLang="en-US" sz="1100"/>
            <a:t>軸</a:t>
          </a:r>
          <a:r>
            <a:rPr kumimoji="1" lang="en-US" altLang="ja-JP" sz="1100"/>
            <a:t>)</a:t>
          </a:r>
        </a:p>
      </xdr:txBody>
    </xdr:sp>
    <xdr:clientData/>
  </xdr:oneCellAnchor>
  <xdr:twoCellAnchor>
    <xdr:from>
      <xdr:col>30</xdr:col>
      <xdr:colOff>172689</xdr:colOff>
      <xdr:row>96</xdr:row>
      <xdr:rowOff>88540</xdr:rowOff>
    </xdr:from>
    <xdr:to>
      <xdr:col>31</xdr:col>
      <xdr:colOff>165112</xdr:colOff>
      <xdr:row>96</xdr:row>
      <xdr:rowOff>88540</xdr:rowOff>
    </xdr:to>
    <xdr:cxnSp macro="">
      <xdr:nvCxnSpPr>
        <xdr:cNvPr id="141" name="直線コネクタ 140">
          <a:extLst>
            <a:ext uri="{FF2B5EF4-FFF2-40B4-BE49-F238E27FC236}">
              <a16:creationId xmlns:a16="http://schemas.microsoft.com/office/drawing/2014/main" id="{1126B274-2AAC-6DC4-852A-93685B9043F8}"/>
            </a:ext>
          </a:extLst>
        </xdr:cNvPr>
        <xdr:cNvCxnSpPr/>
      </xdr:nvCxnSpPr>
      <xdr:spPr>
        <a:xfrm>
          <a:off x="7030689" y="27196690"/>
          <a:ext cx="22102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172689</xdr:colOff>
      <xdr:row>96</xdr:row>
      <xdr:rowOff>217807</xdr:rowOff>
    </xdr:from>
    <xdr:to>
      <xdr:col>31</xdr:col>
      <xdr:colOff>165112</xdr:colOff>
      <xdr:row>96</xdr:row>
      <xdr:rowOff>217807</xdr:rowOff>
    </xdr:to>
    <xdr:cxnSp macro="">
      <xdr:nvCxnSpPr>
        <xdr:cNvPr id="142" name="直線コネクタ 141">
          <a:extLst>
            <a:ext uri="{FF2B5EF4-FFF2-40B4-BE49-F238E27FC236}">
              <a16:creationId xmlns:a16="http://schemas.microsoft.com/office/drawing/2014/main" id="{A8BFDFD7-5F2A-0830-F34E-39BF4E8BD881}"/>
            </a:ext>
          </a:extLst>
        </xdr:cNvPr>
        <xdr:cNvCxnSpPr/>
      </xdr:nvCxnSpPr>
      <xdr:spPr>
        <a:xfrm>
          <a:off x="7030689" y="27325957"/>
          <a:ext cx="22102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82759</xdr:colOff>
      <xdr:row>96</xdr:row>
      <xdr:rowOff>217778</xdr:rowOff>
    </xdr:from>
    <xdr:to>
      <xdr:col>31</xdr:col>
      <xdr:colOff>82759</xdr:colOff>
      <xdr:row>97</xdr:row>
      <xdr:rowOff>213632</xdr:rowOff>
    </xdr:to>
    <xdr:cxnSp macro="">
      <xdr:nvCxnSpPr>
        <xdr:cNvPr id="143" name="直線矢印コネクタ 142">
          <a:extLst>
            <a:ext uri="{FF2B5EF4-FFF2-40B4-BE49-F238E27FC236}">
              <a16:creationId xmlns:a16="http://schemas.microsoft.com/office/drawing/2014/main" id="{B7EC6E2F-E61E-2494-390F-C0FA60B87182}"/>
            </a:ext>
          </a:extLst>
        </xdr:cNvPr>
        <xdr:cNvCxnSpPr/>
      </xdr:nvCxnSpPr>
      <xdr:spPr>
        <a:xfrm flipV="1">
          <a:off x="7169359" y="27325928"/>
          <a:ext cx="0" cy="233979"/>
        </a:xfrm>
        <a:prstGeom prst="straightConnector1">
          <a:avLst/>
        </a:prstGeom>
        <a:ln>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82759</xdr:colOff>
      <xdr:row>95</xdr:row>
      <xdr:rowOff>93953</xdr:rowOff>
    </xdr:from>
    <xdr:to>
      <xdr:col>31</xdr:col>
      <xdr:colOff>82759</xdr:colOff>
      <xdr:row>96</xdr:row>
      <xdr:rowOff>89808</xdr:rowOff>
    </xdr:to>
    <xdr:cxnSp macro="">
      <xdr:nvCxnSpPr>
        <xdr:cNvPr id="145" name="直線矢印コネクタ 144">
          <a:extLst>
            <a:ext uri="{FF2B5EF4-FFF2-40B4-BE49-F238E27FC236}">
              <a16:creationId xmlns:a16="http://schemas.microsoft.com/office/drawing/2014/main" id="{953CDB0D-C1A1-E49C-7643-360728544488}"/>
            </a:ext>
          </a:extLst>
        </xdr:cNvPr>
        <xdr:cNvCxnSpPr/>
      </xdr:nvCxnSpPr>
      <xdr:spPr>
        <a:xfrm flipV="1">
          <a:off x="7169359" y="26963978"/>
          <a:ext cx="0" cy="233980"/>
        </a:xfrm>
        <a:prstGeom prst="straightConnector1">
          <a:avLst/>
        </a:prstGeom>
        <a:ln>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99102</xdr:colOff>
      <xdr:row>96</xdr:row>
      <xdr:rowOff>8055</xdr:rowOff>
    </xdr:from>
    <xdr:ext cx="254044" cy="254493"/>
    <xdr:sp macro="" textlink="">
      <xdr:nvSpPr>
        <xdr:cNvPr id="146" name="テキスト ボックス 145">
          <a:extLst>
            <a:ext uri="{FF2B5EF4-FFF2-40B4-BE49-F238E27FC236}">
              <a16:creationId xmlns:a16="http://schemas.microsoft.com/office/drawing/2014/main" id="{9881ABE2-86A3-13CB-666F-0E09F9C54C3F}"/>
            </a:ext>
          </a:extLst>
        </xdr:cNvPr>
        <xdr:cNvSpPr txBox="1"/>
      </xdr:nvSpPr>
      <xdr:spPr>
        <a:xfrm>
          <a:off x="7185702" y="27116205"/>
          <a:ext cx="254044"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t'</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e-note.com/kasetsu-kiri-ko-sj-rk-s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77"/>
  <sheetViews>
    <sheetView showGridLines="0" tabSelected="1" view="pageBreakPreview" zoomScale="80" zoomScaleNormal="85" zoomScaleSheetLayoutView="80" workbookViewId="0">
      <selection activeCell="A2" sqref="A2"/>
    </sheetView>
  </sheetViews>
  <sheetFormatPr defaultColWidth="9" defaultRowHeight="18"/>
  <cols>
    <col min="1" max="36" width="3" style="1" customWidth="1"/>
    <col min="37" max="16384" width="9" style="1"/>
  </cols>
  <sheetData>
    <row r="1" spans="1:34">
      <c r="A1" s="1" t="s">
        <v>164</v>
      </c>
      <c r="AA1" s="192" t="s">
        <v>478</v>
      </c>
    </row>
    <row r="3" spans="1:34">
      <c r="B3" s="1" t="s">
        <v>165</v>
      </c>
    </row>
    <row r="5" spans="1:34">
      <c r="A5" s="1" t="s">
        <v>424</v>
      </c>
    </row>
    <row r="7" spans="1:34">
      <c r="B7" s="1" t="s">
        <v>99</v>
      </c>
    </row>
    <row r="8" spans="1:34">
      <c r="C8" s="9" t="s">
        <v>87</v>
      </c>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1"/>
    </row>
    <row r="9" spans="1:34">
      <c r="C9" s="12"/>
      <c r="D9" s="13" t="s">
        <v>0</v>
      </c>
      <c r="E9" s="13"/>
      <c r="F9" s="13"/>
      <c r="G9" s="13"/>
      <c r="H9" s="13"/>
      <c r="I9" s="13"/>
      <c r="J9" s="13"/>
      <c r="K9" s="13"/>
      <c r="L9" s="13"/>
      <c r="M9" s="13"/>
      <c r="N9" s="13"/>
      <c r="O9" s="34" t="s">
        <v>1</v>
      </c>
      <c r="P9" s="13"/>
      <c r="Q9" s="13" t="s">
        <v>2</v>
      </c>
      <c r="R9" s="236">
        <f>F23</f>
        <v>3</v>
      </c>
      <c r="S9" s="237"/>
      <c r="T9" s="238"/>
      <c r="U9" s="13" t="s">
        <v>3</v>
      </c>
      <c r="V9" s="13"/>
      <c r="W9" s="13"/>
      <c r="X9" s="13"/>
      <c r="Y9" s="13"/>
      <c r="Z9" s="13"/>
      <c r="AA9" s="13"/>
      <c r="AB9" s="13"/>
      <c r="AC9" s="13"/>
      <c r="AD9" s="13"/>
      <c r="AE9" s="13"/>
      <c r="AF9" s="13"/>
      <c r="AG9" s="13"/>
      <c r="AH9" s="15"/>
    </row>
    <row r="10" spans="1:34">
      <c r="C10" s="12"/>
      <c r="D10" s="13"/>
      <c r="E10" s="13"/>
      <c r="F10" s="13"/>
      <c r="G10" s="13"/>
      <c r="H10" s="13"/>
      <c r="I10" s="13"/>
      <c r="J10" s="13"/>
      <c r="K10" s="13"/>
      <c r="L10" s="13"/>
      <c r="M10" s="13"/>
      <c r="N10" s="13"/>
      <c r="O10" s="34"/>
      <c r="P10" s="13"/>
      <c r="Q10" s="13"/>
      <c r="R10" s="248"/>
      <c r="S10" s="248"/>
      <c r="T10" s="248"/>
      <c r="U10" s="13"/>
      <c r="V10" s="13"/>
      <c r="W10" s="13"/>
      <c r="X10" s="13"/>
      <c r="Y10" s="13"/>
      <c r="Z10" s="13"/>
      <c r="AA10" s="13"/>
      <c r="AB10" s="13"/>
      <c r="AC10" s="13"/>
      <c r="AD10" s="13"/>
      <c r="AE10" s="13"/>
      <c r="AF10" s="13"/>
      <c r="AG10" s="13"/>
      <c r="AH10" s="15"/>
    </row>
    <row r="11" spans="1:34">
      <c r="C11" s="12"/>
      <c r="D11" s="13" t="s">
        <v>98</v>
      </c>
      <c r="E11" s="13"/>
      <c r="F11" s="13"/>
      <c r="G11" s="13"/>
      <c r="H11" s="13"/>
      <c r="I11" s="13"/>
      <c r="J11" s="13"/>
      <c r="K11" s="13"/>
      <c r="L11" s="13"/>
      <c r="M11" s="13"/>
      <c r="N11" s="13"/>
      <c r="O11" s="34" t="s">
        <v>89</v>
      </c>
      <c r="P11" s="13"/>
      <c r="Q11" s="13" t="s">
        <v>2</v>
      </c>
      <c r="R11" s="245">
        <v>4</v>
      </c>
      <c r="S11" s="246"/>
      <c r="T11" s="247"/>
      <c r="U11" s="13" t="s">
        <v>3</v>
      </c>
      <c r="V11" s="13"/>
      <c r="W11" s="13"/>
      <c r="X11" s="13"/>
      <c r="Y11" s="13"/>
      <c r="Z11" s="13"/>
      <c r="AA11" s="13"/>
      <c r="AB11" s="13"/>
      <c r="AC11" s="13"/>
      <c r="AD11" s="13"/>
      <c r="AE11" s="13"/>
      <c r="AF11" s="13"/>
      <c r="AG11" s="13"/>
      <c r="AH11" s="15"/>
    </row>
    <row r="12" spans="1:34" ht="19.8">
      <c r="C12" s="12"/>
      <c r="D12" s="13" t="s">
        <v>5</v>
      </c>
      <c r="E12" s="13"/>
      <c r="F12" s="13"/>
      <c r="G12" s="13"/>
      <c r="H12" s="13"/>
      <c r="I12" s="13"/>
      <c r="J12" s="13"/>
      <c r="K12" s="13"/>
      <c r="L12" s="13"/>
      <c r="M12" s="13"/>
      <c r="N12" s="13"/>
      <c r="O12" s="34" t="s">
        <v>6</v>
      </c>
      <c r="P12" s="13"/>
      <c r="Q12" s="13" t="s">
        <v>2</v>
      </c>
      <c r="R12" s="239">
        <v>10</v>
      </c>
      <c r="S12" s="240"/>
      <c r="T12" s="241"/>
      <c r="U12" s="13" t="s">
        <v>41</v>
      </c>
      <c r="V12" s="13"/>
      <c r="W12" s="13"/>
      <c r="X12" s="13"/>
      <c r="Y12" s="13" t="s">
        <v>166</v>
      </c>
      <c r="Z12" s="13"/>
      <c r="AA12" s="13"/>
      <c r="AB12" s="13"/>
      <c r="AC12" s="13"/>
      <c r="AD12" s="13"/>
      <c r="AE12" s="13"/>
      <c r="AF12" s="13"/>
      <c r="AG12" s="13"/>
      <c r="AH12" s="15"/>
    </row>
    <row r="13" spans="1:34">
      <c r="C13" s="12"/>
      <c r="D13" s="13" t="s">
        <v>4</v>
      </c>
      <c r="E13" s="13"/>
      <c r="F13" s="13"/>
      <c r="G13" s="13"/>
      <c r="H13" s="13"/>
      <c r="I13" s="13"/>
      <c r="J13" s="13"/>
      <c r="K13" s="13"/>
      <c r="L13" s="13"/>
      <c r="M13" s="13"/>
      <c r="N13" s="13"/>
      <c r="O13" s="34" t="s">
        <v>118</v>
      </c>
      <c r="P13" s="13"/>
      <c r="Q13" s="13" t="s">
        <v>2</v>
      </c>
      <c r="R13" s="236">
        <f>-(F23-L23)</f>
        <v>-1.3</v>
      </c>
      <c r="S13" s="237"/>
      <c r="T13" s="238"/>
      <c r="U13" s="13" t="s">
        <v>3</v>
      </c>
      <c r="V13" s="13"/>
      <c r="W13" s="13"/>
      <c r="X13" s="13"/>
      <c r="Y13" s="13"/>
      <c r="Z13" s="13"/>
      <c r="AA13" s="13"/>
      <c r="AB13" s="13"/>
      <c r="AC13" s="13"/>
      <c r="AD13" s="13"/>
      <c r="AE13" s="13"/>
      <c r="AF13" s="13"/>
      <c r="AG13" s="13"/>
      <c r="AH13" s="15"/>
    </row>
    <row r="14" spans="1:34">
      <c r="C14" s="16"/>
      <c r="D14" s="17"/>
      <c r="E14" s="17"/>
      <c r="F14" s="17"/>
      <c r="G14" s="17"/>
      <c r="H14" s="17"/>
      <c r="I14" s="17"/>
      <c r="J14" s="17"/>
      <c r="K14" s="17"/>
      <c r="L14" s="17"/>
      <c r="M14" s="17"/>
      <c r="N14" s="17"/>
      <c r="O14" s="17"/>
      <c r="P14" s="17"/>
      <c r="Q14" s="17"/>
      <c r="R14" s="18"/>
      <c r="S14" s="18"/>
      <c r="T14" s="18"/>
      <c r="U14" s="17"/>
      <c r="V14" s="17"/>
      <c r="W14" s="17"/>
      <c r="X14" s="17"/>
      <c r="Y14" s="17"/>
      <c r="Z14" s="17"/>
      <c r="AA14" s="17"/>
      <c r="AB14" s="17"/>
      <c r="AC14" s="17"/>
      <c r="AD14" s="17"/>
      <c r="AE14" s="17"/>
      <c r="AF14" s="17"/>
      <c r="AG14" s="17"/>
      <c r="AH14" s="19"/>
    </row>
    <row r="16" spans="1:34">
      <c r="C16" s="2" t="s">
        <v>45</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t="s">
        <v>7</v>
      </c>
      <c r="AF16" s="3"/>
      <c r="AG16" s="3"/>
      <c r="AH16" s="4"/>
    </row>
    <row r="17" spans="2:36">
      <c r="C17" s="5"/>
      <c r="D17"/>
      <c r="E17"/>
      <c r="F17" s="257" t="s">
        <v>8</v>
      </c>
      <c r="G17" s="259"/>
      <c r="H17" s="257" t="s">
        <v>9</v>
      </c>
      <c r="I17" s="259"/>
      <c r="J17" s="257" t="s">
        <v>10</v>
      </c>
      <c r="K17" s="258"/>
      <c r="L17" s="258"/>
      <c r="M17" s="259"/>
      <c r="N17" s="258" t="s">
        <v>11</v>
      </c>
      <c r="O17" s="259"/>
      <c r="P17" s="242" t="s">
        <v>12</v>
      </c>
      <c r="Q17" s="243"/>
      <c r="R17" s="243"/>
      <c r="S17" s="244"/>
      <c r="T17" s="242" t="s">
        <v>124</v>
      </c>
      <c r="U17" s="243"/>
      <c r="V17" s="243"/>
      <c r="W17" s="244"/>
      <c r="X17" s="242" t="s">
        <v>13</v>
      </c>
      <c r="Y17" s="243"/>
      <c r="Z17" s="243"/>
      <c r="AA17" s="244"/>
      <c r="AB17" s="242" t="s">
        <v>133</v>
      </c>
      <c r="AC17" s="243"/>
      <c r="AD17" s="243"/>
      <c r="AE17" s="244"/>
      <c r="AF17" s="242" t="s">
        <v>14</v>
      </c>
      <c r="AG17" s="244"/>
      <c r="AH17" s="6"/>
    </row>
    <row r="18" spans="2:36">
      <c r="C18" s="5"/>
      <c r="D18"/>
      <c r="E18"/>
      <c r="F18" s="249" t="s">
        <v>15</v>
      </c>
      <c r="G18" s="250"/>
      <c r="H18" s="251"/>
      <c r="I18" s="252"/>
      <c r="J18" s="251"/>
      <c r="K18" s="253"/>
      <c r="L18" s="253"/>
      <c r="M18" s="252"/>
      <c r="N18" s="253"/>
      <c r="O18" s="252"/>
      <c r="P18" s="254" t="s">
        <v>16</v>
      </c>
      <c r="Q18" s="255"/>
      <c r="R18" s="255"/>
      <c r="S18" s="256"/>
      <c r="T18" s="260" t="s">
        <v>122</v>
      </c>
      <c r="U18" s="261"/>
      <c r="V18" s="261"/>
      <c r="W18" s="262"/>
      <c r="X18" s="254" t="s">
        <v>17</v>
      </c>
      <c r="Y18" s="255"/>
      <c r="Z18" s="255"/>
      <c r="AA18" s="256"/>
      <c r="AB18" s="254" t="s">
        <v>18</v>
      </c>
      <c r="AC18" s="255"/>
      <c r="AD18" s="255"/>
      <c r="AE18" s="256"/>
      <c r="AF18" s="249" t="s">
        <v>19</v>
      </c>
      <c r="AG18" s="250"/>
      <c r="AH18" s="6"/>
    </row>
    <row r="19" spans="2:36" ht="19.8">
      <c r="C19" s="5"/>
      <c r="D19"/>
      <c r="E19"/>
      <c r="F19" s="228" t="s">
        <v>20</v>
      </c>
      <c r="G19" s="229"/>
      <c r="H19" s="228"/>
      <c r="I19" s="230"/>
      <c r="J19" s="228"/>
      <c r="K19" s="229"/>
      <c r="L19" s="229" t="s">
        <v>20</v>
      </c>
      <c r="M19" s="230"/>
      <c r="N19" s="229"/>
      <c r="O19" s="230"/>
      <c r="P19" s="228" t="s">
        <v>40</v>
      </c>
      <c r="Q19" s="229"/>
      <c r="R19" s="229"/>
      <c r="S19" s="230"/>
      <c r="T19" s="228" t="s">
        <v>123</v>
      </c>
      <c r="U19" s="229"/>
      <c r="V19" s="229"/>
      <c r="W19" s="230"/>
      <c r="X19" s="228" t="s">
        <v>40</v>
      </c>
      <c r="Y19" s="229"/>
      <c r="Z19" s="229"/>
      <c r="AA19" s="230"/>
      <c r="AB19" s="228" t="s">
        <v>134</v>
      </c>
      <c r="AC19" s="229"/>
      <c r="AD19" s="229"/>
      <c r="AE19" s="230"/>
      <c r="AF19" s="228" t="s">
        <v>36</v>
      </c>
      <c r="AG19" s="230"/>
      <c r="AH19" s="6"/>
    </row>
    <row r="20" spans="2:36">
      <c r="C20" s="5"/>
      <c r="D20" s="205" t="s">
        <v>21</v>
      </c>
      <c r="E20" s="205"/>
      <c r="F20" s="263">
        <v>0.3</v>
      </c>
      <c r="G20" s="263"/>
      <c r="H20" s="227" t="s">
        <v>29</v>
      </c>
      <c r="I20" s="227"/>
      <c r="J20" s="232" t="s">
        <v>43</v>
      </c>
      <c r="K20" s="233"/>
      <c r="L20" s="231" t="str">
        <f>IF(J20="なし","-",F20)</f>
        <v>-</v>
      </c>
      <c r="M20" s="231"/>
      <c r="N20" s="227">
        <v>6</v>
      </c>
      <c r="O20" s="227"/>
      <c r="P20" s="227">
        <v>17</v>
      </c>
      <c r="Q20" s="227"/>
      <c r="R20" s="227"/>
      <c r="S20" s="227"/>
      <c r="T20" s="232" t="s">
        <v>125</v>
      </c>
      <c r="U20" s="235"/>
      <c r="V20" s="235"/>
      <c r="W20" s="233"/>
      <c r="X20" s="205" t="str">
        <f>IF(L20="-","-",P20-9)</f>
        <v>-</v>
      </c>
      <c r="Y20" s="205"/>
      <c r="Z20" s="205"/>
      <c r="AA20" s="205"/>
      <c r="AB20" s="227">
        <v>10</v>
      </c>
      <c r="AC20" s="227"/>
      <c r="AD20" s="227"/>
      <c r="AE20" s="227"/>
      <c r="AF20" s="227">
        <v>0</v>
      </c>
      <c r="AG20" s="227"/>
      <c r="AH20" s="6"/>
    </row>
    <row r="21" spans="2:36">
      <c r="C21" s="5"/>
      <c r="D21" s="205" t="s">
        <v>22</v>
      </c>
      <c r="E21" s="205"/>
      <c r="F21" s="263">
        <v>1</v>
      </c>
      <c r="G21" s="263"/>
      <c r="H21" s="227" t="s">
        <v>29</v>
      </c>
      <c r="I21" s="227"/>
      <c r="J21" s="232" t="s">
        <v>43</v>
      </c>
      <c r="K21" s="233"/>
      <c r="L21" s="231" t="str">
        <f>IF(J21="なし","-",F21)</f>
        <v>-</v>
      </c>
      <c r="M21" s="231"/>
      <c r="N21" s="227">
        <v>6</v>
      </c>
      <c r="O21" s="227"/>
      <c r="P21" s="227">
        <v>17</v>
      </c>
      <c r="Q21" s="227"/>
      <c r="R21" s="227"/>
      <c r="S21" s="227"/>
      <c r="T21" s="232" t="s">
        <v>125</v>
      </c>
      <c r="U21" s="235"/>
      <c r="V21" s="235"/>
      <c r="W21" s="233"/>
      <c r="X21" s="205" t="str">
        <f>IF(L21="-","-",P21-9)</f>
        <v>-</v>
      </c>
      <c r="Y21" s="205"/>
      <c r="Z21" s="205"/>
      <c r="AA21" s="205"/>
      <c r="AB21" s="227">
        <v>10</v>
      </c>
      <c r="AC21" s="227"/>
      <c r="AD21" s="227"/>
      <c r="AE21" s="227"/>
      <c r="AF21" s="227">
        <v>0</v>
      </c>
      <c r="AG21" s="227"/>
      <c r="AH21" s="6"/>
    </row>
    <row r="22" spans="2:36">
      <c r="C22" s="5"/>
      <c r="D22" s="205" t="s">
        <v>95</v>
      </c>
      <c r="E22" s="205"/>
      <c r="F22" s="263">
        <v>1.7</v>
      </c>
      <c r="G22" s="263"/>
      <c r="H22" s="227" t="s">
        <v>97</v>
      </c>
      <c r="I22" s="227"/>
      <c r="J22" s="232" t="s">
        <v>44</v>
      </c>
      <c r="K22" s="233"/>
      <c r="L22" s="231">
        <f>IF(J22="なし","-",F22)</f>
        <v>1.7</v>
      </c>
      <c r="M22" s="231"/>
      <c r="N22" s="227">
        <v>6</v>
      </c>
      <c r="O22" s="227"/>
      <c r="P22" s="227">
        <v>17</v>
      </c>
      <c r="Q22" s="227"/>
      <c r="R22" s="227"/>
      <c r="S22" s="227"/>
      <c r="T22" s="232">
        <v>-9</v>
      </c>
      <c r="U22" s="235"/>
      <c r="V22" s="235"/>
      <c r="W22" s="233"/>
      <c r="X22" s="205">
        <f>IF(L22="-","-",P22+T22)</f>
        <v>8</v>
      </c>
      <c r="Y22" s="205"/>
      <c r="Z22" s="205"/>
      <c r="AA22" s="205"/>
      <c r="AB22" s="227">
        <v>10</v>
      </c>
      <c r="AC22" s="227"/>
      <c r="AD22" s="227"/>
      <c r="AE22" s="227"/>
      <c r="AF22" s="227">
        <v>0</v>
      </c>
      <c r="AG22" s="227"/>
      <c r="AH22" s="6"/>
    </row>
    <row r="23" spans="2:36">
      <c r="C23" s="5"/>
      <c r="D23" s="264" t="s">
        <v>96</v>
      </c>
      <c r="E23" s="264"/>
      <c r="F23" s="231">
        <f>SUM(F20:G22)</f>
        <v>3</v>
      </c>
      <c r="G23" s="231"/>
      <c r="H23" s="205"/>
      <c r="I23" s="205"/>
      <c r="J23" s="206"/>
      <c r="K23" s="204"/>
      <c r="L23" s="231">
        <f>SUM(L20:M22)</f>
        <v>1.7</v>
      </c>
      <c r="M23" s="231"/>
      <c r="N23" s="205"/>
      <c r="O23" s="206"/>
      <c r="P23" s="204"/>
      <c r="Q23" s="205"/>
      <c r="R23" s="205"/>
      <c r="S23" s="206"/>
      <c r="T23" s="234"/>
      <c r="U23" s="234"/>
      <c r="V23" s="234"/>
      <c r="W23" s="234"/>
      <c r="X23" s="204"/>
      <c r="Y23" s="205"/>
      <c r="Z23" s="205"/>
      <c r="AA23" s="206"/>
      <c r="AB23" s="204"/>
      <c r="AC23" s="205"/>
      <c r="AD23" s="205"/>
      <c r="AE23" s="206"/>
      <c r="AF23" s="204"/>
      <c r="AG23" s="205"/>
      <c r="AH23" s="6"/>
    </row>
    <row r="24" spans="2:36">
      <c r="C24" s="5"/>
      <c r="D24" s="205" t="s">
        <v>117</v>
      </c>
      <c r="E24" s="205"/>
      <c r="F24" s="263">
        <v>10</v>
      </c>
      <c r="G24" s="263"/>
      <c r="H24" s="227" t="s">
        <v>29</v>
      </c>
      <c r="I24" s="227"/>
      <c r="J24" s="232" t="s">
        <v>44</v>
      </c>
      <c r="K24" s="233"/>
      <c r="L24" s="231">
        <f>IF(J24="なし","-",F24)</f>
        <v>10</v>
      </c>
      <c r="M24" s="231"/>
      <c r="N24" s="227">
        <v>20</v>
      </c>
      <c r="O24" s="227"/>
      <c r="P24" s="227">
        <v>19</v>
      </c>
      <c r="Q24" s="227"/>
      <c r="R24" s="227"/>
      <c r="S24" s="227"/>
      <c r="T24" s="232">
        <v>-9</v>
      </c>
      <c r="U24" s="235"/>
      <c r="V24" s="235"/>
      <c r="W24" s="233"/>
      <c r="X24" s="205">
        <f>IF(L24="-","-",P24+T24)</f>
        <v>10</v>
      </c>
      <c r="Y24" s="205"/>
      <c r="Z24" s="205"/>
      <c r="AA24" s="205"/>
      <c r="AB24" s="227">
        <v>32</v>
      </c>
      <c r="AC24" s="227"/>
      <c r="AD24" s="227"/>
      <c r="AE24" s="227"/>
      <c r="AF24" s="227">
        <v>0</v>
      </c>
      <c r="AG24" s="227"/>
      <c r="AH24" s="6"/>
    </row>
    <row r="25" spans="2:36">
      <c r="C25" s="16"/>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9"/>
    </row>
    <row r="27" spans="2:36">
      <c r="B27" s="1" t="s">
        <v>310</v>
      </c>
      <c r="Z27" s="1" t="s">
        <v>47</v>
      </c>
    </row>
    <row r="28" spans="2:36">
      <c r="C28" s="9"/>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1"/>
    </row>
    <row r="29" spans="2:36">
      <c r="C29" s="12"/>
      <c r="D29" s="13" t="s">
        <v>86</v>
      </c>
      <c r="E29" s="13"/>
      <c r="F29" s="13"/>
      <c r="G29" s="13"/>
      <c r="H29" s="13"/>
      <c r="I29" s="13"/>
      <c r="J29" s="13"/>
      <c r="K29" s="13"/>
      <c r="L29" s="13"/>
      <c r="M29" s="13"/>
      <c r="N29" s="13"/>
      <c r="O29" s="13"/>
      <c r="P29" s="13"/>
      <c r="Q29" s="13"/>
      <c r="R29" s="13"/>
      <c r="S29" s="13"/>
      <c r="T29" s="214" t="s">
        <v>293</v>
      </c>
      <c r="U29" s="215"/>
      <c r="V29" s="216"/>
      <c r="W29" s="13"/>
      <c r="X29" s="13"/>
      <c r="Y29" s="13"/>
      <c r="Z29" s="13"/>
      <c r="AA29" s="13"/>
      <c r="AB29" s="13"/>
      <c r="AC29" s="13"/>
      <c r="AD29" s="13"/>
      <c r="AE29" s="13"/>
      <c r="AF29" s="13"/>
      <c r="AG29" s="188" t="s">
        <v>293</v>
      </c>
      <c r="AH29" s="189">
        <v>8740</v>
      </c>
      <c r="AI29" s="190">
        <v>874</v>
      </c>
      <c r="AJ29" s="1">
        <v>100</v>
      </c>
    </row>
    <row r="30" spans="2:36" ht="19.8">
      <c r="C30" s="12"/>
      <c r="D30" s="13" t="s">
        <v>50</v>
      </c>
      <c r="E30" s="13"/>
      <c r="F30" s="13"/>
      <c r="G30" s="13"/>
      <c r="H30" s="13"/>
      <c r="I30" s="13"/>
      <c r="J30" s="13"/>
      <c r="K30" s="13"/>
      <c r="L30" s="13"/>
      <c r="M30" s="13"/>
      <c r="N30" s="13"/>
      <c r="O30" s="13"/>
      <c r="P30" s="13"/>
      <c r="Q30" s="210" t="s">
        <v>58</v>
      </c>
      <c r="R30" s="210"/>
      <c r="S30" s="13" t="s">
        <v>2</v>
      </c>
      <c r="T30" s="223">
        <f>VLOOKUP(T29,AG29:AI32,2)</f>
        <v>8740</v>
      </c>
      <c r="U30" s="224"/>
      <c r="V30" s="225"/>
      <c r="W30" s="13" t="s">
        <v>337</v>
      </c>
      <c r="X30" s="13"/>
      <c r="Y30" s="13"/>
      <c r="Z30" s="13"/>
      <c r="AA30" s="13"/>
      <c r="AB30" s="13" t="s">
        <v>54</v>
      </c>
      <c r="AC30" s="13"/>
      <c r="AD30" s="13"/>
      <c r="AE30" s="13"/>
      <c r="AF30" s="13"/>
      <c r="AG30" s="188" t="s">
        <v>63</v>
      </c>
      <c r="AH30" s="189">
        <v>16800</v>
      </c>
      <c r="AI30" s="190">
        <v>1340</v>
      </c>
      <c r="AJ30" s="1">
        <v>125</v>
      </c>
    </row>
    <row r="31" spans="2:36" ht="19.8">
      <c r="C31" s="12"/>
      <c r="D31" s="13" t="s">
        <v>51</v>
      </c>
      <c r="E31" s="13"/>
      <c r="F31" s="13"/>
      <c r="G31" s="13"/>
      <c r="H31" s="13"/>
      <c r="I31" s="13"/>
      <c r="J31" s="13"/>
      <c r="K31" s="13"/>
      <c r="L31" s="13"/>
      <c r="M31" s="13"/>
      <c r="N31" s="13"/>
      <c r="O31" s="13"/>
      <c r="P31" s="13"/>
      <c r="Q31" s="210" t="s">
        <v>60</v>
      </c>
      <c r="R31" s="210"/>
      <c r="S31" s="13" t="s">
        <v>2</v>
      </c>
      <c r="T31" s="223">
        <f>VLOOKUP(T29,AG29:AI32,3)</f>
        <v>874</v>
      </c>
      <c r="U31" s="224"/>
      <c r="V31" s="225"/>
      <c r="W31" s="13" t="s">
        <v>336</v>
      </c>
      <c r="X31" s="13"/>
      <c r="Y31" s="13"/>
      <c r="Z31" s="13"/>
      <c r="AA31" s="13"/>
      <c r="AB31" s="13" t="s">
        <v>54</v>
      </c>
      <c r="AC31" s="13"/>
      <c r="AD31" s="13"/>
      <c r="AE31" s="13"/>
      <c r="AF31" s="13"/>
      <c r="AG31" s="188" t="s">
        <v>64</v>
      </c>
      <c r="AH31" s="189">
        <v>38600</v>
      </c>
      <c r="AI31" s="190">
        <v>2270</v>
      </c>
      <c r="AJ31" s="1">
        <v>170</v>
      </c>
    </row>
    <row r="32" spans="2:36" ht="20.399999999999999">
      <c r="C32" s="12"/>
      <c r="D32" s="13" t="s">
        <v>48</v>
      </c>
      <c r="E32" s="13"/>
      <c r="F32" s="13"/>
      <c r="G32" s="13"/>
      <c r="H32" s="13"/>
      <c r="I32" s="13"/>
      <c r="J32" s="13"/>
      <c r="K32" s="13"/>
      <c r="L32" s="13"/>
      <c r="M32" s="13"/>
      <c r="N32" s="13"/>
      <c r="O32" s="13"/>
      <c r="P32" s="13"/>
      <c r="Q32" s="210" t="s">
        <v>88</v>
      </c>
      <c r="R32" s="210"/>
      <c r="S32" s="13" t="s">
        <v>2</v>
      </c>
      <c r="T32" s="220">
        <v>270</v>
      </c>
      <c r="U32" s="221"/>
      <c r="V32" s="222"/>
      <c r="W32" s="13" t="s">
        <v>49</v>
      </c>
      <c r="X32" s="13"/>
      <c r="Y32" s="13"/>
      <c r="Z32" s="13"/>
      <c r="AA32" s="13"/>
      <c r="AB32" s="13" t="s">
        <v>46</v>
      </c>
      <c r="AC32" s="13"/>
      <c r="AD32" s="13"/>
      <c r="AE32" s="13"/>
      <c r="AF32" s="13"/>
      <c r="AG32" s="188" t="s">
        <v>443</v>
      </c>
      <c r="AH32" s="189">
        <v>63000</v>
      </c>
      <c r="AI32" s="190">
        <v>3150</v>
      </c>
      <c r="AJ32" s="1">
        <v>200</v>
      </c>
    </row>
    <row r="33" spans="2:35" ht="19.8">
      <c r="C33" s="12"/>
      <c r="D33" s="13" t="s">
        <v>52</v>
      </c>
      <c r="E33" s="13"/>
      <c r="F33" s="13"/>
      <c r="G33" s="13"/>
      <c r="H33" s="13"/>
      <c r="I33" s="13"/>
      <c r="J33" s="13"/>
      <c r="K33" s="13"/>
      <c r="L33" s="13"/>
      <c r="M33" s="13"/>
      <c r="N33" s="13"/>
      <c r="O33" s="13"/>
      <c r="P33" s="13"/>
      <c r="Q33" s="210" t="s">
        <v>59</v>
      </c>
      <c r="R33" s="210"/>
      <c r="S33" s="13" t="s">
        <v>2</v>
      </c>
      <c r="T33" s="220">
        <v>200000</v>
      </c>
      <c r="U33" s="221"/>
      <c r="V33" s="222"/>
      <c r="W33" s="13" t="s">
        <v>49</v>
      </c>
      <c r="X33" s="13"/>
      <c r="Y33" s="13"/>
      <c r="Z33" s="13"/>
      <c r="AA33" s="13"/>
      <c r="AB33" s="13" t="s">
        <v>55</v>
      </c>
      <c r="AC33" s="13"/>
      <c r="AD33" s="13"/>
      <c r="AE33" s="13"/>
      <c r="AF33" s="13"/>
      <c r="AG33" s="13"/>
      <c r="AH33" s="13"/>
      <c r="AI33" s="15"/>
    </row>
    <row r="34" spans="2:35">
      <c r="C34" s="12"/>
      <c r="D34" s="13"/>
      <c r="E34" s="13"/>
      <c r="F34" s="13"/>
      <c r="G34" s="13"/>
      <c r="H34" s="13"/>
      <c r="I34" s="13"/>
      <c r="J34" s="13"/>
      <c r="K34" s="13"/>
      <c r="L34" s="13"/>
      <c r="M34" s="13"/>
      <c r="N34" s="13"/>
      <c r="O34" s="13"/>
      <c r="P34" s="13"/>
      <c r="Q34" s="210" t="s">
        <v>15</v>
      </c>
      <c r="R34" s="210"/>
      <c r="S34" s="13" t="s">
        <v>2</v>
      </c>
      <c r="T34" s="220">
        <f>VLOOKUP(T29,AG29:AJ32,4)</f>
        <v>100</v>
      </c>
      <c r="U34" s="221"/>
      <c r="V34" s="222"/>
      <c r="W34" s="13" t="s">
        <v>320</v>
      </c>
      <c r="X34" s="13"/>
      <c r="Y34" s="13"/>
      <c r="Z34" s="13"/>
      <c r="AA34" s="13"/>
      <c r="AB34" s="13" t="s">
        <v>54</v>
      </c>
      <c r="AC34" s="13"/>
      <c r="AD34" s="13"/>
      <c r="AE34" s="13"/>
      <c r="AF34" s="13"/>
      <c r="AG34" s="13"/>
      <c r="AH34" s="13"/>
      <c r="AI34" s="15"/>
    </row>
    <row r="35" spans="2:35">
      <c r="C35" s="12"/>
      <c r="D35" s="13" t="s">
        <v>62</v>
      </c>
      <c r="E35" s="13"/>
      <c r="F35" s="13"/>
      <c r="G35" s="13"/>
      <c r="H35" s="13"/>
      <c r="I35" s="13"/>
      <c r="J35" s="13"/>
      <c r="K35" s="13"/>
      <c r="L35" s="13"/>
      <c r="M35" s="13"/>
      <c r="N35" s="13"/>
      <c r="O35" s="13"/>
      <c r="P35" s="13"/>
      <c r="Q35" s="13"/>
      <c r="R35" s="13"/>
      <c r="S35" s="13"/>
      <c r="T35" s="217">
        <v>0.45</v>
      </c>
      <c r="U35" s="218"/>
      <c r="V35" s="219"/>
      <c r="W35" s="13"/>
      <c r="X35" s="13"/>
      <c r="Y35" s="13"/>
      <c r="Z35" s="13"/>
      <c r="AA35" s="13"/>
      <c r="AB35" s="13" t="s">
        <v>56</v>
      </c>
      <c r="AC35" s="13"/>
      <c r="AD35" s="13"/>
      <c r="AE35" s="13"/>
      <c r="AF35" s="13"/>
      <c r="AG35" s="13"/>
      <c r="AH35" s="13"/>
      <c r="AI35" s="15"/>
    </row>
    <row r="36" spans="2:35">
      <c r="C36" s="12"/>
      <c r="D36" s="13" t="s">
        <v>61</v>
      </c>
      <c r="E36" s="13"/>
      <c r="F36" s="13"/>
      <c r="G36" s="13"/>
      <c r="H36" s="13"/>
      <c r="I36" s="13"/>
      <c r="J36" s="13"/>
      <c r="K36" s="13"/>
      <c r="L36" s="13"/>
      <c r="M36" s="13"/>
      <c r="N36" s="13"/>
      <c r="O36" s="13"/>
      <c r="P36" s="13"/>
      <c r="Q36" s="13"/>
      <c r="R36" s="13"/>
      <c r="S36" s="13"/>
      <c r="T36" s="217">
        <v>0.6</v>
      </c>
      <c r="U36" s="218"/>
      <c r="V36" s="219"/>
      <c r="W36" s="13"/>
      <c r="X36" s="13"/>
      <c r="Y36" s="13"/>
      <c r="Z36" s="13"/>
      <c r="AA36" s="13"/>
      <c r="AB36" s="13" t="s">
        <v>57</v>
      </c>
      <c r="AC36" s="13"/>
      <c r="AD36" s="13"/>
      <c r="AE36" s="13"/>
      <c r="AF36" s="13"/>
      <c r="AG36" s="13"/>
      <c r="AH36" s="13"/>
      <c r="AI36" s="15"/>
    </row>
    <row r="37" spans="2:35">
      <c r="C37" s="16"/>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9"/>
    </row>
    <row r="39" spans="2:35">
      <c r="B39" s="1" t="s">
        <v>418</v>
      </c>
    </row>
    <row r="40" spans="2:35">
      <c r="C40" s="9"/>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1"/>
    </row>
    <row r="41" spans="2:35">
      <c r="C41" s="12"/>
      <c r="D41" s="13" t="s">
        <v>411</v>
      </c>
      <c r="E41" s="13"/>
      <c r="F41" s="13"/>
      <c r="G41" s="13"/>
      <c r="H41" s="13"/>
      <c r="I41" s="13"/>
      <c r="J41" s="13"/>
      <c r="K41" s="13"/>
      <c r="L41" s="13"/>
      <c r="M41" s="13"/>
      <c r="N41" s="13"/>
      <c r="O41" s="13"/>
      <c r="P41" s="13"/>
      <c r="Q41" s="13"/>
      <c r="R41" s="13"/>
      <c r="S41" s="13"/>
      <c r="T41" s="207" t="s">
        <v>444</v>
      </c>
      <c r="U41" s="208"/>
      <c r="V41" s="209"/>
      <c r="W41" s="13"/>
      <c r="X41" s="13"/>
      <c r="Y41" s="13"/>
      <c r="Z41" s="13"/>
      <c r="AA41" s="13"/>
      <c r="AB41" s="13"/>
      <c r="AC41" s="13"/>
      <c r="AD41" s="13"/>
      <c r="AE41" s="13"/>
      <c r="AF41" s="13"/>
      <c r="AG41" s="53"/>
      <c r="AH41" s="53"/>
      <c r="AI41" s="54"/>
    </row>
    <row r="42" spans="2:35">
      <c r="C42" s="12"/>
      <c r="D42" s="13" t="s">
        <v>319</v>
      </c>
      <c r="E42" s="13"/>
      <c r="F42" s="13"/>
      <c r="G42" s="13"/>
      <c r="H42" s="13"/>
      <c r="I42" s="13"/>
      <c r="J42" s="13"/>
      <c r="K42" s="13"/>
      <c r="L42" s="13"/>
      <c r="M42" s="13"/>
      <c r="N42" s="13"/>
      <c r="O42" s="13"/>
      <c r="P42" s="13"/>
      <c r="Q42" s="226" t="s">
        <v>1</v>
      </c>
      <c r="R42" s="210"/>
      <c r="S42" s="13" t="s">
        <v>2</v>
      </c>
      <c r="T42" s="211">
        <f>VLOOKUP(T41,C73:Y77,4)</f>
        <v>300</v>
      </c>
      <c r="U42" s="212"/>
      <c r="V42" s="213"/>
      <c r="W42" s="13" t="s">
        <v>320</v>
      </c>
      <c r="X42" s="13"/>
      <c r="Y42" s="13"/>
      <c r="Z42" s="13"/>
      <c r="AA42" s="13"/>
      <c r="AB42" s="13" t="s">
        <v>54</v>
      </c>
      <c r="AC42" s="13"/>
      <c r="AD42" s="13"/>
      <c r="AE42" s="13"/>
      <c r="AG42" s="55"/>
      <c r="AH42" s="55"/>
      <c r="AI42" s="54"/>
    </row>
    <row r="43" spans="2:35">
      <c r="C43" s="12"/>
      <c r="D43" s="13" t="s">
        <v>321</v>
      </c>
      <c r="E43" s="13"/>
      <c r="F43" s="13"/>
      <c r="G43" s="13"/>
      <c r="H43" s="13"/>
      <c r="I43" s="13"/>
      <c r="J43" s="13"/>
      <c r="K43" s="13"/>
      <c r="L43" s="13"/>
      <c r="M43" s="13"/>
      <c r="N43" s="13"/>
      <c r="O43" s="13"/>
      <c r="P43" s="13"/>
      <c r="Q43" s="226" t="s">
        <v>256</v>
      </c>
      <c r="R43" s="210"/>
      <c r="S43" s="13" t="s">
        <v>2</v>
      </c>
      <c r="T43" s="211">
        <f>VLOOKUP(T41,C73:Y77,6)</f>
        <v>300</v>
      </c>
      <c r="U43" s="212"/>
      <c r="V43" s="213"/>
      <c r="W43" s="13" t="s">
        <v>320</v>
      </c>
      <c r="X43" s="13"/>
      <c r="Y43" s="13"/>
      <c r="Z43" s="13"/>
      <c r="AA43" s="13"/>
      <c r="AB43" s="13" t="s">
        <v>54</v>
      </c>
      <c r="AC43" s="13"/>
      <c r="AD43" s="13"/>
      <c r="AE43" s="13"/>
      <c r="AG43" s="55"/>
      <c r="AH43" s="55"/>
      <c r="AI43" s="54"/>
    </row>
    <row r="44" spans="2:35">
      <c r="C44" s="12"/>
      <c r="D44" s="13" t="s">
        <v>369</v>
      </c>
      <c r="E44" s="13"/>
      <c r="F44" s="13"/>
      <c r="G44" s="13"/>
      <c r="H44" s="13"/>
      <c r="I44" s="13"/>
      <c r="J44" s="13"/>
      <c r="K44" s="13"/>
      <c r="L44" s="13"/>
      <c r="M44" s="13"/>
      <c r="N44" s="13"/>
      <c r="O44" s="13"/>
      <c r="P44" s="13"/>
      <c r="Q44" s="226" t="s">
        <v>322</v>
      </c>
      <c r="R44" s="210"/>
      <c r="S44" s="13" t="s">
        <v>2</v>
      </c>
      <c r="T44" s="211">
        <f>VLOOKUP(T41,C73:Y77,8)</f>
        <v>10</v>
      </c>
      <c r="U44" s="212"/>
      <c r="V44" s="213"/>
      <c r="W44" s="13" t="s">
        <v>320</v>
      </c>
      <c r="X44" s="13"/>
      <c r="Y44" s="13"/>
      <c r="Z44" s="13"/>
      <c r="AA44" s="13"/>
      <c r="AB44" s="13" t="s">
        <v>54</v>
      </c>
      <c r="AC44" s="13"/>
      <c r="AD44" s="13"/>
      <c r="AE44" s="13"/>
      <c r="AG44" s="55"/>
      <c r="AH44" s="55"/>
      <c r="AI44" s="54"/>
    </row>
    <row r="45" spans="2:35" ht="21" customHeight="1">
      <c r="C45" s="12"/>
      <c r="D45" s="13" t="s">
        <v>370</v>
      </c>
      <c r="E45" s="13"/>
      <c r="F45" s="13"/>
      <c r="G45" s="13"/>
      <c r="H45" s="13"/>
      <c r="I45" s="13"/>
      <c r="J45" s="13"/>
      <c r="K45" s="13"/>
      <c r="L45" s="13"/>
      <c r="M45" s="13"/>
      <c r="N45" s="13"/>
      <c r="O45" s="13"/>
      <c r="P45" s="13"/>
      <c r="Q45" s="226" t="s">
        <v>445</v>
      </c>
      <c r="R45" s="210"/>
      <c r="S45" s="13" t="s">
        <v>2</v>
      </c>
      <c r="T45" s="211">
        <f>VLOOKUP(T41,C73:Y77,10)</f>
        <v>15</v>
      </c>
      <c r="U45" s="212"/>
      <c r="V45" s="213"/>
      <c r="W45" s="13" t="s">
        <v>320</v>
      </c>
      <c r="X45" s="13"/>
      <c r="Y45" s="13"/>
      <c r="Z45" s="13"/>
      <c r="AA45" s="13"/>
      <c r="AB45" s="13" t="s">
        <v>54</v>
      </c>
      <c r="AC45" s="13"/>
      <c r="AD45" s="13"/>
      <c r="AE45" s="13"/>
      <c r="AG45" s="55"/>
      <c r="AH45" s="55"/>
      <c r="AI45" s="54"/>
    </row>
    <row r="46" spans="2:35" ht="19.8">
      <c r="C46" s="12"/>
      <c r="D46" s="13" t="s">
        <v>51</v>
      </c>
      <c r="E46" s="13"/>
      <c r="F46" s="13"/>
      <c r="G46" s="13"/>
      <c r="H46" s="13"/>
      <c r="I46" s="13"/>
      <c r="J46" s="13"/>
      <c r="K46" s="13"/>
      <c r="L46" s="13"/>
      <c r="M46" s="13"/>
      <c r="N46" s="13"/>
      <c r="O46" s="13"/>
      <c r="P46" s="13"/>
      <c r="Q46" s="210" t="s">
        <v>60</v>
      </c>
      <c r="R46" s="210"/>
      <c r="S46" s="13" t="s">
        <v>2</v>
      </c>
      <c r="T46" s="211">
        <f>VLOOKUP(T41,C73:Y77,21)</f>
        <v>1150</v>
      </c>
      <c r="U46" s="212"/>
      <c r="V46" s="213"/>
      <c r="W46" s="13" t="s">
        <v>336</v>
      </c>
      <c r="X46" s="13"/>
      <c r="Y46" s="13"/>
      <c r="Z46" s="13"/>
      <c r="AA46" s="13"/>
      <c r="AB46" s="13" t="s">
        <v>54</v>
      </c>
      <c r="AC46" s="13"/>
      <c r="AD46" s="13"/>
      <c r="AE46" s="13"/>
      <c r="AF46" s="13"/>
      <c r="AG46" s="53"/>
      <c r="AH46" s="53"/>
      <c r="AI46" s="54"/>
    </row>
    <row r="47" spans="2:35">
      <c r="C47" s="12"/>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5"/>
    </row>
    <row r="48" spans="2:35" ht="20.399999999999999">
      <c r="C48" s="12"/>
      <c r="D48" s="13" t="s">
        <v>313</v>
      </c>
      <c r="E48" s="13"/>
      <c r="F48" s="13"/>
      <c r="G48" s="13"/>
      <c r="H48" s="13"/>
      <c r="I48" s="13"/>
      <c r="J48" s="13"/>
      <c r="K48" s="13"/>
      <c r="L48" s="13"/>
      <c r="M48" s="13"/>
      <c r="N48" s="13"/>
      <c r="O48" s="13"/>
      <c r="P48" s="13"/>
      <c r="Q48" s="210" t="s">
        <v>88</v>
      </c>
      <c r="R48" s="210"/>
      <c r="S48" s="13" t="s">
        <v>2</v>
      </c>
      <c r="T48" s="220">
        <v>210</v>
      </c>
      <c r="U48" s="221"/>
      <c r="V48" s="222"/>
      <c r="W48" s="13" t="s">
        <v>49</v>
      </c>
      <c r="X48" s="13"/>
      <c r="Y48" s="13"/>
      <c r="Z48" s="13"/>
      <c r="AA48" s="13"/>
      <c r="AB48" s="13" t="s">
        <v>316</v>
      </c>
      <c r="AC48" s="13"/>
      <c r="AD48" s="13"/>
      <c r="AE48" s="13"/>
      <c r="AG48" s="55"/>
      <c r="AH48" s="55"/>
      <c r="AI48" s="54"/>
    </row>
    <row r="49" spans="2:35" ht="20.399999999999999">
      <c r="C49" s="12"/>
      <c r="D49" s="13" t="s">
        <v>317</v>
      </c>
      <c r="E49" s="13"/>
      <c r="F49" s="13"/>
      <c r="G49" s="13"/>
      <c r="H49" s="13"/>
      <c r="I49" s="13"/>
      <c r="J49" s="13"/>
      <c r="K49" s="13"/>
      <c r="L49" s="13"/>
      <c r="M49" s="13"/>
      <c r="N49" s="13"/>
      <c r="O49" s="13"/>
      <c r="P49" s="13"/>
      <c r="Q49" s="226" t="s">
        <v>318</v>
      </c>
      <c r="R49" s="210"/>
      <c r="S49" s="13" t="s">
        <v>2</v>
      </c>
      <c r="T49" s="220">
        <v>120</v>
      </c>
      <c r="U49" s="221"/>
      <c r="V49" s="222"/>
      <c r="W49" s="13" t="s">
        <v>49</v>
      </c>
      <c r="X49" s="13"/>
      <c r="Y49" s="13"/>
      <c r="Z49" s="13"/>
      <c r="AA49" s="13"/>
      <c r="AB49" s="13" t="s">
        <v>316</v>
      </c>
      <c r="AC49" s="13"/>
      <c r="AD49" s="13"/>
      <c r="AE49" s="13"/>
      <c r="AG49" s="55"/>
      <c r="AH49" s="55"/>
      <c r="AI49" s="54"/>
    </row>
    <row r="50" spans="2:35">
      <c r="C50" s="16"/>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9"/>
    </row>
    <row r="51" spans="2:35">
      <c r="Z51" s="13"/>
    </row>
    <row r="52" spans="2:35">
      <c r="B52" s="1" t="s">
        <v>419</v>
      </c>
    </row>
    <row r="53" spans="2:35">
      <c r="C53" s="9"/>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1"/>
    </row>
    <row r="54" spans="2:35">
      <c r="C54" s="12"/>
      <c r="D54" s="13" t="s">
        <v>307</v>
      </c>
      <c r="E54" s="13"/>
      <c r="F54" s="13"/>
      <c r="G54" s="13"/>
      <c r="H54" s="13"/>
      <c r="I54" s="13"/>
      <c r="J54" s="13"/>
      <c r="K54" s="13"/>
      <c r="L54" s="13"/>
      <c r="M54" s="13"/>
      <c r="N54" s="13"/>
      <c r="O54" s="13"/>
      <c r="P54" s="13"/>
      <c r="Q54" s="210" t="s">
        <v>469</v>
      </c>
      <c r="R54" s="210"/>
      <c r="S54" s="13" t="s">
        <v>2</v>
      </c>
      <c r="T54" s="272">
        <v>4</v>
      </c>
      <c r="U54" s="273"/>
      <c r="V54" s="274"/>
      <c r="W54" s="13" t="s">
        <v>308</v>
      </c>
      <c r="X54" s="13"/>
      <c r="Y54" s="13"/>
      <c r="Z54" s="13"/>
      <c r="AA54" s="13"/>
      <c r="AB54" s="13"/>
      <c r="AC54" s="13"/>
      <c r="AD54" s="13"/>
      <c r="AE54" s="13"/>
      <c r="AF54" s="13"/>
      <c r="AG54" s="13"/>
      <c r="AH54" s="13"/>
      <c r="AI54" s="15"/>
    </row>
    <row r="55" spans="2:35">
      <c r="C55" s="12"/>
      <c r="D55" s="13" t="s">
        <v>329</v>
      </c>
      <c r="E55" s="13"/>
      <c r="F55" s="13"/>
      <c r="G55" s="13"/>
      <c r="H55" s="13"/>
      <c r="I55" s="13"/>
      <c r="J55" s="13"/>
      <c r="K55" s="13"/>
      <c r="L55" s="13"/>
      <c r="M55" s="13"/>
      <c r="N55" s="13"/>
      <c r="O55" s="13"/>
      <c r="P55" s="13"/>
      <c r="Q55" s="210" t="s">
        <v>72</v>
      </c>
      <c r="R55" s="210"/>
      <c r="S55" s="13" t="s">
        <v>2</v>
      </c>
      <c r="T55" s="269">
        <f>R11-T34*2/1000-T42*2/1000</f>
        <v>3.1999999999999997</v>
      </c>
      <c r="U55" s="270"/>
      <c r="V55" s="271"/>
      <c r="W55" s="13" t="s">
        <v>308</v>
      </c>
      <c r="X55" s="13"/>
      <c r="Y55" s="13"/>
      <c r="Z55" s="13"/>
      <c r="AA55" s="13"/>
      <c r="AB55" s="13"/>
      <c r="AC55" s="13"/>
      <c r="AD55" s="13"/>
      <c r="AE55" s="13"/>
      <c r="AF55" s="13"/>
      <c r="AG55" s="13"/>
      <c r="AH55" s="13"/>
      <c r="AI55" s="15"/>
    </row>
    <row r="56" spans="2:35">
      <c r="C56" s="12"/>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5"/>
    </row>
    <row r="57" spans="2:35">
      <c r="C57" s="12"/>
      <c r="D57" s="13" t="s">
        <v>411</v>
      </c>
      <c r="E57" s="13"/>
      <c r="F57" s="13"/>
      <c r="G57" s="13"/>
      <c r="H57" s="13"/>
      <c r="I57" s="13"/>
      <c r="J57" s="13"/>
      <c r="K57" s="13"/>
      <c r="L57" s="13"/>
      <c r="M57" s="13"/>
      <c r="N57" s="13"/>
      <c r="O57" s="13"/>
      <c r="P57" s="13"/>
      <c r="Q57" s="13"/>
      <c r="R57" s="13"/>
      <c r="S57" s="13"/>
      <c r="T57" s="207" t="s">
        <v>466</v>
      </c>
      <c r="U57" s="208"/>
      <c r="V57" s="209"/>
      <c r="W57" s="13"/>
      <c r="X57" s="13"/>
      <c r="Y57" s="13"/>
      <c r="Z57" s="13"/>
      <c r="AA57" s="13"/>
      <c r="AB57" s="13"/>
      <c r="AC57" s="13"/>
      <c r="AD57" s="13"/>
      <c r="AE57" s="13"/>
      <c r="AF57" s="13"/>
      <c r="AG57" s="53"/>
      <c r="AH57" s="53"/>
      <c r="AI57" s="54"/>
    </row>
    <row r="58" spans="2:35">
      <c r="C58" s="12"/>
      <c r="D58" s="13" t="s">
        <v>319</v>
      </c>
      <c r="E58" s="13"/>
      <c r="F58" s="13"/>
      <c r="G58" s="13"/>
      <c r="H58" s="13"/>
      <c r="I58" s="13"/>
      <c r="J58" s="13"/>
      <c r="K58" s="13"/>
      <c r="L58" s="13"/>
      <c r="M58" s="13"/>
      <c r="N58" s="13"/>
      <c r="O58" s="13"/>
      <c r="P58" s="13"/>
      <c r="Q58" s="226" t="s">
        <v>1</v>
      </c>
      <c r="R58" s="210"/>
      <c r="S58" s="13" t="s">
        <v>2</v>
      </c>
      <c r="T58" s="211">
        <f>VLOOKUP(T57,C73:Y77,4)</f>
        <v>200</v>
      </c>
      <c r="U58" s="212"/>
      <c r="V58" s="213"/>
      <c r="W58" s="13" t="s">
        <v>320</v>
      </c>
      <c r="X58" s="13"/>
      <c r="Y58" s="13"/>
      <c r="Z58" s="13"/>
      <c r="AA58" s="13"/>
      <c r="AB58" s="13" t="s">
        <v>54</v>
      </c>
      <c r="AC58" s="13"/>
      <c r="AD58" s="13"/>
      <c r="AE58" s="13"/>
      <c r="AG58" s="55"/>
      <c r="AH58" s="55"/>
      <c r="AI58" s="54"/>
    </row>
    <row r="59" spans="2:35">
      <c r="C59" s="12"/>
      <c r="D59" s="13" t="s">
        <v>321</v>
      </c>
      <c r="E59" s="13"/>
      <c r="F59" s="13"/>
      <c r="G59" s="13"/>
      <c r="H59" s="13"/>
      <c r="I59" s="13"/>
      <c r="J59" s="13"/>
      <c r="K59" s="13"/>
      <c r="L59" s="13"/>
      <c r="M59" s="13"/>
      <c r="N59" s="13"/>
      <c r="O59" s="13"/>
      <c r="P59" s="13"/>
      <c r="Q59" s="226" t="s">
        <v>256</v>
      </c>
      <c r="R59" s="210"/>
      <c r="S59" s="13" t="s">
        <v>2</v>
      </c>
      <c r="T59" s="211">
        <f>VLOOKUP(T57,C73:Y77,6)</f>
        <v>200</v>
      </c>
      <c r="U59" s="212"/>
      <c r="V59" s="213"/>
      <c r="W59" s="13" t="s">
        <v>320</v>
      </c>
      <c r="X59" s="13"/>
      <c r="Y59" s="13"/>
      <c r="Z59" s="13"/>
      <c r="AA59" s="13"/>
      <c r="AB59" s="13" t="s">
        <v>54</v>
      </c>
      <c r="AC59" s="13"/>
      <c r="AD59" s="13"/>
      <c r="AE59" s="13"/>
      <c r="AG59" s="55"/>
      <c r="AH59" s="55"/>
      <c r="AI59" s="54"/>
    </row>
    <row r="60" spans="2:35">
      <c r="C60" s="12"/>
      <c r="D60" s="13" t="s">
        <v>323</v>
      </c>
      <c r="E60" s="13"/>
      <c r="F60" s="13"/>
      <c r="G60" s="13"/>
      <c r="H60" s="13"/>
      <c r="I60" s="13"/>
      <c r="J60" s="13"/>
      <c r="K60" s="13"/>
      <c r="L60" s="13"/>
      <c r="M60" s="13"/>
      <c r="N60" s="13"/>
      <c r="O60" s="13"/>
      <c r="P60" s="13"/>
      <c r="Q60" s="226" t="s">
        <v>322</v>
      </c>
      <c r="R60" s="210"/>
      <c r="S60" s="13" t="s">
        <v>2</v>
      </c>
      <c r="T60" s="211">
        <f>VLOOKUP(T57,C73:Y77,8)</f>
        <v>8</v>
      </c>
      <c r="U60" s="212"/>
      <c r="V60" s="213"/>
      <c r="W60" s="13" t="s">
        <v>320</v>
      </c>
      <c r="X60" s="13"/>
      <c r="Y60" s="13"/>
      <c r="Z60" s="13"/>
      <c r="AA60" s="13"/>
      <c r="AB60" s="13" t="s">
        <v>54</v>
      </c>
      <c r="AC60" s="13"/>
      <c r="AD60" s="13"/>
      <c r="AE60" s="13"/>
      <c r="AG60" s="55"/>
      <c r="AH60" s="55"/>
      <c r="AI60" s="54"/>
    </row>
    <row r="61" spans="2:35" ht="21" customHeight="1">
      <c r="C61" s="12"/>
      <c r="D61" s="13" t="s">
        <v>324</v>
      </c>
      <c r="E61" s="13"/>
      <c r="F61" s="13"/>
      <c r="G61" s="13"/>
      <c r="H61" s="13"/>
      <c r="I61" s="13"/>
      <c r="J61" s="13"/>
      <c r="K61" s="13"/>
      <c r="L61" s="13"/>
      <c r="M61" s="13"/>
      <c r="N61" s="13"/>
      <c r="O61" s="13"/>
      <c r="P61" s="13"/>
      <c r="Q61" s="226" t="s">
        <v>325</v>
      </c>
      <c r="R61" s="210"/>
      <c r="S61" s="13" t="s">
        <v>2</v>
      </c>
      <c r="T61" s="211">
        <f>VLOOKUP(T57,C73:Y77,10)</f>
        <v>12</v>
      </c>
      <c r="U61" s="212"/>
      <c r="V61" s="213"/>
      <c r="W61" s="13" t="s">
        <v>320</v>
      </c>
      <c r="X61" s="13"/>
      <c r="Y61" s="13"/>
      <c r="Z61" s="13"/>
      <c r="AA61" s="13"/>
      <c r="AB61" s="13" t="s">
        <v>54</v>
      </c>
      <c r="AC61" s="13"/>
      <c r="AD61" s="13"/>
      <c r="AE61" s="13"/>
      <c r="AG61" s="55"/>
      <c r="AH61" s="55"/>
      <c r="AI61" s="54"/>
    </row>
    <row r="62" spans="2:35" ht="19.8">
      <c r="C62" s="12"/>
      <c r="D62" s="13" t="s">
        <v>330</v>
      </c>
      <c r="E62" s="13"/>
      <c r="F62" s="13"/>
      <c r="G62" s="13"/>
      <c r="H62" s="13"/>
      <c r="I62" s="13"/>
      <c r="J62" s="13"/>
      <c r="K62" s="13"/>
      <c r="L62" s="13"/>
      <c r="M62" s="13"/>
      <c r="N62" s="13"/>
      <c r="O62" s="13"/>
      <c r="P62" s="13"/>
      <c r="Q62" s="226" t="s">
        <v>255</v>
      </c>
      <c r="R62" s="210"/>
      <c r="S62" s="13" t="s">
        <v>2</v>
      </c>
      <c r="T62" s="266">
        <f>VLOOKUP(T57,C73:Y77,12)</f>
        <v>51.53</v>
      </c>
      <c r="U62" s="267"/>
      <c r="V62" s="268"/>
      <c r="W62" s="13" t="s">
        <v>331</v>
      </c>
      <c r="X62" s="13"/>
      <c r="Y62" s="13"/>
      <c r="Z62" s="13"/>
      <c r="AA62" s="13"/>
      <c r="AB62" s="13" t="s">
        <v>54</v>
      </c>
      <c r="AC62" s="13"/>
      <c r="AD62" s="13"/>
      <c r="AE62" s="13"/>
      <c r="AG62" s="55"/>
      <c r="AH62" s="55"/>
      <c r="AI62" s="54"/>
    </row>
    <row r="63" spans="2:35" ht="19.8">
      <c r="C63" s="12"/>
      <c r="D63" s="13" t="s">
        <v>51</v>
      </c>
      <c r="E63" s="13"/>
      <c r="F63" s="13"/>
      <c r="G63" s="13"/>
      <c r="H63" s="13"/>
      <c r="I63" s="13"/>
      <c r="J63" s="13"/>
      <c r="K63" s="13"/>
      <c r="L63" s="13"/>
      <c r="M63" s="13"/>
      <c r="N63" s="13"/>
      <c r="O63" s="13"/>
      <c r="P63" s="13"/>
      <c r="Q63" s="210" t="s">
        <v>60</v>
      </c>
      <c r="R63" s="210"/>
      <c r="S63" s="13" t="s">
        <v>2</v>
      </c>
      <c r="T63" s="211">
        <f>VLOOKUP(T57,C73:Y77,21)</f>
        <v>366</v>
      </c>
      <c r="U63" s="212"/>
      <c r="V63" s="213"/>
      <c r="W63" s="13" t="s">
        <v>336</v>
      </c>
      <c r="X63" s="13"/>
      <c r="Y63" s="13"/>
      <c r="Z63" s="13"/>
      <c r="AA63" s="13"/>
      <c r="AB63" s="13" t="s">
        <v>54</v>
      </c>
      <c r="AC63" s="13"/>
      <c r="AD63" s="13"/>
      <c r="AE63" s="13"/>
      <c r="AF63" s="13"/>
      <c r="AG63" s="53"/>
      <c r="AH63" s="53"/>
      <c r="AI63" s="54"/>
    </row>
    <row r="64" spans="2:35">
      <c r="C64" s="12"/>
      <c r="D64" s="13" t="s">
        <v>332</v>
      </c>
      <c r="E64" s="13"/>
      <c r="F64" s="13"/>
      <c r="G64" s="13"/>
      <c r="H64" s="13"/>
      <c r="I64" s="13"/>
      <c r="J64" s="13"/>
      <c r="K64" s="13"/>
      <c r="L64" s="13"/>
      <c r="M64" s="13"/>
      <c r="N64" s="13"/>
      <c r="O64" s="13"/>
      <c r="P64" s="13"/>
      <c r="Q64" s="226" t="s">
        <v>333</v>
      </c>
      <c r="R64" s="210"/>
      <c r="S64" s="13" t="s">
        <v>2</v>
      </c>
      <c r="T64" s="266">
        <f>VLOOKUP(T57,C73:Y77,15)</f>
        <v>8.43</v>
      </c>
      <c r="U64" s="267"/>
      <c r="V64" s="268"/>
      <c r="W64" s="13" t="s">
        <v>335</v>
      </c>
      <c r="X64" s="13"/>
      <c r="Y64" s="13"/>
      <c r="Z64" s="13"/>
      <c r="AA64" s="13"/>
      <c r="AB64" s="13" t="s">
        <v>54</v>
      </c>
      <c r="AC64" s="13"/>
      <c r="AD64" s="13"/>
      <c r="AE64" s="13"/>
      <c r="AG64" s="55"/>
      <c r="AH64" s="55"/>
      <c r="AI64" s="54"/>
    </row>
    <row r="65" spans="3:35" ht="21" customHeight="1">
      <c r="C65" s="12"/>
      <c r="D65" s="13"/>
      <c r="E65" s="13"/>
      <c r="F65" s="13"/>
      <c r="G65" s="13"/>
      <c r="H65" s="13"/>
      <c r="I65" s="13"/>
      <c r="J65" s="13"/>
      <c r="K65" s="13"/>
      <c r="L65" s="13"/>
      <c r="M65" s="13"/>
      <c r="N65" s="13"/>
      <c r="O65" s="13"/>
      <c r="P65" s="13"/>
      <c r="Q65" s="226" t="s">
        <v>334</v>
      </c>
      <c r="R65" s="210"/>
      <c r="S65" s="13" t="s">
        <v>2</v>
      </c>
      <c r="T65" s="266">
        <f>VLOOKUP(T57,C73:Y77,18)</f>
        <v>4.22</v>
      </c>
      <c r="U65" s="267"/>
      <c r="V65" s="268"/>
      <c r="W65" s="13" t="s">
        <v>335</v>
      </c>
      <c r="X65" s="13"/>
      <c r="Y65" s="13"/>
      <c r="Z65" s="13"/>
      <c r="AA65" s="13"/>
      <c r="AB65" s="13" t="s">
        <v>54</v>
      </c>
      <c r="AC65" s="13"/>
      <c r="AD65" s="13"/>
      <c r="AE65" s="13"/>
      <c r="AG65" s="55"/>
      <c r="AH65" s="55"/>
      <c r="AI65" s="54"/>
    </row>
    <row r="66" spans="3:35">
      <c r="C66" s="12"/>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5"/>
    </row>
    <row r="67" spans="3:35" ht="20.399999999999999">
      <c r="C67" s="12"/>
      <c r="D67" s="13" t="s">
        <v>313</v>
      </c>
      <c r="E67" s="13"/>
      <c r="F67" s="13"/>
      <c r="G67" s="13"/>
      <c r="H67" s="13"/>
      <c r="I67" s="13"/>
      <c r="J67" s="13"/>
      <c r="K67" s="13"/>
      <c r="L67" s="13"/>
      <c r="M67" s="13"/>
      <c r="N67" s="13"/>
      <c r="O67" s="13"/>
      <c r="P67" s="13"/>
      <c r="Q67" s="210" t="s">
        <v>88</v>
      </c>
      <c r="R67" s="210"/>
      <c r="S67" s="13" t="s">
        <v>2</v>
      </c>
      <c r="T67" s="220">
        <v>210</v>
      </c>
      <c r="U67" s="221"/>
      <c r="V67" s="222"/>
      <c r="W67" s="13" t="s">
        <v>49</v>
      </c>
      <c r="X67" s="13"/>
      <c r="Y67" s="13"/>
      <c r="Z67" s="13"/>
      <c r="AA67" s="13"/>
      <c r="AB67" s="13" t="s">
        <v>316</v>
      </c>
      <c r="AC67" s="13"/>
      <c r="AD67" s="13"/>
      <c r="AE67" s="13"/>
      <c r="AG67" s="55"/>
      <c r="AH67" s="55"/>
      <c r="AI67" s="54"/>
    </row>
    <row r="68" spans="3:35" ht="20.399999999999999">
      <c r="C68" s="12"/>
      <c r="D68" s="13" t="s">
        <v>317</v>
      </c>
      <c r="E68" s="13"/>
      <c r="F68" s="13"/>
      <c r="G68" s="13"/>
      <c r="H68" s="13"/>
      <c r="I68" s="13"/>
      <c r="J68" s="13"/>
      <c r="K68" s="13"/>
      <c r="L68" s="13"/>
      <c r="M68" s="13"/>
      <c r="N68" s="13"/>
      <c r="O68" s="13"/>
      <c r="P68" s="13"/>
      <c r="Q68" s="226" t="s">
        <v>318</v>
      </c>
      <c r="R68" s="210"/>
      <c r="S68" s="13" t="s">
        <v>2</v>
      </c>
      <c r="T68" s="220">
        <v>120</v>
      </c>
      <c r="U68" s="221"/>
      <c r="V68" s="222"/>
      <c r="W68" s="13" t="s">
        <v>49</v>
      </c>
      <c r="X68" s="13"/>
      <c r="Y68" s="13"/>
      <c r="Z68" s="13"/>
      <c r="AA68" s="13"/>
      <c r="AB68" s="13" t="s">
        <v>316</v>
      </c>
      <c r="AC68" s="13"/>
      <c r="AD68" s="13"/>
      <c r="AE68" s="13"/>
      <c r="AG68" s="55"/>
      <c r="AH68" s="55"/>
      <c r="AI68" s="54"/>
    </row>
    <row r="69" spans="3:35">
      <c r="C69" s="16"/>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9"/>
    </row>
    <row r="71" spans="3:35">
      <c r="C71" s="1" t="s">
        <v>415</v>
      </c>
    </row>
    <row r="72" spans="3:35">
      <c r="F72" s="277" t="s">
        <v>1</v>
      </c>
      <c r="G72" s="278"/>
      <c r="H72" s="277" t="s">
        <v>256</v>
      </c>
      <c r="I72" s="278"/>
      <c r="J72" s="277" t="s">
        <v>322</v>
      </c>
      <c r="K72" s="278"/>
      <c r="L72" s="277" t="s">
        <v>325</v>
      </c>
      <c r="M72" s="278"/>
      <c r="N72" s="277" t="s">
        <v>255</v>
      </c>
      <c r="O72" s="277"/>
      <c r="P72" s="277"/>
      <c r="Q72" s="277" t="s">
        <v>333</v>
      </c>
      <c r="R72" s="277"/>
      <c r="S72" s="277"/>
      <c r="T72" s="277" t="s">
        <v>334</v>
      </c>
      <c r="U72" s="277"/>
      <c r="V72" s="277"/>
      <c r="W72" s="275" t="s">
        <v>60</v>
      </c>
      <c r="X72" s="275"/>
      <c r="Y72" s="275"/>
    </row>
    <row r="73" spans="3:35">
      <c r="C73" s="185" t="s">
        <v>172</v>
      </c>
      <c r="D73" s="185"/>
      <c r="E73" s="185"/>
      <c r="F73" s="265">
        <v>200</v>
      </c>
      <c r="G73" s="265"/>
      <c r="H73" s="265">
        <v>200</v>
      </c>
      <c r="I73" s="265"/>
      <c r="J73" s="265">
        <v>8</v>
      </c>
      <c r="K73" s="265"/>
      <c r="L73" s="265">
        <v>12</v>
      </c>
      <c r="M73" s="265"/>
      <c r="N73" s="276">
        <v>51.53</v>
      </c>
      <c r="O73" s="276"/>
      <c r="P73" s="276"/>
      <c r="Q73" s="276">
        <v>8.43</v>
      </c>
      <c r="R73" s="276"/>
      <c r="S73" s="276"/>
      <c r="T73" s="276">
        <v>4.22</v>
      </c>
      <c r="U73" s="276"/>
      <c r="V73" s="276"/>
      <c r="W73" s="265">
        <v>366</v>
      </c>
      <c r="X73" s="265"/>
      <c r="Y73" s="265"/>
    </row>
    <row r="74" spans="3:35">
      <c r="C74" s="185" t="s">
        <v>311</v>
      </c>
      <c r="D74" s="185"/>
      <c r="E74" s="185"/>
      <c r="F74" s="265">
        <v>250</v>
      </c>
      <c r="G74" s="265"/>
      <c r="H74" s="265">
        <v>250</v>
      </c>
      <c r="I74" s="265"/>
      <c r="J74" s="265">
        <v>9</v>
      </c>
      <c r="K74" s="265"/>
      <c r="L74" s="265">
        <v>14</v>
      </c>
      <c r="M74" s="265"/>
      <c r="N74" s="276">
        <v>78.180000000000007</v>
      </c>
      <c r="O74" s="276"/>
      <c r="P74" s="276"/>
      <c r="Q74" s="276">
        <v>10.6</v>
      </c>
      <c r="R74" s="276"/>
      <c r="S74" s="276"/>
      <c r="T74" s="276">
        <v>6.05</v>
      </c>
      <c r="U74" s="276"/>
      <c r="V74" s="276"/>
      <c r="W74" s="265">
        <v>708</v>
      </c>
      <c r="X74" s="265"/>
      <c r="Y74" s="265"/>
    </row>
    <row r="75" spans="3:35">
      <c r="C75" s="185" t="s">
        <v>412</v>
      </c>
      <c r="D75" s="185"/>
      <c r="E75" s="185"/>
      <c r="F75" s="265">
        <v>300</v>
      </c>
      <c r="G75" s="265"/>
      <c r="H75" s="265">
        <v>300</v>
      </c>
      <c r="I75" s="265"/>
      <c r="J75" s="265">
        <v>10</v>
      </c>
      <c r="K75" s="265"/>
      <c r="L75" s="265">
        <v>15</v>
      </c>
      <c r="M75" s="265"/>
      <c r="N75" s="276">
        <v>104.8</v>
      </c>
      <c r="O75" s="276"/>
      <c r="P75" s="276"/>
      <c r="Q75" s="276">
        <v>12.9</v>
      </c>
      <c r="R75" s="276"/>
      <c r="S75" s="276"/>
      <c r="T75" s="276">
        <v>7.51</v>
      </c>
      <c r="U75" s="276"/>
      <c r="V75" s="276"/>
      <c r="W75" s="265">
        <v>1150</v>
      </c>
      <c r="X75" s="265"/>
      <c r="Y75" s="265"/>
    </row>
    <row r="76" spans="3:35">
      <c r="C76" s="185" t="s">
        <v>413</v>
      </c>
      <c r="D76" s="185"/>
      <c r="E76" s="185"/>
      <c r="F76" s="265">
        <v>350</v>
      </c>
      <c r="G76" s="265"/>
      <c r="H76" s="265">
        <v>350</v>
      </c>
      <c r="I76" s="265"/>
      <c r="J76" s="265">
        <v>12</v>
      </c>
      <c r="K76" s="265"/>
      <c r="L76" s="265">
        <v>19</v>
      </c>
      <c r="M76" s="265"/>
      <c r="N76" s="276">
        <v>154.9</v>
      </c>
      <c r="O76" s="276"/>
      <c r="P76" s="276"/>
      <c r="Q76" s="276">
        <v>15.1</v>
      </c>
      <c r="R76" s="276"/>
      <c r="S76" s="276"/>
      <c r="T76" s="276">
        <v>8.99</v>
      </c>
      <c r="U76" s="276"/>
      <c r="V76" s="276"/>
      <c r="W76" s="265">
        <v>2000</v>
      </c>
      <c r="X76" s="265"/>
      <c r="Y76" s="265"/>
    </row>
    <row r="77" spans="3:35">
      <c r="C77" s="185" t="s">
        <v>414</v>
      </c>
      <c r="D77" s="185"/>
      <c r="E77" s="185"/>
      <c r="F77" s="265">
        <v>400</v>
      </c>
      <c r="G77" s="265"/>
      <c r="H77" s="265">
        <v>400</v>
      </c>
      <c r="I77" s="265"/>
      <c r="J77" s="265">
        <v>13</v>
      </c>
      <c r="K77" s="265"/>
      <c r="L77" s="265">
        <v>21</v>
      </c>
      <c r="M77" s="265"/>
      <c r="N77" s="276">
        <v>197.7</v>
      </c>
      <c r="O77" s="276"/>
      <c r="P77" s="276"/>
      <c r="Q77" s="276">
        <v>17.3</v>
      </c>
      <c r="R77" s="276"/>
      <c r="S77" s="276"/>
      <c r="T77" s="276">
        <v>10.1</v>
      </c>
      <c r="U77" s="276"/>
      <c r="V77" s="276"/>
      <c r="W77" s="265">
        <v>2950</v>
      </c>
      <c r="X77" s="265"/>
      <c r="Y77" s="265"/>
    </row>
  </sheetData>
  <sheetProtection sheet="1" objects="1" scenarios="1"/>
  <mergeCells count="190">
    <mergeCell ref="F75:G75"/>
    <mergeCell ref="H75:I75"/>
    <mergeCell ref="J75:K75"/>
    <mergeCell ref="L75:M75"/>
    <mergeCell ref="N75:P75"/>
    <mergeCell ref="Q75:S75"/>
    <mergeCell ref="T75:V75"/>
    <mergeCell ref="F77:G77"/>
    <mergeCell ref="H77:I77"/>
    <mergeCell ref="J77:K77"/>
    <mergeCell ref="L77:M77"/>
    <mergeCell ref="N77:P77"/>
    <mergeCell ref="Q77:S77"/>
    <mergeCell ref="T77:V77"/>
    <mergeCell ref="W77:Y77"/>
    <mergeCell ref="F76:G76"/>
    <mergeCell ref="H76:I76"/>
    <mergeCell ref="J76:K76"/>
    <mergeCell ref="L76:M76"/>
    <mergeCell ref="N76:P76"/>
    <mergeCell ref="Q76:S76"/>
    <mergeCell ref="T76:V76"/>
    <mergeCell ref="W76:Y76"/>
    <mergeCell ref="W75:Y75"/>
    <mergeCell ref="W72:Y72"/>
    <mergeCell ref="F74:G74"/>
    <mergeCell ref="H74:I74"/>
    <mergeCell ref="J74:K74"/>
    <mergeCell ref="L74:M74"/>
    <mergeCell ref="N74:P74"/>
    <mergeCell ref="Q74:S74"/>
    <mergeCell ref="T74:V74"/>
    <mergeCell ref="W74:Y74"/>
    <mergeCell ref="F72:G72"/>
    <mergeCell ref="H72:I72"/>
    <mergeCell ref="J72:K72"/>
    <mergeCell ref="L72:M72"/>
    <mergeCell ref="N72:P72"/>
    <mergeCell ref="Q72:S72"/>
    <mergeCell ref="T72:V72"/>
    <mergeCell ref="F73:G73"/>
    <mergeCell ref="H73:I73"/>
    <mergeCell ref="J73:K73"/>
    <mergeCell ref="L73:M73"/>
    <mergeCell ref="Q73:S73"/>
    <mergeCell ref="N73:P73"/>
    <mergeCell ref="T73:V73"/>
    <mergeCell ref="W73:Y73"/>
    <mergeCell ref="T48:V48"/>
    <mergeCell ref="Q64:R64"/>
    <mergeCell ref="T64:V64"/>
    <mergeCell ref="Q65:R65"/>
    <mergeCell ref="T65:V65"/>
    <mergeCell ref="Q67:R67"/>
    <mergeCell ref="T67:V67"/>
    <mergeCell ref="T68:V68"/>
    <mergeCell ref="Q48:R48"/>
    <mergeCell ref="Q49:R49"/>
    <mergeCell ref="T49:V49"/>
    <mergeCell ref="Q62:R62"/>
    <mergeCell ref="T62:V62"/>
    <mergeCell ref="Q68:R68"/>
    <mergeCell ref="Q58:R58"/>
    <mergeCell ref="Q59:R59"/>
    <mergeCell ref="Q55:R55"/>
    <mergeCell ref="T55:V55"/>
    <mergeCell ref="Q54:R54"/>
    <mergeCell ref="T54:V54"/>
    <mergeCell ref="T57:V57"/>
    <mergeCell ref="Q63:R63"/>
    <mergeCell ref="T63:V63"/>
    <mergeCell ref="Q60:R60"/>
    <mergeCell ref="T60:V60"/>
    <mergeCell ref="Q61:R61"/>
    <mergeCell ref="T61:V61"/>
    <mergeCell ref="T58:V58"/>
    <mergeCell ref="T59:V59"/>
    <mergeCell ref="D24:E24"/>
    <mergeCell ref="F24:G24"/>
    <mergeCell ref="H24:I24"/>
    <mergeCell ref="Q34:R34"/>
    <mergeCell ref="D23:E23"/>
    <mergeCell ref="F23:G23"/>
    <mergeCell ref="H23:I23"/>
    <mergeCell ref="L23:M23"/>
    <mergeCell ref="N23:O23"/>
    <mergeCell ref="P23:S23"/>
    <mergeCell ref="P24:S24"/>
    <mergeCell ref="D22:E22"/>
    <mergeCell ref="F22:G22"/>
    <mergeCell ref="H22:I22"/>
    <mergeCell ref="J22:K22"/>
    <mergeCell ref="F19:G19"/>
    <mergeCell ref="AF22:AG22"/>
    <mergeCell ref="AB22:AE22"/>
    <mergeCell ref="AF20:AG20"/>
    <mergeCell ref="D21:E21"/>
    <mergeCell ref="F21:G21"/>
    <mergeCell ref="H21:I21"/>
    <mergeCell ref="L21:M21"/>
    <mergeCell ref="N21:O21"/>
    <mergeCell ref="AF21:AG21"/>
    <mergeCell ref="J20:K20"/>
    <mergeCell ref="AB20:AE20"/>
    <mergeCell ref="D20:E20"/>
    <mergeCell ref="F20:G20"/>
    <mergeCell ref="T19:W19"/>
    <mergeCell ref="T20:W20"/>
    <mergeCell ref="T21:W21"/>
    <mergeCell ref="T22:W22"/>
    <mergeCell ref="AF17:AG17"/>
    <mergeCell ref="F18:G18"/>
    <mergeCell ref="H18:I18"/>
    <mergeCell ref="L18:M18"/>
    <mergeCell ref="N18:O18"/>
    <mergeCell ref="P18:S18"/>
    <mergeCell ref="X18:AA18"/>
    <mergeCell ref="AB18:AE18"/>
    <mergeCell ref="AF18:AG18"/>
    <mergeCell ref="J18:K18"/>
    <mergeCell ref="J17:M17"/>
    <mergeCell ref="F17:G17"/>
    <mergeCell ref="H17:I17"/>
    <mergeCell ref="N17:O17"/>
    <mergeCell ref="P17:S17"/>
    <mergeCell ref="X17:AA17"/>
    <mergeCell ref="T17:W17"/>
    <mergeCell ref="T18:W18"/>
    <mergeCell ref="R9:T9"/>
    <mergeCell ref="R13:T13"/>
    <mergeCell ref="R12:T12"/>
    <mergeCell ref="AB17:AE17"/>
    <mergeCell ref="AB19:AE19"/>
    <mergeCell ref="AB21:AE21"/>
    <mergeCell ref="L20:M20"/>
    <mergeCell ref="N20:O20"/>
    <mergeCell ref="P20:S20"/>
    <mergeCell ref="X20:AA20"/>
    <mergeCell ref="R11:T11"/>
    <mergeCell ref="R10:T10"/>
    <mergeCell ref="X21:AA21"/>
    <mergeCell ref="P21:S21"/>
    <mergeCell ref="AB24:AE24"/>
    <mergeCell ref="X19:AA19"/>
    <mergeCell ref="AF19:AG19"/>
    <mergeCell ref="H19:I19"/>
    <mergeCell ref="L19:M19"/>
    <mergeCell ref="N19:O19"/>
    <mergeCell ref="P19:S19"/>
    <mergeCell ref="L22:M22"/>
    <mergeCell ref="N22:O22"/>
    <mergeCell ref="P22:S22"/>
    <mergeCell ref="X22:AA22"/>
    <mergeCell ref="L24:M24"/>
    <mergeCell ref="N24:O24"/>
    <mergeCell ref="AB23:AE23"/>
    <mergeCell ref="X24:AA24"/>
    <mergeCell ref="J21:K21"/>
    <mergeCell ref="J23:K23"/>
    <mergeCell ref="J24:K24"/>
    <mergeCell ref="H20:I20"/>
    <mergeCell ref="J19:K19"/>
    <mergeCell ref="T23:W23"/>
    <mergeCell ref="T24:W24"/>
    <mergeCell ref="AF24:AG24"/>
    <mergeCell ref="AF23:AG23"/>
    <mergeCell ref="X23:AA23"/>
    <mergeCell ref="T41:V41"/>
    <mergeCell ref="Q46:R46"/>
    <mergeCell ref="T46:V46"/>
    <mergeCell ref="T29:V29"/>
    <mergeCell ref="T35:V35"/>
    <mergeCell ref="T36:V36"/>
    <mergeCell ref="T33:V33"/>
    <mergeCell ref="T30:V30"/>
    <mergeCell ref="T31:V31"/>
    <mergeCell ref="Q30:R30"/>
    <mergeCell ref="Q31:R31"/>
    <mergeCell ref="Q33:R33"/>
    <mergeCell ref="T32:V32"/>
    <mergeCell ref="Q32:R32"/>
    <mergeCell ref="T34:V34"/>
    <mergeCell ref="Q42:R42"/>
    <mergeCell ref="T42:V42"/>
    <mergeCell ref="Q43:R43"/>
    <mergeCell ref="T43:V43"/>
    <mergeCell ref="Q45:R45"/>
    <mergeCell ref="T45:V45"/>
    <mergeCell ref="T44:V44"/>
    <mergeCell ref="Q44:R44"/>
  </mergeCells>
  <phoneticPr fontId="3"/>
  <dataValidations disablePrompts="1" count="4">
    <dataValidation type="list" allowBlank="1" showInputMessage="1" showErrorMessage="1" sqref="T29:V29" xr:uid="{62F51796-C1F2-459A-A2C7-EA3CC95BCA97}">
      <formula1>$AG$28:$AG$32</formula1>
    </dataValidation>
    <dataValidation type="list" allowBlank="1" showInputMessage="1" showErrorMessage="1" sqref="H20:I24" xr:uid="{056491C3-9CB1-4476-BAD2-CA3942C9017F}">
      <formula1>"砂質, 粘性"</formula1>
    </dataValidation>
    <dataValidation type="list" allowBlank="1" showInputMessage="1" showErrorMessage="1" sqref="J20:K24" xr:uid="{6226F16F-FC63-4765-B405-9CA0B2C5C174}">
      <formula1>"なし,有"</formula1>
    </dataValidation>
    <dataValidation type="list" allowBlank="1" showInputMessage="1" showErrorMessage="1" sqref="T41:V41 T57:V57" xr:uid="{D8DC579B-7697-46F4-9060-F6135826B021}">
      <formula1>$C$73:$C$77</formula1>
    </dataValidation>
  </dataValidations>
  <hyperlinks>
    <hyperlink ref="AA1" r:id="rId1" xr:uid="{36DCD2B6-B8BB-4470-84F6-43D0EA9B7163}"/>
  </hyperlinks>
  <pageMargins left="0.70866141732283472" right="0.70866141732283472" top="0.74803149606299213" bottom="0.74803149606299213" header="0.31496062992125984" footer="0.31496062992125984"/>
  <pageSetup paperSize="9" scale="7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A0241-4019-4F00-A5BC-45DD011927A8}">
  <dimension ref="A2:AN189"/>
  <sheetViews>
    <sheetView showGridLines="0" view="pageBreakPreview" zoomScale="80" zoomScaleNormal="100" zoomScaleSheetLayoutView="80" zoomScalePageLayoutView="55" workbookViewId="0"/>
  </sheetViews>
  <sheetFormatPr defaultColWidth="9" defaultRowHeight="18"/>
  <cols>
    <col min="1" max="36" width="3" style="1" customWidth="1"/>
    <col min="37" max="16384" width="9" style="1"/>
  </cols>
  <sheetData>
    <row r="2" spans="1:37">
      <c r="A2" s="1" t="s">
        <v>127</v>
      </c>
      <c r="W2" t="s">
        <v>223</v>
      </c>
    </row>
    <row r="3" spans="1:37">
      <c r="B3" s="1" t="s">
        <v>426</v>
      </c>
      <c r="C3" s="13"/>
      <c r="D3" s="13"/>
      <c r="E3" s="13"/>
      <c r="F3" s="13"/>
      <c r="G3" s="13"/>
      <c r="H3" s="13"/>
      <c r="I3" s="13"/>
      <c r="J3" s="13"/>
      <c r="K3" s="13"/>
      <c r="L3" s="13"/>
      <c r="M3" s="13"/>
      <c r="N3" s="13"/>
      <c r="O3" s="13"/>
      <c r="P3" s="13"/>
      <c r="Q3" s="13"/>
      <c r="R3" s="13"/>
      <c r="S3" s="13"/>
      <c r="T3" s="13"/>
      <c r="U3" s="13"/>
      <c r="V3" s="13"/>
      <c r="W3" t="s">
        <v>65</v>
      </c>
      <c r="X3" s="13"/>
      <c r="Y3" s="13"/>
      <c r="Z3" s="13"/>
      <c r="AA3" s="13"/>
      <c r="AB3" s="13"/>
      <c r="AC3" s="13"/>
      <c r="AD3" s="13"/>
      <c r="AE3" s="13"/>
      <c r="AF3" s="13"/>
      <c r="AG3" s="13"/>
      <c r="AH3" s="13"/>
      <c r="AI3" s="13"/>
    </row>
    <row r="4" spans="1:37">
      <c r="B4" s="13"/>
      <c r="C4" s="13"/>
      <c r="D4" s="13"/>
      <c r="E4" s="13"/>
      <c r="F4" s="13"/>
      <c r="G4" s="13"/>
      <c r="H4" s="13"/>
      <c r="I4" s="13"/>
      <c r="J4" s="13"/>
      <c r="K4" s="13"/>
      <c r="L4" s="13"/>
      <c r="M4" s="13"/>
      <c r="N4" s="13"/>
      <c r="O4" s="13"/>
      <c r="P4" s="13"/>
      <c r="Q4" s="13"/>
      <c r="R4" s="13"/>
      <c r="S4" s="13"/>
      <c r="T4" s="13"/>
      <c r="U4" s="13"/>
      <c r="V4" s="13"/>
      <c r="W4"/>
      <c r="X4" s="13"/>
      <c r="Y4" s="13"/>
      <c r="Z4" s="13"/>
      <c r="AA4" s="13"/>
      <c r="AB4" s="13"/>
      <c r="AC4" s="13"/>
      <c r="AD4" s="13"/>
      <c r="AE4" s="13"/>
      <c r="AF4" s="13"/>
      <c r="AG4" s="13"/>
      <c r="AH4" s="13"/>
      <c r="AI4" s="13"/>
    </row>
    <row r="5" spans="1:37">
      <c r="B5" s="13"/>
      <c r="C5" s="384" t="s">
        <v>170</v>
      </c>
      <c r="D5" s="384"/>
      <c r="E5" s="384"/>
      <c r="F5" s="384"/>
      <c r="G5" s="384"/>
      <c r="H5" s="384"/>
      <c r="I5" s="384"/>
      <c r="J5" s="384"/>
      <c r="K5" s="384"/>
      <c r="L5" s="384"/>
      <c r="M5" s="384"/>
      <c r="N5" s="384"/>
      <c r="O5" s="384"/>
      <c r="P5" s="384"/>
      <c r="Q5" s="384"/>
      <c r="R5" s="384"/>
      <c r="S5" s="384"/>
      <c r="T5" s="384"/>
      <c r="U5" s="384"/>
      <c r="V5" s="384"/>
      <c r="W5" s="384"/>
      <c r="X5" s="384"/>
      <c r="Y5" s="384"/>
      <c r="Z5" s="384"/>
      <c r="AA5" s="384"/>
      <c r="AB5" s="384"/>
      <c r="AC5" s="384"/>
      <c r="AD5" s="385">
        <v>1.2</v>
      </c>
      <c r="AE5" s="386"/>
      <c r="AF5" s="387" t="s">
        <v>171</v>
      </c>
      <c r="AG5" s="320"/>
      <c r="AH5" s="320"/>
      <c r="AI5" s="320"/>
    </row>
    <row r="6" spans="1:37" ht="19.2">
      <c r="B6" s="13"/>
      <c r="C6" s="111" t="s">
        <v>232</v>
      </c>
      <c r="D6" s="56"/>
      <c r="E6" s="56"/>
      <c r="F6" s="56"/>
      <c r="G6" s="320" t="s">
        <v>234</v>
      </c>
      <c r="H6" s="320"/>
      <c r="I6" s="111" t="s">
        <v>233</v>
      </c>
      <c r="J6" s="56"/>
      <c r="K6" s="56"/>
      <c r="L6" s="56"/>
      <c r="M6" s="56"/>
      <c r="N6" s="56"/>
      <c r="O6" s="56"/>
      <c r="P6" s="56"/>
      <c r="Q6" s="56"/>
      <c r="R6" s="56"/>
      <c r="S6" s="56"/>
      <c r="T6" s="56"/>
      <c r="U6" s="56"/>
      <c r="V6" s="56"/>
      <c r="W6" s="56"/>
      <c r="X6" s="56"/>
      <c r="Y6" s="56"/>
      <c r="Z6" s="56"/>
      <c r="AA6" s="56"/>
      <c r="AB6" s="56"/>
      <c r="AC6" s="56"/>
      <c r="AD6" s="39"/>
      <c r="AE6" s="39"/>
      <c r="AF6" s="41"/>
      <c r="AG6" s="41"/>
      <c r="AH6" s="41"/>
      <c r="AI6" s="41"/>
    </row>
    <row r="7" spans="1:37">
      <c r="B7" s="13"/>
      <c r="C7" s="13"/>
      <c r="D7" s="56"/>
      <c r="E7" s="56"/>
      <c r="F7" s="56"/>
      <c r="G7" s="56"/>
      <c r="H7" s="56"/>
      <c r="I7" s="56"/>
      <c r="J7" s="56"/>
      <c r="K7" s="56"/>
      <c r="L7" s="56"/>
      <c r="M7" s="56"/>
      <c r="N7" s="56"/>
      <c r="O7" s="56"/>
      <c r="P7" s="56"/>
      <c r="Q7" s="56"/>
      <c r="R7" s="56"/>
      <c r="S7" s="56"/>
      <c r="T7" s="56"/>
      <c r="U7" s="56"/>
      <c r="V7" s="56"/>
      <c r="W7"/>
      <c r="X7" s="56"/>
      <c r="Y7" s="56"/>
      <c r="Z7" s="56"/>
      <c r="AA7" s="56"/>
      <c r="AB7" s="56"/>
      <c r="AC7" s="56"/>
      <c r="AD7" s="39"/>
      <c r="AE7" s="39"/>
      <c r="AF7" s="41"/>
      <c r="AG7" s="41"/>
      <c r="AH7" s="41"/>
      <c r="AI7" s="41"/>
    </row>
    <row r="8" spans="1:37">
      <c r="B8" s="13"/>
      <c r="C8" s="9" t="s">
        <v>427</v>
      </c>
      <c r="D8" s="10"/>
      <c r="E8" s="10"/>
      <c r="F8" s="10"/>
      <c r="G8" s="10"/>
      <c r="H8" s="10"/>
      <c r="I8" s="10"/>
      <c r="J8" s="10"/>
      <c r="K8" s="10"/>
      <c r="L8" s="10"/>
      <c r="M8" s="10"/>
      <c r="N8" s="10"/>
      <c r="O8" s="10"/>
      <c r="P8" s="10"/>
      <c r="Q8" s="10"/>
      <c r="R8" s="10"/>
      <c r="S8" s="10"/>
      <c r="T8" s="10"/>
      <c r="U8" s="10"/>
      <c r="V8" s="10"/>
      <c r="W8" s="10"/>
      <c r="X8" s="10"/>
      <c r="Y8" s="10"/>
      <c r="Z8" s="10"/>
      <c r="AA8" s="3" t="s">
        <v>166</v>
      </c>
      <c r="AB8" s="10"/>
      <c r="AC8" s="10"/>
      <c r="AD8" s="10"/>
      <c r="AE8" s="10"/>
      <c r="AF8" s="10"/>
      <c r="AG8" s="10"/>
      <c r="AH8" s="10"/>
      <c r="AI8" s="11"/>
    </row>
    <row r="9" spans="1:37">
      <c r="B9" s="13"/>
      <c r="C9" s="12"/>
      <c r="D9" s="13"/>
      <c r="E9" s="13"/>
      <c r="F9" s="13"/>
      <c r="G9"/>
      <c r="H9" s="257" t="s">
        <v>23</v>
      </c>
      <c r="I9" s="259"/>
      <c r="J9" s="257" t="s">
        <v>9</v>
      </c>
      <c r="K9" s="259"/>
      <c r="L9" s="242" t="s">
        <v>28</v>
      </c>
      <c r="M9" s="243"/>
      <c r="N9" s="244"/>
      <c r="O9" s="257"/>
      <c r="P9" s="259"/>
      <c r="Q9" s="257"/>
      <c r="R9" s="258"/>
      <c r="S9" s="258"/>
      <c r="T9" s="257"/>
      <c r="U9" s="258"/>
      <c r="V9" s="259"/>
      <c r="W9" s="373" t="s">
        <v>77</v>
      </c>
      <c r="X9" s="374"/>
      <c r="Y9" s="375"/>
      <c r="Z9" s="257" t="s">
        <v>24</v>
      </c>
      <c r="AA9" s="258"/>
      <c r="AB9" s="259"/>
      <c r="AC9" s="257" t="s">
        <v>25</v>
      </c>
      <c r="AD9" s="258"/>
      <c r="AE9" s="258"/>
      <c r="AF9" s="258"/>
      <c r="AG9" s="258"/>
      <c r="AH9" s="259"/>
      <c r="AI9" s="92"/>
      <c r="AJ9" s="13"/>
      <c r="AK9" s="13"/>
    </row>
    <row r="10" spans="1:37" ht="19.2">
      <c r="B10" s="13"/>
      <c r="C10" s="12"/>
      <c r="D10" s="13"/>
      <c r="E10" s="13"/>
      <c r="F10" s="13"/>
      <c r="G10"/>
      <c r="H10" s="249" t="s">
        <v>15</v>
      </c>
      <c r="I10" s="250"/>
      <c r="J10" s="251"/>
      <c r="K10" s="252"/>
      <c r="L10" s="249" t="s">
        <v>37</v>
      </c>
      <c r="M10" s="210"/>
      <c r="N10" s="250"/>
      <c r="O10" s="254" t="s">
        <v>16</v>
      </c>
      <c r="P10" s="256"/>
      <c r="Q10" s="376" t="s">
        <v>76</v>
      </c>
      <c r="R10" s="210"/>
      <c r="S10" s="250"/>
      <c r="T10" s="249" t="s">
        <v>38</v>
      </c>
      <c r="U10" s="210"/>
      <c r="V10" s="250"/>
      <c r="W10" s="249" t="s">
        <v>39</v>
      </c>
      <c r="X10" s="210"/>
      <c r="Y10" s="250"/>
      <c r="Z10" s="249" t="s">
        <v>78</v>
      </c>
      <c r="AA10" s="210"/>
      <c r="AB10" s="250"/>
      <c r="AC10" s="249" t="s">
        <v>119</v>
      </c>
      <c r="AD10" s="210"/>
      <c r="AE10" s="210"/>
      <c r="AF10" s="210"/>
      <c r="AG10" s="210"/>
      <c r="AH10" s="250"/>
      <c r="AI10" s="92"/>
      <c r="AJ10" s="13"/>
      <c r="AK10" s="13"/>
    </row>
    <row r="11" spans="1:37" ht="19.8">
      <c r="B11" s="13"/>
      <c r="C11" s="12"/>
      <c r="D11" s="13"/>
      <c r="E11" s="13"/>
      <c r="F11" s="13"/>
      <c r="G11"/>
      <c r="H11" s="334" t="s">
        <v>20</v>
      </c>
      <c r="I11" s="336"/>
      <c r="J11" s="334"/>
      <c r="K11" s="336"/>
      <c r="L11" s="7"/>
      <c r="M11" s="80"/>
      <c r="N11" s="8"/>
      <c r="O11" s="228" t="s">
        <v>40</v>
      </c>
      <c r="P11" s="230"/>
      <c r="Q11" s="228" t="s">
        <v>36</v>
      </c>
      <c r="R11" s="229"/>
      <c r="S11" s="229"/>
      <c r="T11" s="228" t="s">
        <v>36</v>
      </c>
      <c r="U11" s="229"/>
      <c r="V11" s="229"/>
      <c r="W11" s="228" t="s">
        <v>36</v>
      </c>
      <c r="X11" s="229"/>
      <c r="Y11" s="229"/>
      <c r="Z11" s="228" t="s">
        <v>36</v>
      </c>
      <c r="AA11" s="229"/>
      <c r="AB11" s="229"/>
      <c r="AC11" s="334" t="s">
        <v>36</v>
      </c>
      <c r="AD11" s="335"/>
      <c r="AE11" s="335"/>
      <c r="AF11" s="335"/>
      <c r="AG11" s="335"/>
      <c r="AH11" s="336"/>
      <c r="AI11" s="92"/>
      <c r="AJ11" s="13"/>
      <c r="AK11" s="13"/>
    </row>
    <row r="12" spans="1:37">
      <c r="B12" s="13"/>
      <c r="C12" s="12"/>
      <c r="D12" s="390" t="s">
        <v>21</v>
      </c>
      <c r="E12" s="390"/>
      <c r="F12" s="242" t="s">
        <v>135</v>
      </c>
      <c r="G12" s="244"/>
      <c r="H12" s="330">
        <f>'1.設計条件と鋼矢板・支保工の設定'!F20</f>
        <v>0.3</v>
      </c>
      <c r="I12" s="331"/>
      <c r="J12" s="326" t="str">
        <f>'1.設計条件と鋼矢板・支保工の設定'!H20</f>
        <v>砂質</v>
      </c>
      <c r="K12" s="327"/>
      <c r="L12" s="326">
        <f>ROUND(TAN(RADIANS(45-'1.設計条件と鋼矢板・支保工の設定'!AB20/2))^2,3)</f>
        <v>0.70399999999999996</v>
      </c>
      <c r="M12" s="366"/>
      <c r="N12" s="327"/>
      <c r="O12" s="326">
        <f>IF('1.設計条件と鋼矢板・支保工の設定'!L20="-",'1.設計条件と鋼矢板・支保工の設定'!P20,'1.設計条件と鋼矢板・支保工の設定'!X20)</f>
        <v>17</v>
      </c>
      <c r="P12" s="327"/>
      <c r="Q12" s="325">
        <f>'1.設計条件と鋼矢板・支保工の設定'!R$12</f>
        <v>10</v>
      </c>
      <c r="R12" s="296"/>
      <c r="S12" s="296"/>
      <c r="T12" s="326">
        <f>2*'1.設計条件と鋼矢板・支保工の設定'!AF20*SQRT(L12)</f>
        <v>0</v>
      </c>
      <c r="U12" s="366"/>
      <c r="V12" s="327"/>
      <c r="W12" s="325">
        <f>L12*Q12-T12</f>
        <v>7.0399999999999991</v>
      </c>
      <c r="X12" s="296"/>
      <c r="Y12" s="296"/>
      <c r="Z12" s="325">
        <v>0</v>
      </c>
      <c r="AA12" s="296"/>
      <c r="AB12" s="296"/>
      <c r="AC12" s="323" t="s">
        <v>137</v>
      </c>
      <c r="AD12" s="324"/>
      <c r="AE12" s="324"/>
      <c r="AF12" s="363">
        <f>IF(J12="砂質",W12, IF(W12&gt;Z12,W12,Z12))</f>
        <v>7.0399999999999991</v>
      </c>
      <c r="AG12" s="363"/>
      <c r="AH12" s="362"/>
      <c r="AI12" s="92"/>
      <c r="AJ12" s="13"/>
      <c r="AK12" s="13"/>
    </row>
    <row r="13" spans="1:37">
      <c r="B13" s="13"/>
      <c r="C13" s="12"/>
      <c r="D13" s="390"/>
      <c r="E13" s="390"/>
      <c r="F13" s="228" t="s">
        <v>136</v>
      </c>
      <c r="G13" s="230"/>
      <c r="H13" s="332"/>
      <c r="I13" s="333"/>
      <c r="J13" s="328"/>
      <c r="K13" s="329"/>
      <c r="L13" s="328"/>
      <c r="M13" s="367"/>
      <c r="N13" s="329"/>
      <c r="O13" s="328"/>
      <c r="P13" s="329"/>
      <c r="Q13" s="299">
        <f>H12*O12+'1.設計条件と鋼矢板・支保工の設定'!R$12</f>
        <v>15.1</v>
      </c>
      <c r="R13" s="372"/>
      <c r="S13" s="372"/>
      <c r="T13" s="328"/>
      <c r="U13" s="367"/>
      <c r="V13" s="329"/>
      <c r="W13" s="299">
        <f>L12*Q13-T12</f>
        <v>10.6304</v>
      </c>
      <c r="X13" s="372"/>
      <c r="Y13" s="372"/>
      <c r="Z13" s="299">
        <f>0.3*H12*O12</f>
        <v>1.53</v>
      </c>
      <c r="AA13" s="372"/>
      <c r="AB13" s="372"/>
      <c r="AC13" s="321" t="s">
        <v>146</v>
      </c>
      <c r="AD13" s="322"/>
      <c r="AE13" s="322"/>
      <c r="AF13" s="364">
        <f>IF(J12="砂質",W13, IF(W13&gt;Z13,W13,Z13))</f>
        <v>10.6304</v>
      </c>
      <c r="AG13" s="364"/>
      <c r="AH13" s="365"/>
      <c r="AI13" s="92"/>
      <c r="AJ13" s="13"/>
      <c r="AK13" s="13"/>
    </row>
    <row r="14" spans="1:37">
      <c r="B14" s="13"/>
      <c r="C14" s="12"/>
      <c r="D14" s="390" t="s">
        <v>22</v>
      </c>
      <c r="E14" s="390"/>
      <c r="F14" s="242" t="s">
        <v>135</v>
      </c>
      <c r="G14" s="244"/>
      <c r="H14" s="330">
        <f>'1.設計条件と鋼矢板・支保工の設定'!F21</f>
        <v>1</v>
      </c>
      <c r="I14" s="331"/>
      <c r="J14" s="330" t="str">
        <f>'1.設計条件と鋼矢板・支保工の設定'!H21</f>
        <v>砂質</v>
      </c>
      <c r="K14" s="331"/>
      <c r="L14" s="326">
        <f>ROUND(TAN(RADIANS(45-'1.設計条件と鋼矢板・支保工の設定'!AB21/2))^2,3)</f>
        <v>0.70399999999999996</v>
      </c>
      <c r="M14" s="366"/>
      <c r="N14" s="327"/>
      <c r="O14" s="326">
        <f>IF('1.設計条件と鋼矢板・支保工の設定'!L21="-",'1.設計条件と鋼矢板・支保工の設定'!P21,'1.設計条件と鋼矢板・支保工の設定'!X21)</f>
        <v>17</v>
      </c>
      <c r="P14" s="327"/>
      <c r="Q14" s="325">
        <f>Q13</f>
        <v>15.1</v>
      </c>
      <c r="R14" s="296"/>
      <c r="S14" s="296"/>
      <c r="T14" s="326">
        <f>2*'1.設計条件と鋼矢板・支保工の設定'!AF21*SQRT(L14)</f>
        <v>0</v>
      </c>
      <c r="U14" s="366"/>
      <c r="V14" s="327"/>
      <c r="W14" s="325">
        <f>L14*Q14-T14</f>
        <v>10.6304</v>
      </c>
      <c r="X14" s="296"/>
      <c r="Y14" s="296"/>
      <c r="Z14" s="325">
        <f>Z13</f>
        <v>1.53</v>
      </c>
      <c r="AA14" s="296"/>
      <c r="AB14" s="296"/>
      <c r="AC14" s="323" t="s">
        <v>138</v>
      </c>
      <c r="AD14" s="324"/>
      <c r="AE14" s="324"/>
      <c r="AF14" s="363">
        <f t="shared" ref="AF14" si="0">IF(J14="砂質",W14, IF(W14&gt;Z14,W14,Z14))</f>
        <v>10.6304</v>
      </c>
      <c r="AG14" s="363"/>
      <c r="AH14" s="362"/>
      <c r="AI14" s="92"/>
      <c r="AJ14" s="13"/>
      <c r="AK14" s="13"/>
    </row>
    <row r="15" spans="1:37">
      <c r="B15" s="13"/>
      <c r="C15" s="12"/>
      <c r="D15" s="390"/>
      <c r="E15" s="390"/>
      <c r="F15" s="228" t="s">
        <v>136</v>
      </c>
      <c r="G15" s="230"/>
      <c r="H15" s="332"/>
      <c r="I15" s="333"/>
      <c r="J15" s="332"/>
      <c r="K15" s="333"/>
      <c r="L15" s="328"/>
      <c r="M15" s="367"/>
      <c r="N15" s="329"/>
      <c r="O15" s="328"/>
      <c r="P15" s="329"/>
      <c r="Q15" s="299">
        <f>H14*O14+Q14</f>
        <v>32.1</v>
      </c>
      <c r="R15" s="372"/>
      <c r="S15" s="372"/>
      <c r="T15" s="328"/>
      <c r="U15" s="367"/>
      <c r="V15" s="329"/>
      <c r="W15" s="299">
        <f>L14*Q15-T14</f>
        <v>22.598399999999998</v>
      </c>
      <c r="X15" s="372"/>
      <c r="Y15" s="372"/>
      <c r="Z15" s="299">
        <f>0.3*H14*O14+Z14</f>
        <v>6.63</v>
      </c>
      <c r="AA15" s="372"/>
      <c r="AB15" s="372"/>
      <c r="AC15" s="321" t="s">
        <v>139</v>
      </c>
      <c r="AD15" s="322"/>
      <c r="AE15" s="322"/>
      <c r="AF15" s="364">
        <f>IF(J14="砂質",W15, IF(W15&gt;Z15,W15,Z15))</f>
        <v>22.598399999999998</v>
      </c>
      <c r="AG15" s="364"/>
      <c r="AH15" s="365"/>
      <c r="AI15" s="92"/>
      <c r="AJ15" s="13"/>
      <c r="AK15" s="13"/>
    </row>
    <row r="16" spans="1:37">
      <c r="B16" s="13"/>
      <c r="C16" s="12"/>
      <c r="D16" s="390" t="s">
        <v>95</v>
      </c>
      <c r="E16" s="390"/>
      <c r="F16" s="242" t="s">
        <v>135</v>
      </c>
      <c r="G16" s="244"/>
      <c r="H16" s="330">
        <f>'1.設計条件と鋼矢板・支保工の設定'!F22</f>
        <v>1.7</v>
      </c>
      <c r="I16" s="331"/>
      <c r="J16" s="379" t="str">
        <f>'1.設計条件と鋼矢板・支保工の設定'!H22</f>
        <v>砂質</v>
      </c>
      <c r="K16" s="380"/>
      <c r="L16" s="348">
        <f>ROUND(TAN(RADIANS(45-'1.設計条件と鋼矢板・支保工の設定'!AB22/2))^2,3)</f>
        <v>0.70399999999999996</v>
      </c>
      <c r="M16" s="349"/>
      <c r="N16" s="350"/>
      <c r="O16" s="348">
        <f>IF('1.設計条件と鋼矢板・支保工の設定'!L24="-",'1.設計条件と鋼矢板・支保工の設定'!P24,'1.設計条件と鋼矢板・支保工の設定'!X22)</f>
        <v>8</v>
      </c>
      <c r="P16" s="350"/>
      <c r="Q16" s="368">
        <f>Q15</f>
        <v>32.1</v>
      </c>
      <c r="R16" s="369"/>
      <c r="S16" s="369"/>
      <c r="T16" s="348">
        <f>2*'1.設計条件と鋼矢板・支保工の設定'!AF22*SQRT(L16)</f>
        <v>0</v>
      </c>
      <c r="U16" s="349"/>
      <c r="V16" s="350"/>
      <c r="W16" s="368">
        <f>L16*Q16-T16</f>
        <v>22.598399999999998</v>
      </c>
      <c r="X16" s="369"/>
      <c r="Y16" s="369"/>
      <c r="Z16" s="368">
        <f>Z15</f>
        <v>6.63</v>
      </c>
      <c r="AA16" s="369"/>
      <c r="AB16" s="369"/>
      <c r="AC16" s="323" t="s">
        <v>140</v>
      </c>
      <c r="AD16" s="324"/>
      <c r="AE16" s="324"/>
      <c r="AF16" s="356">
        <f>IF(J16="砂質",W16, IF(W16&gt;Z16,W16,Z16))</f>
        <v>22.598399999999998</v>
      </c>
      <c r="AG16" s="356"/>
      <c r="AH16" s="357"/>
      <c r="AI16" s="92"/>
      <c r="AJ16" s="13"/>
      <c r="AK16" s="13"/>
    </row>
    <row r="17" spans="2:37" ht="18.600000000000001" thickBot="1">
      <c r="B17" s="13"/>
      <c r="C17" s="12"/>
      <c r="D17" s="391"/>
      <c r="E17" s="391"/>
      <c r="F17" s="388" t="s">
        <v>136</v>
      </c>
      <c r="G17" s="389"/>
      <c r="H17" s="377"/>
      <c r="I17" s="378"/>
      <c r="J17" s="377"/>
      <c r="K17" s="378"/>
      <c r="L17" s="351"/>
      <c r="M17" s="352"/>
      <c r="N17" s="353"/>
      <c r="O17" s="351"/>
      <c r="P17" s="353"/>
      <c r="Q17" s="370">
        <f>H16*O16+Q16</f>
        <v>45.7</v>
      </c>
      <c r="R17" s="371"/>
      <c r="S17" s="371"/>
      <c r="T17" s="351"/>
      <c r="U17" s="352"/>
      <c r="V17" s="353"/>
      <c r="W17" s="370">
        <f>L16*Q17-T16</f>
        <v>32.172800000000002</v>
      </c>
      <c r="X17" s="371"/>
      <c r="Y17" s="371"/>
      <c r="Z17" s="370">
        <f>0.3*H16*O16+Z16</f>
        <v>10.71</v>
      </c>
      <c r="AA17" s="371"/>
      <c r="AB17" s="371"/>
      <c r="AC17" s="346" t="s">
        <v>141</v>
      </c>
      <c r="AD17" s="347"/>
      <c r="AE17" s="347"/>
      <c r="AF17" s="358">
        <f>IF(J16="砂質",W17, IF(W17&gt;Z17,W17,Z17))</f>
        <v>32.172800000000002</v>
      </c>
      <c r="AG17" s="358"/>
      <c r="AH17" s="359"/>
      <c r="AI17" s="92"/>
      <c r="AJ17" s="13"/>
      <c r="AK17" s="13"/>
    </row>
    <row r="18" spans="2:37" ht="18.75" customHeight="1" thickTop="1">
      <c r="B18" s="13"/>
      <c r="C18" s="12"/>
      <c r="D18" s="408" t="s">
        <v>117</v>
      </c>
      <c r="E18" s="408"/>
      <c r="F18" s="242" t="s">
        <v>135</v>
      </c>
      <c r="G18" s="244"/>
      <c r="H18" s="409" t="s">
        <v>476</v>
      </c>
      <c r="I18" s="410"/>
      <c r="J18" s="326" t="str">
        <f>'1.設計条件と鋼矢板・支保工の設定'!H24</f>
        <v>砂質</v>
      </c>
      <c r="K18" s="327"/>
      <c r="L18" s="326">
        <f>ROUND(TAN(RADIANS(45-'1.設計条件と鋼矢板・支保工の設定'!AB24/2))^2,3)</f>
        <v>0.307</v>
      </c>
      <c r="M18" s="366"/>
      <c r="N18" s="327"/>
      <c r="O18" s="326">
        <f>IF('1.設計条件と鋼矢板・支保工の設定'!L24="-",'1.設計条件と鋼矢板・支保工の設定'!P24,'1.設計条件と鋼矢板・支保工の設定'!X24)</f>
        <v>10</v>
      </c>
      <c r="P18" s="327"/>
      <c r="Q18" s="325">
        <f>Q17</f>
        <v>45.7</v>
      </c>
      <c r="R18" s="296"/>
      <c r="S18" s="296"/>
      <c r="T18" s="326">
        <f>2*'1.設計条件と鋼矢板・支保工の設定'!AF24*SQRT(L18)</f>
        <v>0</v>
      </c>
      <c r="U18" s="366"/>
      <c r="V18" s="327"/>
      <c r="W18" s="325">
        <f>L18*Q18-T18</f>
        <v>14.029900000000001</v>
      </c>
      <c r="X18" s="296"/>
      <c r="Y18" s="296"/>
      <c r="Z18" s="325">
        <f>Z17</f>
        <v>10.71</v>
      </c>
      <c r="AA18" s="296"/>
      <c r="AB18" s="296"/>
      <c r="AC18" s="323" t="s">
        <v>142</v>
      </c>
      <c r="AD18" s="324"/>
      <c r="AE18" s="324"/>
      <c r="AF18" s="363">
        <f t="shared" ref="AF18" si="1">IF(J18="砂質",W18, IF(W18&gt;Z18,W18,Z18))</f>
        <v>14.029900000000001</v>
      </c>
      <c r="AG18" s="363"/>
      <c r="AH18" s="362"/>
      <c r="AI18" s="92"/>
      <c r="AJ18" s="13"/>
      <c r="AK18" s="13"/>
    </row>
    <row r="19" spans="2:37">
      <c r="B19" s="13"/>
      <c r="C19" s="12"/>
      <c r="D19" s="390"/>
      <c r="E19" s="390"/>
      <c r="F19" s="228" t="s">
        <v>136</v>
      </c>
      <c r="G19" s="230"/>
      <c r="H19" s="411"/>
      <c r="I19" s="412"/>
      <c r="J19" s="328"/>
      <c r="K19" s="329"/>
      <c r="L19" s="328"/>
      <c r="M19" s="367"/>
      <c r="N19" s="329"/>
      <c r="O19" s="328"/>
      <c r="P19" s="329"/>
      <c r="Q19" s="299"/>
      <c r="R19" s="372"/>
      <c r="S19" s="372"/>
      <c r="T19" s="328"/>
      <c r="U19" s="367"/>
      <c r="V19" s="329"/>
      <c r="W19" s="299"/>
      <c r="X19" s="372"/>
      <c r="Y19" s="372"/>
      <c r="Z19" s="299"/>
      <c r="AA19" s="372"/>
      <c r="AB19" s="372"/>
      <c r="AC19" s="321" t="s">
        <v>143</v>
      </c>
      <c r="AD19" s="322"/>
      <c r="AE19" s="322"/>
      <c r="AF19" s="364"/>
      <c r="AG19" s="364"/>
      <c r="AH19" s="365"/>
      <c r="AI19" s="92"/>
      <c r="AJ19" s="13"/>
      <c r="AK19" s="13"/>
    </row>
    <row r="20" spans="2:37">
      <c r="B20" s="13"/>
      <c r="C20" s="12"/>
      <c r="D20" s="96"/>
      <c r="E20" s="95"/>
      <c r="F20" s="95"/>
      <c r="G20" s="95"/>
      <c r="H20" s="95"/>
      <c r="I20" s="95"/>
      <c r="J20" s="93"/>
      <c r="K20" s="93"/>
      <c r="L20" s="93"/>
      <c r="M20" s="93"/>
      <c r="N20" s="93"/>
      <c r="O20" s="94"/>
      <c r="P20" s="94"/>
      <c r="Q20" s="94"/>
      <c r="R20" s="94"/>
      <c r="S20" s="93"/>
      <c r="T20" s="93"/>
      <c r="U20" s="95"/>
      <c r="V20" s="95"/>
      <c r="W20" s="95"/>
      <c r="X20" s="80"/>
      <c r="Y20" s="80"/>
      <c r="Z20" s="80"/>
      <c r="AA20"/>
      <c r="AB20" s="97"/>
      <c r="AC20" s="98"/>
      <c r="AD20" s="95"/>
      <c r="AE20" s="95"/>
      <c r="AF20" s="13"/>
      <c r="AG20" s="13"/>
      <c r="AH20" s="13"/>
      <c r="AI20" s="15"/>
    </row>
    <row r="21" spans="2:37">
      <c r="B21" s="13"/>
      <c r="C21" s="12"/>
      <c r="D21" s="279" t="s">
        <v>458</v>
      </c>
      <c r="E21" s="279"/>
      <c r="F21" s="279"/>
      <c r="G21" s="369" t="s">
        <v>475</v>
      </c>
      <c r="H21" s="369"/>
      <c r="I21" s="369"/>
      <c r="J21" s="369"/>
      <c r="K21" s="369"/>
      <c r="L21" s="369"/>
      <c r="M21" s="193" t="s">
        <v>474</v>
      </c>
      <c r="R21" s="99"/>
      <c r="S21" s="80"/>
      <c r="T21" s="93"/>
      <c r="U21" s="95"/>
      <c r="V21" s="95"/>
      <c r="W21" s="95"/>
      <c r="X21" s="407"/>
      <c r="Y21" s="407"/>
      <c r="Z21" s="407"/>
      <c r="AA21" s="349"/>
      <c r="AB21" s="349"/>
      <c r="AC21" s="98"/>
      <c r="AD21" s="95"/>
      <c r="AE21" s="95"/>
      <c r="AF21" s="13"/>
      <c r="AG21" s="13"/>
      <c r="AH21" s="13"/>
      <c r="AI21" s="15"/>
    </row>
    <row r="22" spans="2:37">
      <c r="B22" s="13"/>
      <c r="C22" s="12"/>
      <c r="D22" s="279" t="s">
        <v>2</v>
      </c>
      <c r="E22" s="279"/>
      <c r="F22" s="279"/>
      <c r="G22" s="280">
        <f>L18</f>
        <v>0.307</v>
      </c>
      <c r="H22" s="280"/>
      <c r="I22" s="280"/>
      <c r="J22" s="1" t="s">
        <v>27</v>
      </c>
      <c r="K22" s="1" t="s">
        <v>70</v>
      </c>
      <c r="L22" s="281">
        <f>O18</f>
        <v>10</v>
      </c>
      <c r="M22" s="281"/>
      <c r="N22" s="282" t="str">
        <f>H18</f>
        <v>ℓ₀</v>
      </c>
      <c r="O22" s="282"/>
      <c r="P22" s="1" t="s">
        <v>69</v>
      </c>
      <c r="Q22" s="283">
        <f>Q18</f>
        <v>45.7</v>
      </c>
      <c r="R22" s="283"/>
      <c r="S22" s="283"/>
      <c r="T22" s="1" t="s">
        <v>84</v>
      </c>
      <c r="U22" s="95" t="s">
        <v>125</v>
      </c>
      <c r="V22" s="103">
        <f>T18</f>
        <v>0</v>
      </c>
      <c r="AC22" s="98"/>
      <c r="AD22" s="95"/>
      <c r="AE22" s="95"/>
      <c r="AF22" s="13"/>
      <c r="AG22" s="13"/>
      <c r="AH22" s="13"/>
      <c r="AI22" s="15"/>
    </row>
    <row r="23" spans="2:37" ht="19.8">
      <c r="B23" s="15"/>
      <c r="C23" s="13"/>
      <c r="D23" s="279" t="s">
        <v>2</v>
      </c>
      <c r="E23" s="279"/>
      <c r="F23" s="279"/>
      <c r="G23" s="413">
        <f>L18*O18</f>
        <v>3.07</v>
      </c>
      <c r="H23" s="414"/>
      <c r="I23" s="415"/>
      <c r="J23" s="349" t="s">
        <v>235</v>
      </c>
      <c r="K23" s="349"/>
      <c r="L23" s="416">
        <f>L18*Q18</f>
        <v>14.029900000000001</v>
      </c>
      <c r="M23" s="417"/>
      <c r="N23" s="417"/>
      <c r="O23" s="417"/>
      <c r="P23" s="417"/>
      <c r="Q23" s="418"/>
      <c r="R23" s="99" t="s">
        <v>36</v>
      </c>
      <c r="S23" s="80"/>
      <c r="T23" s="93"/>
      <c r="U23" s="13"/>
      <c r="V23" s="13"/>
      <c r="W23" s="13"/>
      <c r="X23" s="13"/>
      <c r="Y23" s="13"/>
      <c r="Z23" s="13"/>
      <c r="AA23" s="13"/>
      <c r="AB23" s="13"/>
      <c r="AC23" s="13"/>
      <c r="AD23" s="13"/>
      <c r="AE23" s="13"/>
      <c r="AF23" s="13"/>
      <c r="AG23" s="13"/>
      <c r="AH23" s="13"/>
      <c r="AI23" s="15"/>
    </row>
    <row r="24" spans="2:37">
      <c r="B24" s="15"/>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5"/>
    </row>
    <row r="25" spans="2:37">
      <c r="B25" s="13"/>
      <c r="C25" s="12" t="s">
        <v>428</v>
      </c>
      <c r="D25" s="13"/>
      <c r="E25" s="13"/>
      <c r="F25" s="13"/>
      <c r="G25" s="13"/>
      <c r="H25" s="13"/>
      <c r="I25" s="13"/>
      <c r="J25" s="13"/>
      <c r="K25" s="13"/>
      <c r="L25" s="13"/>
      <c r="M25" s="13"/>
      <c r="N25" s="13"/>
      <c r="O25" s="13"/>
      <c r="P25" s="13"/>
      <c r="Q25" s="13"/>
      <c r="R25" s="13"/>
      <c r="S25" s="13"/>
      <c r="T25" s="13"/>
      <c r="U25" s="13"/>
      <c r="V25" s="13"/>
      <c r="W25" s="13"/>
      <c r="X25" s="13"/>
      <c r="Y25" s="13"/>
      <c r="Z25" s="13"/>
      <c r="AA25" t="s">
        <v>166</v>
      </c>
      <c r="AB25" s="13"/>
      <c r="AC25" s="13"/>
      <c r="AD25" s="13"/>
      <c r="AE25" s="13"/>
      <c r="AF25" s="13"/>
      <c r="AG25" s="13"/>
      <c r="AH25" s="13"/>
      <c r="AI25" s="15"/>
    </row>
    <row r="26" spans="2:37">
      <c r="B26" s="13"/>
      <c r="C26" s="12"/>
      <c r="D26" s="13"/>
      <c r="E26" s="13"/>
      <c r="F26" s="13"/>
      <c r="G26"/>
      <c r="H26" s="257" t="s">
        <v>23</v>
      </c>
      <c r="I26" s="259"/>
      <c r="J26" s="257" t="s">
        <v>9</v>
      </c>
      <c r="K26" s="259"/>
      <c r="L26" s="242" t="s">
        <v>175</v>
      </c>
      <c r="M26" s="243"/>
      <c r="N26" s="244"/>
      <c r="O26" s="257"/>
      <c r="P26" s="259"/>
      <c r="Q26" s="257"/>
      <c r="R26" s="258"/>
      <c r="S26" s="258"/>
      <c r="T26" s="257"/>
      <c r="U26" s="258"/>
      <c r="V26" s="259"/>
      <c r="W26" s="373" t="s">
        <v>452</v>
      </c>
      <c r="X26" s="374"/>
      <c r="Y26" s="375"/>
      <c r="Z26" s="257"/>
      <c r="AA26" s="258"/>
      <c r="AB26" s="259"/>
      <c r="AC26" s="257" t="s">
        <v>174</v>
      </c>
      <c r="AD26" s="258"/>
      <c r="AE26" s="258"/>
      <c r="AF26" s="258"/>
      <c r="AG26" s="258"/>
      <c r="AH26" s="259"/>
      <c r="AI26" s="92"/>
      <c r="AJ26" s="13"/>
      <c r="AK26" s="13"/>
    </row>
    <row r="27" spans="2:37" ht="19.2">
      <c r="B27" s="13"/>
      <c r="C27" s="12"/>
      <c r="D27" s="13"/>
      <c r="E27" s="13"/>
      <c r="F27" s="13"/>
      <c r="G27"/>
      <c r="H27" s="249" t="s">
        <v>453</v>
      </c>
      <c r="I27" s="250"/>
      <c r="J27" s="251"/>
      <c r="K27" s="252"/>
      <c r="L27" s="249" t="s">
        <v>176</v>
      </c>
      <c r="M27" s="210"/>
      <c r="N27" s="250"/>
      <c r="O27" s="254" t="s">
        <v>16</v>
      </c>
      <c r="P27" s="256"/>
      <c r="Q27" s="376" t="s">
        <v>473</v>
      </c>
      <c r="R27" s="210"/>
      <c r="S27" s="250"/>
      <c r="T27" s="34" t="s">
        <v>178</v>
      </c>
      <c r="U27" s="34"/>
      <c r="V27" s="57"/>
      <c r="W27" s="249" t="s">
        <v>177</v>
      </c>
      <c r="X27" s="210"/>
      <c r="Y27" s="250"/>
      <c r="Z27" s="249"/>
      <c r="AA27" s="210"/>
      <c r="AB27" s="250"/>
      <c r="AC27" s="404" t="s">
        <v>459</v>
      </c>
      <c r="AD27" s="405"/>
      <c r="AE27" s="405"/>
      <c r="AF27" s="405"/>
      <c r="AG27" s="405"/>
      <c r="AH27" s="406"/>
      <c r="AI27" s="92"/>
      <c r="AJ27" s="13"/>
      <c r="AK27" s="13"/>
    </row>
    <row r="28" spans="2:37" ht="19.8">
      <c r="B28" s="13"/>
      <c r="C28" s="12"/>
      <c r="D28" s="13"/>
      <c r="E28" s="13"/>
      <c r="F28" s="13"/>
      <c r="G28"/>
      <c r="H28" s="334" t="s">
        <v>20</v>
      </c>
      <c r="I28" s="336"/>
      <c r="J28" s="334"/>
      <c r="K28" s="336"/>
      <c r="L28" s="7"/>
      <c r="M28" s="80"/>
      <c r="N28" s="8"/>
      <c r="O28" s="228" t="s">
        <v>40</v>
      </c>
      <c r="P28" s="230"/>
      <c r="Q28" s="228" t="s">
        <v>36</v>
      </c>
      <c r="R28" s="229"/>
      <c r="S28" s="229"/>
      <c r="T28" s="228" t="s">
        <v>36</v>
      </c>
      <c r="U28" s="229"/>
      <c r="V28" s="229"/>
      <c r="W28" s="228" t="s">
        <v>36</v>
      </c>
      <c r="X28" s="229"/>
      <c r="Y28" s="229"/>
      <c r="Z28" s="228"/>
      <c r="AA28" s="229"/>
      <c r="AB28" s="229"/>
      <c r="AC28" s="334" t="s">
        <v>36</v>
      </c>
      <c r="AD28" s="335"/>
      <c r="AE28" s="335"/>
      <c r="AF28" s="335"/>
      <c r="AG28" s="335"/>
      <c r="AH28" s="336"/>
      <c r="AI28" s="92"/>
      <c r="AJ28" s="13"/>
      <c r="AK28" s="13"/>
    </row>
    <row r="29" spans="2:37" ht="18.75" customHeight="1">
      <c r="B29" s="13"/>
      <c r="C29" s="12"/>
      <c r="D29" s="390" t="s">
        <v>117</v>
      </c>
      <c r="E29" s="390"/>
      <c r="F29" s="242" t="s">
        <v>135</v>
      </c>
      <c r="G29" s="244"/>
      <c r="H29" s="409" t="s">
        <v>234</v>
      </c>
      <c r="I29" s="410"/>
      <c r="J29" s="326" t="str">
        <f>'1.設計条件と鋼矢板・支保工の設定'!H24</f>
        <v>砂質</v>
      </c>
      <c r="K29" s="327"/>
      <c r="L29" s="326">
        <f>ROUND(TAN(RADIANS(45+'1.設計条件と鋼矢板・支保工の設定'!AB24/2))^2,3)</f>
        <v>3.2549999999999999</v>
      </c>
      <c r="M29" s="366"/>
      <c r="N29" s="327"/>
      <c r="O29" s="326">
        <f>IF('1.設計条件と鋼矢板・支保工の設定'!L24="-",'1.設計条件と鋼矢板・支保工の設定'!P24,'1.設計条件と鋼矢板・支保工の設定'!X24)</f>
        <v>10</v>
      </c>
      <c r="P29" s="327"/>
      <c r="Q29" s="325">
        <v>0</v>
      </c>
      <c r="R29" s="296"/>
      <c r="S29" s="296"/>
      <c r="T29" s="326">
        <f>2*'1.設計条件と鋼矢板・支保工の設定'!AF24*SQRT(L29)</f>
        <v>0</v>
      </c>
      <c r="U29" s="366"/>
      <c r="V29" s="327"/>
      <c r="W29" s="325">
        <f>L29*Q29+T29</f>
        <v>0</v>
      </c>
      <c r="X29" s="296"/>
      <c r="Y29" s="296"/>
      <c r="Z29" s="325"/>
      <c r="AA29" s="296"/>
      <c r="AB29" s="296"/>
      <c r="AC29" s="323" t="s">
        <v>181</v>
      </c>
      <c r="AD29" s="324"/>
      <c r="AE29" s="324"/>
      <c r="AF29" s="363">
        <f t="shared" ref="AF29" si="2">IF(J29="砂質",W29, IF(W29&gt;Z29,W29,Z29))</f>
        <v>0</v>
      </c>
      <c r="AG29" s="363"/>
      <c r="AH29" s="362"/>
      <c r="AI29" s="92"/>
      <c r="AJ29" s="13"/>
      <c r="AK29" s="13"/>
    </row>
    <row r="30" spans="2:37">
      <c r="B30" s="13"/>
      <c r="C30" s="12"/>
      <c r="D30" s="390"/>
      <c r="E30" s="390"/>
      <c r="F30" s="228" t="s">
        <v>136</v>
      </c>
      <c r="G30" s="230"/>
      <c r="H30" s="411"/>
      <c r="I30" s="412"/>
      <c r="J30" s="328"/>
      <c r="K30" s="329"/>
      <c r="L30" s="328"/>
      <c r="M30" s="367"/>
      <c r="N30" s="329"/>
      <c r="O30" s="328"/>
      <c r="P30" s="329"/>
      <c r="Q30" s="299"/>
      <c r="R30" s="372"/>
      <c r="S30" s="372"/>
      <c r="T30" s="328"/>
      <c r="U30" s="367"/>
      <c r="V30" s="329"/>
      <c r="W30" s="299"/>
      <c r="X30" s="372"/>
      <c r="Y30" s="372"/>
      <c r="Z30" s="299"/>
      <c r="AA30" s="372"/>
      <c r="AB30" s="372"/>
      <c r="AC30" s="321" t="s">
        <v>182</v>
      </c>
      <c r="AD30" s="322"/>
      <c r="AE30" s="322"/>
      <c r="AF30" s="364"/>
      <c r="AG30" s="364"/>
      <c r="AH30" s="365"/>
      <c r="AI30" s="92"/>
      <c r="AJ30" s="13"/>
      <c r="AK30" s="13"/>
    </row>
    <row r="31" spans="2:37">
      <c r="B31" s="13"/>
      <c r="C31" s="12"/>
      <c r="D31" s="96"/>
      <c r="E31" s="95"/>
      <c r="F31" s="95"/>
      <c r="G31" s="95"/>
      <c r="H31" s="95"/>
      <c r="I31" s="95"/>
      <c r="J31" s="93"/>
      <c r="K31" s="93"/>
      <c r="L31" s="93"/>
      <c r="M31" s="93"/>
      <c r="N31" s="93"/>
      <c r="O31" s="94"/>
      <c r="P31" s="94"/>
      <c r="Q31" s="94"/>
      <c r="R31" s="94"/>
      <c r="S31" s="93"/>
      <c r="T31" s="93"/>
      <c r="U31" s="95"/>
      <c r="V31" s="95"/>
      <c r="W31" s="95"/>
      <c r="X31" s="80"/>
      <c r="Y31" s="80"/>
      <c r="Z31" s="80"/>
      <c r="AA31"/>
      <c r="AB31" s="97"/>
      <c r="AC31" s="98"/>
      <c r="AD31" s="95"/>
      <c r="AE31" s="95"/>
      <c r="AF31" s="13"/>
      <c r="AG31" s="13"/>
      <c r="AH31" s="13"/>
      <c r="AI31" s="15"/>
    </row>
    <row r="32" spans="2:37">
      <c r="B32" s="13"/>
      <c r="C32" s="12"/>
      <c r="D32" s="279" t="s">
        <v>460</v>
      </c>
      <c r="E32" s="279"/>
      <c r="F32" s="279"/>
      <c r="G32" s="407" t="s">
        <v>180</v>
      </c>
      <c r="H32" s="407"/>
      <c r="I32" s="407"/>
      <c r="J32" s="349" t="s">
        <v>453</v>
      </c>
      <c r="K32" s="349"/>
      <c r="L32" s="99"/>
      <c r="M32" s="100"/>
      <c r="N32" s="100"/>
      <c r="O32" s="100"/>
      <c r="P32" s="100"/>
      <c r="Q32" s="100"/>
      <c r="R32" s="13"/>
      <c r="S32" s="80"/>
      <c r="T32" s="93"/>
      <c r="U32" s="95"/>
      <c r="V32" s="95"/>
      <c r="W32" s="95"/>
      <c r="X32" s="80"/>
      <c r="Y32" s="80"/>
      <c r="Z32" s="80"/>
      <c r="AA32"/>
      <c r="AB32" s="97"/>
      <c r="AC32" s="98"/>
      <c r="AD32" s="95"/>
      <c r="AE32" s="95"/>
      <c r="AF32" s="13"/>
      <c r="AG32" s="13"/>
      <c r="AH32" s="13"/>
      <c r="AI32" s="15"/>
    </row>
    <row r="33" spans="2:35" ht="19.8">
      <c r="B33" s="13"/>
      <c r="C33" s="12"/>
      <c r="D33" s="279" t="s">
        <v>2</v>
      </c>
      <c r="E33" s="279"/>
      <c r="F33" s="279"/>
      <c r="G33" s="413">
        <f>L29*O29</f>
        <v>32.549999999999997</v>
      </c>
      <c r="H33" s="414"/>
      <c r="I33" s="415"/>
      <c r="J33" s="349" t="s">
        <v>234</v>
      </c>
      <c r="K33" s="349"/>
      <c r="L33" s="99" t="s">
        <v>36</v>
      </c>
      <c r="M33" s="101"/>
      <c r="N33" s="101"/>
      <c r="O33" s="101"/>
      <c r="P33" s="101"/>
      <c r="Q33" s="101"/>
      <c r="R33" s="13"/>
      <c r="S33" s="80"/>
      <c r="T33" s="93"/>
      <c r="U33" s="95"/>
      <c r="V33" s="95"/>
      <c r="W33" s="95"/>
      <c r="X33" s="80"/>
      <c r="Y33" s="80"/>
      <c r="Z33" s="80"/>
      <c r="AA33"/>
      <c r="AB33" s="97"/>
      <c r="AC33" s="98"/>
      <c r="AD33" s="95"/>
      <c r="AE33" s="95"/>
      <c r="AF33" s="13"/>
      <c r="AG33" s="13"/>
      <c r="AH33" s="13"/>
      <c r="AI33" s="15"/>
    </row>
    <row r="34" spans="2:35">
      <c r="B34" s="15"/>
      <c r="C34" s="13"/>
      <c r="D34" s="28"/>
      <c r="E34" s="28"/>
      <c r="F34" s="167"/>
      <c r="G34" s="167"/>
      <c r="H34" s="95"/>
      <c r="I34" s="80"/>
      <c r="J34" s="95"/>
      <c r="K34" s="80"/>
      <c r="L34" s="128"/>
      <c r="M34" s="128"/>
      <c r="N34" s="128"/>
      <c r="O34" s="95"/>
      <c r="P34" s="95"/>
      <c r="Q34" s="95"/>
      <c r="R34" s="13"/>
      <c r="S34" s="13"/>
      <c r="T34" s="13"/>
      <c r="U34" s="13"/>
      <c r="V34" s="13"/>
      <c r="W34" s="13"/>
      <c r="X34" s="13"/>
      <c r="Y34" s="13"/>
      <c r="Z34" s="13"/>
      <c r="AA34" s="13"/>
      <c r="AB34" s="13"/>
      <c r="AC34" s="13"/>
      <c r="AD34" s="13"/>
      <c r="AE34" s="13"/>
      <c r="AF34" s="13"/>
      <c r="AG34" s="13"/>
      <c r="AH34" s="13"/>
      <c r="AI34" s="15"/>
    </row>
    <row r="35" spans="2:35">
      <c r="B35" s="15"/>
      <c r="C35" s="13"/>
      <c r="D35" s="96"/>
      <c r="E35" s="95"/>
      <c r="F35" s="95"/>
      <c r="G35" s="95"/>
      <c r="H35" s="95"/>
      <c r="I35" s="95"/>
      <c r="J35" s="93"/>
      <c r="K35" s="93"/>
      <c r="L35" s="93"/>
      <c r="M35" s="93"/>
      <c r="N35" s="93"/>
      <c r="O35" s="94"/>
      <c r="P35" s="94"/>
      <c r="Q35" s="94"/>
      <c r="R35" s="94"/>
      <c r="S35" s="93"/>
      <c r="T35" s="93"/>
      <c r="U35" s="95"/>
      <c r="V35" s="95"/>
      <c r="W35" s="95"/>
      <c r="X35" s="80"/>
      <c r="Y35" s="80"/>
      <c r="Z35" s="80"/>
      <c r="AA35"/>
      <c r="AB35" s="97"/>
      <c r="AC35" s="98"/>
      <c r="AD35" s="95"/>
      <c r="AE35" s="95"/>
      <c r="AF35" s="13"/>
      <c r="AG35" s="13"/>
      <c r="AH35" s="13"/>
      <c r="AI35" s="15"/>
    </row>
    <row r="36" spans="2:35">
      <c r="B36" s="15"/>
      <c r="C36" s="13" t="s">
        <v>429</v>
      </c>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5"/>
    </row>
    <row r="37" spans="2:35">
      <c r="B37" s="13"/>
      <c r="C37" s="12"/>
      <c r="D37" s="13"/>
      <c r="E37" s="13"/>
      <c r="F37" s="13"/>
      <c r="G37"/>
      <c r="H37" s="257" t="s">
        <v>23</v>
      </c>
      <c r="I37" s="259"/>
      <c r="J37" s="257" t="s">
        <v>30</v>
      </c>
      <c r="K37" s="259"/>
      <c r="L37" s="257" t="s">
        <v>31</v>
      </c>
      <c r="M37" s="258"/>
      <c r="N37" s="258"/>
      <c r="O37" s="258"/>
      <c r="P37" s="258"/>
      <c r="Q37" s="259"/>
      <c r="R37" s="13"/>
      <c r="S37" s="13"/>
      <c r="T37" s="13"/>
      <c r="U37" s="13"/>
      <c r="V37" s="13"/>
      <c r="W37" s="13"/>
      <c r="X37" s="13"/>
      <c r="Y37" s="13"/>
      <c r="Z37" s="13"/>
      <c r="AA37" s="13"/>
      <c r="AB37" s="13"/>
      <c r="AC37" s="13"/>
      <c r="AD37" s="13"/>
      <c r="AE37" s="13"/>
      <c r="AF37" s="13"/>
      <c r="AG37" s="13"/>
      <c r="AH37" s="13"/>
      <c r="AI37" s="15"/>
    </row>
    <row r="38" spans="2:35">
      <c r="B38" s="13"/>
      <c r="C38" s="12"/>
      <c r="D38" s="13"/>
      <c r="E38" s="13"/>
      <c r="F38" s="13"/>
      <c r="G38"/>
      <c r="H38" s="249" t="s">
        <v>15</v>
      </c>
      <c r="I38" s="250"/>
      <c r="J38" s="251"/>
      <c r="K38" s="252"/>
      <c r="L38" s="249" t="s">
        <v>153</v>
      </c>
      <c r="M38" s="210"/>
      <c r="N38" s="210"/>
      <c r="O38" s="210"/>
      <c r="P38" s="210"/>
      <c r="Q38" s="250"/>
      <c r="R38" s="13"/>
      <c r="S38" s="13"/>
      <c r="T38" s="13"/>
      <c r="U38" s="13"/>
      <c r="V38" s="13"/>
      <c r="W38" s="13"/>
      <c r="X38" s="13"/>
      <c r="Y38" s="13"/>
      <c r="Z38" s="13"/>
      <c r="AA38" s="13"/>
      <c r="AB38" s="13"/>
      <c r="AC38" s="13"/>
      <c r="AD38" s="13"/>
      <c r="AE38" s="13"/>
      <c r="AF38" s="13"/>
      <c r="AG38" s="13"/>
      <c r="AH38" s="13"/>
      <c r="AI38" s="15"/>
    </row>
    <row r="39" spans="2:35" ht="19.8">
      <c r="B39" s="13"/>
      <c r="C39" s="12"/>
      <c r="D39" s="13"/>
      <c r="E39" s="13"/>
      <c r="F39" s="13"/>
      <c r="G39"/>
      <c r="H39" s="334" t="s">
        <v>20</v>
      </c>
      <c r="I39" s="336"/>
      <c r="J39" s="334" t="s">
        <v>20</v>
      </c>
      <c r="K39" s="336"/>
      <c r="L39" s="334" t="s">
        <v>36</v>
      </c>
      <c r="M39" s="335"/>
      <c r="N39" s="335"/>
      <c r="O39" s="335"/>
      <c r="P39" s="335"/>
      <c r="Q39" s="336"/>
      <c r="R39" s="13"/>
      <c r="S39" s="13"/>
      <c r="T39" s="13"/>
      <c r="U39" s="13"/>
      <c r="V39" s="13"/>
      <c r="W39" s="13"/>
      <c r="X39" s="13"/>
      <c r="Y39" s="13"/>
      <c r="Z39" s="13"/>
      <c r="AA39" s="13"/>
      <c r="AB39" s="13"/>
      <c r="AC39" s="13"/>
      <c r="AD39" s="13"/>
      <c r="AE39" s="13"/>
      <c r="AF39" s="13"/>
      <c r="AG39" s="13"/>
      <c r="AH39" s="13"/>
      <c r="AI39" s="15"/>
    </row>
    <row r="40" spans="2:35">
      <c r="B40" s="13"/>
      <c r="C40" s="12"/>
      <c r="D40" s="390" t="s">
        <v>21</v>
      </c>
      <c r="E40" s="390"/>
      <c r="F40" s="242" t="s">
        <v>135</v>
      </c>
      <c r="G40" s="244"/>
      <c r="H40" s="257"/>
      <c r="I40" s="259"/>
      <c r="J40" s="257"/>
      <c r="K40" s="259"/>
      <c r="L40" s="323" t="s">
        <v>151</v>
      </c>
      <c r="M40" s="324"/>
      <c r="N40" s="324"/>
      <c r="O40" s="363">
        <v>0</v>
      </c>
      <c r="P40" s="363"/>
      <c r="Q40" s="362"/>
      <c r="R40" s="13"/>
      <c r="S40" s="13"/>
      <c r="T40" s="13"/>
      <c r="U40" s="13"/>
      <c r="V40" s="13"/>
      <c r="W40" s="13"/>
      <c r="X40" s="13"/>
      <c r="Y40" s="13"/>
      <c r="Z40" s="13"/>
      <c r="AA40" s="13"/>
      <c r="AB40" s="13"/>
      <c r="AC40" s="13"/>
      <c r="AD40" s="13"/>
      <c r="AE40" s="13"/>
      <c r="AF40" s="13"/>
      <c r="AG40" s="13"/>
      <c r="AH40" s="13"/>
      <c r="AI40" s="15"/>
    </row>
    <row r="41" spans="2:35">
      <c r="B41" s="13"/>
      <c r="C41" s="12"/>
      <c r="D41" s="390"/>
      <c r="E41" s="390"/>
      <c r="F41" s="228" t="s">
        <v>136</v>
      </c>
      <c r="G41" s="230"/>
      <c r="H41" s="360">
        <f>'1.設計条件と鋼矢板・支保工の設定'!F20</f>
        <v>0.3</v>
      </c>
      <c r="I41" s="336"/>
      <c r="J41" s="360" t="str">
        <f>'1.設計条件と鋼矢板・支保工の設定'!L20</f>
        <v>-</v>
      </c>
      <c r="K41" s="336"/>
      <c r="L41" s="321" t="s">
        <v>144</v>
      </c>
      <c r="M41" s="322"/>
      <c r="N41" s="322"/>
      <c r="O41" s="356">
        <f>IF(J41="-",0, 10*J41+O40)</f>
        <v>0</v>
      </c>
      <c r="P41" s="356"/>
      <c r="Q41" s="357"/>
      <c r="R41" s="13"/>
      <c r="S41" s="13"/>
      <c r="T41" s="13"/>
      <c r="U41" s="13"/>
      <c r="V41" s="13"/>
      <c r="W41" s="13"/>
      <c r="X41" s="13"/>
      <c r="Y41" s="13"/>
      <c r="Z41" s="13"/>
      <c r="AA41" s="13"/>
      <c r="AB41" s="13"/>
      <c r="AC41" s="13"/>
      <c r="AD41" s="13"/>
      <c r="AE41" s="13"/>
      <c r="AF41" s="13"/>
      <c r="AG41" s="13"/>
      <c r="AH41" s="13"/>
      <c r="AI41" s="15"/>
    </row>
    <row r="42" spans="2:35">
      <c r="B42" s="13"/>
      <c r="C42" s="12"/>
      <c r="D42" s="390" t="s">
        <v>22</v>
      </c>
      <c r="E42" s="390"/>
      <c r="F42" s="242" t="s">
        <v>135</v>
      </c>
      <c r="G42" s="244"/>
      <c r="H42" s="361"/>
      <c r="I42" s="362"/>
      <c r="J42" s="361"/>
      <c r="K42" s="362"/>
      <c r="L42" s="323" t="s">
        <v>145</v>
      </c>
      <c r="M42" s="324"/>
      <c r="N42" s="324"/>
      <c r="O42" s="363">
        <f>O41</f>
        <v>0</v>
      </c>
      <c r="P42" s="363"/>
      <c r="Q42" s="362"/>
      <c r="R42" s="13"/>
      <c r="S42" s="13"/>
      <c r="T42" s="13"/>
      <c r="U42" s="13"/>
      <c r="V42" s="13"/>
      <c r="W42" s="13"/>
      <c r="X42" s="13"/>
      <c r="Y42" s="13"/>
      <c r="Z42" s="13"/>
      <c r="AA42" s="13"/>
      <c r="AB42" s="13"/>
      <c r="AC42" s="13"/>
      <c r="AD42" s="13"/>
      <c r="AE42" s="13"/>
      <c r="AF42" s="13"/>
      <c r="AG42" s="13"/>
      <c r="AH42" s="13"/>
      <c r="AI42" s="15"/>
    </row>
    <row r="43" spans="2:35">
      <c r="B43" s="13"/>
      <c r="C43" s="12"/>
      <c r="D43" s="390"/>
      <c r="E43" s="390"/>
      <c r="F43" s="228" t="s">
        <v>136</v>
      </c>
      <c r="G43" s="230"/>
      <c r="H43" s="360">
        <f>'1.設計条件と鋼矢板・支保工の設定'!F21</f>
        <v>1</v>
      </c>
      <c r="I43" s="336"/>
      <c r="J43" s="360" t="str">
        <f>'1.設計条件と鋼矢板・支保工の設定'!L21</f>
        <v>-</v>
      </c>
      <c r="K43" s="336"/>
      <c r="L43" s="321" t="s">
        <v>152</v>
      </c>
      <c r="M43" s="322"/>
      <c r="N43" s="322"/>
      <c r="O43" s="364">
        <f>IF(J43="-",0, 10*J43+O42)</f>
        <v>0</v>
      </c>
      <c r="P43" s="364"/>
      <c r="Q43" s="365"/>
      <c r="R43" s="13"/>
      <c r="S43" s="13"/>
      <c r="T43" s="13"/>
      <c r="U43" s="13"/>
      <c r="V43" s="13"/>
      <c r="W43" s="13"/>
      <c r="X43" s="13"/>
      <c r="Y43" s="13"/>
      <c r="Z43" s="13"/>
      <c r="AA43" s="13"/>
      <c r="AB43" s="13"/>
      <c r="AC43" s="13"/>
      <c r="AD43" s="13"/>
      <c r="AE43" s="13"/>
      <c r="AF43" s="13"/>
      <c r="AG43" s="13"/>
      <c r="AH43" s="13"/>
      <c r="AI43" s="15"/>
    </row>
    <row r="44" spans="2:35">
      <c r="B44" s="13"/>
      <c r="C44" s="12"/>
      <c r="D44" s="390" t="s">
        <v>95</v>
      </c>
      <c r="E44" s="390"/>
      <c r="F44" s="242" t="s">
        <v>135</v>
      </c>
      <c r="G44" s="244"/>
      <c r="H44" s="403"/>
      <c r="I44" s="357"/>
      <c r="J44" s="403"/>
      <c r="K44" s="357"/>
      <c r="L44" s="323" t="s">
        <v>147</v>
      </c>
      <c r="M44" s="324"/>
      <c r="N44" s="324"/>
      <c r="O44" s="356">
        <f>O43</f>
        <v>0</v>
      </c>
      <c r="P44" s="356"/>
      <c r="Q44" s="357"/>
      <c r="R44" s="13"/>
      <c r="S44" s="13"/>
      <c r="T44" s="13"/>
      <c r="U44" s="13"/>
      <c r="V44" s="13"/>
      <c r="W44" s="13"/>
      <c r="X44" s="13"/>
      <c r="Y44" s="13"/>
      <c r="Z44" s="13"/>
      <c r="AA44" s="13"/>
      <c r="AB44" s="13"/>
      <c r="AC44" s="13"/>
      <c r="AD44" s="13"/>
      <c r="AE44" s="13"/>
      <c r="AF44" s="13"/>
      <c r="AG44" s="13"/>
      <c r="AH44" s="13"/>
      <c r="AI44" s="15"/>
    </row>
    <row r="45" spans="2:35" ht="18.600000000000001" thickBot="1">
      <c r="B45" s="13"/>
      <c r="C45" s="12"/>
      <c r="D45" s="391"/>
      <c r="E45" s="391"/>
      <c r="F45" s="388" t="s">
        <v>136</v>
      </c>
      <c r="G45" s="389"/>
      <c r="H45" s="354">
        <f>'1.設計条件と鋼矢板・支保工の設定'!F22</f>
        <v>1.7</v>
      </c>
      <c r="I45" s="355"/>
      <c r="J45" s="354">
        <f>'1.設計条件と鋼矢板・支保工の設定'!L22</f>
        <v>1.7</v>
      </c>
      <c r="K45" s="355"/>
      <c r="L45" s="346" t="s">
        <v>148</v>
      </c>
      <c r="M45" s="347"/>
      <c r="N45" s="347"/>
      <c r="O45" s="358">
        <f>IF(J45="-",0, 10*J45+O44)</f>
        <v>17</v>
      </c>
      <c r="P45" s="358"/>
      <c r="Q45" s="359"/>
      <c r="R45" s="13"/>
      <c r="S45" s="13"/>
      <c r="T45" s="13"/>
      <c r="U45" s="13"/>
      <c r="V45" s="13"/>
      <c r="W45" s="13"/>
      <c r="X45" s="13"/>
      <c r="Y45" s="13"/>
      <c r="Z45" s="13"/>
      <c r="AA45" s="13"/>
      <c r="AB45" s="13"/>
      <c r="AC45" s="13"/>
      <c r="AD45" s="13"/>
      <c r="AE45" s="13"/>
      <c r="AF45" s="13"/>
      <c r="AG45" s="13"/>
      <c r="AH45" s="13"/>
      <c r="AI45" s="15"/>
    </row>
    <row r="46" spans="2:35" ht="18.600000000000001" thickTop="1">
      <c r="B46" s="15"/>
      <c r="C46" s="13"/>
      <c r="D46" s="408" t="s">
        <v>117</v>
      </c>
      <c r="E46" s="408"/>
      <c r="F46" s="242" t="s">
        <v>135</v>
      </c>
      <c r="G46" s="244"/>
      <c r="H46" s="257"/>
      <c r="I46" s="259"/>
      <c r="J46" s="257"/>
      <c r="K46" s="259"/>
      <c r="L46" s="323" t="s">
        <v>149</v>
      </c>
      <c r="M46" s="324"/>
      <c r="N46" s="324"/>
      <c r="O46" s="363">
        <f>O45</f>
        <v>17</v>
      </c>
      <c r="P46" s="363"/>
      <c r="Q46" s="362"/>
      <c r="R46" s="13"/>
      <c r="S46" s="13"/>
      <c r="T46" s="13"/>
      <c r="U46" s="13"/>
      <c r="V46" s="13"/>
      <c r="W46" s="13"/>
      <c r="X46" s="13"/>
      <c r="Y46" s="13"/>
      <c r="Z46" s="13"/>
      <c r="AA46" s="13"/>
      <c r="AB46" s="13"/>
      <c r="AC46" s="13"/>
      <c r="AD46" s="13"/>
      <c r="AE46" s="13"/>
      <c r="AF46" s="13"/>
      <c r="AG46" s="13"/>
      <c r="AH46" s="13"/>
      <c r="AI46" s="15"/>
    </row>
    <row r="47" spans="2:35" ht="19.2">
      <c r="B47" s="15"/>
      <c r="C47" s="13"/>
      <c r="D47" s="390"/>
      <c r="E47" s="390"/>
      <c r="F47" s="228" t="s">
        <v>136</v>
      </c>
      <c r="G47" s="230"/>
      <c r="H47" s="360" t="s">
        <v>234</v>
      </c>
      <c r="I47" s="336"/>
      <c r="J47" s="360" t="s">
        <v>234</v>
      </c>
      <c r="K47" s="336"/>
      <c r="L47" s="321" t="s">
        <v>150</v>
      </c>
      <c r="M47" s="322"/>
      <c r="N47" s="322"/>
      <c r="O47" s="364">
        <v>0</v>
      </c>
      <c r="P47" s="364"/>
      <c r="Q47" s="365"/>
      <c r="R47" s="13"/>
      <c r="S47" s="13"/>
      <c r="T47" s="13"/>
      <c r="U47" s="13"/>
      <c r="V47" s="13"/>
      <c r="W47" s="13"/>
      <c r="X47" s="13"/>
      <c r="Y47" s="13"/>
      <c r="Z47" s="13"/>
      <c r="AA47" s="13"/>
      <c r="AB47" s="13"/>
      <c r="AC47" s="13"/>
      <c r="AD47" s="13"/>
      <c r="AE47" s="13"/>
      <c r="AF47" s="13"/>
      <c r="AG47" s="13"/>
      <c r="AH47" s="13"/>
      <c r="AI47" s="15"/>
    </row>
    <row r="48" spans="2:35">
      <c r="B48" s="15"/>
      <c r="C48" s="13"/>
      <c r="D48" s="28"/>
      <c r="E48" s="28"/>
      <c r="F48" s="167"/>
      <c r="G48" s="167"/>
      <c r="H48" s="95"/>
      <c r="I48" s="80"/>
      <c r="J48" s="95"/>
      <c r="K48" s="80"/>
      <c r="L48" s="128"/>
      <c r="M48" s="128"/>
      <c r="N48" s="128"/>
      <c r="O48" s="95"/>
      <c r="P48" s="95"/>
      <c r="Q48" s="95"/>
      <c r="R48" s="13"/>
      <c r="S48" s="13"/>
      <c r="T48" s="13"/>
      <c r="U48" s="13"/>
      <c r="V48" s="13"/>
      <c r="W48" s="13"/>
      <c r="X48" s="13"/>
      <c r="Y48" s="13"/>
      <c r="Z48" s="13"/>
      <c r="AA48" s="13"/>
      <c r="AB48" s="13"/>
      <c r="AC48" s="13"/>
      <c r="AD48" s="13"/>
      <c r="AE48" s="13"/>
      <c r="AF48" s="13"/>
      <c r="AG48" s="13"/>
      <c r="AH48" s="13"/>
      <c r="AI48" s="15"/>
    </row>
    <row r="49" spans="2:35">
      <c r="B49" s="15"/>
      <c r="C49" s="13"/>
      <c r="D49" s="28"/>
      <c r="E49" s="28"/>
      <c r="F49" s="167"/>
      <c r="G49" s="167"/>
      <c r="H49" s="95"/>
      <c r="I49" s="80"/>
      <c r="J49" s="95"/>
      <c r="K49" s="80"/>
      <c r="L49" s="128"/>
      <c r="M49" s="128"/>
      <c r="N49" s="128"/>
      <c r="O49" s="95"/>
      <c r="P49" s="95"/>
      <c r="Q49" s="95"/>
      <c r="R49" s="13"/>
      <c r="S49" s="13"/>
      <c r="T49" s="13"/>
      <c r="U49" s="13"/>
      <c r="V49" s="13"/>
      <c r="W49" s="13"/>
      <c r="X49" s="13"/>
      <c r="Y49" s="13"/>
      <c r="Z49" s="13"/>
      <c r="AA49" s="13"/>
      <c r="AB49" s="13"/>
      <c r="AC49" s="13"/>
      <c r="AD49" s="13"/>
      <c r="AE49" s="13"/>
      <c r="AF49" s="13"/>
      <c r="AG49" s="13"/>
      <c r="AH49" s="13"/>
      <c r="AI49" s="15"/>
    </row>
    <row r="50" spans="2:35">
      <c r="B50" s="15"/>
      <c r="C50" s="13"/>
      <c r="D50" s="28"/>
      <c r="E50" s="28"/>
      <c r="F50" s="167"/>
      <c r="G50" s="167"/>
      <c r="H50" s="95"/>
      <c r="I50" s="80"/>
      <c r="J50" s="95"/>
      <c r="K50" s="80"/>
      <c r="L50" s="128"/>
      <c r="M50" s="128"/>
      <c r="N50" s="128"/>
      <c r="O50" s="95"/>
      <c r="P50" s="95"/>
      <c r="Q50" s="95"/>
      <c r="R50" s="13"/>
      <c r="S50" s="13"/>
      <c r="T50" s="13"/>
      <c r="U50" s="13"/>
      <c r="V50" s="13"/>
      <c r="W50" s="13"/>
      <c r="X50" s="13"/>
      <c r="Y50" s="13"/>
      <c r="Z50" s="13"/>
      <c r="AA50" s="13"/>
      <c r="AB50" s="13"/>
      <c r="AC50" s="13"/>
      <c r="AD50" s="13"/>
      <c r="AE50" s="13"/>
      <c r="AF50" s="13"/>
      <c r="AG50" s="13"/>
      <c r="AH50" s="13"/>
      <c r="AI50" s="15"/>
    </row>
    <row r="51" spans="2:35">
      <c r="B51" s="15"/>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5"/>
    </row>
    <row r="52" spans="2:35">
      <c r="B52" s="13"/>
      <c r="C52" s="12" t="s">
        <v>430</v>
      </c>
      <c r="D52" s="96"/>
      <c r="E52" s="95"/>
      <c r="F52" s="95"/>
      <c r="G52" s="95"/>
      <c r="H52" s="95"/>
      <c r="I52" s="95"/>
      <c r="J52" s="93"/>
      <c r="K52" s="93"/>
      <c r="L52" s="93"/>
      <c r="M52" s="93"/>
      <c r="N52" s="93"/>
      <c r="O52" s="94"/>
      <c r="P52" s="94"/>
      <c r="Q52" s="94"/>
      <c r="R52" s="94"/>
      <c r="S52" s="93"/>
      <c r="T52" s="93"/>
      <c r="U52" s="95"/>
      <c r="V52" s="95"/>
      <c r="W52" s="95"/>
      <c r="X52" s="80"/>
      <c r="Y52" s="80"/>
      <c r="Z52" s="80"/>
      <c r="AA52"/>
      <c r="AB52" s="97"/>
      <c r="AC52" s="98"/>
      <c r="AD52" s="95"/>
      <c r="AE52" s="95"/>
      <c r="AF52" s="13"/>
      <c r="AG52" s="13"/>
      <c r="AH52" s="13"/>
      <c r="AI52" s="15"/>
    </row>
    <row r="53" spans="2:35">
      <c r="B53" s="13"/>
      <c r="C53" s="12"/>
      <c r="D53" s="96"/>
      <c r="E53" s="95"/>
      <c r="F53" s="95"/>
      <c r="G53" s="95"/>
      <c r="H53" s="305" t="s">
        <v>447</v>
      </c>
      <c r="I53" s="306"/>
      <c r="J53" s="306"/>
      <c r="K53" s="306"/>
      <c r="L53" s="306"/>
      <c r="M53" s="306"/>
      <c r="N53" s="306"/>
      <c r="O53" s="306"/>
      <c r="P53" s="306"/>
      <c r="Q53" s="306"/>
      <c r="R53" s="306"/>
      <c r="S53" s="306"/>
      <c r="T53" s="307"/>
      <c r="U53" s="257" t="s">
        <v>184</v>
      </c>
      <c r="V53" s="258"/>
      <c r="W53" s="258"/>
      <c r="X53" s="258"/>
      <c r="Y53" s="258"/>
      <c r="Z53" s="258"/>
      <c r="AA53" s="258"/>
      <c r="AB53" s="258"/>
      <c r="AC53" s="258"/>
      <c r="AD53" s="258"/>
      <c r="AE53" s="258"/>
      <c r="AF53" s="258"/>
      <c r="AG53" s="258"/>
      <c r="AH53" s="259"/>
      <c r="AI53" s="15"/>
    </row>
    <row r="54" spans="2:35">
      <c r="B54" s="13"/>
      <c r="C54" s="12"/>
      <c r="D54" s="13"/>
      <c r="E54" s="95"/>
      <c r="F54" s="95"/>
      <c r="G54" s="95"/>
      <c r="H54" s="308" t="s">
        <v>448</v>
      </c>
      <c r="I54" s="309"/>
      <c r="J54" s="309"/>
      <c r="K54" s="309"/>
      <c r="L54" s="309"/>
      <c r="M54" s="309"/>
      <c r="N54" s="309"/>
      <c r="O54" s="309"/>
      <c r="P54" s="309"/>
      <c r="Q54" s="309"/>
      <c r="R54" s="309"/>
      <c r="S54" s="309"/>
      <c r="T54" s="310"/>
      <c r="U54" s="317" t="s">
        <v>186</v>
      </c>
      <c r="V54" s="318"/>
      <c r="W54" s="318"/>
      <c r="X54" s="318"/>
      <c r="Y54" s="318"/>
      <c r="Z54" s="318"/>
      <c r="AA54" s="318"/>
      <c r="AB54" s="318"/>
      <c r="AC54" s="318"/>
      <c r="AD54" s="318"/>
      <c r="AE54" s="318"/>
      <c r="AF54" s="318"/>
      <c r="AG54" s="318"/>
      <c r="AH54" s="319"/>
      <c r="AI54" s="15"/>
    </row>
    <row r="55" spans="2:35">
      <c r="B55" s="13"/>
      <c r="C55" s="12"/>
      <c r="D55" s="96"/>
      <c r="E55" s="95"/>
      <c r="F55" s="95"/>
      <c r="G55" s="95"/>
      <c r="H55" s="16"/>
      <c r="I55" s="25"/>
      <c r="J55" s="25"/>
      <c r="K55" s="25"/>
      <c r="L55" s="25"/>
      <c r="M55" s="25"/>
      <c r="N55" s="25"/>
      <c r="O55" s="25"/>
      <c r="P55" s="25"/>
      <c r="Q55" s="25"/>
      <c r="R55" s="17"/>
      <c r="S55" s="21"/>
      <c r="T55" s="187"/>
      <c r="U55" s="334" t="s">
        <v>34</v>
      </c>
      <c r="V55" s="335"/>
      <c r="W55" s="335"/>
      <c r="X55" s="335"/>
      <c r="Y55" s="335"/>
      <c r="Z55" s="335"/>
      <c r="AA55" s="335"/>
      <c r="AB55" s="335"/>
      <c r="AC55" s="335"/>
      <c r="AD55" s="335"/>
      <c r="AE55" s="335"/>
      <c r="AF55" s="335"/>
      <c r="AG55" s="335"/>
      <c r="AH55" s="336"/>
      <c r="AI55" s="15"/>
    </row>
    <row r="56" spans="2:35">
      <c r="B56" s="13"/>
      <c r="C56" s="12"/>
      <c r="D56" s="284" t="s">
        <v>22</v>
      </c>
      <c r="E56" s="285"/>
      <c r="F56" s="288" t="s">
        <v>156</v>
      </c>
      <c r="G56" s="300"/>
      <c r="H56" s="316">
        <f>AF14</f>
        <v>10.6304</v>
      </c>
      <c r="I56" s="316"/>
      <c r="J56" s="30" t="s">
        <v>27</v>
      </c>
      <c r="K56" s="316">
        <f>H14</f>
        <v>1</v>
      </c>
      <c r="L56" s="316"/>
      <c r="M56" s="30" t="s">
        <v>71</v>
      </c>
      <c r="N56" s="63">
        <v>2</v>
      </c>
      <c r="O56" s="30" t="s">
        <v>2</v>
      </c>
      <c r="P56" s="30"/>
      <c r="Q56" s="30"/>
      <c r="R56" s="30"/>
      <c r="S56" s="64"/>
      <c r="T56" s="64"/>
      <c r="U56" s="302"/>
      <c r="V56" s="295"/>
      <c r="W56" s="295"/>
      <c r="X56" s="66"/>
      <c r="Y56" s="67"/>
      <c r="Z56" s="65"/>
      <c r="AA56" s="295"/>
      <c r="AB56" s="295"/>
      <c r="AC56" s="295"/>
      <c r="AD56" s="30"/>
      <c r="AE56" s="30"/>
      <c r="AF56" s="295">
        <f>K56*H56/N56</f>
        <v>5.3151999999999999</v>
      </c>
      <c r="AG56" s="295"/>
      <c r="AH56" s="337"/>
      <c r="AI56" s="15"/>
    </row>
    <row r="57" spans="2:35">
      <c r="B57" s="13"/>
      <c r="C57" s="12"/>
      <c r="D57" s="286"/>
      <c r="E57" s="287"/>
      <c r="F57" s="344" t="s">
        <v>157</v>
      </c>
      <c r="G57" s="345"/>
      <c r="H57" s="339">
        <f>AF15</f>
        <v>22.598399999999998</v>
      </c>
      <c r="I57" s="339"/>
      <c r="J57" s="17" t="s">
        <v>27</v>
      </c>
      <c r="K57" s="339">
        <f>H14</f>
        <v>1</v>
      </c>
      <c r="L57" s="339"/>
      <c r="M57" s="17" t="s">
        <v>71</v>
      </c>
      <c r="N57" s="48">
        <v>2</v>
      </c>
      <c r="O57" s="17" t="s">
        <v>2</v>
      </c>
      <c r="P57" s="17"/>
      <c r="Q57" s="17"/>
      <c r="R57" s="17"/>
      <c r="S57" s="21"/>
      <c r="T57" s="21"/>
      <c r="U57" s="340"/>
      <c r="V57" s="294"/>
      <c r="W57" s="294"/>
      <c r="X57" s="97"/>
      <c r="Y57" s="98"/>
      <c r="Z57" s="95"/>
      <c r="AA57" s="294"/>
      <c r="AB57" s="294"/>
      <c r="AC57" s="294"/>
      <c r="AD57" s="13"/>
      <c r="AE57" s="13"/>
      <c r="AF57" s="294">
        <f>K57*H57/N57</f>
        <v>11.299199999999999</v>
      </c>
      <c r="AG57" s="294"/>
      <c r="AH57" s="338"/>
      <c r="AI57" s="15"/>
    </row>
    <row r="58" spans="2:35">
      <c r="B58" s="13"/>
      <c r="C58" s="12"/>
      <c r="D58" s="284" t="s">
        <v>95</v>
      </c>
      <c r="E58" s="285"/>
      <c r="F58" s="325" t="s">
        <v>158</v>
      </c>
      <c r="G58" s="244"/>
      <c r="H58" s="444">
        <f>AF16</f>
        <v>22.598399999999998</v>
      </c>
      <c r="I58" s="444"/>
      <c r="J58" s="10" t="s">
        <v>27</v>
      </c>
      <c r="K58" s="444">
        <f>H16</f>
        <v>1.7</v>
      </c>
      <c r="L58" s="444"/>
      <c r="M58" s="10" t="s">
        <v>71</v>
      </c>
      <c r="N58" s="47">
        <v>2</v>
      </c>
      <c r="O58" s="10" t="s">
        <v>2</v>
      </c>
      <c r="P58" s="10"/>
      <c r="Q58" s="10"/>
      <c r="R58" s="10"/>
      <c r="S58" s="52"/>
      <c r="T58" s="52"/>
      <c r="U58" s="302"/>
      <c r="V58" s="295"/>
      <c r="W58" s="295"/>
      <c r="X58" s="66"/>
      <c r="Y58" s="67"/>
      <c r="Z58" s="65"/>
      <c r="AA58" s="295"/>
      <c r="AB58" s="295"/>
      <c r="AC58" s="295"/>
      <c r="AD58" s="30"/>
      <c r="AE58" s="30"/>
      <c r="AF58" s="295">
        <f>K58*H58/N58</f>
        <v>19.208639999999999</v>
      </c>
      <c r="AG58" s="295"/>
      <c r="AH58" s="337"/>
      <c r="AI58" s="15"/>
    </row>
    <row r="59" spans="2:35">
      <c r="B59" s="13"/>
      <c r="C59" s="12"/>
      <c r="D59" s="286"/>
      <c r="E59" s="287"/>
      <c r="F59" s="297" t="s">
        <v>159</v>
      </c>
      <c r="G59" s="301"/>
      <c r="H59" s="316">
        <f>AF17</f>
        <v>32.172800000000002</v>
      </c>
      <c r="I59" s="316"/>
      <c r="J59" s="30" t="s">
        <v>27</v>
      </c>
      <c r="K59" s="316">
        <f>H16</f>
        <v>1.7</v>
      </c>
      <c r="L59" s="316"/>
      <c r="M59" s="30" t="s">
        <v>71</v>
      </c>
      <c r="N59" s="63">
        <v>2</v>
      </c>
      <c r="O59" s="30" t="s">
        <v>2</v>
      </c>
      <c r="P59" s="30"/>
      <c r="Q59" s="30"/>
      <c r="R59" s="30"/>
      <c r="S59" s="64"/>
      <c r="T59" s="64"/>
      <c r="U59" s="340"/>
      <c r="V59" s="294"/>
      <c r="W59" s="294"/>
      <c r="X59" s="97"/>
      <c r="Y59" s="98"/>
      <c r="Z59" s="95"/>
      <c r="AA59" s="294"/>
      <c r="AB59" s="294"/>
      <c r="AC59" s="294"/>
      <c r="AD59" s="13"/>
      <c r="AE59" s="13"/>
      <c r="AF59" s="294">
        <f>K59*H59/N59</f>
        <v>27.346880000000002</v>
      </c>
      <c r="AG59" s="294"/>
      <c r="AH59" s="338"/>
      <c r="AI59" s="15"/>
    </row>
    <row r="60" spans="2:35" ht="19.2">
      <c r="B60" s="13"/>
      <c r="C60" s="12"/>
      <c r="D60" s="284" t="s">
        <v>117</v>
      </c>
      <c r="E60" s="285"/>
      <c r="F60" s="299" t="s">
        <v>160</v>
      </c>
      <c r="G60" s="230"/>
      <c r="H60" s="316">
        <f>AF18</f>
        <v>14.029900000000001</v>
      </c>
      <c r="I60" s="316"/>
      <c r="J60" s="30" t="s">
        <v>27</v>
      </c>
      <c r="K60" s="304" t="s">
        <v>234</v>
      </c>
      <c r="L60" s="234"/>
      <c r="M60" s="30" t="s">
        <v>71</v>
      </c>
      <c r="N60" s="63">
        <v>2</v>
      </c>
      <c r="O60" s="30" t="s">
        <v>2</v>
      </c>
      <c r="P60" s="30"/>
      <c r="Q60" s="30"/>
      <c r="R60" s="30"/>
      <c r="S60" s="64"/>
      <c r="T60" s="64"/>
      <c r="U60" s="302"/>
      <c r="V60" s="295"/>
      <c r="W60" s="295"/>
      <c r="X60" s="10"/>
      <c r="Y60" s="59"/>
      <c r="Z60" s="51"/>
      <c r="AA60" s="293">
        <f>H60/N60</f>
        <v>7.0149500000000007</v>
      </c>
      <c r="AB60" s="293"/>
      <c r="AC60" s="293"/>
      <c r="AD60" s="58" t="s">
        <v>234</v>
      </c>
      <c r="AE60" s="10"/>
      <c r="AF60" s="295"/>
      <c r="AG60" s="295"/>
      <c r="AH60" s="337"/>
      <c r="AI60" s="15"/>
    </row>
    <row r="61" spans="2:35" ht="20.399999999999999">
      <c r="B61" s="13"/>
      <c r="C61" s="12"/>
      <c r="D61" s="286"/>
      <c r="E61" s="287"/>
      <c r="F61" s="344" t="s">
        <v>161</v>
      </c>
      <c r="G61" s="345"/>
      <c r="H61" s="1" t="s">
        <v>70</v>
      </c>
      <c r="I61" s="339">
        <f>G23</f>
        <v>3.07</v>
      </c>
      <c r="J61" s="339"/>
      <c r="K61" s="17" t="s">
        <v>235</v>
      </c>
      <c r="M61" s="316">
        <f>L23</f>
        <v>14.029900000000001</v>
      </c>
      <c r="N61" s="316"/>
      <c r="O61" s="30" t="s">
        <v>477</v>
      </c>
      <c r="P61" s="304" t="s">
        <v>234</v>
      </c>
      <c r="Q61" s="234"/>
      <c r="R61" s="17" t="s">
        <v>71</v>
      </c>
      <c r="S61" s="21">
        <v>2</v>
      </c>
      <c r="T61" s="21" t="s">
        <v>2</v>
      </c>
      <c r="U61" s="302">
        <f>I61/S61</f>
        <v>1.5349999999999999</v>
      </c>
      <c r="V61" s="295"/>
      <c r="W61" s="295"/>
      <c r="X61" s="66" t="s">
        <v>236</v>
      </c>
      <c r="Y61" s="67"/>
      <c r="Z61" s="65" t="s">
        <v>69</v>
      </c>
      <c r="AA61" s="304">
        <f>M61/S61</f>
        <v>7.0149500000000007</v>
      </c>
      <c r="AB61" s="304"/>
      <c r="AC61" s="304"/>
      <c r="AD61" s="66" t="s">
        <v>234</v>
      </c>
      <c r="AE61" s="30"/>
      <c r="AF61" s="295"/>
      <c r="AG61" s="295"/>
      <c r="AH61" s="337"/>
      <c r="AI61" s="15"/>
    </row>
    <row r="62" spans="2:35">
      <c r="B62" s="13"/>
      <c r="C62" s="12"/>
      <c r="D62" s="284" t="s">
        <v>185</v>
      </c>
      <c r="E62" s="285"/>
      <c r="F62" s="288" t="s">
        <v>162</v>
      </c>
      <c r="G62" s="300"/>
      <c r="H62" s="316">
        <f>O45</f>
        <v>17</v>
      </c>
      <c r="I62" s="316"/>
      <c r="J62" s="30" t="s">
        <v>27</v>
      </c>
      <c r="K62" s="316">
        <f>H16</f>
        <v>1.7</v>
      </c>
      <c r="L62" s="316"/>
      <c r="M62" s="30" t="s">
        <v>71</v>
      </c>
      <c r="N62" s="63">
        <v>2</v>
      </c>
      <c r="O62" s="30" t="s">
        <v>2</v>
      </c>
      <c r="P62" s="30"/>
      <c r="Q62" s="30"/>
      <c r="R62" s="30"/>
      <c r="S62" s="64"/>
      <c r="T62" s="64"/>
      <c r="U62" s="302"/>
      <c r="V62" s="295"/>
      <c r="W62" s="295"/>
      <c r="X62" s="26"/>
      <c r="Y62" s="23"/>
      <c r="Z62" s="22"/>
      <c r="AA62" s="304"/>
      <c r="AB62" s="304"/>
      <c r="AC62" s="304"/>
      <c r="AD62" s="17"/>
      <c r="AE62" s="17"/>
      <c r="AF62" s="303">
        <f>K62*H62/N62</f>
        <v>14.45</v>
      </c>
      <c r="AG62" s="303"/>
      <c r="AH62" s="343"/>
      <c r="AI62" s="15"/>
    </row>
    <row r="63" spans="2:35" ht="19.2">
      <c r="B63" s="13"/>
      <c r="C63" s="12"/>
      <c r="D63" s="286"/>
      <c r="E63" s="287"/>
      <c r="F63" s="297" t="s">
        <v>163</v>
      </c>
      <c r="G63" s="301"/>
      <c r="H63" s="316">
        <f>O46</f>
        <v>17</v>
      </c>
      <c r="I63" s="316"/>
      <c r="J63" s="30" t="s">
        <v>27</v>
      </c>
      <c r="K63" s="304" t="s">
        <v>234</v>
      </c>
      <c r="L63" s="234"/>
      <c r="M63" s="30" t="s">
        <v>71</v>
      </c>
      <c r="N63" s="63">
        <v>2</v>
      </c>
      <c r="O63" s="30" t="s">
        <v>2</v>
      </c>
      <c r="P63" s="30"/>
      <c r="Q63" s="30"/>
      <c r="R63" s="30"/>
      <c r="S63" s="64"/>
      <c r="T63" s="64"/>
      <c r="U63" s="342"/>
      <c r="V63" s="303"/>
      <c r="W63" s="303"/>
      <c r="X63" s="17"/>
      <c r="Y63" s="23"/>
      <c r="Z63" s="22"/>
      <c r="AA63" s="303">
        <f>H63/N63</f>
        <v>8.5</v>
      </c>
      <c r="AB63" s="303"/>
      <c r="AC63" s="303"/>
      <c r="AD63" s="66" t="s">
        <v>234</v>
      </c>
      <c r="AE63" s="17"/>
      <c r="AF63" s="303"/>
      <c r="AG63" s="303"/>
      <c r="AH63" s="343"/>
      <c r="AI63" s="15"/>
    </row>
    <row r="64" spans="2:35">
      <c r="B64" s="13"/>
      <c r="C64" s="12"/>
      <c r="D64" s="96"/>
      <c r="E64" s="95"/>
      <c r="F64" s="95"/>
      <c r="G64" s="95"/>
      <c r="H64" s="95"/>
      <c r="I64" s="95"/>
      <c r="J64" s="93"/>
      <c r="K64" s="93"/>
      <c r="L64" s="93"/>
      <c r="M64" s="93"/>
      <c r="N64" s="93"/>
      <c r="O64" s="94"/>
      <c r="P64" s="94"/>
      <c r="Q64" s="94"/>
      <c r="R64" s="94"/>
      <c r="S64" s="93"/>
      <c r="T64" s="93"/>
      <c r="U64" s="95"/>
      <c r="V64" s="95"/>
      <c r="W64" s="95"/>
      <c r="X64" s="50"/>
      <c r="Y64" s="50"/>
      <c r="Z64" s="50"/>
      <c r="AA64" s="3"/>
      <c r="AB64" s="58"/>
      <c r="AC64" s="59"/>
      <c r="AD64" s="51"/>
      <c r="AE64" s="51"/>
      <c r="AF64" s="10"/>
      <c r="AG64" s="10"/>
      <c r="AH64" s="10"/>
      <c r="AI64" s="15"/>
    </row>
    <row r="65" spans="2:35">
      <c r="B65" s="13"/>
      <c r="C65" s="12"/>
      <c r="D65" s="96"/>
      <c r="E65" s="95"/>
      <c r="F65" s="95"/>
      <c r="G65" s="95"/>
      <c r="H65" s="305" t="s">
        <v>447</v>
      </c>
      <c r="I65" s="306"/>
      <c r="J65" s="306"/>
      <c r="K65" s="306"/>
      <c r="L65" s="306"/>
      <c r="M65" s="306"/>
      <c r="N65" s="306"/>
      <c r="O65" s="306"/>
      <c r="P65" s="306"/>
      <c r="Q65" s="306"/>
      <c r="R65" s="306"/>
      <c r="S65" s="306"/>
      <c r="T65" s="307"/>
      <c r="U65" s="257" t="s">
        <v>187</v>
      </c>
      <c r="V65" s="258"/>
      <c r="W65" s="258"/>
      <c r="X65" s="258"/>
      <c r="Y65" s="258"/>
      <c r="Z65" s="258"/>
      <c r="AA65" s="258"/>
      <c r="AB65" s="258"/>
      <c r="AC65" s="258"/>
      <c r="AD65" s="258"/>
      <c r="AE65" s="258"/>
      <c r="AF65" s="258"/>
      <c r="AG65" s="258"/>
      <c r="AH65" s="259"/>
      <c r="AI65" s="15"/>
    </row>
    <row r="66" spans="2:35">
      <c r="B66" s="13"/>
      <c r="C66" s="12"/>
      <c r="D66" s="13"/>
      <c r="E66" s="95"/>
      <c r="F66" s="95"/>
      <c r="G66" s="95"/>
      <c r="H66" s="308" t="s">
        <v>448</v>
      </c>
      <c r="I66" s="309"/>
      <c r="J66" s="309"/>
      <c r="K66" s="309"/>
      <c r="L66" s="309"/>
      <c r="M66" s="309"/>
      <c r="N66" s="309"/>
      <c r="O66" s="309"/>
      <c r="P66" s="309"/>
      <c r="Q66" s="309"/>
      <c r="R66" s="309"/>
      <c r="S66" s="309"/>
      <c r="T66" s="310"/>
      <c r="U66" s="317" t="s">
        <v>188</v>
      </c>
      <c r="V66" s="318"/>
      <c r="W66" s="318"/>
      <c r="X66" s="318"/>
      <c r="Y66" s="318"/>
      <c r="Z66" s="318"/>
      <c r="AA66" s="318"/>
      <c r="AB66" s="318"/>
      <c r="AC66" s="318"/>
      <c r="AD66" s="318"/>
      <c r="AE66" s="318"/>
      <c r="AF66" s="318"/>
      <c r="AG66" s="318"/>
      <c r="AH66" s="319"/>
      <c r="AI66" s="15"/>
    </row>
    <row r="67" spans="2:35">
      <c r="B67" s="13"/>
      <c r="C67" s="12"/>
      <c r="D67" s="96"/>
      <c r="E67" s="95"/>
      <c r="F67" s="95"/>
      <c r="G67" s="95"/>
      <c r="H67" s="16"/>
      <c r="I67" s="25"/>
      <c r="J67" s="25"/>
      <c r="K67" s="25"/>
      <c r="L67" s="25"/>
      <c r="M67" s="25"/>
      <c r="N67" s="25"/>
      <c r="O67" s="25"/>
      <c r="P67" s="25"/>
      <c r="Q67" s="25"/>
      <c r="R67" s="17"/>
      <c r="S67" s="21"/>
      <c r="T67" s="187"/>
      <c r="U67" s="334" t="s">
        <v>34</v>
      </c>
      <c r="V67" s="335"/>
      <c r="W67" s="335"/>
      <c r="X67" s="335"/>
      <c r="Y67" s="335"/>
      <c r="Z67" s="335"/>
      <c r="AA67" s="335"/>
      <c r="AB67" s="335"/>
      <c r="AC67" s="335"/>
      <c r="AD67" s="335"/>
      <c r="AE67" s="335"/>
      <c r="AF67" s="335"/>
      <c r="AG67" s="335"/>
      <c r="AH67" s="336"/>
      <c r="AI67" s="15"/>
    </row>
    <row r="68" spans="2:35" ht="20.399999999999999">
      <c r="B68" s="13"/>
      <c r="C68" s="12"/>
      <c r="D68" s="313" t="s">
        <v>117</v>
      </c>
      <c r="E68" s="314"/>
      <c r="F68" s="288" t="s">
        <v>189</v>
      </c>
      <c r="G68" s="300"/>
      <c r="H68" s="316">
        <f>G33</f>
        <v>32.549999999999997</v>
      </c>
      <c r="I68" s="316"/>
      <c r="J68" s="234" t="s">
        <v>234</v>
      </c>
      <c r="K68" s="234"/>
      <c r="L68" s="30" t="s">
        <v>27</v>
      </c>
      <c r="M68" s="304" t="s">
        <v>238</v>
      </c>
      <c r="N68" s="234"/>
      <c r="O68" s="63">
        <v>2</v>
      </c>
      <c r="P68" s="30" t="s">
        <v>2</v>
      </c>
      <c r="Q68" s="30"/>
      <c r="R68" s="30"/>
      <c r="S68" s="64"/>
      <c r="T68" s="64"/>
      <c r="U68" s="302">
        <f>H68/O68</f>
        <v>16.274999999999999</v>
      </c>
      <c r="V68" s="295"/>
      <c r="W68" s="295"/>
      <c r="X68" s="66" t="s">
        <v>236</v>
      </c>
      <c r="Y68" s="67"/>
      <c r="Z68" s="65"/>
      <c r="AA68" s="295"/>
      <c r="AB68" s="295"/>
      <c r="AC68" s="295"/>
      <c r="AD68" s="30"/>
      <c r="AE68" s="30"/>
      <c r="AF68" s="30"/>
      <c r="AG68" s="30"/>
      <c r="AH68" s="79"/>
      <c r="AI68" s="15"/>
    </row>
    <row r="69" spans="2:35">
      <c r="B69" s="13"/>
      <c r="C69" s="12"/>
      <c r="D69" s="96"/>
      <c r="E69" s="95"/>
      <c r="F69" s="95"/>
      <c r="G69" s="95"/>
      <c r="H69" s="95"/>
      <c r="I69" s="95"/>
      <c r="J69" s="93"/>
      <c r="K69" s="93"/>
      <c r="L69" s="93"/>
      <c r="M69" s="93"/>
      <c r="N69" s="93"/>
      <c r="O69" s="94"/>
      <c r="P69" s="94"/>
      <c r="Q69" s="94"/>
      <c r="R69" s="94"/>
      <c r="S69" s="93"/>
      <c r="T69" s="93"/>
      <c r="U69" s="363"/>
      <c r="V69" s="363"/>
      <c r="W69" s="363"/>
      <c r="X69" s="356"/>
      <c r="Y69" s="363"/>
      <c r="Z69" s="363"/>
      <c r="AA69" s="363"/>
      <c r="AB69" s="363"/>
      <c r="AC69" s="363"/>
      <c r="AD69" s="363"/>
      <c r="AE69" s="363"/>
      <c r="AF69" s="363"/>
      <c r="AG69" s="363"/>
      <c r="AH69" s="363"/>
      <c r="AI69" s="15"/>
    </row>
    <row r="70" spans="2:35">
      <c r="B70" s="13"/>
      <c r="C70" s="12"/>
      <c r="D70" s="96"/>
      <c r="E70" s="95"/>
      <c r="F70" s="95"/>
      <c r="G70" s="95"/>
      <c r="H70" s="95"/>
      <c r="I70" s="95"/>
      <c r="J70" s="93"/>
      <c r="K70" s="93"/>
      <c r="L70" s="93"/>
      <c r="M70" s="93"/>
      <c r="N70" s="93"/>
      <c r="O70" s="94"/>
      <c r="P70" s="94"/>
      <c r="Q70" s="94"/>
      <c r="R70" s="94"/>
      <c r="S70" s="93"/>
      <c r="T70" s="93"/>
      <c r="U70" s="95"/>
      <c r="V70" s="95"/>
      <c r="W70" s="95"/>
      <c r="X70" s="20"/>
      <c r="Y70" s="20"/>
      <c r="Z70" s="20"/>
      <c r="AA70" s="25"/>
      <c r="AB70" s="26"/>
      <c r="AC70" s="23"/>
      <c r="AD70" s="22"/>
      <c r="AE70" s="22"/>
      <c r="AF70" s="17"/>
      <c r="AG70" s="17"/>
      <c r="AH70" s="17"/>
      <c r="AI70" s="15"/>
    </row>
    <row r="71" spans="2:35">
      <c r="B71" s="13"/>
      <c r="C71" s="12"/>
      <c r="D71" s="96"/>
      <c r="E71" s="95"/>
      <c r="F71" s="95"/>
      <c r="G71"/>
      <c r="H71" s="305" t="s">
        <v>447</v>
      </c>
      <c r="I71" s="306"/>
      <c r="J71" s="306"/>
      <c r="K71" s="306"/>
      <c r="L71" s="306"/>
      <c r="M71" s="306"/>
      <c r="N71" s="306"/>
      <c r="O71" s="306"/>
      <c r="P71" s="306"/>
      <c r="Q71" s="306"/>
      <c r="R71" s="306"/>
      <c r="S71" s="306"/>
      <c r="T71" s="307"/>
      <c r="U71" s="257" t="s">
        <v>32</v>
      </c>
      <c r="V71" s="258"/>
      <c r="W71" s="258"/>
      <c r="X71" s="258"/>
      <c r="Y71" s="258"/>
      <c r="Z71" s="258"/>
      <c r="AA71" s="258"/>
      <c r="AB71" s="258"/>
      <c r="AC71" s="258"/>
      <c r="AD71" s="258"/>
      <c r="AE71" s="258"/>
      <c r="AF71" s="258"/>
      <c r="AG71" s="258"/>
      <c r="AH71" s="259"/>
      <c r="AI71" s="15"/>
    </row>
    <row r="72" spans="2:35">
      <c r="B72" s="13"/>
      <c r="C72" s="12"/>
      <c r="D72" s="96"/>
      <c r="E72" s="95"/>
      <c r="F72" s="95"/>
      <c r="G72"/>
      <c r="H72" s="308" t="s">
        <v>449</v>
      </c>
      <c r="I72" s="309"/>
      <c r="J72" s="309"/>
      <c r="K72" s="309"/>
      <c r="L72" s="309"/>
      <c r="M72" s="309"/>
      <c r="N72" s="309"/>
      <c r="O72" s="309"/>
      <c r="P72" s="309"/>
      <c r="Q72" s="309"/>
      <c r="R72" s="309"/>
      <c r="S72" s="309"/>
      <c r="T72" s="310"/>
      <c r="U72" s="317" t="s">
        <v>155</v>
      </c>
      <c r="V72" s="318"/>
      <c r="W72" s="318"/>
      <c r="X72" s="318"/>
      <c r="Y72" s="318"/>
      <c r="Z72" s="318"/>
      <c r="AA72" s="318"/>
      <c r="AB72" s="318"/>
      <c r="AC72" s="318"/>
      <c r="AD72" s="318"/>
      <c r="AE72" s="318"/>
      <c r="AF72" s="318"/>
      <c r="AG72" s="318"/>
      <c r="AH72" s="319"/>
      <c r="AI72" s="15"/>
    </row>
    <row r="73" spans="2:35">
      <c r="B73" s="13"/>
      <c r="C73" s="12"/>
      <c r="D73" s="96"/>
      <c r="E73" s="95"/>
      <c r="F73" s="95"/>
      <c r="G73"/>
      <c r="H73" s="16"/>
      <c r="I73" s="25"/>
      <c r="J73" s="25"/>
      <c r="K73" s="25"/>
      <c r="L73" s="25"/>
      <c r="M73" s="25"/>
      <c r="N73" s="25"/>
      <c r="O73" s="25"/>
      <c r="P73" s="25"/>
      <c r="Q73" s="25"/>
      <c r="R73" s="17"/>
      <c r="S73" s="21"/>
      <c r="T73" s="187"/>
      <c r="U73" s="334" t="s">
        <v>20</v>
      </c>
      <c r="V73" s="335"/>
      <c r="W73" s="335"/>
      <c r="X73" s="335"/>
      <c r="Y73" s="335"/>
      <c r="Z73" s="335"/>
      <c r="AA73" s="335"/>
      <c r="AB73" s="335"/>
      <c r="AC73" s="335"/>
      <c r="AD73" s="335"/>
      <c r="AE73" s="335"/>
      <c r="AF73" s="335"/>
      <c r="AG73" s="335"/>
      <c r="AH73" s="336"/>
      <c r="AI73" s="15"/>
    </row>
    <row r="74" spans="2:35">
      <c r="B74" s="13"/>
      <c r="C74" s="12"/>
      <c r="D74" s="284" t="s">
        <v>22</v>
      </c>
      <c r="E74" s="285"/>
      <c r="F74" s="288" t="s">
        <v>156</v>
      </c>
      <c r="G74" s="289"/>
      <c r="H74" s="302">
        <f t="shared" ref="H74:H81" si="3">H$14</f>
        <v>1</v>
      </c>
      <c r="I74" s="295"/>
      <c r="J74" s="68"/>
      <c r="K74" s="295"/>
      <c r="L74" s="295"/>
      <c r="M74" s="30"/>
      <c r="N74" s="295"/>
      <c r="O74" s="295"/>
      <c r="P74" s="30" t="s">
        <v>71</v>
      </c>
      <c r="Q74" s="45">
        <v>3</v>
      </c>
      <c r="R74" s="30" t="s">
        <v>27</v>
      </c>
      <c r="S74" s="45">
        <v>1</v>
      </c>
      <c r="T74" s="30" t="s">
        <v>2</v>
      </c>
      <c r="U74" s="302"/>
      <c r="V74" s="295"/>
      <c r="W74" s="295"/>
      <c r="X74" s="69"/>
      <c r="Y74" s="66"/>
      <c r="Z74" s="67"/>
      <c r="AA74" s="295"/>
      <c r="AB74" s="303"/>
      <c r="AC74" s="303"/>
      <c r="AD74" s="13"/>
      <c r="AE74" s="13"/>
      <c r="AF74" s="295">
        <f>H74/Q74*S74</f>
        <v>0.33333333333333331</v>
      </c>
      <c r="AG74" s="295"/>
      <c r="AH74" s="337"/>
      <c r="AI74" s="15"/>
    </row>
    <row r="75" spans="2:35">
      <c r="B75" s="13"/>
      <c r="C75" s="12"/>
      <c r="D75" s="286"/>
      <c r="E75" s="287"/>
      <c r="F75" s="341" t="s">
        <v>157</v>
      </c>
      <c r="G75" s="341"/>
      <c r="H75" s="340">
        <f t="shared" si="3"/>
        <v>1</v>
      </c>
      <c r="I75" s="294"/>
      <c r="J75" s="46"/>
      <c r="K75" s="294"/>
      <c r="L75" s="294"/>
      <c r="M75" s="17"/>
      <c r="N75" s="294"/>
      <c r="O75" s="294"/>
      <c r="P75" s="17" t="s">
        <v>71</v>
      </c>
      <c r="Q75" s="29">
        <v>3</v>
      </c>
      <c r="R75" s="17" t="s">
        <v>27</v>
      </c>
      <c r="S75" s="29">
        <v>2</v>
      </c>
      <c r="T75" s="17" t="s">
        <v>2</v>
      </c>
      <c r="U75" s="342"/>
      <c r="V75" s="303"/>
      <c r="W75" s="303"/>
      <c r="X75" s="69"/>
      <c r="Y75" s="66"/>
      <c r="Z75" s="67"/>
      <c r="AA75" s="303"/>
      <c r="AB75" s="303"/>
      <c r="AC75" s="303"/>
      <c r="AD75" s="30"/>
      <c r="AE75" s="30"/>
      <c r="AF75" s="303">
        <f>H75/Q75*S75</f>
        <v>0.66666666666666663</v>
      </c>
      <c r="AG75" s="303"/>
      <c r="AH75" s="343"/>
      <c r="AI75" s="15"/>
    </row>
    <row r="76" spans="2:35">
      <c r="B76" s="13"/>
      <c r="C76" s="12"/>
      <c r="D76" s="284" t="s">
        <v>95</v>
      </c>
      <c r="E76" s="285"/>
      <c r="F76" s="296" t="s">
        <v>158</v>
      </c>
      <c r="G76" s="243"/>
      <c r="H76" s="292">
        <f t="shared" si="3"/>
        <v>1</v>
      </c>
      <c r="I76" s="293"/>
      <c r="J76" s="68" t="s">
        <v>69</v>
      </c>
      <c r="K76" s="295">
        <f t="shared" ref="K76:K81" si="4">H$16</f>
        <v>1.7</v>
      </c>
      <c r="L76" s="295"/>
      <c r="M76" s="30"/>
      <c r="N76" s="295"/>
      <c r="O76" s="295"/>
      <c r="P76" s="30" t="s">
        <v>71</v>
      </c>
      <c r="Q76" s="45">
        <v>3</v>
      </c>
      <c r="R76" s="30" t="s">
        <v>27</v>
      </c>
      <c r="S76" s="45">
        <v>1</v>
      </c>
      <c r="T76" s="30" t="s">
        <v>2</v>
      </c>
      <c r="U76" s="302"/>
      <c r="V76" s="295"/>
      <c r="W76" s="295"/>
      <c r="X76" s="25"/>
      <c r="Y76" s="26"/>
      <c r="Z76" s="23"/>
      <c r="AA76" s="295"/>
      <c r="AB76" s="295"/>
      <c r="AC76" s="295"/>
      <c r="AD76" s="30"/>
      <c r="AE76" s="30"/>
      <c r="AF76" s="295">
        <f>H76+K76/Q76*S76</f>
        <v>1.5666666666666667</v>
      </c>
      <c r="AG76" s="295"/>
      <c r="AH76" s="337"/>
      <c r="AI76" s="15"/>
    </row>
    <row r="77" spans="2:35">
      <c r="B77" s="13"/>
      <c r="C77" s="12"/>
      <c r="D77" s="286"/>
      <c r="E77" s="287"/>
      <c r="F77" s="297" t="s">
        <v>159</v>
      </c>
      <c r="G77" s="298"/>
      <c r="H77" s="302">
        <f t="shared" si="3"/>
        <v>1</v>
      </c>
      <c r="I77" s="295"/>
      <c r="J77" s="46" t="s">
        <v>69</v>
      </c>
      <c r="K77" s="303">
        <f t="shared" si="4"/>
        <v>1.7</v>
      </c>
      <c r="L77" s="303"/>
      <c r="M77" s="17"/>
      <c r="N77" s="303"/>
      <c r="O77" s="303"/>
      <c r="P77" s="17" t="s">
        <v>71</v>
      </c>
      <c r="Q77" s="29">
        <v>3</v>
      </c>
      <c r="R77" s="17" t="s">
        <v>27</v>
      </c>
      <c r="S77" s="29">
        <v>2</v>
      </c>
      <c r="T77" s="17" t="s">
        <v>2</v>
      </c>
      <c r="U77" s="342"/>
      <c r="V77" s="303"/>
      <c r="W77" s="303"/>
      <c r="X77" s="69"/>
      <c r="Y77" s="66"/>
      <c r="Z77" s="67"/>
      <c r="AA77" s="303"/>
      <c r="AB77" s="303"/>
      <c r="AC77" s="303"/>
      <c r="AD77" s="30"/>
      <c r="AE77" s="30"/>
      <c r="AF77" s="303">
        <f>H77+K77/Q77*S77</f>
        <v>2.1333333333333333</v>
      </c>
      <c r="AG77" s="303"/>
      <c r="AH77" s="343"/>
      <c r="AI77" s="15"/>
    </row>
    <row r="78" spans="2:35" ht="19.2">
      <c r="B78" s="13"/>
      <c r="C78" s="12"/>
      <c r="D78" s="284" t="s">
        <v>117</v>
      </c>
      <c r="E78" s="285"/>
      <c r="F78" s="299" t="s">
        <v>160</v>
      </c>
      <c r="G78" s="229"/>
      <c r="H78" s="292">
        <f t="shared" si="3"/>
        <v>1</v>
      </c>
      <c r="I78" s="293"/>
      <c r="J78" s="68" t="s">
        <v>69</v>
      </c>
      <c r="K78" s="295">
        <f t="shared" si="4"/>
        <v>1.7</v>
      </c>
      <c r="L78" s="295"/>
      <c r="M78" s="30" t="s">
        <v>69</v>
      </c>
      <c r="N78" s="295" t="s">
        <v>234</v>
      </c>
      <c r="O78" s="295"/>
      <c r="P78" s="30" t="s">
        <v>71</v>
      </c>
      <c r="Q78" s="45">
        <v>3</v>
      </c>
      <c r="R78" s="30" t="s">
        <v>27</v>
      </c>
      <c r="S78" s="45">
        <v>1</v>
      </c>
      <c r="T78" s="30" t="s">
        <v>2</v>
      </c>
      <c r="U78" s="302"/>
      <c r="V78" s="295"/>
      <c r="W78" s="295"/>
      <c r="X78" s="69"/>
      <c r="Y78" s="66"/>
      <c r="Z78" s="67"/>
      <c r="AA78" s="303">
        <f>1/Q78*S78</f>
        <v>0.33333333333333331</v>
      </c>
      <c r="AB78" s="303"/>
      <c r="AC78" s="303"/>
      <c r="AD78" s="66" t="s">
        <v>235</v>
      </c>
      <c r="AE78" s="65"/>
      <c r="AF78" s="295">
        <f>H78+K78</f>
        <v>2.7</v>
      </c>
      <c r="AG78" s="295"/>
      <c r="AH78" s="337"/>
      <c r="AI78" s="15"/>
    </row>
    <row r="79" spans="2:35" ht="19.2">
      <c r="B79" s="13"/>
      <c r="C79" s="12"/>
      <c r="D79" s="286"/>
      <c r="E79" s="287"/>
      <c r="F79" s="341" t="s">
        <v>161</v>
      </c>
      <c r="G79" s="341"/>
      <c r="H79" s="292">
        <f t="shared" si="3"/>
        <v>1</v>
      </c>
      <c r="I79" s="293"/>
      <c r="J79" s="46" t="s">
        <v>69</v>
      </c>
      <c r="K79" s="294">
        <f t="shared" si="4"/>
        <v>1.7</v>
      </c>
      <c r="L79" s="294"/>
      <c r="M79" s="17" t="s">
        <v>69</v>
      </c>
      <c r="N79" s="295" t="s">
        <v>234</v>
      </c>
      <c r="O79" s="295"/>
      <c r="P79" s="17" t="s">
        <v>71</v>
      </c>
      <c r="Q79" s="29">
        <v>3</v>
      </c>
      <c r="R79" s="17" t="s">
        <v>27</v>
      </c>
      <c r="S79" s="29">
        <v>2</v>
      </c>
      <c r="T79" s="17" t="s">
        <v>2</v>
      </c>
      <c r="U79" s="342"/>
      <c r="V79" s="303"/>
      <c r="W79" s="303"/>
      <c r="X79" s="69"/>
      <c r="Y79" s="66"/>
      <c r="Z79" s="67"/>
      <c r="AA79" s="303">
        <f>1/Q79*S79</f>
        <v>0.66666666666666663</v>
      </c>
      <c r="AB79" s="303"/>
      <c r="AC79" s="303"/>
      <c r="AD79" s="66" t="s">
        <v>235</v>
      </c>
      <c r="AE79" s="65"/>
      <c r="AF79" s="295">
        <f t="shared" ref="AF79:AF81" si="5">H79+K79</f>
        <v>2.7</v>
      </c>
      <c r="AG79" s="295"/>
      <c r="AH79" s="337"/>
      <c r="AI79" s="15"/>
    </row>
    <row r="80" spans="2:35">
      <c r="B80" s="13"/>
      <c r="C80" s="12"/>
      <c r="D80" s="284" t="s">
        <v>185</v>
      </c>
      <c r="E80" s="285"/>
      <c r="F80" s="288" t="s">
        <v>162</v>
      </c>
      <c r="G80" s="300"/>
      <c r="H80" s="292">
        <f t="shared" si="3"/>
        <v>1</v>
      </c>
      <c r="I80" s="293"/>
      <c r="J80" s="68" t="s">
        <v>69</v>
      </c>
      <c r="K80" s="295">
        <f t="shared" si="4"/>
        <v>1.7</v>
      </c>
      <c r="L80" s="295"/>
      <c r="M80" s="30"/>
      <c r="N80" s="295"/>
      <c r="O80" s="295"/>
      <c r="P80" s="30" t="s">
        <v>71</v>
      </c>
      <c r="Q80" s="45">
        <v>3</v>
      </c>
      <c r="R80" s="30" t="s">
        <v>27</v>
      </c>
      <c r="S80" s="45">
        <v>2</v>
      </c>
      <c r="T80" s="30" t="s">
        <v>2</v>
      </c>
      <c r="U80" s="302"/>
      <c r="V80" s="295"/>
      <c r="W80" s="295"/>
      <c r="X80" s="69"/>
      <c r="Y80" s="66"/>
      <c r="Z80" s="98"/>
      <c r="AA80" s="303"/>
      <c r="AB80" s="303"/>
      <c r="AC80" s="303"/>
      <c r="AD80" s="13"/>
      <c r="AE80" s="30"/>
      <c r="AF80" s="295">
        <f>H80+K80/Q80*S80</f>
        <v>2.1333333333333333</v>
      </c>
      <c r="AG80" s="295"/>
      <c r="AH80" s="337"/>
      <c r="AI80" s="15"/>
    </row>
    <row r="81" spans="2:35" ht="19.2">
      <c r="B81" s="13"/>
      <c r="C81" s="12"/>
      <c r="D81" s="286"/>
      <c r="E81" s="287"/>
      <c r="F81" s="297" t="s">
        <v>163</v>
      </c>
      <c r="G81" s="301"/>
      <c r="H81" s="302">
        <f t="shared" si="3"/>
        <v>1</v>
      </c>
      <c r="I81" s="295"/>
      <c r="J81" s="46" t="s">
        <v>69</v>
      </c>
      <c r="K81" s="303">
        <f t="shared" si="4"/>
        <v>1.7</v>
      </c>
      <c r="L81" s="303"/>
      <c r="M81" s="17" t="s">
        <v>69</v>
      </c>
      <c r="N81" s="295" t="s">
        <v>234</v>
      </c>
      <c r="O81" s="295"/>
      <c r="P81" s="17" t="s">
        <v>71</v>
      </c>
      <c r="Q81" s="29">
        <v>3</v>
      </c>
      <c r="R81" s="17" t="s">
        <v>27</v>
      </c>
      <c r="S81" s="29">
        <v>1</v>
      </c>
      <c r="T81" s="17" t="s">
        <v>2</v>
      </c>
      <c r="U81" s="342"/>
      <c r="V81" s="303"/>
      <c r="W81" s="303"/>
      <c r="X81" s="69"/>
      <c r="Y81" s="66"/>
      <c r="Z81" s="67"/>
      <c r="AA81" s="303">
        <f>1/Q81*S81</f>
        <v>0.33333333333333331</v>
      </c>
      <c r="AB81" s="303"/>
      <c r="AC81" s="303"/>
      <c r="AD81" s="66" t="s">
        <v>235</v>
      </c>
      <c r="AE81" s="65"/>
      <c r="AF81" s="295">
        <f t="shared" si="5"/>
        <v>2.7</v>
      </c>
      <c r="AG81" s="295"/>
      <c r="AH81" s="337"/>
      <c r="AI81" s="15"/>
    </row>
    <row r="82" spans="2:35">
      <c r="B82" s="13"/>
      <c r="C82" s="12"/>
      <c r="D82" s="96"/>
      <c r="E82" s="95"/>
      <c r="F82" s="95"/>
      <c r="G82" s="95"/>
      <c r="H82" s="95"/>
      <c r="I82" s="95"/>
      <c r="J82" s="93"/>
      <c r="K82" s="93"/>
      <c r="L82" s="93"/>
      <c r="M82" s="93"/>
      <c r="N82" s="93"/>
      <c r="O82" s="94"/>
      <c r="P82" s="94"/>
      <c r="Q82" s="94"/>
      <c r="R82" s="94"/>
      <c r="S82" s="93"/>
      <c r="T82" s="93"/>
      <c r="U82" s="95"/>
      <c r="V82" s="95"/>
      <c r="W82" s="95"/>
      <c r="X82" s="80"/>
      <c r="Y82" s="80"/>
      <c r="Z82" s="80"/>
      <c r="AA82"/>
      <c r="AB82" s="97"/>
      <c r="AC82" s="98"/>
      <c r="AD82" s="95"/>
      <c r="AE82" s="95"/>
      <c r="AF82" s="13"/>
      <c r="AG82" s="13"/>
      <c r="AH82" s="13"/>
      <c r="AI82" s="15"/>
    </row>
    <row r="83" spans="2:35">
      <c r="B83" s="13"/>
      <c r="C83" s="12"/>
      <c r="D83" s="96"/>
      <c r="E83" s="95"/>
      <c r="F83" s="95"/>
      <c r="G83"/>
      <c r="H83" s="305" t="s">
        <v>447</v>
      </c>
      <c r="I83" s="306"/>
      <c r="J83" s="306"/>
      <c r="K83" s="306"/>
      <c r="L83" s="306"/>
      <c r="M83" s="306"/>
      <c r="N83" s="306"/>
      <c r="O83" s="306"/>
      <c r="P83" s="306"/>
      <c r="Q83" s="306"/>
      <c r="R83" s="306"/>
      <c r="S83" s="306"/>
      <c r="T83" s="307"/>
      <c r="U83" s="257" t="s">
        <v>32</v>
      </c>
      <c r="V83" s="258"/>
      <c r="W83" s="258"/>
      <c r="X83" s="258"/>
      <c r="Y83" s="258"/>
      <c r="Z83" s="258"/>
      <c r="AA83" s="258"/>
      <c r="AB83" s="258"/>
      <c r="AC83" s="258"/>
      <c r="AD83" s="258"/>
      <c r="AE83" s="258"/>
      <c r="AF83" s="258"/>
      <c r="AG83" s="258"/>
      <c r="AH83" s="259"/>
      <c r="AI83" s="15"/>
    </row>
    <row r="84" spans="2:35">
      <c r="B84" s="13"/>
      <c r="C84" s="12"/>
      <c r="D84" s="96"/>
      <c r="E84" s="95"/>
      <c r="F84" s="95"/>
      <c r="G84"/>
      <c r="H84" s="308" t="s">
        <v>449</v>
      </c>
      <c r="I84" s="309"/>
      <c r="J84" s="309"/>
      <c r="K84" s="309"/>
      <c r="L84" s="309"/>
      <c r="M84" s="309"/>
      <c r="N84" s="309"/>
      <c r="O84" s="309"/>
      <c r="P84" s="309"/>
      <c r="Q84" s="309"/>
      <c r="R84" s="309"/>
      <c r="S84" s="309"/>
      <c r="T84" s="310"/>
      <c r="U84" s="317" t="s">
        <v>155</v>
      </c>
      <c r="V84" s="318"/>
      <c r="W84" s="318"/>
      <c r="X84" s="318"/>
      <c r="Y84" s="318"/>
      <c r="Z84" s="318"/>
      <c r="AA84" s="318"/>
      <c r="AB84" s="318"/>
      <c r="AC84" s="318"/>
      <c r="AD84" s="318"/>
      <c r="AE84" s="318"/>
      <c r="AF84" s="318"/>
      <c r="AG84" s="318"/>
      <c r="AH84" s="319"/>
      <c r="AI84" s="15"/>
    </row>
    <row r="85" spans="2:35">
      <c r="B85" s="13"/>
      <c r="C85" s="12"/>
      <c r="D85" s="96"/>
      <c r="E85" s="95"/>
      <c r="F85" s="95"/>
      <c r="G85"/>
      <c r="H85" s="16"/>
      <c r="I85" s="25"/>
      <c r="J85" s="25"/>
      <c r="K85" s="25"/>
      <c r="L85" s="25"/>
      <c r="M85" s="25"/>
      <c r="N85" s="25"/>
      <c r="O85" s="25"/>
      <c r="P85" s="25"/>
      <c r="Q85" s="25"/>
      <c r="R85" s="17"/>
      <c r="S85" s="21"/>
      <c r="T85" s="187"/>
      <c r="U85" s="334" t="s">
        <v>20</v>
      </c>
      <c r="V85" s="335"/>
      <c r="W85" s="335"/>
      <c r="X85" s="335"/>
      <c r="Y85" s="335"/>
      <c r="Z85" s="335"/>
      <c r="AA85" s="335"/>
      <c r="AB85" s="335"/>
      <c r="AC85" s="335"/>
      <c r="AD85" s="335"/>
      <c r="AE85" s="335"/>
      <c r="AF85" s="335"/>
      <c r="AG85" s="335"/>
      <c r="AH85" s="336"/>
      <c r="AI85" s="15"/>
    </row>
    <row r="86" spans="2:35" ht="19.2">
      <c r="B86" s="13"/>
      <c r="C86" s="12"/>
      <c r="D86" s="313" t="s">
        <v>117</v>
      </c>
      <c r="E86" s="314"/>
      <c r="F86" s="288" t="s">
        <v>189</v>
      </c>
      <c r="G86" s="289"/>
      <c r="H86" s="302">
        <f t="shared" ref="H86" si="6">H$14</f>
        <v>1</v>
      </c>
      <c r="I86" s="295"/>
      <c r="J86" s="68" t="s">
        <v>69</v>
      </c>
      <c r="K86" s="295">
        <f t="shared" ref="K86" si="7">H$16</f>
        <v>1.7</v>
      </c>
      <c r="L86" s="295"/>
      <c r="M86" s="30" t="s">
        <v>69</v>
      </c>
      <c r="N86" s="234" t="s">
        <v>238</v>
      </c>
      <c r="O86" s="234"/>
      <c r="P86" s="30"/>
      <c r="Q86" s="45">
        <v>3</v>
      </c>
      <c r="R86" s="30" t="s">
        <v>27</v>
      </c>
      <c r="S86" s="45">
        <v>2</v>
      </c>
      <c r="T86" s="30" t="s">
        <v>2</v>
      </c>
      <c r="U86" s="302"/>
      <c r="V86" s="295"/>
      <c r="W86" s="295"/>
      <c r="X86" s="69"/>
      <c r="Y86" s="66"/>
      <c r="Z86" s="67"/>
      <c r="AA86" s="295">
        <f>1/Q86*S86</f>
        <v>0.66666666666666663</v>
      </c>
      <c r="AB86" s="295"/>
      <c r="AC86" s="295"/>
      <c r="AD86" s="66" t="s">
        <v>235</v>
      </c>
      <c r="AE86" s="65"/>
      <c r="AF86" s="295">
        <f t="shared" ref="AF86" si="8">H86+K86</f>
        <v>2.7</v>
      </c>
      <c r="AG86" s="295"/>
      <c r="AH86" s="337"/>
      <c r="AI86" s="15"/>
    </row>
    <row r="87" spans="2:35">
      <c r="B87" s="13"/>
      <c r="C87" s="12"/>
      <c r="D87" s="96"/>
      <c r="E87" s="95"/>
      <c r="F87" s="95"/>
      <c r="G87" s="95"/>
      <c r="H87" s="95"/>
      <c r="I87" s="95"/>
      <c r="J87" s="93"/>
      <c r="K87" s="93"/>
      <c r="L87" s="93"/>
      <c r="M87" s="93"/>
      <c r="N87" s="93"/>
      <c r="O87" s="94"/>
      <c r="P87" s="94"/>
      <c r="Q87" s="94"/>
      <c r="R87" s="94"/>
      <c r="S87" s="93"/>
      <c r="T87" s="93"/>
      <c r="U87" s="95"/>
      <c r="V87" s="95"/>
      <c r="W87" s="95"/>
      <c r="X87" s="80"/>
      <c r="Y87" s="80"/>
      <c r="Z87" s="80"/>
      <c r="AA87"/>
      <c r="AB87" s="97"/>
      <c r="AC87" s="98"/>
      <c r="AD87" s="95"/>
      <c r="AE87" s="95"/>
      <c r="AF87" s="13"/>
      <c r="AG87" s="13"/>
      <c r="AH87" s="13"/>
      <c r="AI87" s="15"/>
    </row>
    <row r="88" spans="2:35">
      <c r="B88" s="13"/>
      <c r="C88" s="12"/>
      <c r="D88" s="96"/>
      <c r="E88" s="95"/>
      <c r="F88" s="95"/>
      <c r="G88" s="95"/>
      <c r="H88" s="95"/>
      <c r="I88" s="95"/>
      <c r="J88" s="93"/>
      <c r="K88" s="93"/>
      <c r="L88" s="93"/>
      <c r="M88" s="93"/>
      <c r="N88" s="93"/>
      <c r="O88" s="94"/>
      <c r="P88" s="94"/>
      <c r="Q88" s="94"/>
      <c r="R88" s="94"/>
      <c r="S88" s="93"/>
      <c r="T88" s="93"/>
      <c r="U88" s="95"/>
      <c r="V88" s="95"/>
      <c r="W88" s="95"/>
      <c r="X88" s="20"/>
      <c r="Y88" s="20"/>
      <c r="Z88" s="20"/>
      <c r="AA88" s="25"/>
      <c r="AB88" s="97"/>
      <c r="AC88" s="98"/>
      <c r="AD88" s="95"/>
      <c r="AE88" s="95"/>
      <c r="AF88" s="13"/>
      <c r="AG88" s="13"/>
      <c r="AH88" s="13"/>
      <c r="AI88" s="15"/>
    </row>
    <row r="89" spans="2:35">
      <c r="B89" s="13"/>
      <c r="C89" s="12"/>
      <c r="D89" s="96"/>
      <c r="E89" s="95"/>
      <c r="F89" s="95"/>
      <c r="G89" s="95"/>
      <c r="H89" s="257" t="s">
        <v>446</v>
      </c>
      <c r="I89" s="258"/>
      <c r="J89" s="258"/>
      <c r="K89" s="258"/>
      <c r="L89" s="258"/>
      <c r="M89" s="258"/>
      <c r="N89" s="258"/>
      <c r="O89" s="258"/>
      <c r="P89" s="258"/>
      <c r="Q89" s="258"/>
      <c r="R89" s="258"/>
      <c r="S89" s="258"/>
      <c r="T89" s="258"/>
      <c r="U89" s="258"/>
      <c r="V89" s="258"/>
      <c r="W89" s="258"/>
      <c r="X89" s="258"/>
      <c r="Y89" s="258"/>
      <c r="Z89" s="258"/>
      <c r="AA89" s="259"/>
      <c r="AB89" s="13"/>
      <c r="AC89" s="13"/>
      <c r="AD89" s="13"/>
      <c r="AE89" s="13"/>
      <c r="AF89" s="13"/>
      <c r="AG89" s="13"/>
      <c r="AH89" s="13"/>
      <c r="AI89" s="15"/>
    </row>
    <row r="90" spans="2:35">
      <c r="B90" s="13"/>
      <c r="C90" s="12"/>
      <c r="D90" s="13"/>
      <c r="E90" s="95"/>
      <c r="F90" s="95"/>
      <c r="G90" s="95"/>
      <c r="H90" s="317" t="s">
        <v>190</v>
      </c>
      <c r="I90" s="318"/>
      <c r="J90" s="318"/>
      <c r="K90" s="318"/>
      <c r="L90" s="318"/>
      <c r="M90" s="318"/>
      <c r="N90" s="318"/>
      <c r="O90" s="318"/>
      <c r="P90" s="318"/>
      <c r="Q90" s="318"/>
      <c r="R90" s="318"/>
      <c r="S90" s="318"/>
      <c r="T90" s="318"/>
      <c r="U90" s="318"/>
      <c r="V90" s="318"/>
      <c r="W90" s="318"/>
      <c r="X90" s="318"/>
      <c r="Y90" s="318"/>
      <c r="Z90" s="318"/>
      <c r="AA90" s="319"/>
      <c r="AB90" s="13"/>
      <c r="AC90" s="13"/>
      <c r="AD90" s="13"/>
      <c r="AE90" s="13"/>
      <c r="AF90" s="13"/>
      <c r="AG90" s="13"/>
      <c r="AH90" s="13"/>
      <c r="AI90" s="15"/>
    </row>
    <row r="91" spans="2:35">
      <c r="B91" s="13"/>
      <c r="C91" s="12"/>
      <c r="D91" s="96"/>
      <c r="E91" s="95"/>
      <c r="F91" s="95"/>
      <c r="G91" s="95"/>
      <c r="H91" s="334" t="s">
        <v>35</v>
      </c>
      <c r="I91" s="335"/>
      <c r="J91" s="335"/>
      <c r="K91" s="335"/>
      <c r="L91" s="335"/>
      <c r="M91" s="335"/>
      <c r="N91" s="335"/>
      <c r="O91" s="335"/>
      <c r="P91" s="335"/>
      <c r="Q91" s="335"/>
      <c r="R91" s="335"/>
      <c r="S91" s="335"/>
      <c r="T91" s="335"/>
      <c r="U91" s="335"/>
      <c r="V91" s="335"/>
      <c r="W91" s="335"/>
      <c r="X91" s="335"/>
      <c r="Y91" s="335"/>
      <c r="Z91" s="335"/>
      <c r="AA91" s="336"/>
      <c r="AB91" s="13"/>
      <c r="AC91" s="13"/>
      <c r="AD91" s="13"/>
      <c r="AE91" s="13"/>
      <c r="AF91" s="13"/>
      <c r="AG91" s="13"/>
      <c r="AH91" s="13"/>
      <c r="AI91" s="15"/>
    </row>
    <row r="92" spans="2:35">
      <c r="B92" s="13"/>
      <c r="C92" s="12"/>
      <c r="D92" s="284" t="s">
        <v>22</v>
      </c>
      <c r="E92" s="285"/>
      <c r="F92" s="288" t="s">
        <v>156</v>
      </c>
      <c r="G92" s="289"/>
      <c r="H92" s="315"/>
      <c r="I92" s="316"/>
      <c r="J92" s="316"/>
      <c r="K92" s="62"/>
      <c r="L92" s="62"/>
      <c r="M92" s="30"/>
      <c r="N92" s="295"/>
      <c r="O92" s="295"/>
      <c r="P92" s="295"/>
      <c r="Q92" s="66"/>
      <c r="R92" s="67"/>
      <c r="S92" s="65"/>
      <c r="T92" s="295"/>
      <c r="U92" s="295"/>
      <c r="V92" s="295"/>
      <c r="W92" s="30"/>
      <c r="X92" s="30"/>
      <c r="Y92" s="295">
        <f>AF56*AF74</f>
        <v>1.7717333333333332</v>
      </c>
      <c r="Z92" s="295"/>
      <c r="AA92" s="337"/>
      <c r="AB92" s="13"/>
      <c r="AC92" s="13"/>
      <c r="AD92" s="13"/>
      <c r="AE92" s="13"/>
      <c r="AF92" s="13"/>
      <c r="AG92" s="13"/>
      <c r="AH92" s="13"/>
      <c r="AI92" s="15"/>
    </row>
    <row r="93" spans="2:35">
      <c r="B93" s="13"/>
      <c r="C93" s="12"/>
      <c r="D93" s="286"/>
      <c r="E93" s="287"/>
      <c r="F93" s="341" t="s">
        <v>157</v>
      </c>
      <c r="G93" s="341"/>
      <c r="H93" s="315"/>
      <c r="I93" s="316"/>
      <c r="J93" s="316"/>
      <c r="K93" s="61"/>
      <c r="L93" s="61"/>
      <c r="M93" s="17"/>
      <c r="N93" s="294"/>
      <c r="O93" s="294"/>
      <c r="P93" s="294"/>
      <c r="Q93" s="97"/>
      <c r="R93" s="98"/>
      <c r="S93" s="95"/>
      <c r="T93" s="294"/>
      <c r="U93" s="294"/>
      <c r="V93" s="294"/>
      <c r="W93" s="13"/>
      <c r="X93" s="13"/>
      <c r="Y93" s="295">
        <f>AF57*AF75</f>
        <v>7.5327999999999991</v>
      </c>
      <c r="Z93" s="295"/>
      <c r="AA93" s="337"/>
      <c r="AB93" s="13"/>
      <c r="AC93" s="13"/>
      <c r="AD93" s="13"/>
      <c r="AE93" s="13"/>
      <c r="AF93" s="13"/>
      <c r="AG93" s="13"/>
      <c r="AH93" s="13"/>
      <c r="AI93" s="15"/>
    </row>
    <row r="94" spans="2:35">
      <c r="B94" s="13"/>
      <c r="C94" s="12"/>
      <c r="D94" s="284" t="s">
        <v>95</v>
      </c>
      <c r="E94" s="285"/>
      <c r="F94" s="296" t="s">
        <v>158</v>
      </c>
      <c r="G94" s="243"/>
      <c r="H94" s="315"/>
      <c r="I94" s="316"/>
      <c r="J94" s="316"/>
      <c r="K94" s="60"/>
      <c r="L94" s="60"/>
      <c r="M94" s="10"/>
      <c r="N94" s="295"/>
      <c r="O94" s="295"/>
      <c r="P94" s="295"/>
      <c r="Q94" s="66"/>
      <c r="R94" s="67"/>
      <c r="S94" s="65"/>
      <c r="T94" s="295"/>
      <c r="U94" s="295"/>
      <c r="V94" s="295"/>
      <c r="W94" s="30"/>
      <c r="X94" s="30"/>
      <c r="Y94" s="295">
        <f>AF58*AF76</f>
        <v>30.093535999999997</v>
      </c>
      <c r="Z94" s="295"/>
      <c r="AA94" s="337"/>
      <c r="AB94" s="13"/>
      <c r="AC94" s="13"/>
      <c r="AD94" s="13"/>
      <c r="AE94" s="13"/>
      <c r="AF94" s="13"/>
      <c r="AG94" s="13"/>
      <c r="AH94" s="13"/>
      <c r="AI94" s="15"/>
    </row>
    <row r="95" spans="2:35">
      <c r="B95" s="13"/>
      <c r="C95" s="12"/>
      <c r="D95" s="286"/>
      <c r="E95" s="287"/>
      <c r="F95" s="297" t="s">
        <v>159</v>
      </c>
      <c r="G95" s="298"/>
      <c r="H95" s="315"/>
      <c r="I95" s="316"/>
      <c r="J95" s="316"/>
      <c r="K95" s="62"/>
      <c r="L95" s="62"/>
      <c r="M95" s="30"/>
      <c r="N95" s="294"/>
      <c r="O95" s="294"/>
      <c r="P95" s="294"/>
      <c r="Q95" s="97"/>
      <c r="R95" s="98"/>
      <c r="S95" s="95"/>
      <c r="T95" s="294"/>
      <c r="U95" s="294"/>
      <c r="V95" s="294"/>
      <c r="W95" s="13"/>
      <c r="X95" s="13"/>
      <c r="Y95" s="295">
        <f>AF59*AF77</f>
        <v>58.340010666666672</v>
      </c>
      <c r="Z95" s="295"/>
      <c r="AA95" s="337"/>
      <c r="AB95" s="13"/>
      <c r="AC95" s="13"/>
      <c r="AD95" s="13"/>
      <c r="AE95" s="13"/>
      <c r="AF95" s="13"/>
      <c r="AG95" s="13"/>
      <c r="AH95" s="13"/>
      <c r="AI95" s="15"/>
    </row>
    <row r="96" spans="2:35" ht="20.399999999999999">
      <c r="B96" s="13"/>
      <c r="C96" s="12"/>
      <c r="D96" s="284" t="s">
        <v>117</v>
      </c>
      <c r="E96" s="285"/>
      <c r="F96" s="299" t="s">
        <v>160</v>
      </c>
      <c r="G96" s="229"/>
      <c r="H96" s="315"/>
      <c r="I96" s="316"/>
      <c r="J96" s="316"/>
      <c r="K96" s="62"/>
      <c r="L96" s="62"/>
      <c r="M96" s="30"/>
      <c r="N96" s="295">
        <f>AA60*AA78</f>
        <v>2.3383166666666666</v>
      </c>
      <c r="O96" s="295"/>
      <c r="P96" s="295"/>
      <c r="Q96" s="66" t="s">
        <v>236</v>
      </c>
      <c r="R96" s="59"/>
      <c r="S96" s="51" t="s">
        <v>69</v>
      </c>
      <c r="T96" s="293">
        <f>AA60*AF78</f>
        <v>18.940365000000003</v>
      </c>
      <c r="U96" s="293"/>
      <c r="V96" s="293"/>
      <c r="W96" s="66" t="s">
        <v>234</v>
      </c>
      <c r="X96" s="10"/>
      <c r="Y96" s="295"/>
      <c r="Z96" s="295"/>
      <c r="AA96" s="337"/>
      <c r="AB96" s="13"/>
      <c r="AC96" s="13"/>
      <c r="AD96" s="13"/>
      <c r="AE96" s="13"/>
      <c r="AF96" s="13"/>
      <c r="AG96" s="13"/>
      <c r="AH96" s="13"/>
      <c r="AI96" s="15"/>
    </row>
    <row r="97" spans="2:35" ht="20.399999999999999">
      <c r="B97" s="13"/>
      <c r="C97" s="12"/>
      <c r="D97" s="286"/>
      <c r="E97" s="287"/>
      <c r="F97" s="341" t="s">
        <v>161</v>
      </c>
      <c r="G97" s="341"/>
      <c r="H97" s="315">
        <f>U61*AA79</f>
        <v>1.0233333333333332</v>
      </c>
      <c r="I97" s="316"/>
      <c r="J97" s="316"/>
      <c r="K97" s="66" t="s">
        <v>237</v>
      </c>
      <c r="L97" s="13"/>
      <c r="M97" s="65" t="s">
        <v>69</v>
      </c>
      <c r="N97" s="295">
        <f>U61*AF79+AA61*AA79</f>
        <v>8.8211333333333322</v>
      </c>
      <c r="O97" s="295"/>
      <c r="P97" s="295"/>
      <c r="Q97" s="66" t="s">
        <v>236</v>
      </c>
      <c r="R97" s="67"/>
      <c r="S97" s="65" t="s">
        <v>69</v>
      </c>
      <c r="T97" s="304">
        <f>AA61*AF79</f>
        <v>18.940365000000003</v>
      </c>
      <c r="U97" s="304"/>
      <c r="V97" s="304"/>
      <c r="W97" s="66" t="s">
        <v>234</v>
      </c>
      <c r="X97" s="30"/>
      <c r="Y97" s="295"/>
      <c r="Z97" s="295"/>
      <c r="AA97" s="337"/>
      <c r="AB97" s="13"/>
      <c r="AC97" s="13"/>
      <c r="AD97" s="13"/>
      <c r="AE97" s="13"/>
      <c r="AF97" s="13"/>
      <c r="AG97" s="13"/>
      <c r="AH97" s="13"/>
      <c r="AI97" s="15"/>
    </row>
    <row r="98" spans="2:35">
      <c r="B98" s="13"/>
      <c r="C98" s="12"/>
      <c r="D98" s="284" t="s">
        <v>185</v>
      </c>
      <c r="E98" s="285"/>
      <c r="F98" s="288" t="s">
        <v>162</v>
      </c>
      <c r="G98" s="300"/>
      <c r="H98" s="315"/>
      <c r="I98" s="316"/>
      <c r="J98" s="316"/>
      <c r="K98" s="62"/>
      <c r="L98" s="62"/>
      <c r="M98" s="30"/>
      <c r="N98" s="295"/>
      <c r="O98" s="295"/>
      <c r="P98" s="295"/>
      <c r="Q98" s="66"/>
      <c r="R98" s="67"/>
      <c r="S98" s="65"/>
      <c r="T98" s="304"/>
      <c r="U98" s="304"/>
      <c r="V98" s="304"/>
      <c r="W98" s="30"/>
      <c r="X98" s="30"/>
      <c r="Y98" s="295">
        <f>AF62*AF80</f>
        <v>30.826666666666664</v>
      </c>
      <c r="Z98" s="295"/>
      <c r="AA98" s="337"/>
      <c r="AB98" s="13"/>
      <c r="AC98" s="13"/>
      <c r="AD98" s="13"/>
      <c r="AE98" s="13"/>
      <c r="AF98" s="13"/>
      <c r="AG98" s="13"/>
      <c r="AH98" s="13"/>
      <c r="AI98" s="15"/>
    </row>
    <row r="99" spans="2:35" ht="21" thickBot="1">
      <c r="B99" s="13"/>
      <c r="C99" s="12"/>
      <c r="D99" s="311"/>
      <c r="E99" s="312"/>
      <c r="F99" s="425" t="s">
        <v>163</v>
      </c>
      <c r="G99" s="426"/>
      <c r="H99" s="429"/>
      <c r="I99" s="430"/>
      <c r="J99" s="430"/>
      <c r="K99" s="70"/>
      <c r="L99" s="70"/>
      <c r="M99" s="71"/>
      <c r="N99" s="427">
        <f>AA63*AA81</f>
        <v>2.833333333333333</v>
      </c>
      <c r="O99" s="427"/>
      <c r="P99" s="427"/>
      <c r="Q99" s="72" t="s">
        <v>236</v>
      </c>
      <c r="R99" s="73"/>
      <c r="S99" s="74" t="s">
        <v>69</v>
      </c>
      <c r="T99" s="427">
        <f>AA63*AF81</f>
        <v>22.950000000000003</v>
      </c>
      <c r="U99" s="427"/>
      <c r="V99" s="427"/>
      <c r="W99" s="72" t="s">
        <v>234</v>
      </c>
      <c r="X99" s="49"/>
      <c r="Y99" s="427"/>
      <c r="Z99" s="427"/>
      <c r="AA99" s="428"/>
      <c r="AB99" s="13"/>
      <c r="AC99" s="13"/>
      <c r="AD99" s="13"/>
      <c r="AE99" s="13"/>
      <c r="AF99" s="13"/>
      <c r="AG99" s="13"/>
      <c r="AH99" s="13"/>
      <c r="AI99" s="15"/>
    </row>
    <row r="100" spans="2:35" ht="21" thickTop="1">
      <c r="B100" s="13"/>
      <c r="C100" s="12"/>
      <c r="D100" s="422" t="s">
        <v>191</v>
      </c>
      <c r="E100" s="423"/>
      <c r="F100" s="423"/>
      <c r="G100" s="424"/>
      <c r="H100" s="419">
        <f>SUM(H92:J99)</f>
        <v>1.0233333333333332</v>
      </c>
      <c r="I100" s="420"/>
      <c r="J100" s="420"/>
      <c r="K100" s="66" t="s">
        <v>237</v>
      </c>
      <c r="L100" s="76"/>
      <c r="M100" s="77" t="s">
        <v>69</v>
      </c>
      <c r="N100" s="420">
        <f>SUM(N92:P99)</f>
        <v>13.992783333333332</v>
      </c>
      <c r="O100" s="420"/>
      <c r="P100" s="420"/>
      <c r="Q100" s="26" t="s">
        <v>236</v>
      </c>
      <c r="R100" s="78"/>
      <c r="S100" s="77" t="s">
        <v>69</v>
      </c>
      <c r="T100" s="420">
        <f>SUM(T92:V99)</f>
        <v>60.83073000000001</v>
      </c>
      <c r="U100" s="420"/>
      <c r="V100" s="420"/>
      <c r="W100" s="26" t="s">
        <v>234</v>
      </c>
      <c r="X100" s="77" t="s">
        <v>69</v>
      </c>
      <c r="Y100" s="420">
        <f>SUM(Y92:AA99)</f>
        <v>128.56474666666665</v>
      </c>
      <c r="Z100" s="420"/>
      <c r="AA100" s="421"/>
      <c r="AB100" s="97"/>
      <c r="AC100" s="98"/>
      <c r="AD100" s="95"/>
      <c r="AE100" s="95"/>
      <c r="AF100" s="13"/>
      <c r="AG100" s="13"/>
      <c r="AH100" s="13"/>
      <c r="AI100" s="15"/>
    </row>
    <row r="101" spans="2:35">
      <c r="B101" s="13"/>
      <c r="C101" s="12"/>
      <c r="D101" s="96"/>
      <c r="E101" s="95"/>
      <c r="F101" s="95"/>
      <c r="G101" s="95"/>
      <c r="H101" s="95"/>
      <c r="I101" s="95"/>
      <c r="J101" s="93"/>
      <c r="K101" s="93"/>
      <c r="L101" s="93"/>
      <c r="M101" s="93"/>
      <c r="N101" s="93"/>
      <c r="O101" s="94"/>
      <c r="P101" s="94"/>
      <c r="Q101" s="94"/>
      <c r="R101" s="94"/>
      <c r="S101" s="93"/>
      <c r="T101" s="93"/>
      <c r="U101" s="95"/>
      <c r="V101" s="95"/>
      <c r="W101" s="95"/>
      <c r="X101" s="80"/>
      <c r="Y101" s="80"/>
      <c r="Z101" s="80"/>
      <c r="AA101"/>
      <c r="AB101" s="97"/>
      <c r="AC101" s="98"/>
      <c r="AD101" s="95"/>
      <c r="AE101" s="95"/>
      <c r="AF101" s="13"/>
      <c r="AG101" s="13"/>
      <c r="AH101" s="13"/>
      <c r="AI101" s="15"/>
    </row>
    <row r="102" spans="2:35">
      <c r="B102" s="13"/>
      <c r="C102" s="12"/>
      <c r="D102" s="96"/>
      <c r="E102" s="95"/>
      <c r="F102" s="95"/>
      <c r="G102" s="95"/>
      <c r="H102" s="95"/>
      <c r="I102" s="95"/>
      <c r="J102" s="93"/>
      <c r="K102" s="93"/>
      <c r="L102" s="93"/>
      <c r="M102" s="93"/>
      <c r="N102" s="93"/>
      <c r="O102" s="94"/>
      <c r="P102" s="94"/>
      <c r="Q102" s="94"/>
      <c r="R102" s="94"/>
      <c r="S102" s="93"/>
      <c r="T102" s="93"/>
      <c r="U102" s="95"/>
      <c r="V102" s="95"/>
      <c r="W102" s="95"/>
      <c r="X102" s="20"/>
      <c r="Y102" s="20"/>
      <c r="Z102" s="20"/>
      <c r="AA102" s="25"/>
      <c r="AB102" s="26"/>
      <c r="AC102" s="23"/>
      <c r="AD102" s="22"/>
      <c r="AE102" s="22"/>
      <c r="AF102" s="17"/>
      <c r="AG102" s="17"/>
      <c r="AH102" s="17"/>
      <c r="AI102" s="15"/>
    </row>
    <row r="103" spans="2:35">
      <c r="B103" s="13"/>
      <c r="C103" s="12"/>
      <c r="D103" s="96"/>
      <c r="E103" s="95"/>
      <c r="F103" s="95"/>
      <c r="G103" s="95"/>
      <c r="H103" s="257" t="s">
        <v>196</v>
      </c>
      <c r="I103" s="258"/>
      <c r="J103" s="258"/>
      <c r="K103" s="258"/>
      <c r="L103" s="258"/>
      <c r="M103" s="258"/>
      <c r="N103" s="258"/>
      <c r="O103" s="258"/>
      <c r="P103" s="258"/>
      <c r="Q103" s="258"/>
      <c r="R103" s="258"/>
      <c r="S103" s="258"/>
      <c r="T103" s="258"/>
      <c r="U103" s="258"/>
      <c r="V103" s="258"/>
      <c r="W103" s="258"/>
      <c r="X103" s="258"/>
      <c r="Y103" s="258"/>
      <c r="Z103" s="258"/>
      <c r="AA103" s="259"/>
      <c r="AB103" s="13"/>
      <c r="AC103" s="13"/>
      <c r="AD103" s="13"/>
      <c r="AE103" s="13"/>
      <c r="AF103" s="13"/>
      <c r="AG103" s="13"/>
      <c r="AH103" s="13"/>
      <c r="AI103" s="15"/>
    </row>
    <row r="104" spans="2:35">
      <c r="B104" s="13"/>
      <c r="C104" s="12"/>
      <c r="D104" s="13"/>
      <c r="E104" s="95"/>
      <c r="F104" s="95"/>
      <c r="G104" s="95"/>
      <c r="H104" s="317" t="s">
        <v>193</v>
      </c>
      <c r="I104" s="318"/>
      <c r="J104" s="318"/>
      <c r="K104" s="318"/>
      <c r="L104" s="318"/>
      <c r="M104" s="318"/>
      <c r="N104" s="318"/>
      <c r="O104" s="318"/>
      <c r="P104" s="318"/>
      <c r="Q104" s="318"/>
      <c r="R104" s="318"/>
      <c r="S104" s="318"/>
      <c r="T104" s="318"/>
      <c r="U104" s="318"/>
      <c r="V104" s="318"/>
      <c r="W104" s="318"/>
      <c r="X104" s="318"/>
      <c r="Y104" s="318"/>
      <c r="Z104" s="318"/>
      <c r="AA104" s="319"/>
      <c r="AB104" s="13"/>
      <c r="AC104" s="13"/>
      <c r="AD104" s="13"/>
      <c r="AE104" s="13"/>
      <c r="AF104" s="13"/>
      <c r="AG104" s="13"/>
      <c r="AH104" s="13"/>
      <c r="AI104" s="15"/>
    </row>
    <row r="105" spans="2:35">
      <c r="B105" s="13"/>
      <c r="C105" s="12"/>
      <c r="D105" s="96"/>
      <c r="E105" s="95"/>
      <c r="F105" s="95"/>
      <c r="G105" s="95"/>
      <c r="H105" s="334" t="s">
        <v>35</v>
      </c>
      <c r="I105" s="335"/>
      <c r="J105" s="335"/>
      <c r="K105" s="335"/>
      <c r="L105" s="335"/>
      <c r="M105" s="335"/>
      <c r="N105" s="335"/>
      <c r="O105" s="335"/>
      <c r="P105" s="335"/>
      <c r="Q105" s="335"/>
      <c r="R105" s="335"/>
      <c r="S105" s="335"/>
      <c r="T105" s="335"/>
      <c r="U105" s="335"/>
      <c r="V105" s="335"/>
      <c r="W105" s="335"/>
      <c r="X105" s="335"/>
      <c r="Y105" s="335"/>
      <c r="Z105" s="335"/>
      <c r="AA105" s="336"/>
      <c r="AB105" s="13"/>
      <c r="AC105" s="13"/>
      <c r="AD105" s="13"/>
      <c r="AE105" s="13"/>
      <c r="AF105" s="13"/>
      <c r="AG105" s="13"/>
      <c r="AH105" s="13"/>
      <c r="AI105" s="15"/>
    </row>
    <row r="106" spans="2:35" ht="21" thickBot="1">
      <c r="B106" s="13"/>
      <c r="C106" s="12"/>
      <c r="D106" s="313" t="s">
        <v>117</v>
      </c>
      <c r="E106" s="314"/>
      <c r="F106" s="288" t="s">
        <v>189</v>
      </c>
      <c r="G106" s="289"/>
      <c r="H106" s="315">
        <f>U68*AA86</f>
        <v>10.849999999999998</v>
      </c>
      <c r="I106" s="316"/>
      <c r="J106" s="316"/>
      <c r="K106" s="72" t="s">
        <v>237</v>
      </c>
      <c r="L106" s="13"/>
      <c r="M106" s="65" t="s">
        <v>69</v>
      </c>
      <c r="N106" s="295">
        <f>U68*AF86</f>
        <v>43.942500000000003</v>
      </c>
      <c r="O106" s="295"/>
      <c r="P106" s="295"/>
      <c r="Q106" s="72" t="s">
        <v>236</v>
      </c>
      <c r="R106" s="67"/>
      <c r="S106" s="65"/>
      <c r="T106" s="304"/>
      <c r="U106" s="304"/>
      <c r="V106" s="304"/>
      <c r="W106" s="66"/>
      <c r="X106" s="30"/>
      <c r="Y106" s="295"/>
      <c r="Z106" s="295"/>
      <c r="AA106" s="337"/>
      <c r="AB106" s="13"/>
      <c r="AC106" s="13"/>
      <c r="AD106" s="13"/>
      <c r="AE106" s="13"/>
      <c r="AF106" s="13"/>
      <c r="AG106" s="13"/>
      <c r="AH106" s="13"/>
      <c r="AI106" s="15"/>
    </row>
    <row r="107" spans="2:35" ht="21" thickTop="1">
      <c r="B107" s="13"/>
      <c r="C107" s="12"/>
      <c r="D107" s="422" t="s">
        <v>192</v>
      </c>
      <c r="E107" s="423"/>
      <c r="F107" s="423"/>
      <c r="G107" s="424"/>
      <c r="H107" s="419">
        <f>SUM(H106:J106)</f>
        <v>10.849999999999998</v>
      </c>
      <c r="I107" s="420"/>
      <c r="J107" s="420"/>
      <c r="K107" s="26" t="s">
        <v>237</v>
      </c>
      <c r="L107" s="76"/>
      <c r="M107" s="77" t="s">
        <v>69</v>
      </c>
      <c r="N107" s="420">
        <f>SUM(N106:P106)</f>
        <v>43.942500000000003</v>
      </c>
      <c r="O107" s="420"/>
      <c r="P107" s="420"/>
      <c r="Q107" s="26" t="s">
        <v>236</v>
      </c>
      <c r="R107" s="78"/>
      <c r="S107" s="77"/>
      <c r="T107" s="420"/>
      <c r="U107" s="420"/>
      <c r="V107" s="420"/>
      <c r="W107" s="75"/>
      <c r="X107" s="77"/>
      <c r="Y107" s="420"/>
      <c r="Z107" s="420"/>
      <c r="AA107" s="421"/>
      <c r="AB107" s="97"/>
      <c r="AC107" s="98"/>
      <c r="AD107" s="95"/>
      <c r="AE107" s="95"/>
      <c r="AF107" s="13"/>
      <c r="AG107" s="13"/>
      <c r="AH107" s="13"/>
      <c r="AI107" s="15"/>
    </row>
    <row r="108" spans="2:35">
      <c r="B108" s="13"/>
      <c r="C108" s="12"/>
      <c r="D108" s="96"/>
      <c r="E108" s="95"/>
      <c r="F108" s="95"/>
      <c r="G108" s="95"/>
      <c r="H108" s="95"/>
      <c r="I108" s="95"/>
      <c r="J108" s="93"/>
      <c r="K108" s="93"/>
      <c r="L108" s="93"/>
      <c r="M108" s="13"/>
      <c r="N108" s="13"/>
      <c r="O108" s="13"/>
      <c r="P108" s="94"/>
      <c r="Q108" s="94"/>
      <c r="R108" s="94"/>
      <c r="S108" s="93"/>
      <c r="T108" s="93"/>
      <c r="U108" s="95"/>
      <c r="V108" s="95"/>
      <c r="W108" s="95"/>
      <c r="X108" s="80"/>
      <c r="Y108" s="80"/>
      <c r="Z108" s="80"/>
      <c r="AA108"/>
      <c r="AB108" s="97"/>
      <c r="AC108" s="13"/>
      <c r="AD108" s="13"/>
      <c r="AE108" s="13"/>
      <c r="AF108" s="13"/>
      <c r="AG108" s="83"/>
      <c r="AH108" s="83"/>
      <c r="AI108" s="102"/>
    </row>
    <row r="109" spans="2:35">
      <c r="B109" s="13"/>
      <c r="C109" s="12"/>
      <c r="D109" s="13"/>
      <c r="E109" s="97" t="s">
        <v>194</v>
      </c>
      <c r="F109" s="95"/>
      <c r="G109" s="93"/>
      <c r="H109" s="93"/>
      <c r="P109" s="94"/>
      <c r="Q109" s="94"/>
      <c r="R109" s="94"/>
      <c r="S109" s="93"/>
      <c r="T109" s="93"/>
      <c r="U109" s="95"/>
      <c r="V109" s="95"/>
      <c r="W109" s="95"/>
      <c r="X109" s="80"/>
      <c r="Y109" s="80"/>
      <c r="Z109" s="80"/>
      <c r="AA109"/>
      <c r="AB109" s="97"/>
      <c r="AC109" s="98"/>
      <c r="AD109" s="95"/>
      <c r="AE109" s="95"/>
      <c r="AF109" s="13"/>
      <c r="AG109" s="13"/>
      <c r="AH109" s="13"/>
      <c r="AI109" s="15"/>
    </row>
    <row r="110" spans="2:35">
      <c r="B110" s="13"/>
      <c r="C110" s="12"/>
      <c r="D110" s="97" t="s">
        <v>90</v>
      </c>
      <c r="E110" s="95"/>
      <c r="F110" s="95"/>
      <c r="G110" s="95"/>
      <c r="H110" s="95"/>
      <c r="I110" s="95"/>
      <c r="J110" s="93"/>
      <c r="K110" s="93"/>
      <c r="L110" s="93"/>
      <c r="M110" s="93"/>
      <c r="N110" s="93"/>
      <c r="O110" s="95"/>
      <c r="P110" s="95"/>
      <c r="Q110" s="95"/>
      <c r="R110" s="95"/>
      <c r="S110" s="93"/>
      <c r="T110" s="93"/>
      <c r="U110" s="95"/>
      <c r="V110" s="95"/>
      <c r="W110" s="95"/>
      <c r="X110" s="80"/>
      <c r="Y110" s="80"/>
      <c r="Z110" s="80"/>
      <c r="AA110"/>
      <c r="AB110" s="97"/>
      <c r="AC110" s="98"/>
      <c r="AD110" s="95"/>
      <c r="AE110" s="95"/>
      <c r="AF110" s="13"/>
      <c r="AG110" s="13"/>
      <c r="AH110" s="13"/>
      <c r="AI110" s="15"/>
    </row>
    <row r="111" spans="2:35">
      <c r="B111" s="13"/>
      <c r="C111" s="12"/>
      <c r="D111" s="13"/>
      <c r="E111" s="97" t="s">
        <v>195</v>
      </c>
      <c r="F111" s="95"/>
      <c r="G111" s="93"/>
      <c r="H111" s="93"/>
      <c r="L111" s="93"/>
      <c r="Q111" s="95"/>
      <c r="R111" s="95"/>
      <c r="S111" s="93"/>
      <c r="T111" s="93"/>
      <c r="U111" s="95"/>
      <c r="V111" s="95"/>
      <c r="W111" s="95"/>
      <c r="X111" s="80"/>
      <c r="Y111" s="80"/>
      <c r="Z111" s="80"/>
      <c r="AA111"/>
      <c r="AB111" s="97"/>
      <c r="AC111" s="98"/>
      <c r="AD111" s="95"/>
      <c r="AE111" s="95"/>
      <c r="AF111" s="13"/>
      <c r="AG111" s="13"/>
      <c r="AH111" s="13"/>
      <c r="AI111" s="15"/>
    </row>
    <row r="112" spans="2:35">
      <c r="B112" s="13"/>
      <c r="C112" s="12"/>
      <c r="D112" s="97" t="s">
        <v>68</v>
      </c>
      <c r="E112" s="95"/>
      <c r="F112" s="95"/>
      <c r="G112" s="95"/>
      <c r="AE112" s="95"/>
      <c r="AF112" s="13"/>
      <c r="AG112" s="13"/>
      <c r="AH112" s="13"/>
      <c r="AI112" s="15"/>
    </row>
    <row r="113" spans="1:40" ht="20.399999999999999">
      <c r="B113" s="13"/>
      <c r="C113" s="12"/>
      <c r="D113" s="97"/>
      <c r="E113" s="290">
        <f>H100-H107</f>
        <v>-9.8266666666666644</v>
      </c>
      <c r="F113" s="290"/>
      <c r="G113" s="290"/>
      <c r="H113" s="97" t="s">
        <v>237</v>
      </c>
      <c r="I113" s="13"/>
      <c r="J113" s="95" t="s">
        <v>69</v>
      </c>
      <c r="K113" s="290">
        <f>N100-N107</f>
        <v>-29.949716666666671</v>
      </c>
      <c r="L113" s="290"/>
      <c r="M113" s="290"/>
      <c r="N113" s="97" t="s">
        <v>236</v>
      </c>
      <c r="O113" s="98"/>
      <c r="P113" s="95" t="s">
        <v>69</v>
      </c>
      <c r="Q113" s="291">
        <f>T100-T107</f>
        <v>60.83073000000001</v>
      </c>
      <c r="R113" s="291"/>
      <c r="S113" s="291"/>
      <c r="T113" s="97" t="s">
        <v>234</v>
      </c>
      <c r="U113" s="95" t="s">
        <v>69</v>
      </c>
      <c r="V113" s="291">
        <f>Y100-Y107</f>
        <v>128.56474666666665</v>
      </c>
      <c r="W113" s="291"/>
      <c r="X113" s="291"/>
      <c r="Y113" s="97"/>
      <c r="Z113" s="98" t="s">
        <v>2</v>
      </c>
      <c r="AA113" s="103">
        <v>0</v>
      </c>
      <c r="AE113" s="95"/>
      <c r="AF113" s="13"/>
      <c r="AG113" s="13"/>
      <c r="AH113" s="13"/>
      <c r="AI113" s="15"/>
    </row>
    <row r="114" spans="1:40">
      <c r="B114" s="13"/>
      <c r="C114" s="12"/>
      <c r="D114" s="97"/>
      <c r="E114" s="95"/>
      <c r="F114" s="95"/>
      <c r="G114" s="95"/>
      <c r="H114" s="95"/>
      <c r="I114" s="95"/>
      <c r="J114" s="93"/>
      <c r="K114" s="93"/>
      <c r="L114" s="93"/>
      <c r="M114" s="93"/>
      <c r="N114" s="93"/>
      <c r="O114" s="95"/>
      <c r="P114" s="95"/>
      <c r="Q114" s="95"/>
      <c r="R114" s="95"/>
      <c r="S114" s="93"/>
      <c r="T114" s="93"/>
      <c r="U114" s="95"/>
      <c r="V114" s="95"/>
      <c r="W114" s="95"/>
      <c r="X114" s="80"/>
      <c r="Y114" s="80"/>
      <c r="Z114" s="80"/>
      <c r="AA114"/>
      <c r="AB114" s="97"/>
      <c r="AC114" s="98"/>
      <c r="AD114" s="95"/>
      <c r="AE114" s="95"/>
      <c r="AF114" s="13"/>
      <c r="AG114" s="13"/>
      <c r="AH114" s="13"/>
      <c r="AI114" s="15"/>
    </row>
    <row r="115" spans="1:40">
      <c r="B115" s="13"/>
      <c r="C115" s="12"/>
      <c r="D115" s="97" t="s">
        <v>197</v>
      </c>
      <c r="E115" s="95"/>
      <c r="F115" s="95"/>
      <c r="G115" s="95"/>
      <c r="H115" s="95"/>
      <c r="I115" s="95"/>
      <c r="J115" s="93"/>
      <c r="K115" s="93"/>
      <c r="L115" s="93"/>
      <c r="M115" s="93"/>
      <c r="N115" s="93"/>
      <c r="O115" s="95"/>
      <c r="P115" s="95"/>
      <c r="Q115" s="95"/>
      <c r="R115" s="95"/>
      <c r="S115" s="93"/>
      <c r="T115" s="93"/>
      <c r="U115" s="95"/>
      <c r="V115" s="95"/>
      <c r="W115" s="95"/>
      <c r="X115" s="80"/>
      <c r="Y115" s="80"/>
      <c r="Z115" s="80"/>
      <c r="AA115"/>
      <c r="AB115" s="97"/>
      <c r="AC115" s="98"/>
      <c r="AD115" s="95"/>
      <c r="AE115" s="95"/>
      <c r="AF115" s="13"/>
      <c r="AG115" s="13"/>
      <c r="AH115" s="13"/>
      <c r="AI115" s="15"/>
    </row>
    <row r="116" spans="1:40" customFormat="1">
      <c r="A116" s="81"/>
      <c r="B116" s="81"/>
      <c r="C116" s="87"/>
      <c r="D116" s="81"/>
      <c r="E116" s="81"/>
      <c r="F116" s="84"/>
      <c r="G116" s="3"/>
      <c r="H116" s="85" t="s">
        <v>198</v>
      </c>
      <c r="I116" s="432">
        <f>-K113/(3*E113)</f>
        <v>-1.0159334011759389</v>
      </c>
      <c r="J116" s="432"/>
      <c r="K116" s="432"/>
      <c r="L116" s="85"/>
      <c r="M116" s="85"/>
      <c r="N116" s="85"/>
      <c r="O116" s="85"/>
      <c r="P116" s="85"/>
      <c r="Q116" s="85"/>
      <c r="R116" s="85"/>
      <c r="S116" s="85"/>
      <c r="T116" s="85"/>
      <c r="U116" s="85"/>
      <c r="V116" s="85"/>
      <c r="W116" s="85"/>
      <c r="X116" s="85"/>
      <c r="Y116" s="85"/>
      <c r="Z116" s="85"/>
      <c r="AA116" s="85"/>
      <c r="AB116" s="85"/>
      <c r="AC116" s="85"/>
      <c r="AD116" s="85"/>
      <c r="AE116" s="85"/>
      <c r="AF116" s="85"/>
      <c r="AG116" s="85"/>
      <c r="AH116" s="86"/>
      <c r="AI116" s="88"/>
      <c r="AJ116" s="81"/>
      <c r="AK116" s="81"/>
      <c r="AL116" s="81"/>
      <c r="AM116" s="81"/>
      <c r="AN116" s="81"/>
    </row>
    <row r="117" spans="1:40" customFormat="1">
      <c r="A117" s="81"/>
      <c r="B117" s="81"/>
      <c r="C117" s="87"/>
      <c r="D117" s="81"/>
      <c r="E117" s="81"/>
      <c r="F117" s="87"/>
      <c r="G117" s="82" t="s">
        <v>199</v>
      </c>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1"/>
      <c r="AH117" s="88"/>
      <c r="AI117" s="88"/>
      <c r="AJ117" s="81"/>
      <c r="AK117" s="81"/>
      <c r="AL117" s="81"/>
      <c r="AM117" s="81"/>
      <c r="AN117" s="81"/>
    </row>
    <row r="118" spans="1:40" customFormat="1">
      <c r="A118" s="81"/>
      <c r="B118" s="81"/>
      <c r="C118" s="87"/>
      <c r="D118" s="81"/>
      <c r="E118" s="81"/>
      <c r="F118" s="87"/>
      <c r="G118" s="81"/>
      <c r="H118" s="81" t="s">
        <v>200</v>
      </c>
      <c r="I118" s="431">
        <f>Q113/E113-K113^2/(3*E113^2)</f>
        <v>-9.2867348219900681</v>
      </c>
      <c r="J118" s="431"/>
      <c r="K118" s="431"/>
      <c r="L118" s="81"/>
      <c r="M118" s="81"/>
      <c r="N118" s="81"/>
      <c r="O118" s="81"/>
      <c r="P118" s="81"/>
      <c r="Q118" s="81"/>
      <c r="R118" s="81"/>
      <c r="S118" s="81"/>
      <c r="T118" s="81"/>
      <c r="U118" s="81"/>
      <c r="V118" s="81"/>
      <c r="W118" s="81"/>
      <c r="X118" s="81" t="s">
        <v>201</v>
      </c>
      <c r="Y118" s="431">
        <f>(I119/2)^2+(I118/3)^3</f>
        <v>-24.147986236887448</v>
      </c>
      <c r="Z118" s="431"/>
      <c r="AA118" s="431"/>
      <c r="AB118" s="81"/>
      <c r="AC118" s="81"/>
      <c r="AD118" s="81"/>
      <c r="AE118" s="81"/>
      <c r="AF118" s="81"/>
      <c r="AG118" s="81"/>
      <c r="AH118" s="88"/>
      <c r="AI118" s="88"/>
      <c r="AJ118" s="81"/>
      <c r="AK118" s="81"/>
      <c r="AL118" s="81"/>
      <c r="AM118" s="81"/>
      <c r="AN118" s="81"/>
    </row>
    <row r="119" spans="1:40" customFormat="1">
      <c r="A119" s="81"/>
      <c r="B119" s="81"/>
      <c r="C119" s="87"/>
      <c r="D119" s="81"/>
      <c r="E119" s="81"/>
      <c r="F119" s="87"/>
      <c r="G119" s="81"/>
      <c r="H119" s="81" t="s">
        <v>202</v>
      </c>
      <c r="I119" s="431">
        <f>V113/E113-Q113*K113/(3*E113^2)+2*K113^3/(27*E113^3)</f>
        <v>-4.6971127925273048</v>
      </c>
      <c r="J119" s="431"/>
      <c r="K119" s="43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8"/>
      <c r="AI119" s="88"/>
      <c r="AJ119" s="81"/>
      <c r="AK119" s="81"/>
      <c r="AL119" s="81"/>
      <c r="AM119" s="81"/>
      <c r="AN119" s="81"/>
    </row>
    <row r="120" spans="1:40" customFormat="1">
      <c r="A120" s="81"/>
      <c r="B120" s="81"/>
      <c r="C120" s="87"/>
      <c r="D120" s="81"/>
      <c r="E120" s="81"/>
      <c r="F120" s="87"/>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8"/>
      <c r="AI120" s="88"/>
      <c r="AJ120" s="81"/>
      <c r="AK120" s="81"/>
      <c r="AL120" s="81"/>
      <c r="AM120" s="81"/>
      <c r="AN120" s="81"/>
    </row>
    <row r="121" spans="1:40" customFormat="1">
      <c r="A121" s="81"/>
      <c r="B121" s="81"/>
      <c r="C121" s="87"/>
      <c r="D121" s="81"/>
      <c r="E121" s="81"/>
      <c r="F121" s="87"/>
      <c r="G121" s="81"/>
      <c r="H121" s="81"/>
      <c r="I121" s="81" t="s">
        <v>203</v>
      </c>
      <c r="J121" s="81"/>
      <c r="K121" s="81"/>
      <c r="L121" s="81"/>
      <c r="M121" s="81" t="s">
        <v>204</v>
      </c>
      <c r="N121" s="81"/>
      <c r="O121" s="81"/>
      <c r="P121" s="81"/>
      <c r="Q121" s="81"/>
      <c r="R121" s="81"/>
      <c r="S121" s="81"/>
      <c r="T121" s="81"/>
      <c r="U121" s="81"/>
      <c r="V121" s="81"/>
      <c r="W121" s="81"/>
      <c r="X121" s="81"/>
      <c r="Y121" s="81" t="s">
        <v>205</v>
      </c>
      <c r="Z121" s="81"/>
      <c r="AA121" s="81"/>
      <c r="AB121" s="81"/>
      <c r="AC121" s="81"/>
      <c r="AD121" s="81"/>
      <c r="AE121" s="81"/>
      <c r="AF121" s="81"/>
      <c r="AG121" s="81"/>
      <c r="AH121" s="88"/>
      <c r="AI121" s="88"/>
      <c r="AJ121" s="81"/>
      <c r="AK121" s="81"/>
      <c r="AL121" s="81"/>
      <c r="AM121" s="81"/>
      <c r="AN121" s="81"/>
    </row>
    <row r="122" spans="1:40" customFormat="1">
      <c r="A122" s="81"/>
      <c r="B122" s="81"/>
      <c r="C122" s="87"/>
      <c r="D122" s="81"/>
      <c r="E122" s="81"/>
      <c r="F122" s="87"/>
      <c r="G122" s="81"/>
      <c r="H122" s="81" t="s">
        <v>66</v>
      </c>
      <c r="I122" s="431">
        <f>IF(Y118&gt;=0,-I119/2+SQRT(Y118),-I119/2)</f>
        <v>2.3485563962636524</v>
      </c>
      <c r="J122" s="431"/>
      <c r="K122" s="431"/>
      <c r="L122" s="81" t="s">
        <v>69</v>
      </c>
      <c r="M122" s="431">
        <f>IF(Y118&gt;=0,0,SQRT(-Y118))</f>
        <v>4.9140600562963668</v>
      </c>
      <c r="N122" s="431"/>
      <c r="O122" s="431"/>
      <c r="P122" s="81" t="s">
        <v>206</v>
      </c>
      <c r="Q122" s="81"/>
      <c r="R122" s="81"/>
      <c r="S122" s="81"/>
      <c r="T122" s="81"/>
      <c r="U122" s="81"/>
      <c r="V122" s="81"/>
      <c r="W122" s="81"/>
      <c r="X122" s="81" t="s">
        <v>207</v>
      </c>
      <c r="Y122" s="431">
        <f>SQRT(I122^2+M122^2)</f>
        <v>5.4464395143357978</v>
      </c>
      <c r="Z122" s="431"/>
      <c r="AA122" s="431"/>
      <c r="AB122" s="81"/>
      <c r="AC122" s="81" t="s">
        <v>208</v>
      </c>
      <c r="AD122" s="431">
        <f>ATAN2(I122,M122)</f>
        <v>1.1249634567043216</v>
      </c>
      <c r="AE122" s="431"/>
      <c r="AF122" s="431"/>
      <c r="AG122" s="81"/>
      <c r="AH122" s="88"/>
      <c r="AI122" s="88"/>
      <c r="AJ122" s="81"/>
      <c r="AK122" s="81"/>
      <c r="AL122" s="81"/>
      <c r="AM122" s="81"/>
      <c r="AN122" s="81"/>
    </row>
    <row r="123" spans="1:40" customFormat="1">
      <c r="A123" s="81"/>
      <c r="B123" s="81"/>
      <c r="C123" s="87"/>
      <c r="D123" s="81"/>
      <c r="E123" s="81"/>
      <c r="F123" s="87"/>
      <c r="G123" s="81"/>
      <c r="H123" s="81" t="s">
        <v>209</v>
      </c>
      <c r="I123" s="431">
        <f>IF(Y118&gt;=0,-I119/2-SQRT(Y118),-I119/2)</f>
        <v>2.3485563962636524</v>
      </c>
      <c r="J123" s="431"/>
      <c r="K123" s="431"/>
      <c r="L123" s="81" t="s">
        <v>69</v>
      </c>
      <c r="M123" s="431">
        <f>IF(Y118&gt;=0,0,-SQRT(-Y118))</f>
        <v>-4.9140600562963668</v>
      </c>
      <c r="N123" s="431"/>
      <c r="O123" s="431"/>
      <c r="P123" s="81" t="s">
        <v>206</v>
      </c>
      <c r="Q123" s="81"/>
      <c r="R123" s="81"/>
      <c r="S123" s="81"/>
      <c r="T123" s="81"/>
      <c r="U123" s="81"/>
      <c r="V123" s="81"/>
      <c r="W123" s="81"/>
      <c r="X123" s="81" t="s">
        <v>207</v>
      </c>
      <c r="Y123" s="431">
        <f>SQRT(I123^2+M123^2)</f>
        <v>5.4464395143357978</v>
      </c>
      <c r="Z123" s="431"/>
      <c r="AA123" s="431"/>
      <c r="AB123" s="81"/>
      <c r="AC123" s="81" t="s">
        <v>208</v>
      </c>
      <c r="AD123" s="431">
        <f>ATAN2(I123,M123)</f>
        <v>-1.1249634567043216</v>
      </c>
      <c r="AE123" s="431"/>
      <c r="AF123" s="431"/>
      <c r="AG123" s="81"/>
      <c r="AH123" s="88"/>
      <c r="AI123" s="88"/>
      <c r="AJ123" s="81"/>
      <c r="AK123" s="81"/>
      <c r="AL123" s="81"/>
      <c r="AM123" s="81"/>
      <c r="AN123" s="81"/>
    </row>
    <row r="124" spans="1:40" customFormat="1">
      <c r="A124" s="81"/>
      <c r="B124" s="81"/>
      <c r="C124" s="87"/>
      <c r="D124" s="81"/>
      <c r="E124" s="81"/>
      <c r="F124" s="87"/>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8"/>
      <c r="AI124" s="88"/>
      <c r="AJ124" s="81"/>
      <c r="AK124" s="81"/>
      <c r="AL124" s="81"/>
      <c r="AM124" s="81"/>
      <c r="AN124" s="81"/>
    </row>
    <row r="125" spans="1:40" customFormat="1">
      <c r="A125" s="81"/>
      <c r="B125" s="81"/>
      <c r="C125" s="87"/>
      <c r="D125" s="81"/>
      <c r="E125" s="81"/>
      <c r="F125" s="87"/>
      <c r="G125" s="82" t="s">
        <v>210</v>
      </c>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1"/>
      <c r="AH125" s="88"/>
      <c r="AI125" s="88"/>
      <c r="AJ125" s="81"/>
      <c r="AK125" s="81"/>
      <c r="AL125" s="81"/>
      <c r="AM125" s="81"/>
      <c r="AN125" s="81"/>
    </row>
    <row r="126" spans="1:40" customFormat="1">
      <c r="A126" s="81"/>
      <c r="B126" s="81"/>
      <c r="C126" s="87"/>
      <c r="D126" s="81"/>
      <c r="E126" s="81"/>
      <c r="F126" s="87"/>
      <c r="G126" s="81"/>
      <c r="H126" s="81"/>
      <c r="I126" s="81" t="s">
        <v>211</v>
      </c>
      <c r="J126" s="81"/>
      <c r="K126" s="81"/>
      <c r="L126" s="81"/>
      <c r="M126" s="81" t="s">
        <v>204</v>
      </c>
      <c r="N126" s="81"/>
      <c r="O126" s="81"/>
      <c r="P126" s="81"/>
      <c r="Q126" s="81"/>
      <c r="R126" s="81"/>
      <c r="S126" s="81"/>
      <c r="T126" s="81"/>
      <c r="U126" s="81"/>
      <c r="V126" s="81"/>
      <c r="W126" s="81"/>
      <c r="X126" s="81"/>
      <c r="Y126" s="81"/>
      <c r="Z126" s="81"/>
      <c r="AA126" s="81"/>
      <c r="AB126" s="81"/>
      <c r="AC126" s="81"/>
      <c r="AD126" s="81"/>
      <c r="AE126" s="81"/>
      <c r="AF126" s="81"/>
      <c r="AG126" s="81"/>
      <c r="AH126" s="88"/>
      <c r="AI126" s="88"/>
      <c r="AJ126" s="81"/>
      <c r="AK126" s="81"/>
      <c r="AL126" s="81"/>
      <c r="AM126" s="81"/>
      <c r="AN126" s="81"/>
    </row>
    <row r="127" spans="1:40" customFormat="1">
      <c r="A127" s="81"/>
      <c r="B127" s="81"/>
      <c r="C127" s="87"/>
      <c r="D127" s="81"/>
      <c r="E127" s="81"/>
      <c r="F127" s="87"/>
      <c r="G127" s="81"/>
      <c r="H127" s="81" t="s">
        <v>154</v>
      </c>
      <c r="I127" s="431">
        <f>IF(Y122&gt;0,Y122^(1/3)*COS(AD122/3),0)</f>
        <v>1.6371667363134832</v>
      </c>
      <c r="J127" s="431"/>
      <c r="K127" s="431"/>
      <c r="L127" s="81" t="s">
        <v>69</v>
      </c>
      <c r="M127" s="431">
        <f>IF(Y122&gt;0,Y122^(1/3)*SIN(AD122/3),0)</f>
        <v>0.64440930432865984</v>
      </c>
      <c r="N127" s="431"/>
      <c r="O127" s="431"/>
      <c r="P127" s="81" t="s">
        <v>206</v>
      </c>
      <c r="Q127" s="81"/>
      <c r="R127" s="81"/>
      <c r="S127" s="81"/>
      <c r="T127" s="81"/>
      <c r="U127" s="81"/>
      <c r="V127" s="81"/>
      <c r="W127" s="81"/>
      <c r="X127" s="81" t="s">
        <v>207</v>
      </c>
      <c r="Y127" s="431">
        <f>I127^2+M127^2</f>
        <v>3.0955782739966895</v>
      </c>
      <c r="Z127" s="431"/>
      <c r="AA127" s="431"/>
      <c r="AB127" s="81"/>
      <c r="AC127" s="81" t="s">
        <v>208</v>
      </c>
      <c r="AD127" s="431">
        <f>ATAN2(I127,M127)</f>
        <v>0.37498781890144056</v>
      </c>
      <c r="AE127" s="431"/>
      <c r="AF127" s="431"/>
      <c r="AG127" s="81"/>
      <c r="AH127" s="88"/>
      <c r="AI127" s="88"/>
      <c r="AJ127" s="81"/>
      <c r="AK127" s="81"/>
      <c r="AL127" s="81"/>
      <c r="AM127" s="81"/>
      <c r="AN127" s="81"/>
    </row>
    <row r="128" spans="1:40" customFormat="1">
      <c r="A128" s="81"/>
      <c r="B128" s="81"/>
      <c r="C128" s="87"/>
      <c r="D128" s="81"/>
      <c r="E128" s="81"/>
      <c r="F128" s="87"/>
      <c r="G128" s="81"/>
      <c r="H128" s="81" t="s">
        <v>6</v>
      </c>
      <c r="I128" s="431">
        <f>IF(Y127&gt;0,-I118*I127/(3*Y127),Y123^(1/3)*COS(AD123/3))</f>
        <v>1.6371667363134832</v>
      </c>
      <c r="J128" s="431"/>
      <c r="K128" s="431"/>
      <c r="L128" s="81" t="s">
        <v>69</v>
      </c>
      <c r="M128" s="431">
        <f>IF(Y127&gt;0, I118*M127/(3*Y127),Y123^(1/3)*SIN(AD123/3))</f>
        <v>-0.64440930432865984</v>
      </c>
      <c r="N128" s="431"/>
      <c r="O128" s="431"/>
      <c r="P128" s="81" t="s">
        <v>206</v>
      </c>
      <c r="Q128" s="81"/>
      <c r="R128" s="81"/>
      <c r="S128" s="81"/>
      <c r="T128" s="81"/>
      <c r="U128" s="81"/>
      <c r="V128" s="81"/>
      <c r="W128" s="81"/>
      <c r="X128" s="81" t="s">
        <v>207</v>
      </c>
      <c r="Y128" s="431">
        <f>I128^2+M128^2</f>
        <v>3.0955782739966895</v>
      </c>
      <c r="Z128" s="431"/>
      <c r="AA128" s="431"/>
      <c r="AB128" s="81"/>
      <c r="AC128" s="81" t="s">
        <v>208</v>
      </c>
      <c r="AD128" s="431">
        <f>ATAN2(I128,M128)</f>
        <v>-0.37498781890144056</v>
      </c>
      <c r="AE128" s="431"/>
      <c r="AF128" s="431"/>
      <c r="AG128" s="81"/>
      <c r="AH128" s="88"/>
      <c r="AI128" s="88"/>
      <c r="AJ128" s="81"/>
      <c r="AK128" s="81"/>
      <c r="AL128" s="81"/>
      <c r="AM128" s="81"/>
      <c r="AN128" s="81"/>
    </row>
    <row r="129" spans="1:40" customFormat="1">
      <c r="A129" s="81"/>
      <c r="B129" s="81"/>
      <c r="C129" s="87"/>
      <c r="D129" s="81"/>
      <c r="E129" s="81"/>
      <c r="F129" s="87"/>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8"/>
      <c r="AI129" s="88"/>
      <c r="AJ129" s="81"/>
      <c r="AK129" s="81"/>
      <c r="AL129" s="81"/>
      <c r="AM129" s="81"/>
      <c r="AN129" s="81"/>
    </row>
    <row r="130" spans="1:40" customFormat="1">
      <c r="A130" s="81"/>
      <c r="B130" s="81"/>
      <c r="C130" s="87"/>
      <c r="D130" s="81"/>
      <c r="E130" s="81"/>
      <c r="F130" s="87"/>
      <c r="G130" s="81"/>
      <c r="H130" s="89" t="s">
        <v>212</v>
      </c>
      <c r="I130" s="431">
        <f>(-I127-M127*SQRT(3))/2</f>
        <v>-1.3766581961404185</v>
      </c>
      <c r="J130" s="431"/>
      <c r="K130" s="431"/>
      <c r="L130" s="81" t="s">
        <v>69</v>
      </c>
      <c r="M130" s="431">
        <f>(I127*SQRT(3)-M127)/2</f>
        <v>1.0956233317140058</v>
      </c>
      <c r="N130" s="431"/>
      <c r="O130" s="431"/>
      <c r="P130" s="81" t="s">
        <v>206</v>
      </c>
      <c r="Q130" s="81"/>
      <c r="R130" s="81"/>
      <c r="S130" s="81"/>
      <c r="T130" s="81"/>
      <c r="U130" s="81"/>
      <c r="V130" s="81"/>
      <c r="W130" s="81"/>
      <c r="X130" s="81" t="s">
        <v>207</v>
      </c>
      <c r="Y130" s="431">
        <f>I130^2+M130^2</f>
        <v>3.0955782739966895</v>
      </c>
      <c r="Z130" s="431"/>
      <c r="AA130" s="431"/>
      <c r="AB130" s="81"/>
      <c r="AC130" s="81" t="s">
        <v>208</v>
      </c>
      <c r="AD130" s="431">
        <f>ATAN2(I130,M130)</f>
        <v>2.4693829212946361</v>
      </c>
      <c r="AE130" s="431"/>
      <c r="AF130" s="431"/>
      <c r="AG130" s="81"/>
      <c r="AH130" s="88"/>
      <c r="AI130" s="88"/>
      <c r="AJ130" s="81"/>
      <c r="AK130" s="81"/>
      <c r="AL130" s="81"/>
      <c r="AM130" s="81"/>
      <c r="AN130" s="81"/>
    </row>
    <row r="131" spans="1:40" customFormat="1">
      <c r="A131" s="81"/>
      <c r="B131" s="81"/>
      <c r="C131" s="87"/>
      <c r="D131" s="81"/>
      <c r="E131" s="81"/>
      <c r="F131" s="87"/>
      <c r="G131" s="81"/>
      <c r="H131" s="89" t="s">
        <v>213</v>
      </c>
      <c r="I131" s="431">
        <f>(-I128+M128*SQRT(3))/2</f>
        <v>-1.3766581961404185</v>
      </c>
      <c r="J131" s="431"/>
      <c r="K131" s="431"/>
      <c r="L131" s="81" t="s">
        <v>69</v>
      </c>
      <c r="M131" s="431">
        <f>(-I128*SQRT(3)-M128)/2</f>
        <v>-1.0956233317140058</v>
      </c>
      <c r="N131" s="431"/>
      <c r="O131" s="431"/>
      <c r="P131" s="81" t="s">
        <v>206</v>
      </c>
      <c r="Q131" s="81"/>
      <c r="R131" s="81"/>
      <c r="S131" s="81"/>
      <c r="T131" s="81"/>
      <c r="U131" s="81"/>
      <c r="V131" s="81"/>
      <c r="W131" s="81"/>
      <c r="X131" s="81" t="s">
        <v>207</v>
      </c>
      <c r="Y131" s="431">
        <f>I131^2+M131^2</f>
        <v>3.0955782739966895</v>
      </c>
      <c r="Z131" s="431"/>
      <c r="AA131" s="431"/>
      <c r="AB131" s="81"/>
      <c r="AC131" s="81" t="s">
        <v>208</v>
      </c>
      <c r="AD131" s="431">
        <f>ATAN2(I131,M131)</f>
        <v>-2.4693829212946361</v>
      </c>
      <c r="AE131" s="431"/>
      <c r="AF131" s="431"/>
      <c r="AG131" s="81"/>
      <c r="AH131" s="88"/>
      <c r="AI131" s="88"/>
      <c r="AJ131" s="81"/>
      <c r="AK131" s="81"/>
      <c r="AL131" s="81"/>
      <c r="AM131" s="81"/>
      <c r="AN131" s="81"/>
    </row>
    <row r="132" spans="1:40" customFormat="1">
      <c r="A132" s="81"/>
      <c r="B132" s="81"/>
      <c r="C132" s="87"/>
      <c r="D132" s="81"/>
      <c r="E132" s="81"/>
      <c r="F132" s="87"/>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8"/>
      <c r="AI132" s="88"/>
      <c r="AJ132" s="81"/>
      <c r="AK132" s="81"/>
      <c r="AL132" s="81"/>
      <c r="AM132" s="81"/>
      <c r="AN132" s="81"/>
    </row>
    <row r="133" spans="1:40" customFormat="1">
      <c r="A133" s="81"/>
      <c r="B133" s="81"/>
      <c r="C133" s="87"/>
      <c r="D133" s="81"/>
      <c r="E133" s="81"/>
      <c r="F133" s="87"/>
      <c r="G133" s="81"/>
      <c r="H133" s="89" t="s">
        <v>214</v>
      </c>
      <c r="I133" s="431">
        <f>(-I127+M127*SQRT(3))/2</f>
        <v>-0.2605085401730648</v>
      </c>
      <c r="J133" s="431"/>
      <c r="K133" s="431"/>
      <c r="L133" s="81" t="s">
        <v>69</v>
      </c>
      <c r="M133" s="431">
        <f>(-I127*SQRT(3)-M127)/2</f>
        <v>-1.7400326360426659</v>
      </c>
      <c r="N133" s="431"/>
      <c r="O133" s="431"/>
      <c r="P133" s="81" t="s">
        <v>206</v>
      </c>
      <c r="Q133" s="81"/>
      <c r="R133" s="81"/>
      <c r="S133" s="81"/>
      <c r="T133" s="81"/>
      <c r="U133" s="81"/>
      <c r="V133" s="81"/>
      <c r="W133" s="81"/>
      <c r="X133" s="81" t="s">
        <v>207</v>
      </c>
      <c r="Y133" s="431">
        <f>I133^2+M133^2</f>
        <v>3.0955782739966899</v>
      </c>
      <c r="Z133" s="431"/>
      <c r="AA133" s="431"/>
      <c r="AB133" s="81"/>
      <c r="AC133" s="81" t="s">
        <v>208</v>
      </c>
      <c r="AD133" s="431">
        <f>ATAN2(I133,M133)</f>
        <v>-1.7194072834917549</v>
      </c>
      <c r="AE133" s="431"/>
      <c r="AF133" s="431"/>
      <c r="AG133" s="81"/>
      <c r="AH133" s="88"/>
      <c r="AI133" s="88"/>
      <c r="AJ133" s="81"/>
      <c r="AK133" s="81"/>
      <c r="AL133" s="81"/>
      <c r="AM133" s="81"/>
      <c r="AN133" s="81"/>
    </row>
    <row r="134" spans="1:40" customFormat="1">
      <c r="A134" s="81"/>
      <c r="B134" s="81"/>
      <c r="C134" s="87"/>
      <c r="D134" s="81"/>
      <c r="E134" s="81"/>
      <c r="F134" s="87"/>
      <c r="G134" s="81"/>
      <c r="H134" s="89" t="s">
        <v>215</v>
      </c>
      <c r="I134" s="431">
        <f>(-I128-M128*SQRT(3))/2</f>
        <v>-0.2605085401730648</v>
      </c>
      <c r="J134" s="431"/>
      <c r="K134" s="431"/>
      <c r="L134" s="81" t="s">
        <v>69</v>
      </c>
      <c r="M134" s="431">
        <f>(I128*SQRT(3)-M128)/2</f>
        <v>1.7400326360426659</v>
      </c>
      <c r="N134" s="431"/>
      <c r="O134" s="431"/>
      <c r="P134" s="81" t="s">
        <v>206</v>
      </c>
      <c r="Q134" s="81"/>
      <c r="R134" s="81"/>
      <c r="S134" s="81"/>
      <c r="T134" s="81"/>
      <c r="U134" s="81"/>
      <c r="V134" s="81"/>
      <c r="W134" s="81"/>
      <c r="X134" s="81" t="s">
        <v>207</v>
      </c>
      <c r="Y134" s="431">
        <f>I134^2+M134^2</f>
        <v>3.0955782739966899</v>
      </c>
      <c r="Z134" s="431"/>
      <c r="AA134" s="431"/>
      <c r="AB134" s="81"/>
      <c r="AC134" s="81" t="s">
        <v>208</v>
      </c>
      <c r="AD134" s="431">
        <f>ATAN2(I134,M134)</f>
        <v>1.7194072834917549</v>
      </c>
      <c r="AE134" s="431"/>
      <c r="AF134" s="431"/>
      <c r="AG134" s="81"/>
      <c r="AH134" s="88"/>
      <c r="AI134" s="88"/>
      <c r="AJ134" s="81"/>
      <c r="AK134" s="81"/>
      <c r="AL134" s="81"/>
      <c r="AM134" s="81"/>
      <c r="AN134" s="81"/>
    </row>
    <row r="135" spans="1:40" customFormat="1" ht="18.600000000000001" thickBot="1">
      <c r="A135" s="81"/>
      <c r="B135" s="81"/>
      <c r="C135" s="87"/>
      <c r="D135" s="81"/>
      <c r="E135" s="81"/>
      <c r="F135" s="87"/>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8"/>
      <c r="AI135" s="88"/>
      <c r="AJ135" s="81"/>
      <c r="AK135" s="81"/>
      <c r="AL135" s="81"/>
      <c r="AM135" s="81"/>
      <c r="AN135" s="81"/>
    </row>
    <row r="136" spans="1:40" customFormat="1" ht="18.600000000000001" thickBot="1">
      <c r="A136" s="81"/>
      <c r="B136" s="81"/>
      <c r="C136" s="87"/>
      <c r="D136" s="81"/>
      <c r="E136" s="81"/>
      <c r="F136" s="87"/>
      <c r="G136" s="81"/>
      <c r="H136" s="81" t="s">
        <v>216</v>
      </c>
      <c r="I136" s="438">
        <f>I116+I127+I128</f>
        <v>2.2584000714510273</v>
      </c>
      <c r="J136" s="439"/>
      <c r="K136" s="440"/>
      <c r="L136" s="81" t="s">
        <v>69</v>
      </c>
      <c r="M136" s="436">
        <f>M127+M128</f>
        <v>0</v>
      </c>
      <c r="N136" s="436"/>
      <c r="O136" s="436"/>
      <c r="P136" s="81" t="s">
        <v>206</v>
      </c>
      <c r="Q136" s="81"/>
      <c r="R136" s="81"/>
      <c r="S136" s="81"/>
      <c r="T136" s="81"/>
      <c r="U136" s="81"/>
      <c r="V136" s="81"/>
      <c r="W136" s="81"/>
      <c r="X136" s="81"/>
      <c r="Y136" s="81"/>
      <c r="Z136" s="81"/>
      <c r="AA136" s="81"/>
      <c r="AB136" s="81"/>
      <c r="AC136" s="81"/>
      <c r="AD136" s="81"/>
      <c r="AE136" s="81"/>
      <c r="AF136" s="81"/>
      <c r="AG136" s="81"/>
      <c r="AH136" s="88"/>
      <c r="AI136" s="88"/>
      <c r="AJ136" s="81"/>
      <c r="AK136" s="81"/>
      <c r="AL136" s="81"/>
      <c r="AM136" s="81"/>
      <c r="AN136" s="81"/>
    </row>
    <row r="137" spans="1:40" customFormat="1">
      <c r="A137" s="81"/>
      <c r="B137" s="81"/>
      <c r="C137" s="87"/>
      <c r="D137" s="81"/>
      <c r="E137" s="81"/>
      <c r="F137" s="87"/>
      <c r="G137" s="81"/>
      <c r="H137" s="81" t="s">
        <v>217</v>
      </c>
      <c r="I137" s="441">
        <f>I116+I130+I131</f>
        <v>-3.7692497934567761</v>
      </c>
      <c r="J137" s="442"/>
      <c r="K137" s="443"/>
      <c r="L137" s="81" t="s">
        <v>69</v>
      </c>
      <c r="M137" s="436">
        <f>M130+M131</f>
        <v>0</v>
      </c>
      <c r="N137" s="436"/>
      <c r="O137" s="436"/>
      <c r="P137" s="81" t="s">
        <v>206</v>
      </c>
      <c r="Q137" s="81"/>
      <c r="R137" s="81"/>
      <c r="S137" s="81"/>
      <c r="T137" s="81"/>
      <c r="U137" s="81"/>
      <c r="V137" s="81"/>
      <c r="W137" s="81"/>
      <c r="X137" s="81"/>
      <c r="Y137" s="81"/>
      <c r="Z137" s="81"/>
      <c r="AA137" s="81"/>
      <c r="AB137" s="81"/>
      <c r="AC137" s="81"/>
      <c r="AD137" s="81"/>
      <c r="AE137" s="81"/>
      <c r="AF137" s="81"/>
      <c r="AG137" s="81"/>
      <c r="AH137" s="88"/>
      <c r="AI137" s="88"/>
      <c r="AJ137" s="81"/>
      <c r="AK137" s="81"/>
      <c r="AL137" s="81"/>
      <c r="AM137" s="81"/>
      <c r="AN137" s="81"/>
    </row>
    <row r="138" spans="1:40" customFormat="1">
      <c r="A138" s="81"/>
      <c r="B138" s="81"/>
      <c r="C138" s="87"/>
      <c r="D138" s="81"/>
      <c r="E138" s="81"/>
      <c r="F138" s="87"/>
      <c r="G138" s="81"/>
      <c r="H138" s="81" t="s">
        <v>218</v>
      </c>
      <c r="I138" s="433">
        <f>I116+I133+I134</f>
        <v>-1.5369504815220685</v>
      </c>
      <c r="J138" s="434"/>
      <c r="K138" s="435"/>
      <c r="L138" s="81" t="s">
        <v>69</v>
      </c>
      <c r="M138" s="436">
        <f>M133+M134</f>
        <v>0</v>
      </c>
      <c r="N138" s="436"/>
      <c r="O138" s="436"/>
      <c r="P138" s="81" t="s">
        <v>206</v>
      </c>
      <c r="Q138" s="81"/>
      <c r="R138" s="81"/>
      <c r="S138" s="81"/>
      <c r="T138" s="81"/>
      <c r="U138" s="81"/>
      <c r="V138" s="81"/>
      <c r="W138" s="81"/>
      <c r="X138" s="81"/>
      <c r="Y138" s="81"/>
      <c r="Z138" s="81"/>
      <c r="AA138" s="81"/>
      <c r="AB138" s="81"/>
      <c r="AC138" s="81"/>
      <c r="AD138" s="81"/>
      <c r="AE138" s="81"/>
      <c r="AF138" s="81"/>
      <c r="AG138" s="81"/>
      <c r="AH138" s="88"/>
      <c r="AI138" s="88"/>
      <c r="AJ138" s="81"/>
      <c r="AK138" s="81"/>
      <c r="AL138" s="81"/>
      <c r="AM138" s="81"/>
      <c r="AN138" s="81"/>
    </row>
    <row r="139" spans="1:40" customFormat="1">
      <c r="A139" s="81"/>
      <c r="B139" s="81"/>
      <c r="C139" s="87"/>
      <c r="D139" s="81"/>
      <c r="E139" s="81"/>
      <c r="F139" s="90"/>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91"/>
      <c r="AI139" s="88"/>
      <c r="AJ139" s="81"/>
      <c r="AK139" s="81"/>
      <c r="AL139" s="81"/>
      <c r="AM139" s="81"/>
      <c r="AN139" s="81"/>
    </row>
    <row r="140" spans="1:40" customFormat="1">
      <c r="A140" s="81"/>
      <c r="B140" s="81"/>
      <c r="C140" s="87"/>
      <c r="D140" s="81"/>
      <c r="E140" s="81"/>
      <c r="F140" s="81"/>
      <c r="G140" s="81"/>
      <c r="H140" s="81" t="s">
        <v>219</v>
      </c>
      <c r="I140" s="81"/>
      <c r="J140" s="81"/>
      <c r="K140" s="81"/>
      <c r="L140" s="81"/>
      <c r="M140" s="81"/>
      <c r="N140" s="81"/>
      <c r="O140" s="81"/>
      <c r="P140" s="81"/>
      <c r="Q140" s="81"/>
      <c r="R140" s="81"/>
      <c r="S140" s="81"/>
      <c r="T140" s="81"/>
      <c r="U140" s="81"/>
      <c r="V140" s="81"/>
      <c r="W140" s="81"/>
      <c r="X140" s="81"/>
      <c r="Y140" s="81"/>
      <c r="Z140" s="81"/>
      <c r="AA140" s="81"/>
      <c r="AB140" s="81"/>
      <c r="AC140" s="81"/>
      <c r="AD140" s="81"/>
      <c r="AE140" s="81"/>
      <c r="AF140" s="81"/>
      <c r="AG140" s="81"/>
      <c r="AH140" s="81"/>
      <c r="AI140" s="88"/>
      <c r="AJ140" s="81"/>
      <c r="AK140" s="81"/>
      <c r="AL140" s="81"/>
      <c r="AM140" s="81"/>
      <c r="AN140" s="81"/>
    </row>
    <row r="141" spans="1:40" customFormat="1" ht="19.2">
      <c r="A141" s="81"/>
      <c r="B141" s="81"/>
      <c r="C141" s="87"/>
      <c r="D141" s="81"/>
      <c r="E141" s="81"/>
      <c r="F141" s="81"/>
      <c r="G141" s="81"/>
      <c r="H141" s="81" t="s">
        <v>222</v>
      </c>
      <c r="I141" s="81"/>
      <c r="J141" s="433">
        <f>I136</f>
        <v>2.2584000714510273</v>
      </c>
      <c r="K141" s="434"/>
      <c r="L141" s="435"/>
      <c r="M141" s="81" t="s">
        <v>3</v>
      </c>
      <c r="N141" s="81"/>
      <c r="O141" s="81"/>
      <c r="P141" s="81"/>
      <c r="Q141" s="81"/>
      <c r="R141" s="81"/>
      <c r="S141" s="81"/>
      <c r="T141" s="81"/>
      <c r="U141" s="81"/>
      <c r="V141" s="81"/>
      <c r="W141" s="81"/>
      <c r="X141" s="81"/>
      <c r="Y141" s="81"/>
      <c r="Z141" s="81"/>
      <c r="AA141" s="81"/>
      <c r="AB141" s="81"/>
      <c r="AC141" s="81"/>
      <c r="AD141" s="81"/>
      <c r="AE141" s="81"/>
      <c r="AF141" s="81"/>
      <c r="AG141" s="81"/>
      <c r="AH141" s="81"/>
      <c r="AI141" s="88"/>
      <c r="AJ141" s="81"/>
      <c r="AK141" s="81"/>
      <c r="AL141" s="81"/>
      <c r="AM141" s="81"/>
      <c r="AN141" s="81"/>
    </row>
    <row r="142" spans="1:40" customFormat="1">
      <c r="A142" s="81"/>
      <c r="B142" s="81"/>
      <c r="C142" s="87"/>
      <c r="D142" s="81"/>
      <c r="E142" s="81"/>
      <c r="F142" s="81"/>
      <c r="G142" s="81"/>
      <c r="H142" s="81"/>
      <c r="I142" s="81"/>
      <c r="J142" s="186"/>
      <c r="K142" s="186"/>
      <c r="L142" s="186"/>
      <c r="M142" s="81"/>
      <c r="N142" s="81"/>
      <c r="O142" s="81"/>
      <c r="P142" s="81"/>
      <c r="Q142" s="81"/>
      <c r="R142" s="81"/>
      <c r="S142" s="81"/>
      <c r="T142" s="81"/>
      <c r="U142" s="81"/>
      <c r="V142" s="81"/>
      <c r="W142" s="81"/>
      <c r="X142" s="81"/>
      <c r="Y142" s="81"/>
      <c r="Z142" s="81"/>
      <c r="AA142" s="81"/>
      <c r="AB142" s="81"/>
      <c r="AC142" s="81"/>
      <c r="AD142" s="81"/>
      <c r="AE142" s="81"/>
      <c r="AF142" s="81"/>
      <c r="AG142" s="81"/>
      <c r="AH142" s="81"/>
      <c r="AI142" s="88"/>
      <c r="AJ142" s="81"/>
      <c r="AK142" s="81"/>
      <c r="AL142" s="81"/>
      <c r="AM142" s="81"/>
      <c r="AN142" s="81"/>
    </row>
    <row r="143" spans="1:40">
      <c r="B143" s="13"/>
      <c r="C143" s="12" t="s">
        <v>431</v>
      </c>
      <c r="D143" s="96"/>
      <c r="E143" s="95"/>
      <c r="F143" s="95"/>
      <c r="G143" s="95"/>
      <c r="H143" s="95"/>
      <c r="I143" s="95"/>
      <c r="J143" s="93"/>
      <c r="K143" s="93"/>
      <c r="L143" s="93"/>
      <c r="M143" s="93"/>
      <c r="N143" s="93"/>
      <c r="O143" s="94"/>
      <c r="P143" s="94"/>
      <c r="Q143" s="94"/>
      <c r="R143" s="94"/>
      <c r="S143" s="93"/>
      <c r="T143" s="93"/>
      <c r="U143" s="95"/>
      <c r="V143" s="95"/>
      <c r="W143" s="95"/>
      <c r="X143" s="80"/>
      <c r="Y143" s="80"/>
      <c r="Z143" s="80"/>
      <c r="AA143"/>
      <c r="AB143" s="97"/>
      <c r="AC143" s="98"/>
      <c r="AD143" s="95"/>
      <c r="AE143" s="95"/>
      <c r="AF143" s="13"/>
      <c r="AG143" s="13"/>
      <c r="AH143" s="13"/>
      <c r="AI143" s="15"/>
    </row>
    <row r="144" spans="1:40" ht="19.2">
      <c r="B144" s="13"/>
      <c r="C144" s="12"/>
      <c r="D144" s="96"/>
      <c r="E144" s="95"/>
      <c r="F144" s="98" t="s">
        <v>425</v>
      </c>
      <c r="G144" s="95"/>
      <c r="H144" s="95"/>
      <c r="I144" s="95"/>
      <c r="J144" s="93"/>
      <c r="K144" s="93"/>
      <c r="L144" s="93"/>
      <c r="M144" s="437">
        <f>AD5</f>
        <v>1.2</v>
      </c>
      <c r="N144" s="349"/>
      <c r="O144" s="98" t="s">
        <v>221</v>
      </c>
      <c r="P144" s="94"/>
      <c r="Q144" s="94"/>
      <c r="R144" s="94"/>
      <c r="S144" s="93"/>
      <c r="T144" s="93"/>
      <c r="U144" s="95"/>
      <c r="V144" s="95"/>
      <c r="W144" s="95"/>
      <c r="X144" s="80"/>
      <c r="Y144" s="80"/>
      <c r="Z144" s="80"/>
      <c r="AA144"/>
      <c r="AB144" s="97"/>
      <c r="AC144" s="98"/>
      <c r="AD144" s="95"/>
      <c r="AE144" s="95"/>
      <c r="AF144" s="13"/>
      <c r="AG144" s="13"/>
      <c r="AH144" s="13"/>
      <c r="AI144" s="15"/>
    </row>
    <row r="145" spans="2:35">
      <c r="B145" s="13"/>
      <c r="C145" s="12"/>
      <c r="D145" s="96"/>
      <c r="E145" s="95"/>
      <c r="F145" s="95"/>
      <c r="G145" s="95"/>
      <c r="H145" s="81" t="s">
        <v>220</v>
      </c>
      <c r="I145" s="95"/>
      <c r="J145" s="433">
        <f>J141*M144</f>
        <v>2.7100800857412328</v>
      </c>
      <c r="K145" s="434"/>
      <c r="L145" s="435"/>
      <c r="M145" s="93" t="s">
        <v>3</v>
      </c>
      <c r="N145" s="93"/>
      <c r="O145" s="94"/>
      <c r="P145" s="94"/>
      <c r="Q145" s="94"/>
      <c r="R145" s="94"/>
      <c r="S145" s="93"/>
      <c r="T145" s="93"/>
      <c r="U145" s="95"/>
      <c r="V145" s="95"/>
      <c r="W145" s="95"/>
      <c r="X145" s="80"/>
      <c r="Y145" s="80"/>
      <c r="Z145" s="80"/>
      <c r="AA145"/>
      <c r="AB145" s="97"/>
      <c r="AC145" s="98"/>
      <c r="AD145" s="95"/>
      <c r="AE145" s="95"/>
      <c r="AF145" s="13"/>
      <c r="AG145" s="13"/>
      <c r="AH145" s="13"/>
      <c r="AI145" s="15"/>
    </row>
    <row r="146" spans="2:35">
      <c r="C146" s="104"/>
      <c r="D146" s="105"/>
      <c r="E146" s="105"/>
      <c r="F146" s="105"/>
      <c r="G146" s="105"/>
      <c r="H146" s="105"/>
      <c r="I146" s="105"/>
      <c r="J146" s="105"/>
      <c r="K146" s="105"/>
      <c r="L146" s="105"/>
      <c r="M146" s="105"/>
      <c r="N146" s="105"/>
      <c r="O146" s="105"/>
      <c r="P146" s="105"/>
      <c r="Q146" s="105"/>
      <c r="R146" s="105"/>
      <c r="S146" s="105"/>
      <c r="T146" s="105"/>
      <c r="U146" s="105"/>
      <c r="V146" s="105"/>
      <c r="W146" s="105"/>
      <c r="X146" s="105"/>
      <c r="Y146" s="105"/>
      <c r="Z146" s="105"/>
      <c r="AA146" s="105"/>
      <c r="AB146" s="105"/>
      <c r="AC146" s="105"/>
      <c r="AD146" s="106"/>
      <c r="AE146" s="106"/>
      <c r="AF146" s="107"/>
      <c r="AG146" s="107"/>
      <c r="AH146" s="107"/>
      <c r="AI146" s="108"/>
    </row>
    <row r="148" spans="2:35">
      <c r="B148" s="1" t="s">
        <v>168</v>
      </c>
      <c r="W148" t="s">
        <v>65</v>
      </c>
    </row>
    <row r="149" spans="2:35">
      <c r="C149" s="9" t="s">
        <v>169</v>
      </c>
      <c r="D149" s="10"/>
      <c r="E149" s="10"/>
      <c r="F149" s="10"/>
      <c r="G149" s="10"/>
      <c r="H149" s="10"/>
      <c r="I149" s="10"/>
      <c r="J149" s="10"/>
      <c r="K149" s="10"/>
      <c r="L149" s="10"/>
      <c r="M149" s="10"/>
      <c r="N149" s="10"/>
      <c r="O149" s="10"/>
      <c r="P149" s="10"/>
      <c r="Q149" s="10"/>
      <c r="R149" s="10"/>
      <c r="S149" s="10"/>
      <c r="T149" s="10"/>
      <c r="U149" s="10"/>
      <c r="V149" s="10"/>
      <c r="W149" s="3" t="s">
        <v>7</v>
      </c>
      <c r="X149" s="10"/>
      <c r="Y149" s="10"/>
      <c r="Z149" s="10"/>
      <c r="AA149" s="10"/>
      <c r="AB149" s="10"/>
      <c r="AC149" s="10"/>
      <c r="AD149" s="10"/>
      <c r="AE149" s="10"/>
      <c r="AF149" s="10"/>
      <c r="AG149" s="10"/>
      <c r="AH149" s="10"/>
      <c r="AI149" s="11"/>
    </row>
    <row r="150" spans="2:35">
      <c r="C150" s="16"/>
      <c r="D150" s="17"/>
      <c r="E150" s="17"/>
      <c r="F150" s="17"/>
      <c r="G150" s="17"/>
      <c r="H150" s="17"/>
      <c r="I150" s="17"/>
      <c r="J150" s="17"/>
      <c r="K150" s="17"/>
      <c r="L150" s="17"/>
      <c r="M150" s="17"/>
      <c r="N150" s="17"/>
      <c r="O150" s="17"/>
      <c r="P150" s="17"/>
      <c r="Q150" s="17"/>
      <c r="R150" s="17"/>
      <c r="S150" s="17"/>
      <c r="T150" s="17"/>
      <c r="U150" s="17"/>
      <c r="V150" s="17"/>
      <c r="W150" s="25"/>
      <c r="X150" s="17"/>
      <c r="Y150" s="17"/>
      <c r="Z150" s="17"/>
      <c r="AA150" s="17"/>
      <c r="AB150" s="17"/>
      <c r="AC150" s="17"/>
      <c r="AD150" s="17"/>
      <c r="AE150" s="17"/>
      <c r="AF150" s="17"/>
      <c r="AG150" s="17"/>
      <c r="AH150" s="17"/>
      <c r="AI150" s="19"/>
    </row>
    <row r="152" spans="2:35">
      <c r="B152" s="1" t="s">
        <v>409</v>
      </c>
    </row>
    <row r="153" spans="2:35">
      <c r="C153" s="9" t="s">
        <v>410</v>
      </c>
      <c r="D153" s="10"/>
      <c r="E153" s="10"/>
      <c r="F153" s="10"/>
      <c r="G153" s="10"/>
      <c r="H153" s="10"/>
      <c r="I153" s="10"/>
      <c r="J153" s="10"/>
      <c r="K153" s="10"/>
      <c r="L153" s="10"/>
      <c r="M153" s="10"/>
      <c r="N153" s="10"/>
      <c r="O153" s="10"/>
      <c r="P153" s="10"/>
      <c r="Q153" s="10"/>
      <c r="R153" s="10"/>
      <c r="S153" s="10"/>
      <c r="T153" s="10"/>
      <c r="U153" s="10"/>
      <c r="V153" s="10"/>
      <c r="W153" s="3" t="s">
        <v>295</v>
      </c>
      <c r="X153" s="10"/>
      <c r="Y153" s="10"/>
      <c r="Z153" s="10"/>
      <c r="AA153" s="10"/>
      <c r="AB153" s="10"/>
      <c r="AC153" s="10"/>
      <c r="AD153" s="10"/>
      <c r="AE153" s="10"/>
      <c r="AF153" s="10"/>
      <c r="AG153" s="10"/>
      <c r="AH153" s="10"/>
      <c r="AI153" s="11"/>
    </row>
    <row r="154" spans="2:35">
      <c r="C154" s="16"/>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9"/>
    </row>
    <row r="156" spans="2:35">
      <c r="B156" s="1" t="s">
        <v>167</v>
      </c>
      <c r="W156" t="s">
        <v>223</v>
      </c>
    </row>
    <row r="157" spans="2:35">
      <c r="C157" s="9" t="s">
        <v>224</v>
      </c>
      <c r="D157" s="10"/>
      <c r="E157" s="10"/>
      <c r="F157" s="10"/>
      <c r="G157" s="10"/>
      <c r="H157" s="10"/>
      <c r="I157" s="10"/>
      <c r="J157" s="10"/>
      <c r="K157" s="10"/>
      <c r="L157" s="10"/>
      <c r="M157" s="10"/>
      <c r="N157" s="10"/>
      <c r="O157" s="10"/>
      <c r="P157" s="10"/>
      <c r="Q157" s="10"/>
      <c r="R157" s="10"/>
      <c r="S157" s="10"/>
      <c r="T157" s="10"/>
      <c r="U157" s="10"/>
      <c r="V157" s="10"/>
      <c r="W157" s="3"/>
      <c r="X157" s="10"/>
      <c r="Y157" s="10"/>
      <c r="Z157" s="10"/>
      <c r="AA157" s="10"/>
      <c r="AB157" s="10"/>
      <c r="AC157" s="10"/>
      <c r="AD157" s="10"/>
      <c r="AE157" s="10"/>
      <c r="AF157" s="10"/>
      <c r="AG157" s="10"/>
      <c r="AH157" s="10"/>
      <c r="AI157" s="11"/>
    </row>
    <row r="158" spans="2:35">
      <c r="C158" s="12"/>
      <c r="D158" s="34"/>
      <c r="E158" s="309" t="s">
        <v>79</v>
      </c>
      <c r="F158" s="309"/>
      <c r="G158" s="13" t="s">
        <v>2</v>
      </c>
      <c r="H158" s="309">
        <f>'1.設計条件と鋼矢板・支保工の設定'!R9</f>
        <v>3</v>
      </c>
      <c r="I158" s="309"/>
      <c r="J158" s="309"/>
      <c r="K158" s="13" t="s">
        <v>71</v>
      </c>
      <c r="L158" s="31">
        <v>2</v>
      </c>
      <c r="M158" s="13"/>
      <c r="N158" s="13"/>
      <c r="O158" s="13" t="s">
        <v>2</v>
      </c>
      <c r="P158" s="397">
        <f>H158/L158</f>
        <v>1.5</v>
      </c>
      <c r="Q158" s="398"/>
      <c r="R158" s="399"/>
      <c r="S158" s="13" t="s">
        <v>3</v>
      </c>
      <c r="T158" s="13"/>
      <c r="U158" s="13"/>
      <c r="V158" s="13"/>
      <c r="W158" s="13"/>
      <c r="X158" s="13"/>
      <c r="Y158" s="13"/>
      <c r="Z158" s="13"/>
      <c r="AA158" s="13"/>
      <c r="AB158" s="13"/>
      <c r="AC158" s="13"/>
      <c r="AD158" s="13"/>
      <c r="AE158" s="13"/>
      <c r="AF158" s="13"/>
      <c r="AG158" s="13"/>
      <c r="AH158" s="13"/>
      <c r="AI158" s="15"/>
    </row>
    <row r="159" spans="2:35">
      <c r="C159" s="16"/>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9"/>
    </row>
    <row r="161" spans="2:35">
      <c r="B161" s="1" t="s">
        <v>420</v>
      </c>
      <c r="W161" t="s">
        <v>65</v>
      </c>
    </row>
    <row r="162" spans="2:35">
      <c r="C162" s="9" t="s">
        <v>450</v>
      </c>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1"/>
    </row>
    <row r="163" spans="2:35">
      <c r="C163" s="12"/>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5"/>
    </row>
    <row r="164" spans="2:35">
      <c r="C164" s="12"/>
      <c r="D164" s="13" t="s">
        <v>451</v>
      </c>
      <c r="E164" s="13"/>
      <c r="F164" s="13"/>
      <c r="G164" s="13"/>
      <c r="H164" s="13"/>
      <c r="I164" s="13"/>
      <c r="J164" s="13"/>
      <c r="K164" s="13"/>
      <c r="L164" s="13"/>
      <c r="M164" s="13"/>
      <c r="N164" s="13"/>
      <c r="O164" s="13"/>
      <c r="P164" s="13"/>
      <c r="Q164" s="13"/>
      <c r="R164" s="13"/>
      <c r="S164" s="13"/>
      <c r="T164" s="13"/>
      <c r="U164" s="13"/>
      <c r="V164" s="13"/>
      <c r="W164" s="13"/>
      <c r="X164" s="13"/>
      <c r="Y164" s="13" t="s">
        <v>173</v>
      </c>
      <c r="Z164" s="13"/>
      <c r="AA164" s="13" t="s">
        <v>2</v>
      </c>
      <c r="AB164" s="294">
        <f>J145</f>
        <v>2.7100800857412328</v>
      </c>
      <c r="AC164" s="294"/>
      <c r="AD164" s="294"/>
      <c r="AE164" s="13"/>
      <c r="AF164" s="13"/>
      <c r="AG164" s="13"/>
      <c r="AH164" s="13"/>
      <c r="AI164" s="15"/>
    </row>
    <row r="165" spans="2:35">
      <c r="C165" s="12"/>
      <c r="D165" s="13" t="s">
        <v>73</v>
      </c>
      <c r="E165" s="13"/>
      <c r="F165" s="13"/>
      <c r="G165" s="13"/>
      <c r="H165" s="13"/>
      <c r="I165" s="13"/>
      <c r="J165" s="13"/>
      <c r="K165" s="13"/>
      <c r="L165" s="13"/>
      <c r="M165" s="13"/>
      <c r="N165" s="13"/>
      <c r="O165" s="13"/>
      <c r="P165" s="13"/>
      <c r="Q165" s="13"/>
      <c r="Y165" s="13" t="s">
        <v>79</v>
      </c>
      <c r="Z165" s="13"/>
      <c r="AA165" s="13" t="s">
        <v>2</v>
      </c>
      <c r="AB165" s="294">
        <f>P158</f>
        <v>1.5</v>
      </c>
      <c r="AC165" s="294"/>
      <c r="AD165" s="294"/>
      <c r="AE165" s="13"/>
      <c r="AF165" s="13"/>
      <c r="AG165" s="13"/>
      <c r="AH165" s="13"/>
      <c r="AI165" s="15"/>
    </row>
    <row r="166" spans="2:35">
      <c r="C166" s="12"/>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5"/>
    </row>
    <row r="167" spans="2:35">
      <c r="C167" s="12" t="s">
        <v>68</v>
      </c>
      <c r="D167" s="13"/>
      <c r="E167" s="13"/>
      <c r="F167" s="13"/>
      <c r="G167" s="13"/>
      <c r="H167" s="13"/>
      <c r="I167" s="13"/>
      <c r="J167" s="13"/>
      <c r="K167" s="13"/>
      <c r="L167" s="13"/>
      <c r="M167" s="13" t="s">
        <v>74</v>
      </c>
      <c r="N167" s="13"/>
      <c r="O167" s="13"/>
      <c r="P167" s="13"/>
      <c r="Q167" s="13"/>
      <c r="R167" s="34" t="s">
        <v>75</v>
      </c>
      <c r="S167" s="13"/>
      <c r="T167" s="13" t="s">
        <v>2</v>
      </c>
      <c r="U167" s="302">
        <f>MAX(AB164:AD165)</f>
        <v>2.7100800857412328</v>
      </c>
      <c r="V167" s="295"/>
      <c r="W167" s="337"/>
      <c r="X167" s="13" t="s">
        <v>3</v>
      </c>
      <c r="Y167" s="13"/>
      <c r="Z167" s="13"/>
      <c r="AA167" s="13"/>
      <c r="AB167" s="13"/>
      <c r="AC167" s="13"/>
      <c r="AD167" s="13"/>
      <c r="AE167" s="13"/>
      <c r="AF167" s="13"/>
      <c r="AG167" s="13"/>
      <c r="AH167" s="13"/>
      <c r="AI167" s="15"/>
    </row>
    <row r="168" spans="2:35">
      <c r="C168" s="16"/>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9"/>
    </row>
    <row r="170" spans="2:35">
      <c r="B170" s="1" t="s">
        <v>421</v>
      </c>
      <c r="W170"/>
    </row>
    <row r="171" spans="2:35">
      <c r="C171" s="9" t="s">
        <v>120</v>
      </c>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1"/>
    </row>
    <row r="172" spans="2:35">
      <c r="C172" s="12"/>
      <c r="D172" s="34" t="s">
        <v>72</v>
      </c>
      <c r="E172" s="13" t="s">
        <v>2</v>
      </c>
      <c r="F172" s="210" t="s">
        <v>1</v>
      </c>
      <c r="G172" s="210"/>
      <c r="H172" s="210"/>
      <c r="I172" s="13" t="s">
        <v>69</v>
      </c>
      <c r="J172" s="396" t="s">
        <v>75</v>
      </c>
      <c r="K172" s="396"/>
      <c r="L172" s="396"/>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5"/>
    </row>
    <row r="173" spans="2:35">
      <c r="C173" s="12"/>
      <c r="D173" s="34"/>
      <c r="E173" s="13" t="s">
        <v>2</v>
      </c>
      <c r="F173" s="309">
        <f>'1.設計条件と鋼矢板・支保工の設定'!R9</f>
        <v>3</v>
      </c>
      <c r="G173" s="309"/>
      <c r="H173" s="309"/>
      <c r="I173" s="13" t="s">
        <v>69</v>
      </c>
      <c r="J173" s="294">
        <f>U167</f>
        <v>2.7100800857412328</v>
      </c>
      <c r="K173" s="294"/>
      <c r="L173" s="294"/>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5"/>
    </row>
    <row r="174" spans="2:35">
      <c r="C174" s="12"/>
      <c r="D174" s="13"/>
      <c r="E174" s="13" t="s">
        <v>2</v>
      </c>
      <c r="F174" s="294">
        <f>F173+J173</f>
        <v>5.7100800857412324</v>
      </c>
      <c r="G174" s="294"/>
      <c r="H174" s="294"/>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5"/>
    </row>
    <row r="175" spans="2:35">
      <c r="C175" s="12"/>
      <c r="D175" s="13"/>
      <c r="E175" s="13" t="s">
        <v>91</v>
      </c>
      <c r="F175" s="400">
        <f>ROUNDUP(F174/0.5, 0) * 0.5</f>
        <v>6</v>
      </c>
      <c r="G175" s="401"/>
      <c r="H175" s="402"/>
      <c r="I175" s="13" t="s">
        <v>3</v>
      </c>
      <c r="J175" s="13"/>
      <c r="K175" s="13"/>
      <c r="L175" s="13" t="s">
        <v>94</v>
      </c>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5"/>
    </row>
    <row r="176" spans="2:35">
      <c r="C176" s="12"/>
      <c r="D176" s="13"/>
      <c r="E176" s="13"/>
      <c r="F176" s="13"/>
      <c r="G176" s="13"/>
      <c r="H176" s="13"/>
      <c r="I176" s="13"/>
      <c r="J176" s="13"/>
      <c r="K176" s="13"/>
      <c r="L176" s="13" t="s">
        <v>121</v>
      </c>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5"/>
    </row>
    <row r="177" spans="3:35">
      <c r="C177" s="12"/>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5"/>
    </row>
    <row r="178" spans="3:35">
      <c r="C178" s="12"/>
      <c r="D178" s="13"/>
      <c r="F178" s="13"/>
      <c r="G178" s="13"/>
      <c r="H178" s="13"/>
      <c r="I178" s="13"/>
      <c r="J178" s="13"/>
      <c r="K178" s="13" t="s">
        <v>100</v>
      </c>
      <c r="L178" s="13"/>
      <c r="N178" s="13"/>
      <c r="O178" s="13"/>
      <c r="P178" s="13"/>
      <c r="Q178" s="13"/>
      <c r="S178" t="s">
        <v>93</v>
      </c>
      <c r="T178" s="13"/>
      <c r="U178" s="13"/>
      <c r="V178" s="13"/>
      <c r="W178" s="13"/>
      <c r="X178" s="13" t="s">
        <v>106</v>
      </c>
      <c r="Y178" s="13"/>
      <c r="Z178" s="13"/>
      <c r="AA178" s="13"/>
      <c r="AB178" s="13"/>
      <c r="AC178" s="13"/>
      <c r="AD178" s="13"/>
      <c r="AE178" s="13"/>
      <c r="AF178" s="13"/>
      <c r="AG178" s="13"/>
      <c r="AH178" s="13"/>
      <c r="AI178" s="15"/>
    </row>
    <row r="179" spans="3:35">
      <c r="C179" s="12"/>
      <c r="D179" s="13"/>
      <c r="E179" s="13"/>
      <c r="F179" s="13"/>
      <c r="G179" s="13"/>
      <c r="H179" s="13"/>
      <c r="I179" s="13"/>
      <c r="J179" s="15"/>
      <c r="K179" s="395" t="s">
        <v>101</v>
      </c>
      <c r="L179" s="275"/>
      <c r="M179" s="275"/>
      <c r="N179" s="275"/>
      <c r="O179" s="275"/>
      <c r="P179" s="275"/>
      <c r="Q179" s="275"/>
      <c r="R179" s="275"/>
      <c r="S179" s="275" t="s">
        <v>104</v>
      </c>
      <c r="T179" s="275"/>
      <c r="U179" s="275"/>
      <c r="V179" s="275"/>
      <c r="W179" s="275"/>
      <c r="X179" s="275"/>
      <c r="Y179" s="275" t="s">
        <v>105</v>
      </c>
      <c r="Z179" s="275"/>
      <c r="AA179" s="275"/>
      <c r="AB179" s="13"/>
      <c r="AC179" s="13"/>
      <c r="AD179" s="13"/>
      <c r="AE179" s="13"/>
      <c r="AF179" s="13"/>
      <c r="AG179" s="13"/>
      <c r="AH179" s="13"/>
      <c r="AI179" s="15"/>
    </row>
    <row r="180" spans="3:35">
      <c r="C180" s="12"/>
      <c r="D180" s="13"/>
      <c r="E180" s="13"/>
      <c r="F180" s="32"/>
      <c r="G180" s="32"/>
      <c r="H180" s="32"/>
      <c r="I180" s="32"/>
      <c r="J180" s="44">
        <f>IF('1.設計条件と鋼矢板・支保工の設定'!T$29='2.根入れ長の計算'!K180,1,"")</f>
        <v>1</v>
      </c>
      <c r="K180" s="395" t="s">
        <v>109</v>
      </c>
      <c r="L180" s="275"/>
      <c r="M180" s="275"/>
      <c r="N180" s="275"/>
      <c r="O180" s="275"/>
      <c r="P180" s="275"/>
      <c r="Q180" s="275"/>
      <c r="R180" s="275"/>
      <c r="S180" s="383">
        <v>4</v>
      </c>
      <c r="T180" s="381"/>
      <c r="U180" s="392" t="s">
        <v>108</v>
      </c>
      <c r="V180" s="392"/>
      <c r="W180" s="381">
        <v>8</v>
      </c>
      <c r="X180" s="382"/>
      <c r="Y180" s="265">
        <v>4</v>
      </c>
      <c r="Z180" s="265"/>
      <c r="AA180" s="265"/>
      <c r="AC180" s="13"/>
      <c r="AD180" s="13"/>
      <c r="AE180" s="13"/>
      <c r="AF180" s="13"/>
      <c r="AG180" s="13"/>
      <c r="AH180" s="13"/>
      <c r="AI180" s="15"/>
    </row>
    <row r="181" spans="3:35">
      <c r="C181" s="12"/>
      <c r="D181" s="13"/>
      <c r="E181" s="13"/>
      <c r="F181" s="32"/>
      <c r="G181" s="32"/>
      <c r="H181" s="32"/>
      <c r="I181" s="32"/>
      <c r="J181" s="44" t="str">
        <f>IF('1.設計条件と鋼矢板・支保工の設定'!T$29='2.根入れ長の計算'!K181,1,"")</f>
        <v/>
      </c>
      <c r="K181" s="395" t="s">
        <v>107</v>
      </c>
      <c r="L181" s="275"/>
      <c r="M181" s="275"/>
      <c r="N181" s="275"/>
      <c r="O181" s="275"/>
      <c r="P181" s="275"/>
      <c r="Q181" s="275"/>
      <c r="R181" s="275"/>
      <c r="S181" s="383">
        <v>6</v>
      </c>
      <c r="T181" s="381"/>
      <c r="U181" s="392" t="s">
        <v>108</v>
      </c>
      <c r="V181" s="392"/>
      <c r="W181" s="381">
        <v>15</v>
      </c>
      <c r="X181" s="382"/>
      <c r="Y181" s="265">
        <v>5</v>
      </c>
      <c r="Z181" s="265"/>
      <c r="AA181" s="265"/>
      <c r="AC181" s="13"/>
      <c r="AD181" s="13"/>
      <c r="AE181" s="13"/>
      <c r="AF181" s="13"/>
      <c r="AG181" s="13"/>
      <c r="AH181" s="13"/>
      <c r="AI181" s="15"/>
    </row>
    <row r="182" spans="3:35">
      <c r="C182" s="12"/>
      <c r="D182" s="13"/>
      <c r="E182" s="13"/>
      <c r="F182" s="32"/>
      <c r="G182" s="32"/>
      <c r="H182" s="32"/>
      <c r="I182" s="32"/>
      <c r="J182" s="44" t="str">
        <f>IF('1.設計条件と鋼矢板・支保工の設定'!T$29='2.根入れ長の計算'!K182,1,"")</f>
        <v/>
      </c>
      <c r="K182" s="395" t="s">
        <v>102</v>
      </c>
      <c r="L182" s="275"/>
      <c r="M182" s="275"/>
      <c r="N182" s="275"/>
      <c r="O182" s="275"/>
      <c r="P182" s="275"/>
      <c r="Q182" s="275"/>
      <c r="R182" s="275"/>
      <c r="S182" s="383">
        <v>13</v>
      </c>
      <c r="T182" s="381"/>
      <c r="U182" s="392" t="s">
        <v>108</v>
      </c>
      <c r="V182" s="392"/>
      <c r="W182" s="381">
        <v>20</v>
      </c>
      <c r="X182" s="382"/>
      <c r="Y182" s="265">
        <v>8</v>
      </c>
      <c r="Z182" s="265"/>
      <c r="AA182" s="265"/>
      <c r="AC182" s="13"/>
      <c r="AD182" s="13"/>
      <c r="AE182" s="13"/>
      <c r="AF182" s="13"/>
      <c r="AG182" s="13"/>
      <c r="AH182" s="13"/>
      <c r="AI182" s="15"/>
    </row>
    <row r="183" spans="3:35">
      <c r="C183" s="12"/>
      <c r="D183" s="13"/>
      <c r="E183" s="13"/>
      <c r="F183" s="32"/>
      <c r="G183" s="32"/>
      <c r="H183" s="32"/>
      <c r="I183" s="32"/>
      <c r="J183" s="44" t="str">
        <f>IF('1.設計条件と鋼矢板・支保工の設定'!T$29='2.根入れ長の計算'!K183,1,"")</f>
        <v/>
      </c>
      <c r="K183" s="394" t="s">
        <v>110</v>
      </c>
      <c r="L183" s="392"/>
      <c r="M183" s="392"/>
      <c r="N183" s="392"/>
      <c r="O183" s="392"/>
      <c r="P183" s="392"/>
      <c r="Q183" s="392"/>
      <c r="R183" s="395"/>
      <c r="S183" s="383">
        <v>15</v>
      </c>
      <c r="T183" s="381"/>
      <c r="U183" s="392" t="s">
        <v>108</v>
      </c>
      <c r="V183" s="392"/>
      <c r="W183" s="381">
        <v>22</v>
      </c>
      <c r="X183" s="382"/>
      <c r="Y183" s="383">
        <v>9</v>
      </c>
      <c r="Z183" s="381"/>
      <c r="AA183" s="382"/>
      <c r="AC183" s="13"/>
      <c r="AD183" s="13"/>
      <c r="AE183" s="13"/>
      <c r="AF183" s="13"/>
      <c r="AG183" s="13"/>
      <c r="AH183" s="13"/>
      <c r="AI183" s="15"/>
    </row>
    <row r="184" spans="3:35">
      <c r="C184" s="12"/>
      <c r="D184" s="13"/>
      <c r="E184" s="13"/>
      <c r="F184" s="28"/>
      <c r="G184" s="28"/>
      <c r="H184" s="28"/>
      <c r="I184" s="28"/>
      <c r="J184" s="28"/>
      <c r="K184" s="42"/>
      <c r="L184" s="42"/>
      <c r="M184" s="42"/>
      <c r="N184" s="42"/>
      <c r="O184" s="42"/>
      <c r="P184" s="42"/>
      <c r="Q184" s="42"/>
      <c r="R184" s="42"/>
      <c r="S184" s="43"/>
      <c r="T184" s="43"/>
      <c r="U184" s="42"/>
      <c r="V184" s="42"/>
      <c r="W184" s="43"/>
      <c r="X184" s="43"/>
      <c r="Y184" s="43"/>
      <c r="Z184" s="43"/>
      <c r="AA184" s="43"/>
      <c r="AB184" s="13"/>
      <c r="AC184" s="13"/>
      <c r="AD184" s="13"/>
      <c r="AE184" s="13"/>
      <c r="AF184" s="13"/>
      <c r="AG184" s="13"/>
      <c r="AH184" s="13"/>
      <c r="AI184" s="15"/>
    </row>
    <row r="185" spans="3:35">
      <c r="C185" s="12"/>
      <c r="D185" s="13"/>
      <c r="E185" s="13" t="s">
        <v>103</v>
      </c>
      <c r="F185" s="28"/>
      <c r="G185" s="28"/>
      <c r="H185" s="28"/>
      <c r="I185" s="28"/>
      <c r="J185" s="28"/>
      <c r="K185" s="14"/>
      <c r="L185" s="14"/>
      <c r="M185" s="14"/>
      <c r="N185" s="14"/>
      <c r="O185" s="14"/>
      <c r="P185" s="14"/>
      <c r="Q185" s="14"/>
      <c r="R185" s="14"/>
      <c r="S185" s="27"/>
      <c r="T185" s="27"/>
      <c r="U185" s="14"/>
      <c r="V185" s="14"/>
      <c r="W185" s="27"/>
      <c r="X185" s="27"/>
      <c r="Y185" s="27"/>
      <c r="Z185" s="27"/>
      <c r="AA185" s="27"/>
      <c r="AB185" s="13"/>
      <c r="AC185" s="13"/>
      <c r="AD185" s="13"/>
      <c r="AE185" s="13"/>
      <c r="AF185" s="13"/>
      <c r="AG185" s="13"/>
      <c r="AH185" s="13"/>
      <c r="AI185" s="15"/>
    </row>
    <row r="186" spans="3:35">
      <c r="C186" s="12"/>
      <c r="D186" s="13"/>
      <c r="E186" s="13"/>
      <c r="F186" s="393">
        <f>VLOOKUP(1,J180:AA183,10)</f>
        <v>4</v>
      </c>
      <c r="G186" s="393"/>
      <c r="H186" s="393" t="s">
        <v>108</v>
      </c>
      <c r="I186" s="393"/>
      <c r="J186" s="393">
        <f>VLOOKUP(1,J180:AA183,14)</f>
        <v>8</v>
      </c>
      <c r="K186" s="393"/>
      <c r="L186" s="14" t="s">
        <v>3</v>
      </c>
      <c r="M186" s="14"/>
      <c r="N186" s="394" t="str">
        <f>IF(AND(F175&gt;=F186,F175&lt;=J186),"OK","NG")</f>
        <v>OK</v>
      </c>
      <c r="O186" s="395"/>
      <c r="P186" s="14"/>
      <c r="Q186" s="14"/>
      <c r="R186" s="14"/>
      <c r="S186" s="27"/>
      <c r="T186" s="27"/>
      <c r="U186" s="14"/>
      <c r="V186" s="14"/>
      <c r="W186" s="27"/>
      <c r="X186" s="27"/>
      <c r="Y186" s="27"/>
      <c r="Z186" s="27"/>
      <c r="AA186" s="27"/>
      <c r="AB186" s="13"/>
      <c r="AC186" s="13"/>
      <c r="AD186" s="13"/>
      <c r="AE186" s="13"/>
      <c r="AF186" s="13"/>
      <c r="AG186" s="13"/>
      <c r="AH186" s="13"/>
      <c r="AI186" s="15"/>
    </row>
    <row r="187" spans="3:35">
      <c r="C187" s="12"/>
      <c r="D187" s="13"/>
      <c r="E187" s="13" t="s">
        <v>105</v>
      </c>
      <c r="F187" s="28"/>
      <c r="G187" s="28"/>
      <c r="H187" s="28"/>
      <c r="I187" s="28"/>
      <c r="J187" s="28"/>
      <c r="K187" s="28"/>
      <c r="L187" s="14"/>
      <c r="M187" s="14"/>
      <c r="N187" s="14"/>
      <c r="O187" s="14"/>
      <c r="P187" s="14"/>
      <c r="Q187" s="14"/>
      <c r="R187" s="14"/>
      <c r="S187" s="27"/>
      <c r="T187" s="27"/>
      <c r="U187" s="14"/>
      <c r="V187" s="14"/>
      <c r="W187" s="27"/>
      <c r="X187" s="27"/>
      <c r="Y187" s="27"/>
      <c r="Z187" s="27"/>
      <c r="AA187" s="27"/>
      <c r="AB187" s="13"/>
      <c r="AC187" s="13"/>
      <c r="AD187" s="13"/>
      <c r="AE187" s="13"/>
      <c r="AF187" s="13"/>
      <c r="AG187" s="13"/>
      <c r="AH187" s="13"/>
      <c r="AI187" s="15"/>
    </row>
    <row r="188" spans="3:35">
      <c r="C188" s="12"/>
      <c r="D188" s="13"/>
      <c r="E188" s="13"/>
      <c r="F188" s="393">
        <f>VLOOKUP(1,J180:AA183,16)</f>
        <v>4</v>
      </c>
      <c r="G188" s="393"/>
      <c r="H188" s="28" t="s">
        <v>3</v>
      </c>
      <c r="I188" s="28"/>
      <c r="J188" s="28"/>
      <c r="K188" s="14"/>
      <c r="L188" s="14"/>
      <c r="M188" s="14"/>
      <c r="N188" s="394" t="str">
        <f>IF(F175&gt;=F188,"OK","NG")</f>
        <v>OK</v>
      </c>
      <c r="O188" s="395"/>
      <c r="P188" s="14"/>
      <c r="Q188" s="14"/>
      <c r="R188" s="14"/>
      <c r="S188" s="27"/>
      <c r="T188" s="27"/>
      <c r="U188" s="14"/>
      <c r="V188" s="14"/>
      <c r="W188" s="27"/>
      <c r="X188" s="27"/>
      <c r="Y188" s="27"/>
      <c r="Z188" s="27"/>
      <c r="AA188" s="27"/>
      <c r="AB188" s="13"/>
      <c r="AC188" s="13"/>
      <c r="AD188" s="13"/>
      <c r="AE188" s="13"/>
      <c r="AF188" s="13"/>
      <c r="AG188" s="13"/>
      <c r="AH188" s="13"/>
      <c r="AI188" s="15"/>
    </row>
    <row r="189" spans="3:35">
      <c r="C189" s="16"/>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9"/>
    </row>
  </sheetData>
  <sheetProtection sheet="1" objects="1" scenarios="1"/>
  <mergeCells count="522">
    <mergeCell ref="U55:AH55"/>
    <mergeCell ref="H53:T53"/>
    <mergeCell ref="H54:T54"/>
    <mergeCell ref="U71:AH71"/>
    <mergeCell ref="U72:AH72"/>
    <mergeCell ref="U73:AH73"/>
    <mergeCell ref="H71:T71"/>
    <mergeCell ref="H72:T72"/>
    <mergeCell ref="K56:L56"/>
    <mergeCell ref="H56:I56"/>
    <mergeCell ref="K57:L57"/>
    <mergeCell ref="H57:I57"/>
    <mergeCell ref="K58:L58"/>
    <mergeCell ref="H58:I58"/>
    <mergeCell ref="U65:AH65"/>
    <mergeCell ref="U66:AH66"/>
    <mergeCell ref="AF62:AH62"/>
    <mergeCell ref="AA56:AC56"/>
    <mergeCell ref="AA57:AC57"/>
    <mergeCell ref="AA58:AC58"/>
    <mergeCell ref="M61:N61"/>
    <mergeCell ref="H60:I60"/>
    <mergeCell ref="K59:L59"/>
    <mergeCell ref="H59:I59"/>
    <mergeCell ref="I138:K138"/>
    <mergeCell ref="M138:O138"/>
    <mergeCell ref="J141:L141"/>
    <mergeCell ref="M144:N144"/>
    <mergeCell ref="J145:L145"/>
    <mergeCell ref="I131:K131"/>
    <mergeCell ref="M131:O131"/>
    <mergeCell ref="Y131:AA131"/>
    <mergeCell ref="AD131:AF131"/>
    <mergeCell ref="I133:K133"/>
    <mergeCell ref="M133:O133"/>
    <mergeCell ref="Y133:AA133"/>
    <mergeCell ref="AD133:AF133"/>
    <mergeCell ref="I134:K134"/>
    <mergeCell ref="M134:O134"/>
    <mergeCell ref="Y134:AA134"/>
    <mergeCell ref="AD134:AF134"/>
    <mergeCell ref="I136:K136"/>
    <mergeCell ref="M136:O136"/>
    <mergeCell ref="I137:K137"/>
    <mergeCell ref="M137:O137"/>
    <mergeCell ref="AD127:AF127"/>
    <mergeCell ref="I128:K128"/>
    <mergeCell ref="M128:O128"/>
    <mergeCell ref="Y128:AA128"/>
    <mergeCell ref="AD128:AF128"/>
    <mergeCell ref="I130:K130"/>
    <mergeCell ref="M130:O130"/>
    <mergeCell ref="Y130:AA130"/>
    <mergeCell ref="AD130:AF130"/>
    <mergeCell ref="I127:K127"/>
    <mergeCell ref="M127:O127"/>
    <mergeCell ref="Y127:AA127"/>
    <mergeCell ref="U85:AH85"/>
    <mergeCell ref="H77:I77"/>
    <mergeCell ref="D68:E68"/>
    <mergeCell ref="U69:AH69"/>
    <mergeCell ref="AD122:AF122"/>
    <mergeCell ref="I123:K123"/>
    <mergeCell ref="M123:O123"/>
    <mergeCell ref="Y123:AA123"/>
    <mergeCell ref="AD123:AF123"/>
    <mergeCell ref="D107:G107"/>
    <mergeCell ref="H107:J107"/>
    <mergeCell ref="N107:P107"/>
    <mergeCell ref="T107:V107"/>
    <mergeCell ref="Y107:AA107"/>
    <mergeCell ref="I116:K116"/>
    <mergeCell ref="I118:K118"/>
    <mergeCell ref="Y118:AA118"/>
    <mergeCell ref="I119:K119"/>
    <mergeCell ref="I122:K122"/>
    <mergeCell ref="M122:O122"/>
    <mergeCell ref="Y122:AA122"/>
    <mergeCell ref="H103:AA103"/>
    <mergeCell ref="Y106:AA106"/>
    <mergeCell ref="AA86:AC86"/>
    <mergeCell ref="AF86:AH86"/>
    <mergeCell ref="F86:G86"/>
    <mergeCell ref="H86:I86"/>
    <mergeCell ref="K86:L86"/>
    <mergeCell ref="N86:O86"/>
    <mergeCell ref="U86:W86"/>
    <mergeCell ref="D86:E86"/>
    <mergeCell ref="H104:AA104"/>
    <mergeCell ref="H105:AA105"/>
    <mergeCell ref="H89:AA89"/>
    <mergeCell ref="H90:AA90"/>
    <mergeCell ref="H91:AA91"/>
    <mergeCell ref="H100:J100"/>
    <mergeCell ref="N100:P100"/>
    <mergeCell ref="T100:V100"/>
    <mergeCell ref="Y100:AA100"/>
    <mergeCell ref="D100:G100"/>
    <mergeCell ref="Y98:AA98"/>
    <mergeCell ref="F99:G99"/>
    <mergeCell ref="N99:P99"/>
    <mergeCell ref="T99:V99"/>
    <mergeCell ref="Y99:AA99"/>
    <mergeCell ref="H98:J98"/>
    <mergeCell ref="H99:J99"/>
    <mergeCell ref="D96:E97"/>
    <mergeCell ref="F96:G96"/>
    <mergeCell ref="N96:P96"/>
    <mergeCell ref="T96:V96"/>
    <mergeCell ref="Y96:AA96"/>
    <mergeCell ref="F97:G97"/>
    <mergeCell ref="N97:P97"/>
    <mergeCell ref="Y97:AA97"/>
    <mergeCell ref="H96:J96"/>
    <mergeCell ref="H97:J97"/>
    <mergeCell ref="D94:E95"/>
    <mergeCell ref="F94:G94"/>
    <mergeCell ref="N94:P94"/>
    <mergeCell ref="T94:V94"/>
    <mergeCell ref="Y94:AA94"/>
    <mergeCell ref="F95:G95"/>
    <mergeCell ref="N95:P95"/>
    <mergeCell ref="T95:V95"/>
    <mergeCell ref="Y95:AA95"/>
    <mergeCell ref="H94:J94"/>
    <mergeCell ref="H95:J95"/>
    <mergeCell ref="D33:F33"/>
    <mergeCell ref="G33:I33"/>
    <mergeCell ref="D92:E93"/>
    <mergeCell ref="F92:G92"/>
    <mergeCell ref="N92:P92"/>
    <mergeCell ref="T92:V92"/>
    <mergeCell ref="Y92:AA92"/>
    <mergeCell ref="F93:G93"/>
    <mergeCell ref="N93:P93"/>
    <mergeCell ref="T93:V93"/>
    <mergeCell ref="Y93:AA93"/>
    <mergeCell ref="H92:J92"/>
    <mergeCell ref="H93:J93"/>
    <mergeCell ref="L42:N42"/>
    <mergeCell ref="H42:I42"/>
    <mergeCell ref="H43:I43"/>
    <mergeCell ref="H40:I40"/>
    <mergeCell ref="H41:I41"/>
    <mergeCell ref="D62:E63"/>
    <mergeCell ref="D40:E41"/>
    <mergeCell ref="F40:G40"/>
    <mergeCell ref="F41:G41"/>
    <mergeCell ref="D42:E43"/>
    <mergeCell ref="F42:G42"/>
    <mergeCell ref="F29:G29"/>
    <mergeCell ref="H29:I30"/>
    <mergeCell ref="F30:G30"/>
    <mergeCell ref="Q30:S30"/>
    <mergeCell ref="W30:Y30"/>
    <mergeCell ref="Z28:AB28"/>
    <mergeCell ref="AC28:AH28"/>
    <mergeCell ref="Z29:AB29"/>
    <mergeCell ref="AF29:AH29"/>
    <mergeCell ref="Z30:AB30"/>
    <mergeCell ref="AF30:AH30"/>
    <mergeCell ref="AC30:AE30"/>
    <mergeCell ref="AC29:AE29"/>
    <mergeCell ref="F47:G47"/>
    <mergeCell ref="H47:I47"/>
    <mergeCell ref="J47:K47"/>
    <mergeCell ref="L47:N47"/>
    <mergeCell ref="O47:Q47"/>
    <mergeCell ref="D23:F23"/>
    <mergeCell ref="G23:I23"/>
    <mergeCell ref="J23:K23"/>
    <mergeCell ref="L23:Q23"/>
    <mergeCell ref="F43:G43"/>
    <mergeCell ref="F44:G44"/>
    <mergeCell ref="F45:G45"/>
    <mergeCell ref="D44:E45"/>
    <mergeCell ref="D46:E47"/>
    <mergeCell ref="F46:G46"/>
    <mergeCell ref="H46:I46"/>
    <mergeCell ref="J46:K46"/>
    <mergeCell ref="L46:N46"/>
    <mergeCell ref="D32:F32"/>
    <mergeCell ref="G32:I32"/>
    <mergeCell ref="J32:K32"/>
    <mergeCell ref="O29:P30"/>
    <mergeCell ref="Q29:S29"/>
    <mergeCell ref="D29:E30"/>
    <mergeCell ref="D21:F21"/>
    <mergeCell ref="X21:Z21"/>
    <mergeCell ref="AA21:AB21"/>
    <mergeCell ref="G21:L21"/>
    <mergeCell ref="Z18:AB18"/>
    <mergeCell ref="D18:E19"/>
    <mergeCell ref="F18:G18"/>
    <mergeCell ref="H18:I19"/>
    <mergeCell ref="J18:K19"/>
    <mergeCell ref="L18:N19"/>
    <mergeCell ref="O18:P19"/>
    <mergeCell ref="Q18:S18"/>
    <mergeCell ref="T18:V19"/>
    <mergeCell ref="W18:Y18"/>
    <mergeCell ref="F19:G19"/>
    <mergeCell ref="Q19:S19"/>
    <mergeCell ref="W19:Y19"/>
    <mergeCell ref="Z19:AB19"/>
    <mergeCell ref="AF19:AH19"/>
    <mergeCell ref="L43:N43"/>
    <mergeCell ref="H45:I45"/>
    <mergeCell ref="Z27:AB27"/>
    <mergeCell ref="H26:I26"/>
    <mergeCell ref="J26:K26"/>
    <mergeCell ref="L26:N26"/>
    <mergeCell ref="O26:P26"/>
    <mergeCell ref="Q26:S26"/>
    <mergeCell ref="H27:I27"/>
    <mergeCell ref="J27:K27"/>
    <mergeCell ref="L27:N27"/>
    <mergeCell ref="O27:P27"/>
    <mergeCell ref="T29:V30"/>
    <mergeCell ref="W29:Y29"/>
    <mergeCell ref="AC27:AH27"/>
    <mergeCell ref="W28:Y28"/>
    <mergeCell ref="T26:V26"/>
    <mergeCell ref="W26:Y26"/>
    <mergeCell ref="W27:Y27"/>
    <mergeCell ref="O42:Q42"/>
    <mergeCell ref="O43:Q43"/>
    <mergeCell ref="AF18:AH18"/>
    <mergeCell ref="Z26:AB26"/>
    <mergeCell ref="AC26:AH26"/>
    <mergeCell ref="K179:R179"/>
    <mergeCell ref="K180:R180"/>
    <mergeCell ref="U167:W167"/>
    <mergeCell ref="AB165:AD165"/>
    <mergeCell ref="H44:I44"/>
    <mergeCell ref="J44:K44"/>
    <mergeCell ref="H39:I39"/>
    <mergeCell ref="J29:K30"/>
    <mergeCell ref="L29:N30"/>
    <mergeCell ref="J33:K33"/>
    <mergeCell ref="H38:I38"/>
    <mergeCell ref="J38:K38"/>
    <mergeCell ref="H28:I28"/>
    <mergeCell ref="J28:K28"/>
    <mergeCell ref="AF63:AH63"/>
    <mergeCell ref="U58:W58"/>
    <mergeCell ref="AF60:AH60"/>
    <mergeCell ref="AF61:AH61"/>
    <mergeCell ref="K60:L60"/>
    <mergeCell ref="AA61:AC61"/>
    <mergeCell ref="AC19:AE19"/>
    <mergeCell ref="K181:R181"/>
    <mergeCell ref="J173:L173"/>
    <mergeCell ref="J172:L172"/>
    <mergeCell ref="F174:H174"/>
    <mergeCell ref="E158:F158"/>
    <mergeCell ref="P158:R158"/>
    <mergeCell ref="H158:J158"/>
    <mergeCell ref="F175:H175"/>
    <mergeCell ref="F172:H172"/>
    <mergeCell ref="F173:H173"/>
    <mergeCell ref="W181:X181"/>
    <mergeCell ref="S179:X179"/>
    <mergeCell ref="Y179:AA179"/>
    <mergeCell ref="Y180:AA180"/>
    <mergeCell ref="Y181:AA181"/>
    <mergeCell ref="AB164:AD164"/>
    <mergeCell ref="S181:T181"/>
    <mergeCell ref="U181:V181"/>
    <mergeCell ref="F188:G188"/>
    <mergeCell ref="N188:O188"/>
    <mergeCell ref="S183:T183"/>
    <mergeCell ref="W183:X183"/>
    <mergeCell ref="Y183:AA183"/>
    <mergeCell ref="K183:R183"/>
    <mergeCell ref="U182:V182"/>
    <mergeCell ref="U183:V183"/>
    <mergeCell ref="S180:T180"/>
    <mergeCell ref="W180:X180"/>
    <mergeCell ref="U180:V180"/>
    <mergeCell ref="F186:G186"/>
    <mergeCell ref="H186:I186"/>
    <mergeCell ref="J186:K186"/>
    <mergeCell ref="N186:O186"/>
    <mergeCell ref="K182:R182"/>
    <mergeCell ref="Y182:AA182"/>
    <mergeCell ref="W182:X182"/>
    <mergeCell ref="S182:T182"/>
    <mergeCell ref="C5:AC5"/>
    <mergeCell ref="AD5:AE5"/>
    <mergeCell ref="AF5:AI5"/>
    <mergeCell ref="F12:G12"/>
    <mergeCell ref="F13:G13"/>
    <mergeCell ref="F14:G14"/>
    <mergeCell ref="F15:G15"/>
    <mergeCell ref="F16:G16"/>
    <mergeCell ref="F17:G17"/>
    <mergeCell ref="D12:E13"/>
    <mergeCell ref="D14:E15"/>
    <mergeCell ref="D16:E17"/>
    <mergeCell ref="L10:N10"/>
    <mergeCell ref="O10:P10"/>
    <mergeCell ref="H9:I9"/>
    <mergeCell ref="Z11:AB11"/>
    <mergeCell ref="T12:V13"/>
    <mergeCell ref="W17:Y17"/>
    <mergeCell ref="AF17:AH17"/>
    <mergeCell ref="AC16:AE16"/>
    <mergeCell ref="AF16:AH16"/>
    <mergeCell ref="T9:V9"/>
    <mergeCell ref="W9:Y9"/>
    <mergeCell ref="Z9:AB9"/>
    <mergeCell ref="W11:Y11"/>
    <mergeCell ref="Q9:S9"/>
    <mergeCell ref="H10:I10"/>
    <mergeCell ref="H12:I13"/>
    <mergeCell ref="H14:I15"/>
    <mergeCell ref="H37:I37"/>
    <mergeCell ref="Q16:S16"/>
    <mergeCell ref="Q17:S17"/>
    <mergeCell ref="O28:P28"/>
    <mergeCell ref="Q28:S28"/>
    <mergeCell ref="Q27:S27"/>
    <mergeCell ref="J37:K37"/>
    <mergeCell ref="Q12:S12"/>
    <mergeCell ref="Q13:S13"/>
    <mergeCell ref="H11:I11"/>
    <mergeCell ref="H16:I17"/>
    <mergeCell ref="J16:K17"/>
    <mergeCell ref="Q10:S10"/>
    <mergeCell ref="O11:P11"/>
    <mergeCell ref="L14:N15"/>
    <mergeCell ref="Z13:AB13"/>
    <mergeCell ref="Z14:AB14"/>
    <mergeCell ref="W14:Y14"/>
    <mergeCell ref="W13:Y13"/>
    <mergeCell ref="Q11:S11"/>
    <mergeCell ref="T16:V17"/>
    <mergeCell ref="W16:Y16"/>
    <mergeCell ref="O16:P17"/>
    <mergeCell ref="Z12:AB12"/>
    <mergeCell ref="W12:Y12"/>
    <mergeCell ref="AA59:AC59"/>
    <mergeCell ref="AF13:AH13"/>
    <mergeCell ref="J9:K9"/>
    <mergeCell ref="J10:K10"/>
    <mergeCell ref="J11:K11"/>
    <mergeCell ref="J12:K13"/>
    <mergeCell ref="O14:P15"/>
    <mergeCell ref="L12:N13"/>
    <mergeCell ref="O9:P9"/>
    <mergeCell ref="O41:Q41"/>
    <mergeCell ref="L40:N40"/>
    <mergeCell ref="L41:N41"/>
    <mergeCell ref="T28:V28"/>
    <mergeCell ref="Z16:AB16"/>
    <mergeCell ref="Z17:AB17"/>
    <mergeCell ref="AC9:AH9"/>
    <mergeCell ref="AF15:AH15"/>
    <mergeCell ref="T14:V15"/>
    <mergeCell ref="Q15:S15"/>
    <mergeCell ref="Z15:AB15"/>
    <mergeCell ref="W15:Y15"/>
    <mergeCell ref="T11:V11"/>
    <mergeCell ref="AF14:AH14"/>
    <mergeCell ref="AF12:AH12"/>
    <mergeCell ref="AA60:AC60"/>
    <mergeCell ref="U59:W59"/>
    <mergeCell ref="U60:W60"/>
    <mergeCell ref="U56:W56"/>
    <mergeCell ref="AC17:AE17"/>
    <mergeCell ref="L16:N17"/>
    <mergeCell ref="J40:K40"/>
    <mergeCell ref="J45:K45"/>
    <mergeCell ref="L44:N44"/>
    <mergeCell ref="L45:N45"/>
    <mergeCell ref="O44:Q44"/>
    <mergeCell ref="O45:Q45"/>
    <mergeCell ref="J39:K39"/>
    <mergeCell ref="L38:Q38"/>
    <mergeCell ref="J41:K41"/>
    <mergeCell ref="J42:K42"/>
    <mergeCell ref="J43:K43"/>
    <mergeCell ref="L37:Q37"/>
    <mergeCell ref="L39:Q39"/>
    <mergeCell ref="O40:Q40"/>
    <mergeCell ref="AC18:AE18"/>
    <mergeCell ref="O46:Q46"/>
    <mergeCell ref="U53:AH53"/>
    <mergeCell ref="U54:AH54"/>
    <mergeCell ref="D56:E57"/>
    <mergeCell ref="F56:G56"/>
    <mergeCell ref="F57:G57"/>
    <mergeCell ref="D58:E59"/>
    <mergeCell ref="F58:G58"/>
    <mergeCell ref="F59:G59"/>
    <mergeCell ref="D60:E61"/>
    <mergeCell ref="F60:G60"/>
    <mergeCell ref="F61:G61"/>
    <mergeCell ref="F63:G63"/>
    <mergeCell ref="K63:L63"/>
    <mergeCell ref="H63:I63"/>
    <mergeCell ref="AA63:AC63"/>
    <mergeCell ref="U62:W62"/>
    <mergeCell ref="U63:W63"/>
    <mergeCell ref="AA62:AC62"/>
    <mergeCell ref="F68:G68"/>
    <mergeCell ref="M68:N68"/>
    <mergeCell ref="H68:I68"/>
    <mergeCell ref="AA68:AC68"/>
    <mergeCell ref="K62:L62"/>
    <mergeCell ref="H62:I62"/>
    <mergeCell ref="H74:I74"/>
    <mergeCell ref="K74:L74"/>
    <mergeCell ref="N74:O74"/>
    <mergeCell ref="U67:AH67"/>
    <mergeCell ref="H65:T65"/>
    <mergeCell ref="H66:T66"/>
    <mergeCell ref="U68:W68"/>
    <mergeCell ref="AF74:AH74"/>
    <mergeCell ref="F75:G75"/>
    <mergeCell ref="H75:I75"/>
    <mergeCell ref="K75:L75"/>
    <mergeCell ref="N75:O75"/>
    <mergeCell ref="AF75:AH75"/>
    <mergeCell ref="K77:L77"/>
    <mergeCell ref="N77:O77"/>
    <mergeCell ref="AF77:AH77"/>
    <mergeCell ref="U74:W74"/>
    <mergeCell ref="U75:W75"/>
    <mergeCell ref="U76:W76"/>
    <mergeCell ref="U77:W77"/>
    <mergeCell ref="AA74:AC74"/>
    <mergeCell ref="AA75:AC75"/>
    <mergeCell ref="AA76:AC76"/>
    <mergeCell ref="AA77:AC77"/>
    <mergeCell ref="AF76:AH76"/>
    <mergeCell ref="F79:G79"/>
    <mergeCell ref="AF80:AH80"/>
    <mergeCell ref="AF81:AH81"/>
    <mergeCell ref="AA81:AC81"/>
    <mergeCell ref="U78:W78"/>
    <mergeCell ref="U79:W79"/>
    <mergeCell ref="AA78:AC78"/>
    <mergeCell ref="AA80:AC80"/>
    <mergeCell ref="U80:W80"/>
    <mergeCell ref="U81:W81"/>
    <mergeCell ref="AF78:AH78"/>
    <mergeCell ref="AA79:AC79"/>
    <mergeCell ref="AF79:AH79"/>
    <mergeCell ref="G6:H6"/>
    <mergeCell ref="J68:K68"/>
    <mergeCell ref="L9:N9"/>
    <mergeCell ref="AC13:AE13"/>
    <mergeCell ref="AC14:AE14"/>
    <mergeCell ref="AC15:AE15"/>
    <mergeCell ref="Q14:S14"/>
    <mergeCell ref="O12:P13"/>
    <mergeCell ref="J14:K15"/>
    <mergeCell ref="AC12:AE12"/>
    <mergeCell ref="W10:Y10"/>
    <mergeCell ref="Z10:AB10"/>
    <mergeCell ref="AC10:AH10"/>
    <mergeCell ref="AC11:AH11"/>
    <mergeCell ref="T10:V10"/>
    <mergeCell ref="AF56:AH56"/>
    <mergeCell ref="AF57:AH57"/>
    <mergeCell ref="AF58:AH58"/>
    <mergeCell ref="AF59:AH59"/>
    <mergeCell ref="P61:Q61"/>
    <mergeCell ref="I61:J61"/>
    <mergeCell ref="U61:W61"/>
    <mergeCell ref="U57:W57"/>
    <mergeCell ref="F62:G62"/>
    <mergeCell ref="V113:X113"/>
    <mergeCell ref="D80:E81"/>
    <mergeCell ref="F80:G80"/>
    <mergeCell ref="H80:I80"/>
    <mergeCell ref="K80:L80"/>
    <mergeCell ref="N80:O80"/>
    <mergeCell ref="F81:G81"/>
    <mergeCell ref="H81:I81"/>
    <mergeCell ref="K81:L81"/>
    <mergeCell ref="N81:O81"/>
    <mergeCell ref="T97:V97"/>
    <mergeCell ref="H83:T83"/>
    <mergeCell ref="H84:T84"/>
    <mergeCell ref="D98:E99"/>
    <mergeCell ref="F98:G98"/>
    <mergeCell ref="N98:P98"/>
    <mergeCell ref="T98:V98"/>
    <mergeCell ref="D106:E106"/>
    <mergeCell ref="F106:G106"/>
    <mergeCell ref="H106:J106"/>
    <mergeCell ref="N106:P106"/>
    <mergeCell ref="T106:V106"/>
    <mergeCell ref="U83:AH83"/>
    <mergeCell ref="U84:AH84"/>
    <mergeCell ref="D22:F22"/>
    <mergeCell ref="G22:I22"/>
    <mergeCell ref="L22:M22"/>
    <mergeCell ref="N22:O22"/>
    <mergeCell ref="Q22:S22"/>
    <mergeCell ref="D74:E75"/>
    <mergeCell ref="F74:G74"/>
    <mergeCell ref="E113:G113"/>
    <mergeCell ref="K113:M113"/>
    <mergeCell ref="Q113:S113"/>
    <mergeCell ref="H79:I79"/>
    <mergeCell ref="K79:L79"/>
    <mergeCell ref="N79:O79"/>
    <mergeCell ref="D76:E77"/>
    <mergeCell ref="F76:G76"/>
    <mergeCell ref="H76:I76"/>
    <mergeCell ref="K76:L76"/>
    <mergeCell ref="N76:O76"/>
    <mergeCell ref="F77:G77"/>
    <mergeCell ref="D78:E79"/>
    <mergeCell ref="F78:G78"/>
    <mergeCell ref="H78:I78"/>
    <mergeCell ref="K78:L78"/>
    <mergeCell ref="N78:O78"/>
  </mergeCells>
  <phoneticPr fontId="3"/>
  <conditionalFormatting sqref="S21 S23 U43:W43 Y43:Z43 U53:U55 AA56:AB60 U56:V63 AF56:AG63 AA63:AB63 U64:Z70 AA68:AB68 U82:Z88 T92:U96 N92:O99 Y92:Z99 T99:U99 U101:Z102 N106:O106 Y106:Z106 U114:Z115 U143:Z145">
    <cfRule type="cellIs" dxfId="7" priority="3" operator="greaterThan">
      <formula>#REF!</formula>
    </cfRule>
  </conditionalFormatting>
  <conditionalFormatting sqref="S32:S34">
    <cfRule type="cellIs" dxfId="6" priority="10" operator="greaterThan">
      <formula>#REF!</formula>
    </cfRule>
  </conditionalFormatting>
  <conditionalFormatting sqref="U20:Z21 G21:J21 U22:V22">
    <cfRule type="cellIs" dxfId="5" priority="8" operator="greaterThan">
      <formula>#REF!</formula>
    </cfRule>
  </conditionalFormatting>
  <conditionalFormatting sqref="U23:Z23 U31:Z42 U44:Z52 U108:Z111 R113:W113">
    <cfRule type="cellIs" dxfId="4" priority="6" operator="greaterThan">
      <formula>#REF!</formula>
    </cfRule>
  </conditionalFormatting>
  <pageMargins left="0.70866141732283472" right="0.70866141732283472" top="0.74803149606299213" bottom="0.74803149606299213" header="0.31496062992125984" footer="0.31496062992125984"/>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A3950-0887-46BE-9725-D57D986FEF80}">
  <dimension ref="A2:AR185"/>
  <sheetViews>
    <sheetView showGridLines="0" view="pageBreakPreview" zoomScale="80" zoomScaleNormal="100" zoomScaleSheetLayoutView="80" workbookViewId="0"/>
  </sheetViews>
  <sheetFormatPr defaultColWidth="9" defaultRowHeight="18"/>
  <cols>
    <col min="1" max="36" width="3" style="1" customWidth="1"/>
    <col min="37" max="16384" width="9" style="1"/>
  </cols>
  <sheetData>
    <row r="2" spans="1:35">
      <c r="A2" s="1" t="s">
        <v>438</v>
      </c>
      <c r="W2" s="1" t="s">
        <v>456</v>
      </c>
    </row>
    <row r="3" spans="1:35">
      <c r="C3" s="488" t="s">
        <v>455</v>
      </c>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row>
    <row r="4" spans="1:35" ht="18.75" customHeight="1">
      <c r="B4" s="13"/>
      <c r="C4" s="488"/>
      <c r="D4" s="488"/>
      <c r="E4" s="488"/>
      <c r="F4" s="488"/>
      <c r="G4" s="488"/>
      <c r="H4" s="488"/>
      <c r="I4" s="488"/>
      <c r="J4" s="488"/>
      <c r="K4" s="488"/>
      <c r="L4" s="488"/>
      <c r="M4" s="488"/>
      <c r="N4" s="488"/>
      <c r="O4" s="488"/>
      <c r="P4" s="488"/>
      <c r="Q4" s="488"/>
      <c r="R4" s="488"/>
      <c r="S4" s="488"/>
      <c r="T4" s="488"/>
      <c r="U4" s="488"/>
      <c r="V4" s="488"/>
      <c r="W4" s="488"/>
      <c r="X4" s="488"/>
      <c r="Y4" s="488"/>
      <c r="Z4" s="488"/>
      <c r="AA4" s="488"/>
      <c r="AB4" s="488"/>
      <c r="AC4" s="488"/>
      <c r="AD4" s="488"/>
      <c r="AE4" s="488"/>
      <c r="AF4" s="488"/>
      <c r="AG4" s="488"/>
      <c r="AH4" s="488"/>
      <c r="AI4" s="488"/>
    </row>
    <row r="5" spans="1:35">
      <c r="B5" s="13"/>
      <c r="C5" s="488"/>
      <c r="D5" s="488"/>
      <c r="E5" s="488"/>
      <c r="F5" s="488"/>
      <c r="G5" s="488"/>
      <c r="H5" s="488"/>
      <c r="I5" s="488"/>
      <c r="J5" s="488"/>
      <c r="K5" s="488"/>
      <c r="L5" s="488"/>
      <c r="M5" s="488"/>
      <c r="N5" s="488"/>
      <c r="O5" s="488"/>
      <c r="P5" s="488"/>
      <c r="Q5" s="488"/>
      <c r="R5" s="488"/>
      <c r="S5" s="488"/>
      <c r="T5" s="488"/>
      <c r="U5" s="488"/>
      <c r="V5" s="488"/>
      <c r="W5" s="488"/>
      <c r="X5" s="488"/>
      <c r="Y5" s="488"/>
      <c r="Z5" s="488"/>
      <c r="AA5" s="488"/>
      <c r="AB5" s="488"/>
      <c r="AC5" s="488"/>
      <c r="AD5" s="488"/>
      <c r="AE5" s="488"/>
      <c r="AF5" s="488"/>
      <c r="AG5" s="488"/>
      <c r="AH5" s="488"/>
      <c r="AI5" s="488"/>
    </row>
    <row r="6" spans="1:35">
      <c r="B6" s="13"/>
      <c r="C6" s="488"/>
      <c r="D6" s="488"/>
      <c r="E6" s="488"/>
      <c r="F6" s="488"/>
      <c r="G6" s="488"/>
      <c r="H6" s="488"/>
      <c r="I6" s="488"/>
      <c r="J6" s="488"/>
      <c r="K6" s="488"/>
      <c r="L6" s="488"/>
      <c r="M6" s="488"/>
      <c r="N6" s="488"/>
      <c r="O6" s="488"/>
      <c r="P6" s="488"/>
      <c r="Q6" s="488"/>
      <c r="R6" s="488"/>
      <c r="S6" s="488"/>
      <c r="T6" s="488"/>
      <c r="U6" s="488"/>
      <c r="V6" s="488"/>
      <c r="W6" s="488"/>
      <c r="X6" s="488"/>
      <c r="Y6" s="488"/>
      <c r="Z6" s="488"/>
      <c r="AA6" s="488"/>
      <c r="AB6" s="488"/>
      <c r="AC6" s="488"/>
      <c r="AD6" s="488"/>
      <c r="AE6" s="488"/>
      <c r="AF6" s="488"/>
      <c r="AG6" s="488"/>
      <c r="AH6" s="488"/>
      <c r="AI6" s="488"/>
    </row>
    <row r="7" spans="1:35">
      <c r="B7" s="1" t="s">
        <v>251</v>
      </c>
      <c r="C7" s="115"/>
      <c r="D7" s="115"/>
      <c r="E7" s="115"/>
      <c r="F7" s="115"/>
      <c r="G7" s="115"/>
      <c r="H7" s="115"/>
      <c r="I7" s="115"/>
      <c r="J7" s="115"/>
      <c r="K7" s="115"/>
      <c r="L7" s="115"/>
      <c r="M7" s="115"/>
      <c r="N7" s="115"/>
      <c r="O7" s="115"/>
      <c r="P7" s="115"/>
      <c r="Q7" s="115"/>
      <c r="R7" s="115"/>
      <c r="S7" s="115"/>
      <c r="T7" s="115"/>
      <c r="U7" s="115"/>
      <c r="V7" s="115"/>
      <c r="W7" t="s">
        <v>225</v>
      </c>
      <c r="X7" s="115"/>
      <c r="Y7" s="115"/>
      <c r="Z7" s="115"/>
      <c r="AA7" s="115"/>
      <c r="AB7" s="115"/>
      <c r="AC7" s="115"/>
      <c r="AD7" s="115"/>
      <c r="AE7" s="115"/>
      <c r="AF7" s="115"/>
      <c r="AG7" s="115"/>
      <c r="AH7" s="115"/>
      <c r="AI7" s="115"/>
    </row>
    <row r="8" spans="1:35" ht="18.75" customHeight="1">
      <c r="B8" s="13"/>
      <c r="C8" s="484" t="s">
        <v>226</v>
      </c>
      <c r="D8" s="485"/>
      <c r="E8" s="485"/>
      <c r="F8" s="485"/>
      <c r="G8" s="485"/>
      <c r="H8" s="485"/>
      <c r="I8" s="485"/>
      <c r="J8" s="485"/>
      <c r="K8" s="485"/>
      <c r="L8" s="485"/>
      <c r="M8" s="485"/>
      <c r="N8" s="485"/>
      <c r="O8" s="485"/>
      <c r="P8" s="485"/>
      <c r="Q8" s="485"/>
      <c r="R8" s="485"/>
      <c r="S8" s="485"/>
      <c r="T8" s="485"/>
      <c r="U8" s="485"/>
      <c r="V8" s="485"/>
      <c r="W8" s="485"/>
      <c r="X8" s="485"/>
      <c r="Y8" s="485"/>
      <c r="Z8" s="485"/>
      <c r="AA8" s="485"/>
      <c r="AB8" s="485"/>
      <c r="AC8" s="485"/>
      <c r="AD8" s="485"/>
      <c r="AE8" s="485"/>
      <c r="AF8" s="485"/>
      <c r="AG8" s="485"/>
      <c r="AH8" s="485"/>
      <c r="AI8" s="486"/>
    </row>
    <row r="9" spans="1:35">
      <c r="B9" s="13"/>
      <c r="C9" s="487"/>
      <c r="D9" s="488"/>
      <c r="E9" s="488"/>
      <c r="F9" s="488"/>
      <c r="G9" s="488"/>
      <c r="H9" s="488"/>
      <c r="I9" s="488"/>
      <c r="J9" s="488"/>
      <c r="K9" s="488"/>
      <c r="L9" s="488"/>
      <c r="M9" s="488"/>
      <c r="N9" s="488"/>
      <c r="O9" s="488"/>
      <c r="P9" s="488"/>
      <c r="Q9" s="488"/>
      <c r="R9" s="488"/>
      <c r="S9" s="488"/>
      <c r="T9" s="488"/>
      <c r="U9" s="488"/>
      <c r="V9" s="488"/>
      <c r="W9" s="488"/>
      <c r="X9" s="488"/>
      <c r="Y9" s="488"/>
      <c r="Z9" s="488"/>
      <c r="AA9" s="488"/>
      <c r="AB9" s="488"/>
      <c r="AC9" s="488"/>
      <c r="AD9" s="488"/>
      <c r="AE9" s="488"/>
      <c r="AF9" s="488"/>
      <c r="AG9" s="488"/>
      <c r="AH9" s="488"/>
      <c r="AI9" s="489"/>
    </row>
    <row r="10" spans="1:35">
      <c r="B10" s="13"/>
      <c r="C10" s="12" t="s">
        <v>230</v>
      </c>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10"/>
    </row>
    <row r="11" spans="1:35">
      <c r="B11" s="13"/>
      <c r="C11" s="12"/>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10"/>
    </row>
    <row r="12" spans="1:35">
      <c r="B12" s="13"/>
      <c r="C12" s="12"/>
      <c r="D12" s="445" t="s">
        <v>227</v>
      </c>
      <c r="E12" s="445"/>
      <c r="F12" s="393" t="s">
        <v>2</v>
      </c>
      <c r="G12" s="490" t="s">
        <v>228</v>
      </c>
      <c r="H12" s="491"/>
      <c r="I12" s="109"/>
      <c r="J12" s="109"/>
      <c r="K12" s="109"/>
      <c r="L12" s="109"/>
      <c r="M12" s="109"/>
      <c r="N12" s="109"/>
      <c r="O12" s="109"/>
      <c r="P12" s="109"/>
      <c r="Q12" s="109"/>
      <c r="R12" s="109"/>
      <c r="S12" s="109"/>
      <c r="T12" s="13"/>
      <c r="U12" s="13"/>
      <c r="V12" s="13"/>
      <c r="W12" s="13"/>
      <c r="X12" s="13"/>
      <c r="Y12" s="109"/>
      <c r="Z12" s="109"/>
      <c r="AA12" s="109"/>
      <c r="AB12" s="109"/>
      <c r="AC12" s="109"/>
      <c r="AD12" s="109"/>
      <c r="AE12" s="109"/>
      <c r="AF12" s="109"/>
      <c r="AG12" s="109"/>
      <c r="AH12" s="109"/>
      <c r="AI12" s="110"/>
    </row>
    <row r="13" spans="1:35">
      <c r="B13" s="13"/>
      <c r="C13" s="12"/>
      <c r="D13" s="445"/>
      <c r="E13" s="445"/>
      <c r="F13" s="393"/>
      <c r="G13" s="226" t="s">
        <v>229</v>
      </c>
      <c r="H13" s="210"/>
      <c r="I13" s="109"/>
      <c r="J13" s="109"/>
      <c r="K13" s="109"/>
      <c r="L13" s="109"/>
      <c r="M13" s="109"/>
      <c r="N13" s="109"/>
      <c r="O13" s="109"/>
      <c r="P13" s="109"/>
      <c r="Q13" s="109"/>
      <c r="R13" s="109"/>
      <c r="S13" s="109"/>
      <c r="T13" s="13"/>
      <c r="U13" s="13"/>
      <c r="V13" s="13"/>
      <c r="W13" s="13"/>
      <c r="X13" s="13"/>
      <c r="Y13" s="109"/>
      <c r="Z13" s="109"/>
      <c r="AA13" s="109"/>
      <c r="AB13" s="109"/>
      <c r="AC13" s="109"/>
      <c r="AD13" s="109"/>
      <c r="AE13" s="109"/>
      <c r="AF13" s="109"/>
      <c r="AG13" s="109"/>
      <c r="AH13" s="109"/>
      <c r="AI13" s="110"/>
    </row>
    <row r="14" spans="1:35">
      <c r="B14" s="13"/>
      <c r="C14" s="12"/>
      <c r="D14" s="109"/>
      <c r="E14" s="13" t="s">
        <v>42</v>
      </c>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10"/>
    </row>
    <row r="15" spans="1:35" ht="20.399999999999999">
      <c r="B15" s="13"/>
      <c r="C15" s="12"/>
      <c r="D15" s="13"/>
      <c r="E15" s="13"/>
      <c r="F15" s="226" t="s">
        <v>228</v>
      </c>
      <c r="G15" s="210"/>
      <c r="H15" s="13" t="s">
        <v>231</v>
      </c>
      <c r="I15" s="294">
        <f>'2.根入れ長の計算'!H107</f>
        <v>10.849999999999998</v>
      </c>
      <c r="J15" s="294"/>
      <c r="K15" s="294"/>
      <c r="L15" s="97" t="s">
        <v>237</v>
      </c>
      <c r="M15" s="13"/>
      <c r="N15" s="13" t="s">
        <v>69</v>
      </c>
      <c r="O15" s="309">
        <f>'2.根入れ長の計算'!N107</f>
        <v>43.942500000000003</v>
      </c>
      <c r="P15" s="309"/>
      <c r="Q15" s="309"/>
      <c r="R15" s="97" t="s">
        <v>236</v>
      </c>
      <c r="S15" s="13"/>
      <c r="T15" s="13"/>
      <c r="U15" s="13"/>
      <c r="V15" s="13"/>
      <c r="W15" s="13"/>
      <c r="X15" s="13"/>
      <c r="Y15" s="13"/>
      <c r="Z15" s="13"/>
      <c r="AA15" s="13"/>
      <c r="AB15" s="13"/>
      <c r="AC15" s="13"/>
      <c r="AD15" s="13"/>
      <c r="AE15" s="13"/>
      <c r="AF15" s="13"/>
      <c r="AG15" s="13"/>
      <c r="AH15" s="13"/>
      <c r="AI15" s="15"/>
    </row>
    <row r="16" spans="1:35" ht="20.399999999999999">
      <c r="B16" s="13"/>
      <c r="C16" s="12"/>
      <c r="D16" s="13"/>
      <c r="E16" s="13"/>
      <c r="F16" s="226" t="s">
        <v>229</v>
      </c>
      <c r="G16" s="210"/>
      <c r="H16" s="13" t="s">
        <v>231</v>
      </c>
      <c r="I16" s="294">
        <f>'2.根入れ長の計算'!U68</f>
        <v>16.274999999999999</v>
      </c>
      <c r="J16" s="294"/>
      <c r="K16" s="294"/>
      <c r="L16" s="97" t="s">
        <v>236</v>
      </c>
      <c r="M16" s="13"/>
      <c r="N16" s="13"/>
      <c r="O16" s="13"/>
      <c r="P16" s="13"/>
      <c r="Q16" s="13"/>
      <c r="R16" s="13"/>
      <c r="S16" s="13"/>
      <c r="T16" s="13"/>
      <c r="U16" s="13"/>
      <c r="V16" s="445" t="s">
        <v>227</v>
      </c>
      <c r="W16" s="445"/>
      <c r="X16" s="13"/>
      <c r="Y16" s="13"/>
      <c r="Z16" s="13"/>
      <c r="AA16" s="13"/>
      <c r="AB16" s="13"/>
      <c r="AC16" s="13"/>
      <c r="AD16" s="13"/>
      <c r="AE16" s="13"/>
      <c r="AF16" s="13"/>
      <c r="AG16" s="13"/>
      <c r="AH16" s="13"/>
      <c r="AI16" s="15"/>
    </row>
    <row r="17" spans="2:35" ht="19.2">
      <c r="B17" s="13"/>
      <c r="C17" s="12"/>
      <c r="D17" s="13"/>
      <c r="E17" s="13"/>
      <c r="F17" s="81" t="s">
        <v>239</v>
      </c>
      <c r="G17" s="13"/>
      <c r="H17" s="13" t="s">
        <v>231</v>
      </c>
      <c r="I17" s="294">
        <f>'2.根入れ長の計算'!J141</f>
        <v>2.2584000714510273</v>
      </c>
      <c r="J17" s="294"/>
      <c r="K17" s="294"/>
      <c r="L17" s="13"/>
      <c r="M17" s="13"/>
      <c r="N17" s="13"/>
      <c r="O17" s="13"/>
      <c r="P17" s="13"/>
      <c r="Q17" s="13"/>
      <c r="R17" s="13"/>
      <c r="S17" s="13"/>
      <c r="T17" s="13"/>
      <c r="U17" s="13"/>
      <c r="V17" s="445"/>
      <c r="W17" s="445"/>
      <c r="X17" s="13"/>
      <c r="Y17" s="13"/>
      <c r="Z17" s="13"/>
      <c r="AA17" s="13"/>
      <c r="AB17" s="13"/>
      <c r="AC17" s="13"/>
      <c r="AD17" s="13"/>
      <c r="AE17" s="13"/>
      <c r="AF17" s="13"/>
      <c r="AG17" s="13"/>
      <c r="AH17" s="13"/>
      <c r="AI17" s="15"/>
    </row>
    <row r="18" spans="2:35">
      <c r="B18" s="13"/>
      <c r="C18" s="12"/>
      <c r="D18" s="13"/>
      <c r="E18" s="13" t="s">
        <v>240</v>
      </c>
      <c r="F18" s="81"/>
      <c r="G18" s="13"/>
      <c r="H18" s="13"/>
      <c r="I18" s="24"/>
      <c r="J18" s="24"/>
      <c r="K18" s="24"/>
      <c r="L18" s="13"/>
      <c r="M18" s="13"/>
      <c r="N18" s="13"/>
      <c r="O18" s="13"/>
      <c r="P18" s="13"/>
      <c r="Q18" s="13"/>
      <c r="R18" s="13"/>
      <c r="S18" s="13"/>
      <c r="T18" s="13"/>
      <c r="U18" s="13"/>
      <c r="V18" s="13"/>
      <c r="W18" s="13"/>
      <c r="X18" s="13"/>
      <c r="Y18" s="13"/>
      <c r="Z18" s="13"/>
      <c r="AA18" s="13"/>
      <c r="AB18" s="13"/>
      <c r="AC18" s="13"/>
      <c r="AD18" s="13"/>
      <c r="AE18" s="13"/>
      <c r="AF18" s="13"/>
      <c r="AG18" s="13"/>
      <c r="AH18" s="13"/>
      <c r="AI18" s="15"/>
    </row>
    <row r="19" spans="2:35">
      <c r="B19" s="13"/>
      <c r="C19" s="12"/>
      <c r="D19" s="445" t="s">
        <v>227</v>
      </c>
      <c r="E19" s="445"/>
      <c r="F19" s="393" t="s">
        <v>2</v>
      </c>
      <c r="G19" s="339">
        <f>I15</f>
        <v>10.849999999999998</v>
      </c>
      <c r="H19" s="339"/>
      <c r="I19" s="26" t="s">
        <v>27</v>
      </c>
      <c r="J19" s="339">
        <f>I17</f>
        <v>2.2584000714510273</v>
      </c>
      <c r="K19" s="339"/>
      <c r="L19" s="17" t="s">
        <v>241</v>
      </c>
      <c r="M19" s="26" t="s">
        <v>69</v>
      </c>
      <c r="N19" s="474">
        <f>O15</f>
        <v>43.942500000000003</v>
      </c>
      <c r="O19" s="474"/>
      <c r="P19" s="26" t="s">
        <v>27</v>
      </c>
      <c r="Q19" s="339">
        <f>I17</f>
        <v>2.2584000714510273</v>
      </c>
      <c r="R19" s="339"/>
      <c r="S19" s="17" t="s">
        <v>242</v>
      </c>
      <c r="T19" s="13"/>
      <c r="U19" s="13"/>
      <c r="V19" s="13"/>
      <c r="W19" s="13"/>
      <c r="X19" s="13"/>
      <c r="Y19" s="13"/>
      <c r="Z19" s="13"/>
      <c r="AA19" s="13"/>
      <c r="AB19" s="13"/>
      <c r="AC19" s="13"/>
      <c r="AD19" s="32"/>
      <c r="AE19" s="13"/>
      <c r="AF19" s="13"/>
      <c r="AG19" s="13"/>
      <c r="AH19" s="13"/>
      <c r="AI19" s="15"/>
    </row>
    <row r="20" spans="2:35">
      <c r="B20" s="13"/>
      <c r="C20" s="12"/>
      <c r="D20" s="445"/>
      <c r="E20" s="445"/>
      <c r="F20" s="393"/>
      <c r="G20" s="13"/>
      <c r="H20" s="13"/>
      <c r="I20" s="291">
        <f>I16</f>
        <v>16.274999999999999</v>
      </c>
      <c r="J20" s="291"/>
      <c r="K20" s="291"/>
      <c r="L20" s="13" t="s">
        <v>27</v>
      </c>
      <c r="M20" s="444">
        <f>I17</f>
        <v>2.2584000714510273</v>
      </c>
      <c r="N20" s="444"/>
      <c r="O20" s="13" t="s">
        <v>242</v>
      </c>
      <c r="P20" s="13"/>
      <c r="Q20" s="13"/>
      <c r="R20" s="114"/>
      <c r="S20" s="13"/>
      <c r="T20" s="13"/>
      <c r="U20" s="13"/>
      <c r="V20" s="13"/>
      <c r="W20" s="13"/>
      <c r="X20" s="13"/>
      <c r="Y20" s="13"/>
      <c r="Z20" s="13"/>
      <c r="AA20" s="13"/>
      <c r="AB20" s="13"/>
      <c r="AC20" s="13"/>
      <c r="AD20" s="13"/>
      <c r="AE20" s="13"/>
      <c r="AF20" s="13"/>
      <c r="AG20" s="13"/>
      <c r="AH20" s="13"/>
      <c r="AI20" s="112"/>
    </row>
    <row r="21" spans="2:35">
      <c r="B21" s="13"/>
      <c r="C21" s="12"/>
      <c r="D21" s="13"/>
      <c r="E21" s="13"/>
      <c r="F21" s="393" t="s">
        <v>2</v>
      </c>
      <c r="G21" s="282">
        <f>G19*J19^3+N19*Q19^2</f>
        <v>349.10070344529163</v>
      </c>
      <c r="H21" s="282"/>
      <c r="I21" s="282"/>
      <c r="J21" s="24"/>
      <c r="K21" s="24"/>
      <c r="L21" s="13"/>
      <c r="M21" s="13"/>
      <c r="N21" s="13"/>
      <c r="O21" s="13"/>
      <c r="P21" s="13"/>
      <c r="Q21" s="13"/>
      <c r="R21" s="13"/>
      <c r="S21" s="13"/>
      <c r="T21" s="13"/>
      <c r="U21" s="13"/>
      <c r="V21" s="13"/>
      <c r="W21" s="13"/>
      <c r="X21" s="13"/>
      <c r="Y21" s="13"/>
      <c r="Z21" s="13"/>
      <c r="AA21" s="13"/>
      <c r="AB21" s="13"/>
      <c r="AC21" s="13"/>
      <c r="AD21" s="13"/>
      <c r="AE21" s="13"/>
      <c r="AF21" s="13"/>
      <c r="AG21" s="13"/>
      <c r="AH21" s="13"/>
      <c r="AI21" s="15"/>
    </row>
    <row r="22" spans="2:35">
      <c r="B22" s="13"/>
      <c r="C22" s="12"/>
      <c r="D22" s="13"/>
      <c r="E22" s="13"/>
      <c r="F22" s="393"/>
      <c r="G22" s="306">
        <f>I20*M20^2</f>
        <v>83.008536116430832</v>
      </c>
      <c r="H22" s="306"/>
      <c r="I22" s="306"/>
      <c r="J22" s="24"/>
      <c r="K22" s="24"/>
      <c r="L22" s="13"/>
      <c r="M22" s="13"/>
      <c r="N22" s="13"/>
      <c r="O22" s="13"/>
      <c r="P22" s="13"/>
      <c r="Q22" s="13"/>
      <c r="R22" s="13"/>
      <c r="S22" s="13"/>
      <c r="T22" s="13"/>
      <c r="U22" s="13"/>
      <c r="V22" s="13"/>
      <c r="W22" s="13"/>
      <c r="X22" s="13"/>
      <c r="Y22" s="13"/>
      <c r="Z22" s="13"/>
      <c r="AA22" s="13"/>
      <c r="AB22" s="13"/>
      <c r="AC22" s="13"/>
      <c r="AD22" s="13"/>
      <c r="AE22" s="13"/>
      <c r="AF22" s="13"/>
      <c r="AG22" s="13"/>
      <c r="AH22" s="13"/>
      <c r="AI22" s="15"/>
    </row>
    <row r="23" spans="2:35">
      <c r="B23" s="13"/>
      <c r="C23" s="12"/>
      <c r="D23" s="13"/>
      <c r="E23" s="13"/>
      <c r="F23" s="28"/>
      <c r="G23" s="14"/>
      <c r="H23" s="14"/>
      <c r="I23" s="14"/>
      <c r="J23" s="24"/>
      <c r="K23" s="24"/>
      <c r="L23" s="13"/>
      <c r="M23" s="13"/>
      <c r="N23" s="13"/>
      <c r="O23" s="13"/>
      <c r="P23" s="13"/>
      <c r="Q23" s="13"/>
      <c r="R23" s="13"/>
      <c r="S23" s="13"/>
      <c r="T23" s="472" t="s">
        <v>250</v>
      </c>
      <c r="U23" s="473"/>
      <c r="V23" s="13"/>
      <c r="W23" s="13"/>
      <c r="X23" s="13"/>
      <c r="Y23" s="13"/>
      <c r="Z23" s="13"/>
      <c r="AA23" s="13"/>
      <c r="AB23" s="13"/>
      <c r="AC23" s="13"/>
      <c r="AD23" s="13"/>
      <c r="AE23" s="13"/>
      <c r="AF23" s="13"/>
      <c r="AG23" s="13"/>
      <c r="AH23" s="13"/>
      <c r="AI23" s="15"/>
    </row>
    <row r="24" spans="2:35">
      <c r="B24" s="13"/>
      <c r="C24" s="12"/>
      <c r="D24" s="13"/>
      <c r="E24" s="13"/>
      <c r="F24" s="28" t="s">
        <v>2</v>
      </c>
      <c r="G24" s="475">
        <f>G21/G22</f>
        <v>4.2056000476340181</v>
      </c>
      <c r="H24" s="476"/>
      <c r="I24" s="477"/>
      <c r="J24" s="24" t="s">
        <v>3</v>
      </c>
      <c r="K24" s="24"/>
      <c r="L24" s="13"/>
      <c r="M24" s="13"/>
      <c r="N24" s="13"/>
      <c r="O24" s="13"/>
      <c r="P24" s="13"/>
      <c r="Q24" s="13"/>
      <c r="R24" s="13"/>
      <c r="S24" s="13"/>
      <c r="T24" s="13"/>
      <c r="U24" s="13"/>
      <c r="V24" s="13"/>
      <c r="W24" s="13"/>
      <c r="X24" s="13"/>
      <c r="Y24" s="13"/>
      <c r="Z24" s="13"/>
      <c r="AA24" s="13"/>
      <c r="AB24" s="13"/>
      <c r="AC24" s="13"/>
      <c r="AD24" s="13"/>
      <c r="AE24" s="13"/>
      <c r="AF24" s="13"/>
      <c r="AG24" s="13"/>
      <c r="AH24" s="13"/>
      <c r="AI24" s="15"/>
    </row>
    <row r="25" spans="2:35">
      <c r="B25" s="13"/>
      <c r="C25" s="12"/>
      <c r="D25" s="13"/>
      <c r="E25" s="13"/>
      <c r="F25" s="32"/>
      <c r="G25" s="113"/>
      <c r="H25" s="113"/>
      <c r="I25" s="113"/>
      <c r="J25" s="24"/>
      <c r="K25" s="24"/>
      <c r="L25" s="13"/>
      <c r="M25" s="13"/>
      <c r="N25" s="13"/>
      <c r="O25" s="13"/>
      <c r="P25" s="13"/>
      <c r="Q25" s="13"/>
      <c r="R25" s="13"/>
      <c r="S25" s="13"/>
      <c r="T25" s="13"/>
      <c r="U25" s="13"/>
      <c r="V25" s="13"/>
      <c r="W25" s="13"/>
      <c r="X25" s="13"/>
      <c r="Y25" s="13"/>
      <c r="Z25" s="13"/>
      <c r="AA25" s="13"/>
      <c r="AB25" s="13"/>
      <c r="AC25" s="13"/>
      <c r="AD25" s="13"/>
      <c r="AE25" s="13"/>
      <c r="AF25" s="13"/>
      <c r="AG25" s="13"/>
      <c r="AH25" s="13"/>
      <c r="AI25" s="15"/>
    </row>
    <row r="26" spans="2:35">
      <c r="B26" s="13"/>
      <c r="C26" s="12"/>
      <c r="D26" s="13"/>
      <c r="E26" s="320" t="s">
        <v>243</v>
      </c>
      <c r="F26" s="320"/>
      <c r="G26" s="320"/>
      <c r="H26" s="320"/>
      <c r="I26" s="320"/>
      <c r="J26" s="320"/>
      <c r="K26" s="320"/>
      <c r="L26" s="320"/>
      <c r="M26" s="320"/>
      <c r="N26" s="320"/>
      <c r="O26" s="320"/>
      <c r="P26" s="320"/>
      <c r="Q26" s="294">
        <f>'2.根入れ長の計算'!H43</f>
        <v>1</v>
      </c>
      <c r="R26" s="294"/>
      <c r="S26" s="294"/>
      <c r="T26" s="13" t="s">
        <v>69</v>
      </c>
      <c r="U26" s="294">
        <f>'2.根入れ長の計算'!H45</f>
        <v>1.7</v>
      </c>
      <c r="V26" s="294"/>
      <c r="W26" s="294"/>
      <c r="X26" s="13" t="s">
        <v>2</v>
      </c>
      <c r="Y26" s="294">
        <f>Q26+U26</f>
        <v>2.7</v>
      </c>
      <c r="Z26" s="294"/>
      <c r="AA26" s="294"/>
      <c r="AB26" s="13" t="s">
        <v>3</v>
      </c>
      <c r="AC26" s="13" t="s">
        <v>240</v>
      </c>
      <c r="AE26" s="13"/>
      <c r="AF26" s="13"/>
      <c r="AG26" s="13"/>
      <c r="AH26" s="13"/>
      <c r="AI26" s="15"/>
    </row>
    <row r="27" spans="2:35">
      <c r="B27" s="13"/>
      <c r="C27" s="12"/>
      <c r="D27" s="13"/>
      <c r="E27" s="384" t="s">
        <v>244</v>
      </c>
      <c r="F27" s="384"/>
      <c r="G27" s="384"/>
      <c r="H27" s="384"/>
      <c r="I27" s="384"/>
      <c r="J27" s="384"/>
      <c r="K27" s="384"/>
      <c r="L27" s="384"/>
      <c r="M27" s="384"/>
      <c r="N27" s="384"/>
      <c r="O27" s="384"/>
      <c r="P27" s="384"/>
      <c r="Q27" s="294">
        <f>G24</f>
        <v>4.2056000476340181</v>
      </c>
      <c r="R27" s="294"/>
      <c r="S27" s="294"/>
      <c r="T27" s="13" t="s">
        <v>245</v>
      </c>
      <c r="U27" s="294">
        <f>Y26</f>
        <v>2.7</v>
      </c>
      <c r="V27" s="294"/>
      <c r="W27" s="294"/>
      <c r="X27" s="13" t="s">
        <v>2</v>
      </c>
      <c r="Y27" s="294">
        <f>Q27-U27</f>
        <v>1.5056000476340179</v>
      </c>
      <c r="Z27" s="294"/>
      <c r="AA27" s="294"/>
      <c r="AB27" s="13" t="s">
        <v>3</v>
      </c>
      <c r="AC27" s="13" t="s">
        <v>246</v>
      </c>
      <c r="AD27" s="13"/>
      <c r="AE27" s="13"/>
      <c r="AF27" s="13"/>
      <c r="AG27" s="13"/>
      <c r="AH27" s="13"/>
      <c r="AI27" s="15"/>
    </row>
    <row r="28" spans="2:35">
      <c r="B28" s="13"/>
      <c r="C28" s="12"/>
      <c r="D28" s="13"/>
      <c r="E28" s="13"/>
      <c r="F28" s="28"/>
      <c r="G28" s="14"/>
      <c r="H28" s="14"/>
      <c r="I28" s="14"/>
      <c r="J28" s="24"/>
      <c r="K28" s="24"/>
      <c r="L28" s="13"/>
      <c r="M28" s="13"/>
      <c r="N28" s="13"/>
      <c r="O28" s="13"/>
      <c r="P28" s="13"/>
      <c r="Q28" s="13"/>
      <c r="R28" s="13"/>
      <c r="S28" s="13"/>
      <c r="T28" s="13"/>
      <c r="U28" s="13"/>
      <c r="V28" s="13"/>
      <c r="W28" s="13"/>
      <c r="X28" s="13"/>
      <c r="Y28" s="13"/>
      <c r="Z28" s="13"/>
      <c r="AA28" s="13"/>
      <c r="AB28" s="13"/>
      <c r="AC28" s="13"/>
      <c r="AD28" s="13"/>
      <c r="AE28" s="13"/>
      <c r="AF28" s="13"/>
      <c r="AG28" s="13"/>
      <c r="AH28" s="13"/>
      <c r="AI28" s="15"/>
    </row>
    <row r="29" spans="2:35">
      <c r="B29" s="13"/>
      <c r="C29" s="12"/>
      <c r="D29" s="13"/>
      <c r="E29" s="13" t="s">
        <v>247</v>
      </c>
      <c r="F29" s="28"/>
      <c r="G29" s="14"/>
      <c r="H29" s="14"/>
      <c r="I29" s="14"/>
      <c r="J29" s="24"/>
      <c r="K29" s="24"/>
      <c r="L29" s="13"/>
      <c r="M29" s="13"/>
      <c r="N29" s="13"/>
      <c r="O29" s="13"/>
      <c r="P29" s="13"/>
      <c r="Q29" s="13"/>
      <c r="R29" s="13"/>
      <c r="S29" s="13"/>
      <c r="T29" s="13"/>
      <c r="U29" s="13"/>
      <c r="V29" s="13"/>
      <c r="W29" s="13"/>
      <c r="X29" s="13"/>
      <c r="Y29" s="13"/>
      <c r="Z29" s="294">
        <f>'2.根入れ長の計算'!AB165</f>
        <v>1.5</v>
      </c>
      <c r="AA29" s="294"/>
      <c r="AB29" s="294"/>
      <c r="AC29" s="13" t="s">
        <v>248</v>
      </c>
      <c r="AD29" s="13"/>
      <c r="AE29" s="294">
        <f>Z29/2</f>
        <v>0.75</v>
      </c>
      <c r="AF29" s="294"/>
      <c r="AG29" s="294"/>
      <c r="AH29" s="13" t="s">
        <v>3</v>
      </c>
      <c r="AI29" s="15"/>
    </row>
    <row r="30" spans="2:35">
      <c r="B30" s="13"/>
      <c r="C30" s="12"/>
      <c r="D30" s="13"/>
      <c r="E30" s="13"/>
      <c r="F30" s="28"/>
      <c r="G30" s="14"/>
      <c r="H30" s="14"/>
      <c r="I30" s="14"/>
      <c r="J30" s="24"/>
      <c r="K30" s="24"/>
      <c r="L30" s="13"/>
      <c r="M30" s="13"/>
      <c r="N30" s="13"/>
      <c r="O30" s="13"/>
      <c r="P30" s="13"/>
      <c r="Q30" s="13"/>
      <c r="R30" s="13"/>
      <c r="S30" s="13"/>
      <c r="T30" s="13"/>
      <c r="U30" s="13"/>
      <c r="V30" s="13"/>
      <c r="W30" s="13"/>
      <c r="X30" s="13"/>
      <c r="Y30" s="13"/>
      <c r="Z30" s="24"/>
      <c r="AA30" s="24"/>
      <c r="AB30" s="24"/>
      <c r="AC30" s="13"/>
      <c r="AD30" s="13"/>
      <c r="AE30" s="24"/>
      <c r="AF30" s="24"/>
      <c r="AG30" s="24"/>
      <c r="AH30" s="13"/>
      <c r="AI30" s="15"/>
    </row>
    <row r="31" spans="2:35">
      <c r="B31" s="13"/>
      <c r="C31" s="12"/>
      <c r="D31" s="13"/>
      <c r="E31" s="320" t="s">
        <v>68</v>
      </c>
      <c r="F31" s="320"/>
      <c r="G31" s="320"/>
      <c r="H31" s="294">
        <f>Y27</f>
        <v>1.5056000476340179</v>
      </c>
      <c r="I31" s="294"/>
      <c r="J31" s="294"/>
      <c r="K31" s="24" t="str">
        <f>IF(H31&gt;=L31,"≧", "&lt;")</f>
        <v>≧</v>
      </c>
      <c r="L31" s="294">
        <f>AE29</f>
        <v>0.75</v>
      </c>
      <c r="M31" s="294"/>
      <c r="N31" s="294"/>
      <c r="O31" s="13" t="s">
        <v>249</v>
      </c>
      <c r="P31" s="13"/>
      <c r="Q31" s="13"/>
      <c r="R31" s="13"/>
      <c r="S31" s="13"/>
      <c r="T31" s="13"/>
      <c r="U31" s="13"/>
      <c r="V31" s="13"/>
      <c r="W31" s="13"/>
      <c r="X31" s="13"/>
      <c r="Y31" s="13"/>
      <c r="Z31" s="24"/>
      <c r="AA31" s="24"/>
      <c r="AB31" s="24"/>
      <c r="AC31" s="13"/>
      <c r="AD31" s="13"/>
      <c r="AE31" s="24"/>
      <c r="AF31" s="24"/>
      <c r="AG31" s="24"/>
      <c r="AH31" s="13"/>
      <c r="AI31" s="15"/>
    </row>
    <row r="32" spans="2:35">
      <c r="B32" s="13"/>
      <c r="C32" s="12"/>
      <c r="D32" s="13"/>
      <c r="E32" s="13"/>
      <c r="F32" s="28"/>
      <c r="G32" s="14"/>
      <c r="H32" s="14"/>
      <c r="I32" s="14"/>
      <c r="J32" s="24"/>
      <c r="K32" s="24"/>
      <c r="L32" s="13"/>
      <c r="M32" s="13"/>
      <c r="N32" s="13"/>
      <c r="O32" s="13"/>
      <c r="P32" s="13"/>
      <c r="Q32" s="13"/>
      <c r="R32" s="13"/>
      <c r="S32" s="13"/>
      <c r="T32" s="13"/>
      <c r="U32" s="13"/>
      <c r="V32" s="13"/>
      <c r="W32" s="13"/>
      <c r="X32" s="13"/>
      <c r="Y32" s="13"/>
      <c r="Z32" s="24"/>
      <c r="AA32" s="24"/>
      <c r="AB32" s="24"/>
      <c r="AC32" s="13"/>
      <c r="AD32" s="13"/>
      <c r="AE32" s="24"/>
      <c r="AF32" s="24"/>
      <c r="AG32" s="24"/>
      <c r="AH32" s="13"/>
      <c r="AI32" s="15"/>
    </row>
    <row r="33" spans="2:36">
      <c r="B33" s="13"/>
      <c r="C33" s="12"/>
      <c r="D33" s="13"/>
      <c r="E33" s="384" t="s">
        <v>244</v>
      </c>
      <c r="F33" s="384"/>
      <c r="G33" s="384"/>
      <c r="H33" s="384"/>
      <c r="I33" s="384"/>
      <c r="J33" s="384"/>
      <c r="K33" s="384"/>
      <c r="L33" s="384"/>
      <c r="M33" s="384"/>
      <c r="N33" s="384"/>
      <c r="O33" s="384"/>
      <c r="P33" s="384"/>
      <c r="Q33" s="302">
        <f>IF(H31&gt;=L31,H31, L31)</f>
        <v>1.5056000476340179</v>
      </c>
      <c r="R33" s="295"/>
      <c r="S33" s="337"/>
      <c r="T33" s="13" t="s">
        <v>3</v>
      </c>
      <c r="U33" s="13"/>
      <c r="V33" s="13"/>
      <c r="W33" s="13"/>
      <c r="X33" s="13"/>
      <c r="Y33" s="13"/>
      <c r="Z33" s="13"/>
      <c r="AA33" s="13"/>
      <c r="AB33" s="13"/>
      <c r="AC33" s="13"/>
      <c r="AD33" s="13"/>
      <c r="AE33" s="13"/>
      <c r="AF33" s="13"/>
      <c r="AG33" s="13"/>
      <c r="AH33" s="13"/>
      <c r="AI33" s="15"/>
    </row>
    <row r="34" spans="2:36">
      <c r="C34" s="16"/>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9"/>
      <c r="AJ34" s="13"/>
    </row>
    <row r="35" spans="2:36">
      <c r="B35" s="13"/>
      <c r="C35" s="116"/>
      <c r="D35" s="116"/>
      <c r="E35" s="116"/>
      <c r="F35" s="116"/>
      <c r="G35" s="116"/>
      <c r="H35" s="116"/>
      <c r="I35" s="116"/>
      <c r="J35" s="116"/>
      <c r="K35" s="116"/>
      <c r="L35" s="116"/>
      <c r="M35" s="116"/>
      <c r="N35" s="116"/>
      <c r="O35" s="116"/>
      <c r="P35" s="116"/>
      <c r="Q35" s="13"/>
      <c r="R35" s="13"/>
      <c r="S35" s="13"/>
      <c r="T35" s="13"/>
      <c r="U35" s="13"/>
      <c r="V35" s="13"/>
      <c r="W35" s="13"/>
      <c r="X35" s="13"/>
      <c r="Y35" s="13"/>
      <c r="Z35" s="13"/>
      <c r="AA35" s="13"/>
      <c r="AB35" s="13"/>
      <c r="AC35" s="13"/>
      <c r="AD35" s="13"/>
      <c r="AE35" s="13"/>
      <c r="AF35" s="13"/>
      <c r="AG35" s="13"/>
      <c r="AH35" s="13"/>
      <c r="AI35" s="13"/>
    </row>
    <row r="36" spans="2:36">
      <c r="B36" s="1" t="s">
        <v>252</v>
      </c>
      <c r="W36" t="s">
        <v>223</v>
      </c>
    </row>
    <row r="37" spans="2:36">
      <c r="C37" s="9" t="s">
        <v>432</v>
      </c>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1"/>
    </row>
    <row r="38" spans="2:36">
      <c r="C38" s="12"/>
      <c r="D38" s="13" t="s">
        <v>457</v>
      </c>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5"/>
    </row>
    <row r="39" spans="2:36">
      <c r="C39" s="12"/>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5"/>
    </row>
    <row r="40" spans="2:36">
      <c r="B40" s="13"/>
      <c r="C40" s="12"/>
      <c r="D40" s="13"/>
      <c r="E40" s="13"/>
      <c r="F40" s="13"/>
      <c r="G40"/>
      <c r="H40" s="257" t="s">
        <v>23</v>
      </c>
      <c r="I40" s="259"/>
      <c r="J40" s="257" t="s">
        <v>25</v>
      </c>
      <c r="K40" s="258"/>
      <c r="L40" s="258"/>
      <c r="M40" s="258"/>
      <c r="N40" s="258"/>
      <c r="O40" s="259"/>
      <c r="P40" s="257" t="s">
        <v>31</v>
      </c>
      <c r="Q40" s="258"/>
      <c r="R40" s="258"/>
      <c r="S40" s="258"/>
      <c r="T40" s="258"/>
      <c r="U40" s="259"/>
      <c r="V40" s="257" t="s">
        <v>174</v>
      </c>
      <c r="W40" s="258"/>
      <c r="X40" s="258"/>
      <c r="Y40" s="258"/>
      <c r="Z40" s="258"/>
      <c r="AA40" s="259"/>
      <c r="AB40" s="13"/>
      <c r="AC40" s="257" t="s">
        <v>257</v>
      </c>
      <c r="AD40" s="258"/>
      <c r="AE40" s="258"/>
      <c r="AF40" s="258"/>
      <c r="AG40" s="258"/>
      <c r="AH40" s="259"/>
      <c r="AI40" s="15"/>
    </row>
    <row r="41" spans="2:36">
      <c r="B41" s="13"/>
      <c r="C41" s="12"/>
      <c r="D41" s="13"/>
      <c r="E41" s="13"/>
      <c r="F41" s="13"/>
      <c r="G41"/>
      <c r="H41" s="249" t="s">
        <v>15</v>
      </c>
      <c r="I41" s="250"/>
      <c r="J41" s="249" t="s">
        <v>119</v>
      </c>
      <c r="K41" s="210"/>
      <c r="L41" s="210"/>
      <c r="M41" s="210"/>
      <c r="N41" s="210"/>
      <c r="O41" s="250"/>
      <c r="P41" s="249" t="s">
        <v>153</v>
      </c>
      <c r="Q41" s="210"/>
      <c r="R41" s="210"/>
      <c r="S41" s="210"/>
      <c r="T41" s="210"/>
      <c r="U41" s="250"/>
      <c r="V41" s="249" t="s">
        <v>179</v>
      </c>
      <c r="W41" s="210"/>
      <c r="X41" s="210"/>
      <c r="Y41" s="210"/>
      <c r="Z41" s="210"/>
      <c r="AA41" s="250"/>
      <c r="AB41" s="13"/>
      <c r="AC41" s="249" t="s">
        <v>258</v>
      </c>
      <c r="AD41" s="210"/>
      <c r="AE41" s="210"/>
      <c r="AF41" s="210"/>
      <c r="AG41" s="210"/>
      <c r="AH41" s="250"/>
      <c r="AI41" s="15"/>
    </row>
    <row r="42" spans="2:36" ht="19.8">
      <c r="B42" s="13"/>
      <c r="C42" s="12"/>
      <c r="D42" s="13"/>
      <c r="E42" s="13"/>
      <c r="F42" s="13"/>
      <c r="G42"/>
      <c r="H42" s="334" t="s">
        <v>20</v>
      </c>
      <c r="I42" s="336"/>
      <c r="J42" s="334" t="s">
        <v>36</v>
      </c>
      <c r="K42" s="335"/>
      <c r="L42" s="335"/>
      <c r="M42" s="335"/>
      <c r="N42" s="335"/>
      <c r="O42" s="336"/>
      <c r="P42" s="334" t="s">
        <v>36</v>
      </c>
      <c r="Q42" s="335"/>
      <c r="R42" s="335"/>
      <c r="S42" s="335"/>
      <c r="T42" s="335"/>
      <c r="U42" s="336"/>
      <c r="V42" s="334" t="s">
        <v>36</v>
      </c>
      <c r="W42" s="335"/>
      <c r="X42" s="335"/>
      <c r="Y42" s="335"/>
      <c r="Z42" s="335"/>
      <c r="AA42" s="336"/>
      <c r="AB42" s="13"/>
      <c r="AC42" s="334" t="s">
        <v>36</v>
      </c>
      <c r="AD42" s="335"/>
      <c r="AE42" s="335"/>
      <c r="AF42" s="335"/>
      <c r="AG42" s="335"/>
      <c r="AH42" s="336"/>
      <c r="AI42" s="15"/>
    </row>
    <row r="43" spans="2:36">
      <c r="B43" s="13"/>
      <c r="C43" s="12"/>
      <c r="D43" s="390" t="s">
        <v>21</v>
      </c>
      <c r="E43" s="390"/>
      <c r="F43" s="242" t="s">
        <v>135</v>
      </c>
      <c r="G43" s="244"/>
      <c r="H43" s="330">
        <f>'2.根入れ長の計算'!H12</f>
        <v>0.3</v>
      </c>
      <c r="I43" s="331"/>
      <c r="J43" s="323" t="s">
        <v>137</v>
      </c>
      <c r="K43" s="324"/>
      <c r="L43" s="324"/>
      <c r="M43" s="363">
        <f>'2.根入れ長の計算'!AF12</f>
        <v>7.0399999999999991</v>
      </c>
      <c r="N43" s="363"/>
      <c r="O43" s="362"/>
      <c r="P43" s="323" t="s">
        <v>151</v>
      </c>
      <c r="Q43" s="324"/>
      <c r="R43" s="324"/>
      <c r="S43" s="363">
        <f>'2.根入れ長の計算'!O40</f>
        <v>0</v>
      </c>
      <c r="T43" s="363"/>
      <c r="U43" s="362"/>
      <c r="V43" s="9"/>
      <c r="W43" s="10"/>
      <c r="X43" s="10"/>
      <c r="Y43" s="10"/>
      <c r="Z43" s="10"/>
      <c r="AA43" s="11"/>
      <c r="AB43" s="13"/>
      <c r="AC43" s="323"/>
      <c r="AD43" s="324"/>
      <c r="AE43" s="324"/>
      <c r="AF43" s="363"/>
      <c r="AG43" s="363"/>
      <c r="AH43" s="362"/>
      <c r="AI43" s="15"/>
    </row>
    <row r="44" spans="2:36">
      <c r="B44" s="13"/>
      <c r="C44" s="12"/>
      <c r="D44" s="390"/>
      <c r="E44" s="390"/>
      <c r="F44" s="228" t="s">
        <v>136</v>
      </c>
      <c r="G44" s="230"/>
      <c r="H44" s="332"/>
      <c r="I44" s="333"/>
      <c r="J44" s="321" t="s">
        <v>146</v>
      </c>
      <c r="K44" s="322"/>
      <c r="L44" s="322"/>
      <c r="M44" s="364">
        <f>'2.根入れ長の計算'!AF13</f>
        <v>10.6304</v>
      </c>
      <c r="N44" s="364"/>
      <c r="O44" s="365"/>
      <c r="P44" s="321" t="s">
        <v>144</v>
      </c>
      <c r="Q44" s="322"/>
      <c r="R44" s="322"/>
      <c r="S44" s="356">
        <f>'2.根入れ長の計算'!O41</f>
        <v>0</v>
      </c>
      <c r="T44" s="356"/>
      <c r="U44" s="357"/>
      <c r="V44" s="12"/>
      <c r="W44" s="13"/>
      <c r="X44" s="13"/>
      <c r="Y44" s="13"/>
      <c r="Z44" s="13"/>
      <c r="AA44" s="15"/>
      <c r="AB44" s="13"/>
      <c r="AC44" s="321"/>
      <c r="AD44" s="322"/>
      <c r="AE44" s="322"/>
      <c r="AF44" s="364"/>
      <c r="AG44" s="364"/>
      <c r="AH44" s="365"/>
      <c r="AI44" s="15"/>
    </row>
    <row r="45" spans="2:36">
      <c r="B45" s="13"/>
      <c r="C45" s="12"/>
      <c r="D45" s="390" t="s">
        <v>22</v>
      </c>
      <c r="E45" s="390"/>
      <c r="F45" s="470" t="s">
        <v>255</v>
      </c>
      <c r="G45" s="471"/>
      <c r="H45" s="330">
        <f>'2.根入れ長の計算'!H14</f>
        <v>1</v>
      </c>
      <c r="I45" s="331"/>
      <c r="J45" s="323" t="s">
        <v>138</v>
      </c>
      <c r="K45" s="324"/>
      <c r="L45" s="324"/>
      <c r="M45" s="363">
        <f>'2.根入れ長の計算'!AF14</f>
        <v>10.6304</v>
      </c>
      <c r="N45" s="363"/>
      <c r="O45" s="362"/>
      <c r="P45" s="323" t="s">
        <v>145</v>
      </c>
      <c r="Q45" s="324"/>
      <c r="R45" s="324"/>
      <c r="S45" s="363">
        <f>'2.根入れ長の計算'!O42</f>
        <v>0</v>
      </c>
      <c r="T45" s="363"/>
      <c r="U45" s="362"/>
      <c r="V45" s="9"/>
      <c r="W45" s="10"/>
      <c r="X45" s="10"/>
      <c r="Y45" s="10"/>
      <c r="Z45" s="10"/>
      <c r="AA45" s="11"/>
      <c r="AB45" s="13"/>
      <c r="AC45" s="323" t="s">
        <v>259</v>
      </c>
      <c r="AD45" s="324"/>
      <c r="AE45" s="324"/>
      <c r="AF45" s="363">
        <f t="shared" ref="AF45:AF50" si="0">M45+S45-Y45</f>
        <v>10.6304</v>
      </c>
      <c r="AG45" s="363"/>
      <c r="AH45" s="362"/>
      <c r="AI45" s="15"/>
    </row>
    <row r="46" spans="2:36">
      <c r="B46" s="13"/>
      <c r="C46" s="12"/>
      <c r="D46" s="390"/>
      <c r="E46" s="390"/>
      <c r="F46" s="228" t="s">
        <v>136</v>
      </c>
      <c r="G46" s="230"/>
      <c r="H46" s="332"/>
      <c r="I46" s="333"/>
      <c r="J46" s="321" t="s">
        <v>139</v>
      </c>
      <c r="K46" s="322"/>
      <c r="L46" s="322"/>
      <c r="M46" s="364">
        <f>'2.根入れ長の計算'!AF15</f>
        <v>22.598399999999998</v>
      </c>
      <c r="N46" s="364"/>
      <c r="O46" s="365"/>
      <c r="P46" s="321" t="s">
        <v>152</v>
      </c>
      <c r="Q46" s="322"/>
      <c r="R46" s="322"/>
      <c r="S46" s="356">
        <f>'2.根入れ長の計算'!O43</f>
        <v>0</v>
      </c>
      <c r="T46" s="356"/>
      <c r="U46" s="357"/>
      <c r="V46" s="16"/>
      <c r="W46" s="17"/>
      <c r="X46" s="17"/>
      <c r="Y46" s="17"/>
      <c r="Z46" s="17"/>
      <c r="AA46" s="19"/>
      <c r="AB46" s="13"/>
      <c r="AC46" s="321" t="s">
        <v>260</v>
      </c>
      <c r="AD46" s="322"/>
      <c r="AE46" s="322"/>
      <c r="AF46" s="364">
        <f t="shared" si="0"/>
        <v>22.598399999999998</v>
      </c>
      <c r="AG46" s="364"/>
      <c r="AH46" s="365"/>
      <c r="AI46" s="15"/>
    </row>
    <row r="47" spans="2:36">
      <c r="B47" s="13"/>
      <c r="C47" s="12"/>
      <c r="D47" s="390" t="s">
        <v>95</v>
      </c>
      <c r="E47" s="390"/>
      <c r="F47" s="242" t="s">
        <v>135</v>
      </c>
      <c r="G47" s="244"/>
      <c r="H47" s="330">
        <f>'2.根入れ長の計算'!H16</f>
        <v>1.7</v>
      </c>
      <c r="I47" s="331"/>
      <c r="J47" s="323" t="s">
        <v>140</v>
      </c>
      <c r="K47" s="324"/>
      <c r="L47" s="324"/>
      <c r="M47" s="363">
        <f>'2.根入れ長の計算'!AF16</f>
        <v>22.598399999999998</v>
      </c>
      <c r="N47" s="363"/>
      <c r="O47" s="362"/>
      <c r="P47" s="323" t="s">
        <v>147</v>
      </c>
      <c r="Q47" s="324"/>
      <c r="R47" s="324"/>
      <c r="S47" s="363">
        <f>'2.根入れ長の計算'!O44</f>
        <v>0</v>
      </c>
      <c r="T47" s="363"/>
      <c r="U47" s="362"/>
      <c r="V47" s="12"/>
      <c r="W47" s="13"/>
      <c r="X47" s="13"/>
      <c r="Y47" s="13"/>
      <c r="Z47" s="13"/>
      <c r="AA47" s="15"/>
      <c r="AB47" s="13"/>
      <c r="AC47" s="323" t="s">
        <v>261</v>
      </c>
      <c r="AD47" s="324"/>
      <c r="AE47" s="324"/>
      <c r="AF47" s="363">
        <f t="shared" si="0"/>
        <v>22.598399999999998</v>
      </c>
      <c r="AG47" s="363"/>
      <c r="AH47" s="362"/>
      <c r="AI47" s="15"/>
    </row>
    <row r="48" spans="2:36">
      <c r="B48" s="13"/>
      <c r="C48" s="12"/>
      <c r="D48" s="390"/>
      <c r="E48" s="390"/>
      <c r="F48" s="228" t="s">
        <v>136</v>
      </c>
      <c r="G48" s="230"/>
      <c r="H48" s="332"/>
      <c r="I48" s="333"/>
      <c r="J48" s="321" t="s">
        <v>141</v>
      </c>
      <c r="K48" s="322"/>
      <c r="L48" s="322"/>
      <c r="M48" s="364">
        <f>'2.根入れ長の計算'!AF17</f>
        <v>32.172800000000002</v>
      </c>
      <c r="N48" s="364"/>
      <c r="O48" s="365"/>
      <c r="P48" s="321" t="s">
        <v>148</v>
      </c>
      <c r="Q48" s="322"/>
      <c r="R48" s="322"/>
      <c r="S48" s="364">
        <f>'2.根入れ長の計算'!O45</f>
        <v>17</v>
      </c>
      <c r="T48" s="364"/>
      <c r="U48" s="365"/>
      <c r="V48" s="16"/>
      <c r="W48" s="17"/>
      <c r="X48" s="17"/>
      <c r="Y48" s="17"/>
      <c r="Z48" s="17"/>
      <c r="AA48" s="19"/>
      <c r="AB48" s="13"/>
      <c r="AC48" s="321" t="s">
        <v>262</v>
      </c>
      <c r="AD48" s="322"/>
      <c r="AE48" s="322"/>
      <c r="AF48" s="364">
        <f t="shared" si="0"/>
        <v>49.172800000000002</v>
      </c>
      <c r="AG48" s="364"/>
      <c r="AH48" s="365"/>
      <c r="AI48" s="15"/>
    </row>
    <row r="49" spans="3:35" ht="18.75" customHeight="1">
      <c r="C49" s="12"/>
      <c r="D49" s="461" t="s">
        <v>254</v>
      </c>
      <c r="E49" s="462"/>
      <c r="F49" s="242" t="s">
        <v>135</v>
      </c>
      <c r="G49" s="244"/>
      <c r="H49" s="503">
        <f>Q33</f>
        <v>1.5056000476340179</v>
      </c>
      <c r="I49" s="504"/>
      <c r="J49" s="323" t="s">
        <v>142</v>
      </c>
      <c r="K49" s="324"/>
      <c r="L49" s="324"/>
      <c r="M49" s="293">
        <f>'2.根入れ長の計算'!AF18</f>
        <v>14.029900000000001</v>
      </c>
      <c r="N49" s="293"/>
      <c r="O49" s="467"/>
      <c r="P49" s="499" t="s">
        <v>149</v>
      </c>
      <c r="Q49" s="500"/>
      <c r="R49" s="500"/>
      <c r="S49" s="356">
        <f>'2.根入れ長の計算'!O46</f>
        <v>17</v>
      </c>
      <c r="T49" s="356"/>
      <c r="U49" s="357"/>
      <c r="V49" s="323" t="s">
        <v>181</v>
      </c>
      <c r="W49" s="324"/>
      <c r="X49" s="324"/>
      <c r="Y49" s="363">
        <f>'2.根入れ長の計算'!AF29</f>
        <v>0</v>
      </c>
      <c r="Z49" s="363"/>
      <c r="AA49" s="362"/>
      <c r="AB49" s="13"/>
      <c r="AC49" s="323" t="s">
        <v>263</v>
      </c>
      <c r="AD49" s="324"/>
      <c r="AE49" s="324"/>
      <c r="AF49" s="363">
        <f t="shared" si="0"/>
        <v>31.029900000000001</v>
      </c>
      <c r="AG49" s="363"/>
      <c r="AH49" s="362"/>
      <c r="AI49" s="15"/>
    </row>
    <row r="50" spans="3:35">
      <c r="C50" s="12"/>
      <c r="D50" s="463"/>
      <c r="E50" s="464"/>
      <c r="F50" s="508" t="s">
        <v>256</v>
      </c>
      <c r="G50" s="509"/>
      <c r="H50" s="505"/>
      <c r="I50" s="506"/>
      <c r="J50" s="321" t="s">
        <v>266</v>
      </c>
      <c r="K50" s="322"/>
      <c r="L50" s="322"/>
      <c r="M50" s="468">
        <f>'2.根入れ長の計算'!G23*'3.土留め壁の断面計算'!H49+'2.根入れ長の計算'!L23</f>
        <v>18.652092146236434</v>
      </c>
      <c r="N50" s="468"/>
      <c r="O50" s="469"/>
      <c r="P50" s="321" t="s">
        <v>267</v>
      </c>
      <c r="Q50" s="322"/>
      <c r="R50" s="322"/>
      <c r="S50" s="501">
        <f>S49*H51/(H51+H49)</f>
        <v>5.6666666666666687</v>
      </c>
      <c r="T50" s="501"/>
      <c r="U50" s="502"/>
      <c r="V50" s="321" t="s">
        <v>268</v>
      </c>
      <c r="W50" s="322"/>
      <c r="X50" s="322"/>
      <c r="Y50" s="501">
        <f>Y52*H49/(H51+H49)</f>
        <v>49.007281550487278</v>
      </c>
      <c r="Z50" s="501"/>
      <c r="AA50" s="502"/>
      <c r="AB50" s="13"/>
      <c r="AC50" s="321" t="s">
        <v>264</v>
      </c>
      <c r="AD50" s="322"/>
      <c r="AE50" s="322"/>
      <c r="AF50" s="364">
        <f t="shared" si="0"/>
        <v>-24.688522737584176</v>
      </c>
      <c r="AG50" s="364"/>
      <c r="AH50" s="365"/>
      <c r="AI50" s="15"/>
    </row>
    <row r="51" spans="3:35">
      <c r="C51" s="12"/>
      <c r="D51" s="463"/>
      <c r="E51" s="464"/>
      <c r="F51" s="242" t="str">
        <f>F50</f>
        <v>B</v>
      </c>
      <c r="G51" s="244"/>
      <c r="H51" s="503">
        <f>'2.根入れ長の計算'!J141-H49</f>
        <v>0.75280002381700939</v>
      </c>
      <c r="I51" s="504"/>
      <c r="J51" s="323" t="s">
        <v>266</v>
      </c>
      <c r="K51" s="324"/>
      <c r="L51" s="324"/>
      <c r="M51" s="293">
        <f>M50</f>
        <v>18.652092146236434</v>
      </c>
      <c r="N51" s="293"/>
      <c r="O51" s="467"/>
      <c r="P51" s="499" t="s">
        <v>267</v>
      </c>
      <c r="Q51" s="500"/>
      <c r="R51" s="500"/>
      <c r="S51" s="436">
        <f>S50</f>
        <v>5.6666666666666687</v>
      </c>
      <c r="T51" s="436"/>
      <c r="U51" s="507"/>
      <c r="V51" s="323" t="s">
        <v>268</v>
      </c>
      <c r="W51" s="324"/>
      <c r="X51" s="324"/>
      <c r="Y51" s="363">
        <f>Y50</f>
        <v>49.007281550487278</v>
      </c>
      <c r="Z51" s="363"/>
      <c r="AA51" s="362"/>
      <c r="AB51" s="13"/>
      <c r="AC51" s="9"/>
      <c r="AD51" s="10"/>
      <c r="AE51" s="10"/>
      <c r="AF51" s="10"/>
      <c r="AG51" s="10"/>
      <c r="AH51" s="11"/>
      <c r="AI51" s="15"/>
    </row>
    <row r="52" spans="3:35">
      <c r="C52" s="12"/>
      <c r="D52" s="465"/>
      <c r="E52" s="466"/>
      <c r="F52" s="228" t="s">
        <v>136</v>
      </c>
      <c r="G52" s="230"/>
      <c r="H52" s="505"/>
      <c r="I52" s="506"/>
      <c r="J52" s="321" t="s">
        <v>143</v>
      </c>
      <c r="K52" s="322"/>
      <c r="L52" s="322"/>
      <c r="M52" s="468">
        <f>'2.根入れ長の計算'!G23*'2.根入れ長の計算'!J141+'2.根入れ長の計算'!L23</f>
        <v>20.963188219354656</v>
      </c>
      <c r="N52" s="468"/>
      <c r="O52" s="469"/>
      <c r="P52" s="321" t="s">
        <v>150</v>
      </c>
      <c r="Q52" s="322"/>
      <c r="R52" s="322"/>
      <c r="S52" s="364">
        <f>'2.根入れ長の計算'!O47</f>
        <v>0</v>
      </c>
      <c r="T52" s="364"/>
      <c r="U52" s="365"/>
      <c r="V52" s="321" t="s">
        <v>182</v>
      </c>
      <c r="W52" s="322"/>
      <c r="X52" s="322"/>
      <c r="Y52" s="364">
        <f>'2.根入れ長の計算'!G33*'2.根入れ長の計算'!J141</f>
        <v>73.510922325730931</v>
      </c>
      <c r="Z52" s="364"/>
      <c r="AA52" s="365"/>
      <c r="AB52" s="13"/>
      <c r="AC52" s="16"/>
      <c r="AD52" s="17"/>
      <c r="AE52" s="17"/>
      <c r="AF52" s="17"/>
      <c r="AG52" s="17"/>
      <c r="AH52" s="19"/>
      <c r="AI52" s="15"/>
    </row>
    <row r="53" spans="3:35">
      <c r="C53" s="12"/>
      <c r="D53" s="13"/>
      <c r="E53" s="13"/>
      <c r="F53" s="13"/>
      <c r="G53" s="13"/>
      <c r="H53" s="13"/>
      <c r="I53" s="13"/>
      <c r="J53" s="13"/>
      <c r="K53" s="13"/>
      <c r="L53" s="13"/>
      <c r="M53" s="13"/>
      <c r="N53" s="13"/>
      <c r="O53" s="13"/>
      <c r="P53" s="128"/>
      <c r="Q53" s="128"/>
      <c r="R53" s="128"/>
      <c r="S53" s="95"/>
      <c r="T53" s="95"/>
      <c r="U53" s="95"/>
      <c r="V53" s="13"/>
      <c r="W53" s="128"/>
      <c r="X53" s="128"/>
      <c r="Y53" s="128"/>
      <c r="Z53" s="95"/>
      <c r="AA53" s="95"/>
      <c r="AB53" s="95"/>
      <c r="AC53" s="13"/>
      <c r="AD53" s="13"/>
      <c r="AE53" s="13"/>
      <c r="AF53" s="13"/>
      <c r="AG53" s="13"/>
      <c r="AH53" s="13"/>
      <c r="AI53" s="15"/>
    </row>
    <row r="54" spans="3:35">
      <c r="C54" s="12"/>
      <c r="D54" s="13"/>
      <c r="E54" s="13"/>
      <c r="F54" s="13"/>
      <c r="G54"/>
      <c r="H54" s="257" t="s">
        <v>23</v>
      </c>
      <c r="I54" s="259"/>
      <c r="J54" s="257" t="s">
        <v>257</v>
      </c>
      <c r="K54" s="258"/>
      <c r="L54" s="258"/>
      <c r="M54" s="258"/>
      <c r="N54" s="258"/>
      <c r="O54" s="259"/>
      <c r="P54" s="128"/>
      <c r="Q54" s="128"/>
      <c r="R54" s="128"/>
      <c r="S54" s="95"/>
      <c r="T54" s="95"/>
      <c r="U54" s="95"/>
      <c r="V54" s="13"/>
      <c r="W54" s="128"/>
      <c r="X54" s="128"/>
      <c r="Y54" s="128"/>
      <c r="Z54" s="95"/>
      <c r="AA54" s="95"/>
      <c r="AB54" s="95"/>
      <c r="AC54" s="13"/>
      <c r="AD54" s="13"/>
      <c r="AE54" s="13"/>
      <c r="AF54" s="13"/>
      <c r="AG54" s="13"/>
      <c r="AH54" s="13"/>
      <c r="AI54" s="15"/>
    </row>
    <row r="55" spans="3:35">
      <c r="C55" s="12"/>
      <c r="D55" s="13"/>
      <c r="E55" s="13"/>
      <c r="F55" s="13"/>
      <c r="G55"/>
      <c r="H55" s="249" t="s">
        <v>15</v>
      </c>
      <c r="I55" s="250"/>
      <c r="J55" s="249" t="s">
        <v>269</v>
      </c>
      <c r="K55" s="210"/>
      <c r="L55" s="210"/>
      <c r="M55" s="210"/>
      <c r="N55" s="210"/>
      <c r="O55" s="250"/>
      <c r="P55" s="128"/>
      <c r="Q55" s="128"/>
      <c r="R55" s="128"/>
      <c r="S55" s="95"/>
      <c r="T55" s="95"/>
      <c r="U55" s="95"/>
      <c r="V55" s="13"/>
      <c r="W55" s="128"/>
      <c r="X55" s="128"/>
      <c r="Y55" s="128"/>
      <c r="Z55" s="95"/>
      <c r="AA55" s="95"/>
      <c r="AB55" s="95"/>
      <c r="AC55" s="13"/>
      <c r="AD55" s="13"/>
      <c r="AE55" s="13"/>
      <c r="AF55" s="13"/>
      <c r="AG55" s="13"/>
      <c r="AH55" s="13"/>
      <c r="AI55" s="15"/>
    </row>
    <row r="56" spans="3:35" ht="19.8">
      <c r="C56" s="12"/>
      <c r="D56" s="13"/>
      <c r="E56" s="13"/>
      <c r="F56" s="13"/>
      <c r="G56"/>
      <c r="H56" s="334" t="s">
        <v>20</v>
      </c>
      <c r="I56" s="336"/>
      <c r="J56" s="334" t="s">
        <v>36</v>
      </c>
      <c r="K56" s="335"/>
      <c r="L56" s="335"/>
      <c r="M56" s="335"/>
      <c r="N56" s="335"/>
      <c r="O56" s="336"/>
      <c r="P56" s="128"/>
      <c r="Q56" s="128"/>
      <c r="R56" s="128"/>
      <c r="S56" s="95"/>
      <c r="T56" s="95"/>
      <c r="U56" s="95"/>
      <c r="V56" s="13"/>
      <c r="W56" s="128"/>
      <c r="X56" s="128"/>
      <c r="Y56" s="128"/>
      <c r="Z56" s="95"/>
      <c r="AA56" s="95"/>
      <c r="AB56" s="95"/>
      <c r="AC56" s="13"/>
      <c r="AD56" s="13"/>
      <c r="AE56" s="13"/>
      <c r="AF56" s="13"/>
      <c r="AG56" s="13"/>
      <c r="AH56" s="13"/>
      <c r="AI56" s="15"/>
    </row>
    <row r="57" spans="3:35">
      <c r="C57" s="12"/>
      <c r="D57" s="390" t="s">
        <v>22</v>
      </c>
      <c r="E57" s="390"/>
      <c r="F57" s="470" t="s">
        <v>255</v>
      </c>
      <c r="G57" s="471"/>
      <c r="H57" s="330">
        <f>H45</f>
        <v>1</v>
      </c>
      <c r="I57" s="331"/>
      <c r="J57" s="323" t="s">
        <v>259</v>
      </c>
      <c r="K57" s="324"/>
      <c r="L57" s="324"/>
      <c r="M57" s="363">
        <f>AF45</f>
        <v>10.6304</v>
      </c>
      <c r="N57" s="363"/>
      <c r="O57" s="362"/>
      <c r="P57" s="128"/>
      <c r="Q57" s="128"/>
      <c r="R57" s="128"/>
      <c r="S57" s="95"/>
      <c r="T57" s="95"/>
      <c r="U57" s="95"/>
      <c r="V57" s="13"/>
      <c r="W57" s="128"/>
      <c r="X57" s="128"/>
      <c r="Y57" s="128"/>
      <c r="Z57" s="95"/>
      <c r="AA57" s="95"/>
      <c r="AB57" s="95"/>
      <c r="AC57" s="13"/>
      <c r="AD57" s="13"/>
      <c r="AE57" s="13"/>
      <c r="AF57" s="13"/>
      <c r="AG57" s="13"/>
      <c r="AH57" s="13"/>
      <c r="AI57" s="15"/>
    </row>
    <row r="58" spans="3:35">
      <c r="C58" s="12"/>
      <c r="D58" s="390"/>
      <c r="E58" s="390"/>
      <c r="F58" s="228" t="s">
        <v>136</v>
      </c>
      <c r="G58" s="230"/>
      <c r="H58" s="332"/>
      <c r="I58" s="333"/>
      <c r="J58" s="321" t="s">
        <v>260</v>
      </c>
      <c r="K58" s="322"/>
      <c r="L58" s="322"/>
      <c r="M58" s="364">
        <f>AF46</f>
        <v>22.598399999999998</v>
      </c>
      <c r="N58" s="364"/>
      <c r="O58" s="365"/>
      <c r="P58" s="128"/>
      <c r="Q58" s="128"/>
      <c r="R58" s="128"/>
      <c r="S58" s="95"/>
      <c r="T58" s="95"/>
      <c r="U58" s="95"/>
      <c r="V58" s="13"/>
      <c r="W58" s="128"/>
      <c r="X58" s="128"/>
      <c r="Y58" s="128"/>
      <c r="Z58" s="95"/>
      <c r="AA58" s="95"/>
      <c r="AB58" s="95"/>
      <c r="AC58" s="13"/>
      <c r="AD58" s="13"/>
      <c r="AE58" s="13"/>
      <c r="AF58" s="13"/>
      <c r="AG58" s="13"/>
      <c r="AH58" s="13"/>
      <c r="AI58" s="15"/>
    </row>
    <row r="59" spans="3:35">
      <c r="C59" s="12"/>
      <c r="D59" s="390" t="s">
        <v>95</v>
      </c>
      <c r="E59" s="390"/>
      <c r="F59" s="242" t="s">
        <v>135</v>
      </c>
      <c r="G59" s="244"/>
      <c r="H59" s="330">
        <f>H47</f>
        <v>1.7</v>
      </c>
      <c r="I59" s="331"/>
      <c r="J59" s="323" t="s">
        <v>261</v>
      </c>
      <c r="K59" s="324"/>
      <c r="L59" s="324"/>
      <c r="M59" s="363">
        <f>AF47</f>
        <v>22.598399999999998</v>
      </c>
      <c r="N59" s="363"/>
      <c r="O59" s="362"/>
      <c r="P59" s="128"/>
      <c r="Q59" s="128"/>
      <c r="R59" s="128"/>
      <c r="S59" s="95"/>
      <c r="T59" s="95"/>
      <c r="U59" s="95"/>
      <c r="V59" s="13"/>
      <c r="W59" s="128"/>
      <c r="X59" s="128"/>
      <c r="Y59" s="128"/>
      <c r="Z59" s="95"/>
      <c r="AA59" s="95"/>
      <c r="AB59" s="95"/>
      <c r="AC59" s="13"/>
      <c r="AD59" s="13"/>
      <c r="AE59" s="13"/>
      <c r="AF59" s="13"/>
      <c r="AG59" s="13"/>
      <c r="AH59" s="13"/>
      <c r="AI59" s="15"/>
    </row>
    <row r="60" spans="3:35">
      <c r="C60" s="12"/>
      <c r="D60" s="390"/>
      <c r="E60" s="390"/>
      <c r="F60" s="228" t="s">
        <v>136</v>
      </c>
      <c r="G60" s="230"/>
      <c r="H60" s="332"/>
      <c r="I60" s="333"/>
      <c r="J60" s="321" t="s">
        <v>262</v>
      </c>
      <c r="K60" s="322"/>
      <c r="L60" s="322"/>
      <c r="M60" s="364">
        <f>AF48</f>
        <v>49.172800000000002</v>
      </c>
      <c r="N60" s="364"/>
      <c r="O60" s="365"/>
      <c r="P60" s="128"/>
      <c r="Q60" s="128"/>
      <c r="R60" s="128"/>
      <c r="S60" s="95"/>
      <c r="T60" s="95"/>
      <c r="U60" s="95"/>
      <c r="V60" s="13"/>
      <c r="W60" s="128"/>
      <c r="X60" s="128"/>
      <c r="Y60" s="128"/>
      <c r="Z60" s="95"/>
      <c r="AA60" s="95"/>
      <c r="AB60" s="95"/>
      <c r="AC60" s="13"/>
      <c r="AD60" s="13"/>
      <c r="AE60" s="13"/>
      <c r="AF60" s="13"/>
      <c r="AG60" s="13"/>
      <c r="AH60" s="13"/>
      <c r="AI60" s="15"/>
    </row>
    <row r="61" spans="3:35">
      <c r="C61" s="12"/>
      <c r="D61" s="461" t="s">
        <v>254</v>
      </c>
      <c r="E61" s="462"/>
      <c r="F61" s="242" t="s">
        <v>135</v>
      </c>
      <c r="G61" s="244"/>
      <c r="H61" s="518">
        <f>(AF49*H49)/(AF49-AF50)</f>
        <v>0.8384770534174748</v>
      </c>
      <c r="I61" s="519"/>
      <c r="J61" s="323" t="s">
        <v>263</v>
      </c>
      <c r="K61" s="324"/>
      <c r="L61" s="324"/>
      <c r="M61" s="363">
        <f>AF49</f>
        <v>31.029900000000001</v>
      </c>
      <c r="N61" s="363"/>
      <c r="O61" s="362"/>
      <c r="P61" s="128"/>
      <c r="Q61" s="128"/>
      <c r="R61" s="128"/>
      <c r="S61" s="95"/>
      <c r="T61" s="95"/>
      <c r="U61" s="95"/>
      <c r="V61" s="13"/>
      <c r="W61" s="128"/>
      <c r="X61" s="128"/>
      <c r="Y61" s="128"/>
      <c r="Z61" s="95"/>
      <c r="AA61" s="95"/>
      <c r="AB61" s="95"/>
      <c r="AC61" s="13"/>
      <c r="AD61" s="13"/>
      <c r="AE61" s="13"/>
      <c r="AF61" s="13"/>
      <c r="AG61" s="13"/>
      <c r="AH61" s="13"/>
      <c r="AI61" s="15"/>
    </row>
    <row r="62" spans="3:35">
      <c r="C62" s="12"/>
      <c r="D62" s="463"/>
      <c r="E62" s="464"/>
      <c r="F62" s="508">
        <v>0</v>
      </c>
      <c r="G62" s="509"/>
      <c r="H62" s="520"/>
      <c r="I62" s="521"/>
      <c r="J62" s="321" t="s">
        <v>270</v>
      </c>
      <c r="K62" s="322"/>
      <c r="L62" s="322"/>
      <c r="M62" s="516">
        <v>0</v>
      </c>
      <c r="N62" s="516"/>
      <c r="O62" s="517"/>
      <c r="P62" s="128"/>
      <c r="Q62" s="128"/>
      <c r="R62" s="128"/>
      <c r="S62" s="95"/>
      <c r="T62" s="95"/>
      <c r="U62" s="95"/>
      <c r="V62" s="13"/>
      <c r="W62" s="128"/>
      <c r="X62" s="128"/>
      <c r="Y62" s="128"/>
      <c r="Z62" s="95"/>
      <c r="AA62" s="95"/>
      <c r="AB62" s="95"/>
      <c r="AC62" s="13"/>
      <c r="AD62" s="13"/>
      <c r="AE62" s="13"/>
      <c r="AF62" s="13"/>
      <c r="AG62" s="13"/>
      <c r="AH62" s="13"/>
      <c r="AI62" s="15"/>
    </row>
    <row r="63" spans="3:35" ht="18.75" customHeight="1">
      <c r="C63" s="12"/>
      <c r="D63" s="463"/>
      <c r="E63" s="464"/>
      <c r="F63" s="242">
        <f>F62</f>
        <v>0</v>
      </c>
      <c r="G63" s="244"/>
      <c r="H63" s="330">
        <f>H49-H61</f>
        <v>0.66712299421654309</v>
      </c>
      <c r="I63" s="331"/>
      <c r="J63" s="323" t="s">
        <v>270</v>
      </c>
      <c r="K63" s="324"/>
      <c r="L63" s="324"/>
      <c r="M63" s="363">
        <v>0</v>
      </c>
      <c r="N63" s="363"/>
      <c r="O63" s="362"/>
      <c r="P63" s="128"/>
      <c r="Q63" s="128"/>
      <c r="R63" s="128"/>
      <c r="S63" s="95"/>
      <c r="T63" s="95"/>
      <c r="U63" s="95"/>
      <c r="V63" s="13"/>
      <c r="W63" s="128"/>
      <c r="X63" s="128"/>
      <c r="Y63" s="128"/>
      <c r="Z63" s="95"/>
      <c r="AA63" s="95"/>
      <c r="AB63" s="95"/>
      <c r="AC63" s="13"/>
      <c r="AD63" s="13"/>
      <c r="AE63" s="13"/>
      <c r="AF63" s="13"/>
      <c r="AG63" s="13"/>
      <c r="AH63" s="13"/>
      <c r="AI63" s="15"/>
    </row>
    <row r="64" spans="3:35">
      <c r="C64" s="12"/>
      <c r="D64" s="465"/>
      <c r="E64" s="466"/>
      <c r="F64" s="228" t="s">
        <v>256</v>
      </c>
      <c r="G64" s="230"/>
      <c r="H64" s="332"/>
      <c r="I64" s="333"/>
      <c r="J64" s="321" t="s">
        <v>264</v>
      </c>
      <c r="K64" s="322"/>
      <c r="L64" s="322"/>
      <c r="M64" s="364">
        <f>AF50</f>
        <v>-24.688522737584176</v>
      </c>
      <c r="N64" s="364"/>
      <c r="O64" s="365"/>
      <c r="P64" s="128"/>
      <c r="Q64" s="128"/>
      <c r="R64" s="128"/>
      <c r="S64" s="95"/>
      <c r="T64" s="95"/>
      <c r="U64" s="95"/>
      <c r="V64" s="13"/>
      <c r="W64" s="128"/>
      <c r="X64" s="128"/>
      <c r="Y64" s="128"/>
      <c r="Z64" s="95"/>
      <c r="AA64" s="95"/>
      <c r="AB64" s="95"/>
      <c r="AC64" s="13"/>
      <c r="AD64" s="13"/>
      <c r="AE64" s="13"/>
      <c r="AF64" s="13"/>
      <c r="AG64" s="13"/>
      <c r="AH64" s="13"/>
      <c r="AI64" s="15"/>
    </row>
    <row r="65" spans="2:35">
      <c r="C65" s="12"/>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5"/>
    </row>
    <row r="66" spans="2:35">
      <c r="B66" s="13"/>
      <c r="C66" s="12"/>
      <c r="D66" s="96"/>
      <c r="E66" s="95"/>
      <c r="F66" s="95"/>
      <c r="G66" s="95"/>
      <c r="H66" s="257" t="s">
        <v>265</v>
      </c>
      <c r="I66" s="258"/>
      <c r="J66" s="258"/>
      <c r="K66" s="258"/>
      <c r="L66" s="258"/>
      <c r="M66" s="258"/>
      <c r="N66" s="258"/>
      <c r="O66" s="258"/>
      <c r="P66" s="258"/>
      <c r="Q66" s="258"/>
      <c r="R66" s="259"/>
      <c r="S66" s="13"/>
      <c r="T66" s="13"/>
      <c r="U66" s="13"/>
      <c r="V66" s="13"/>
      <c r="W66" s="13"/>
      <c r="X66" s="13"/>
      <c r="Y66" s="13"/>
      <c r="Z66" s="13"/>
      <c r="AA66" s="13"/>
      <c r="AB66" s="13"/>
      <c r="AC66" s="13"/>
      <c r="AD66" s="13"/>
      <c r="AE66" s="13"/>
      <c r="AF66" s="13"/>
      <c r="AG66" s="13"/>
      <c r="AH66" s="13"/>
      <c r="AI66" s="15"/>
    </row>
    <row r="67" spans="2:35">
      <c r="B67" s="13"/>
      <c r="C67" s="12"/>
      <c r="D67" s="13"/>
      <c r="E67" s="95"/>
      <c r="F67" s="95"/>
      <c r="G67" s="95"/>
      <c r="H67" s="317" t="s">
        <v>33</v>
      </c>
      <c r="I67" s="318"/>
      <c r="J67" s="318"/>
      <c r="K67" s="318"/>
      <c r="L67" s="318"/>
      <c r="M67" s="318"/>
      <c r="N67" s="318"/>
      <c r="O67" s="318"/>
      <c r="P67" s="318"/>
      <c r="Q67" s="318"/>
      <c r="R67" s="319"/>
      <c r="S67" s="13"/>
      <c r="T67" s="13"/>
      <c r="U67" s="13"/>
      <c r="V67" s="13"/>
      <c r="W67" s="13"/>
      <c r="X67" s="13"/>
      <c r="Y67" s="13"/>
      <c r="Z67" s="13"/>
      <c r="AA67" s="13"/>
      <c r="AB67" s="13"/>
      <c r="AC67" s="13"/>
      <c r="AD67" s="13"/>
      <c r="AE67" s="13"/>
      <c r="AF67" s="13"/>
      <c r="AG67" s="13"/>
      <c r="AH67" s="13"/>
      <c r="AI67" s="15"/>
    </row>
    <row r="68" spans="2:35">
      <c r="B68" s="13"/>
      <c r="C68" s="12"/>
      <c r="D68" s="96"/>
      <c r="E68" s="95"/>
      <c r="F68" s="95"/>
      <c r="G68" s="95"/>
      <c r="H68" s="334" t="s">
        <v>34</v>
      </c>
      <c r="I68" s="335"/>
      <c r="J68" s="335"/>
      <c r="K68" s="335"/>
      <c r="L68" s="335"/>
      <c r="M68" s="335"/>
      <c r="N68" s="335"/>
      <c r="O68" s="335"/>
      <c r="P68" s="335"/>
      <c r="Q68" s="335"/>
      <c r="R68" s="336"/>
      <c r="S68" s="13"/>
      <c r="T68" s="13"/>
      <c r="U68" s="13"/>
      <c r="V68" s="13"/>
      <c r="W68" s="13"/>
      <c r="X68" s="13"/>
      <c r="Y68" s="13"/>
      <c r="Z68" s="13"/>
      <c r="AA68" s="13"/>
      <c r="AB68" s="13"/>
      <c r="AC68" s="13"/>
      <c r="AD68" s="13"/>
      <c r="AE68" s="13"/>
      <c r="AF68" s="13"/>
      <c r="AG68" s="13"/>
      <c r="AH68" s="13"/>
      <c r="AI68" s="15"/>
    </row>
    <row r="69" spans="2:35">
      <c r="B69" s="13"/>
      <c r="C69" s="12"/>
      <c r="D69" s="284" t="s">
        <v>22</v>
      </c>
      <c r="E69" s="285"/>
      <c r="F69" s="288" t="s">
        <v>156</v>
      </c>
      <c r="G69" s="289"/>
      <c r="H69" s="315">
        <f>M57</f>
        <v>10.6304</v>
      </c>
      <c r="I69" s="316"/>
      <c r="J69" s="30" t="s">
        <v>27</v>
      </c>
      <c r="K69" s="316">
        <f>H57</f>
        <v>1</v>
      </c>
      <c r="L69" s="316"/>
      <c r="M69" s="30" t="s">
        <v>71</v>
      </c>
      <c r="N69" s="63">
        <v>2</v>
      </c>
      <c r="O69" s="30" t="s">
        <v>2</v>
      </c>
      <c r="P69" s="302">
        <f>K69*H69/N69</f>
        <v>5.3151999999999999</v>
      </c>
      <c r="Q69" s="295"/>
      <c r="R69" s="337"/>
      <c r="S69" s="13"/>
      <c r="T69" s="13"/>
      <c r="U69" s="13"/>
      <c r="V69" s="13"/>
      <c r="W69" s="13"/>
      <c r="X69" s="13"/>
      <c r="Y69" s="13"/>
      <c r="Z69" s="13"/>
      <c r="AA69" s="13"/>
      <c r="AB69" s="13"/>
      <c r="AC69" s="13"/>
      <c r="AD69" s="13"/>
      <c r="AE69" s="13"/>
      <c r="AF69" s="13"/>
      <c r="AG69" s="13"/>
      <c r="AH69" s="13"/>
      <c r="AI69" s="15"/>
    </row>
    <row r="70" spans="2:35">
      <c r="B70" s="13"/>
      <c r="C70" s="12"/>
      <c r="D70" s="286"/>
      <c r="E70" s="287"/>
      <c r="F70" s="341" t="s">
        <v>157</v>
      </c>
      <c r="G70" s="341"/>
      <c r="H70" s="515">
        <f>M58</f>
        <v>22.598399999999998</v>
      </c>
      <c r="I70" s="339"/>
      <c r="J70" s="17" t="s">
        <v>27</v>
      </c>
      <c r="K70" s="339">
        <f>H57</f>
        <v>1</v>
      </c>
      <c r="L70" s="339"/>
      <c r="M70" s="17" t="s">
        <v>71</v>
      </c>
      <c r="N70" s="48">
        <v>2</v>
      </c>
      <c r="O70" s="17" t="s">
        <v>2</v>
      </c>
      <c r="P70" s="340">
        <f>K70*H70/N70</f>
        <v>11.299199999999999</v>
      </c>
      <c r="Q70" s="294"/>
      <c r="R70" s="338"/>
      <c r="S70" s="13"/>
      <c r="T70" s="13"/>
      <c r="U70" s="13"/>
      <c r="V70" s="13"/>
      <c r="W70" s="13"/>
      <c r="X70" s="13"/>
      <c r="Y70" s="13"/>
      <c r="Z70" s="13"/>
      <c r="AA70" s="13"/>
      <c r="AB70" s="13"/>
      <c r="AC70" s="13"/>
      <c r="AD70" s="13"/>
      <c r="AE70" s="13"/>
      <c r="AF70" s="13"/>
      <c r="AG70" s="13"/>
      <c r="AH70" s="13"/>
      <c r="AI70" s="15"/>
    </row>
    <row r="71" spans="2:35">
      <c r="B71" s="13"/>
      <c r="C71" s="12"/>
      <c r="D71" s="284" t="s">
        <v>95</v>
      </c>
      <c r="E71" s="285"/>
      <c r="F71" s="296" t="s">
        <v>158</v>
      </c>
      <c r="G71" s="243"/>
      <c r="H71" s="510">
        <f>M59</f>
        <v>22.598399999999998</v>
      </c>
      <c r="I71" s="444"/>
      <c r="J71" s="10" t="s">
        <v>27</v>
      </c>
      <c r="K71" s="444">
        <f>H59</f>
        <v>1.7</v>
      </c>
      <c r="L71" s="444"/>
      <c r="M71" s="10" t="s">
        <v>71</v>
      </c>
      <c r="N71" s="47">
        <v>2</v>
      </c>
      <c r="O71" s="10" t="s">
        <v>2</v>
      </c>
      <c r="P71" s="302">
        <f>K71*H71/N71</f>
        <v>19.208639999999999</v>
      </c>
      <c r="Q71" s="295"/>
      <c r="R71" s="337"/>
      <c r="S71" s="13"/>
      <c r="T71" s="13"/>
      <c r="U71" s="13"/>
      <c r="V71" s="13"/>
      <c r="W71" s="13"/>
      <c r="X71" s="13"/>
      <c r="Y71" s="13"/>
      <c r="Z71" s="13"/>
      <c r="AA71" s="13"/>
      <c r="AB71" s="13"/>
      <c r="AC71" s="13"/>
      <c r="AD71" s="13"/>
      <c r="AE71" s="13"/>
      <c r="AF71" s="13"/>
      <c r="AG71" s="13"/>
      <c r="AH71" s="13"/>
      <c r="AI71" s="15"/>
    </row>
    <row r="72" spans="2:35">
      <c r="B72" s="13"/>
      <c r="C72" s="12"/>
      <c r="D72" s="286"/>
      <c r="E72" s="287"/>
      <c r="F72" s="297" t="s">
        <v>159</v>
      </c>
      <c r="G72" s="298"/>
      <c r="H72" s="315">
        <f>M60</f>
        <v>49.172800000000002</v>
      </c>
      <c r="I72" s="316"/>
      <c r="J72" s="30" t="s">
        <v>27</v>
      </c>
      <c r="K72" s="316">
        <f>H59</f>
        <v>1.7</v>
      </c>
      <c r="L72" s="316"/>
      <c r="M72" s="30" t="s">
        <v>71</v>
      </c>
      <c r="N72" s="63">
        <v>2</v>
      </c>
      <c r="O72" s="30" t="s">
        <v>2</v>
      </c>
      <c r="P72" s="302">
        <f>K72*H72/N72</f>
        <v>41.796880000000002</v>
      </c>
      <c r="Q72" s="295"/>
      <c r="R72" s="337"/>
      <c r="S72" s="13"/>
      <c r="T72" s="13"/>
      <c r="U72" s="13"/>
      <c r="V72" s="13"/>
      <c r="W72" s="13"/>
      <c r="X72" s="13"/>
      <c r="Y72" s="13"/>
      <c r="Z72" s="13"/>
      <c r="AA72" s="13"/>
      <c r="AB72" s="13"/>
      <c r="AC72" s="13"/>
      <c r="AD72" s="13"/>
      <c r="AE72" s="13"/>
      <c r="AF72" s="13"/>
      <c r="AG72" s="13"/>
      <c r="AH72" s="13"/>
      <c r="AI72" s="15"/>
    </row>
    <row r="73" spans="2:35">
      <c r="B73" s="13"/>
      <c r="C73" s="12"/>
      <c r="D73" s="461" t="s">
        <v>254</v>
      </c>
      <c r="E73" s="462"/>
      <c r="F73" s="299" t="s">
        <v>160</v>
      </c>
      <c r="G73" s="229"/>
      <c r="H73" s="315">
        <f>M61</f>
        <v>31.029900000000001</v>
      </c>
      <c r="I73" s="316"/>
      <c r="J73" s="30" t="s">
        <v>27</v>
      </c>
      <c r="K73" s="304">
        <f>H61</f>
        <v>0.8384770534174748</v>
      </c>
      <c r="L73" s="234"/>
      <c r="M73" s="30" t="s">
        <v>71</v>
      </c>
      <c r="N73" s="63">
        <v>2</v>
      </c>
      <c r="O73" s="30" t="s">
        <v>2</v>
      </c>
      <c r="P73" s="511">
        <f>K73*H73/N73</f>
        <v>13.008929559919451</v>
      </c>
      <c r="Q73" s="512"/>
      <c r="R73" s="513"/>
      <c r="S73" s="13"/>
      <c r="T73" s="13"/>
      <c r="U73" s="13"/>
      <c r="V73" s="13"/>
      <c r="W73" s="13"/>
      <c r="X73" s="13"/>
      <c r="Y73" s="13"/>
      <c r="Z73" s="13"/>
      <c r="AA73" s="13"/>
      <c r="AB73" s="13"/>
      <c r="AC73" s="13"/>
      <c r="AD73" s="13"/>
      <c r="AE73" s="13"/>
      <c r="AF73" s="13"/>
      <c r="AG73" s="13"/>
      <c r="AH73" s="13"/>
      <c r="AI73" s="15"/>
    </row>
    <row r="74" spans="2:35">
      <c r="B74" s="13"/>
      <c r="C74" s="12"/>
      <c r="D74" s="465"/>
      <c r="E74" s="466"/>
      <c r="F74" s="341"/>
      <c r="G74" s="341"/>
      <c r="H74" s="514"/>
      <c r="I74" s="234"/>
      <c r="J74" s="17"/>
      <c r="K74" s="339"/>
      <c r="L74" s="339"/>
      <c r="M74" s="30"/>
      <c r="N74" s="63"/>
      <c r="O74" s="30"/>
      <c r="P74" s="302"/>
      <c r="Q74" s="295"/>
      <c r="R74" s="337"/>
      <c r="S74" s="13"/>
      <c r="T74" s="13"/>
      <c r="U74" s="13"/>
      <c r="V74" s="13"/>
      <c r="W74" s="13"/>
      <c r="X74" s="13"/>
      <c r="Y74" s="13"/>
      <c r="Z74" s="13"/>
      <c r="AA74" s="13"/>
      <c r="AB74" s="13"/>
      <c r="AC74" s="13"/>
      <c r="AD74" s="13"/>
      <c r="AE74" s="13"/>
      <c r="AF74" s="13"/>
      <c r="AG74" s="13"/>
      <c r="AH74" s="13"/>
      <c r="AI74" s="15"/>
    </row>
    <row r="75" spans="2:35">
      <c r="B75" s="13"/>
      <c r="C75" s="12"/>
      <c r="D75" s="118"/>
      <c r="E75" s="118"/>
      <c r="F75" s="200"/>
      <c r="G75" s="200"/>
      <c r="H75" s="95"/>
      <c r="I75" s="80"/>
      <c r="J75" s="13"/>
      <c r="K75" s="194"/>
      <c r="L75" s="194"/>
      <c r="M75" s="13"/>
      <c r="N75" s="103"/>
      <c r="O75" s="13"/>
      <c r="P75" s="24"/>
      <c r="Q75" s="24"/>
      <c r="R75" s="24"/>
      <c r="S75" s="13"/>
      <c r="T75" s="13"/>
      <c r="U75" s="13"/>
      <c r="V75" s="13"/>
      <c r="W75" s="13"/>
      <c r="X75" s="13"/>
      <c r="Y75" s="13"/>
      <c r="Z75" s="13"/>
      <c r="AA75" s="13"/>
      <c r="AB75" s="13"/>
      <c r="AC75" s="13"/>
      <c r="AD75" s="13"/>
      <c r="AE75" s="13"/>
      <c r="AF75" s="13"/>
      <c r="AG75" s="13"/>
      <c r="AH75" s="13"/>
      <c r="AI75" s="15"/>
    </row>
    <row r="76" spans="2:35">
      <c r="C76" s="12"/>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5"/>
    </row>
    <row r="77" spans="2:35">
      <c r="B77" s="13"/>
      <c r="C77" s="12"/>
      <c r="D77" s="96"/>
      <c r="E77" s="95"/>
      <c r="F77" s="95"/>
      <c r="G77"/>
      <c r="H77" s="257" t="s">
        <v>271</v>
      </c>
      <c r="I77" s="258"/>
      <c r="J77" s="258"/>
      <c r="K77" s="258"/>
      <c r="L77" s="258"/>
      <c r="M77" s="258"/>
      <c r="N77" s="258"/>
      <c r="O77" s="258"/>
      <c r="P77" s="258"/>
      <c r="Q77" s="258"/>
      <c r="R77" s="258"/>
      <c r="S77" s="258"/>
      <c r="T77" s="258"/>
      <c r="U77" s="258"/>
      <c r="V77" s="258"/>
      <c r="W77" s="258"/>
      <c r="X77" s="258"/>
      <c r="Y77" s="258"/>
      <c r="Z77" s="259"/>
      <c r="AA77" s="13"/>
      <c r="AB77" s="13"/>
      <c r="AC77" s="13"/>
      <c r="AD77" s="13"/>
      <c r="AE77" s="13"/>
      <c r="AF77" s="13"/>
      <c r="AG77" s="13"/>
      <c r="AH77" s="13"/>
      <c r="AI77" s="15"/>
    </row>
    <row r="78" spans="2:35">
      <c r="B78" s="13"/>
      <c r="C78" s="12"/>
      <c r="D78" s="96"/>
      <c r="E78" s="95"/>
      <c r="F78" s="95"/>
      <c r="G78"/>
      <c r="H78" s="317" t="s">
        <v>275</v>
      </c>
      <c r="I78" s="318"/>
      <c r="J78" s="318"/>
      <c r="K78" s="318"/>
      <c r="L78" s="318"/>
      <c r="M78" s="318"/>
      <c r="N78" s="318"/>
      <c r="O78" s="318"/>
      <c r="P78" s="318"/>
      <c r="Q78" s="318"/>
      <c r="R78" s="318"/>
      <c r="S78" s="318"/>
      <c r="T78" s="318"/>
      <c r="U78" s="318"/>
      <c r="V78" s="318"/>
      <c r="W78" s="318"/>
      <c r="X78" s="318"/>
      <c r="Y78" s="318"/>
      <c r="Z78" s="319"/>
      <c r="AA78" s="13"/>
      <c r="AB78" s="13"/>
      <c r="AC78" s="13"/>
      <c r="AD78" s="13"/>
      <c r="AE78" s="13"/>
      <c r="AF78" s="13"/>
      <c r="AG78" s="13"/>
      <c r="AH78" s="13"/>
      <c r="AI78" s="15"/>
    </row>
    <row r="79" spans="2:35">
      <c r="B79" s="13"/>
      <c r="C79" s="12"/>
      <c r="D79" s="96"/>
      <c r="E79" s="95"/>
      <c r="F79" s="95"/>
      <c r="G79"/>
      <c r="H79" s="334" t="s">
        <v>20</v>
      </c>
      <c r="I79" s="335"/>
      <c r="J79" s="335"/>
      <c r="K79" s="335"/>
      <c r="L79" s="335"/>
      <c r="M79" s="335"/>
      <c r="N79" s="335"/>
      <c r="O79" s="335"/>
      <c r="P79" s="335"/>
      <c r="Q79" s="335"/>
      <c r="R79" s="335"/>
      <c r="S79" s="335"/>
      <c r="T79" s="335"/>
      <c r="U79" s="335"/>
      <c r="V79" s="335"/>
      <c r="W79" s="335"/>
      <c r="X79" s="335"/>
      <c r="Y79" s="335"/>
      <c r="Z79" s="336"/>
      <c r="AA79" s="13"/>
      <c r="AB79" s="13"/>
      <c r="AC79" s="13"/>
      <c r="AD79" s="13"/>
      <c r="AE79" s="13"/>
      <c r="AF79" s="13"/>
      <c r="AG79" s="13"/>
      <c r="AH79" s="13"/>
      <c r="AI79" s="15"/>
    </row>
    <row r="80" spans="2:35">
      <c r="B80" s="13"/>
      <c r="C80" s="12"/>
      <c r="D80" s="284" t="s">
        <v>22</v>
      </c>
      <c r="E80" s="285"/>
      <c r="F80" s="288" t="s">
        <v>156</v>
      </c>
      <c r="G80" s="289"/>
      <c r="H80" s="302">
        <f>H$63</f>
        <v>0.66712299421654309</v>
      </c>
      <c r="I80" s="295"/>
      <c r="J80" s="68" t="s">
        <v>69</v>
      </c>
      <c r="K80" s="295">
        <f>H$61</f>
        <v>0.8384770534174748</v>
      </c>
      <c r="L80" s="295"/>
      <c r="M80" s="30" t="s">
        <v>69</v>
      </c>
      <c r="N80" s="295">
        <f>H$59</f>
        <v>1.7</v>
      </c>
      <c r="O80" s="295"/>
      <c r="P80" s="30" t="s">
        <v>69</v>
      </c>
      <c r="Q80" s="295">
        <f>H$57</f>
        <v>1</v>
      </c>
      <c r="R80" s="295"/>
      <c r="S80" s="30" t="s">
        <v>71</v>
      </c>
      <c r="T80" s="45">
        <v>3</v>
      </c>
      <c r="U80" s="30" t="s">
        <v>27</v>
      </c>
      <c r="V80" s="29">
        <v>2</v>
      </c>
      <c r="W80" s="30" t="s">
        <v>2</v>
      </c>
      <c r="X80" s="302">
        <f>H80+K80+N80+Q80/T80*V80</f>
        <v>3.8722667143006846</v>
      </c>
      <c r="Y80" s="295"/>
      <c r="Z80" s="337"/>
      <c r="AA80" s="13"/>
      <c r="AB80" s="13"/>
      <c r="AC80" s="13"/>
      <c r="AD80" s="13"/>
      <c r="AE80" s="13"/>
      <c r="AF80" s="13"/>
      <c r="AG80" s="13"/>
      <c r="AH80" s="13"/>
      <c r="AI80" s="15"/>
    </row>
    <row r="81" spans="2:35">
      <c r="B81" s="13"/>
      <c r="C81" s="12"/>
      <c r="D81" s="286"/>
      <c r="E81" s="287"/>
      <c r="F81" s="341" t="s">
        <v>157</v>
      </c>
      <c r="G81" s="341"/>
      <c r="H81" s="302">
        <f>H$63</f>
        <v>0.66712299421654309</v>
      </c>
      <c r="I81" s="295"/>
      <c r="J81" s="68" t="s">
        <v>69</v>
      </c>
      <c r="K81" s="295">
        <f>H$61</f>
        <v>0.8384770534174748</v>
      </c>
      <c r="L81" s="295"/>
      <c r="M81" s="30" t="s">
        <v>69</v>
      </c>
      <c r="N81" s="295">
        <f>H$59</f>
        <v>1.7</v>
      </c>
      <c r="O81" s="295"/>
      <c r="P81" s="30" t="s">
        <v>69</v>
      </c>
      <c r="Q81" s="295">
        <f>H$57</f>
        <v>1</v>
      </c>
      <c r="R81" s="295"/>
      <c r="S81" s="17" t="s">
        <v>71</v>
      </c>
      <c r="T81" s="29">
        <v>3</v>
      </c>
      <c r="U81" s="17" t="s">
        <v>27</v>
      </c>
      <c r="V81" s="29">
        <v>1</v>
      </c>
      <c r="W81" s="17" t="s">
        <v>2</v>
      </c>
      <c r="X81" s="302">
        <f>H81+K81+N81+Q81/T81*V81</f>
        <v>3.5389333809673515</v>
      </c>
      <c r="Y81" s="295"/>
      <c r="Z81" s="337"/>
      <c r="AA81" s="13"/>
      <c r="AB81" s="13"/>
      <c r="AC81" s="13"/>
      <c r="AD81" s="13"/>
      <c r="AE81" s="13"/>
      <c r="AF81" s="13"/>
      <c r="AG81" s="13"/>
      <c r="AH81" s="13"/>
      <c r="AI81" s="15"/>
    </row>
    <row r="82" spans="2:35">
      <c r="B82" s="13"/>
      <c r="C82" s="12"/>
      <c r="D82" s="284" t="s">
        <v>95</v>
      </c>
      <c r="E82" s="285"/>
      <c r="F82" s="296" t="s">
        <v>158</v>
      </c>
      <c r="G82" s="243"/>
      <c r="H82" s="302">
        <f>H$63</f>
        <v>0.66712299421654309</v>
      </c>
      <c r="I82" s="295"/>
      <c r="J82" s="68" t="s">
        <v>69</v>
      </c>
      <c r="K82" s="295">
        <f>H$61</f>
        <v>0.8384770534174748</v>
      </c>
      <c r="L82" s="295"/>
      <c r="M82" s="30" t="s">
        <v>69</v>
      </c>
      <c r="N82" s="295">
        <f>H$59</f>
        <v>1.7</v>
      </c>
      <c r="O82" s="295"/>
      <c r="P82" s="30"/>
      <c r="Q82" s="295"/>
      <c r="R82" s="295"/>
      <c r="S82" s="30" t="s">
        <v>71</v>
      </c>
      <c r="T82" s="45">
        <v>3</v>
      </c>
      <c r="U82" s="30" t="s">
        <v>27</v>
      </c>
      <c r="V82" s="45">
        <v>2</v>
      </c>
      <c r="W82" s="30" t="s">
        <v>2</v>
      </c>
      <c r="X82" s="302">
        <f>H82+K82+N82/T82*V82</f>
        <v>2.6389333809673512</v>
      </c>
      <c r="Y82" s="295"/>
      <c r="Z82" s="337"/>
      <c r="AA82" s="13"/>
      <c r="AB82" s="13"/>
      <c r="AC82" s="13"/>
      <c r="AD82" s="13"/>
      <c r="AE82" s="13"/>
      <c r="AF82" s="13"/>
      <c r="AG82" s="13"/>
      <c r="AH82" s="13"/>
      <c r="AI82" s="15"/>
    </row>
    <row r="83" spans="2:35">
      <c r="B83" s="13"/>
      <c r="C83" s="12"/>
      <c r="D83" s="286"/>
      <c r="E83" s="287"/>
      <c r="F83" s="297" t="s">
        <v>159</v>
      </c>
      <c r="G83" s="298"/>
      <c r="H83" s="302">
        <f>H$63</f>
        <v>0.66712299421654309</v>
      </c>
      <c r="I83" s="295"/>
      <c r="J83" s="68" t="s">
        <v>69</v>
      </c>
      <c r="K83" s="295">
        <f>H$61</f>
        <v>0.8384770534174748</v>
      </c>
      <c r="L83" s="295"/>
      <c r="M83" s="30" t="s">
        <v>69</v>
      </c>
      <c r="N83" s="295">
        <f>H$59</f>
        <v>1.7</v>
      </c>
      <c r="O83" s="295"/>
      <c r="P83" s="30"/>
      <c r="Q83" s="30"/>
      <c r="R83" s="30"/>
      <c r="S83" s="17" t="s">
        <v>71</v>
      </c>
      <c r="T83" s="29">
        <v>3</v>
      </c>
      <c r="U83" s="17" t="s">
        <v>27</v>
      </c>
      <c r="V83" s="29">
        <v>1</v>
      </c>
      <c r="W83" s="17" t="s">
        <v>2</v>
      </c>
      <c r="X83" s="302">
        <f>H83+K83+N83/T83*V83</f>
        <v>2.0722667143006843</v>
      </c>
      <c r="Y83" s="295"/>
      <c r="Z83" s="337"/>
      <c r="AA83" s="13"/>
      <c r="AB83" s="13"/>
      <c r="AC83" s="13"/>
      <c r="AD83" s="13"/>
      <c r="AE83" s="13"/>
      <c r="AF83" s="13"/>
      <c r="AG83" s="13"/>
      <c r="AH83" s="13"/>
      <c r="AI83" s="15"/>
    </row>
    <row r="84" spans="2:35">
      <c r="B84" s="13"/>
      <c r="C84" s="12"/>
      <c r="D84" s="313" t="s">
        <v>117</v>
      </c>
      <c r="E84" s="314"/>
      <c r="F84" s="299" t="s">
        <v>160</v>
      </c>
      <c r="G84" s="229"/>
      <c r="H84" s="302">
        <f>H$63</f>
        <v>0.66712299421654309</v>
      </c>
      <c r="I84" s="295"/>
      <c r="J84" s="68" t="s">
        <v>69</v>
      </c>
      <c r="K84" s="295">
        <f>H$61</f>
        <v>0.8384770534174748</v>
      </c>
      <c r="L84" s="295"/>
      <c r="M84" s="30"/>
      <c r="N84" s="295"/>
      <c r="O84" s="295"/>
      <c r="P84" s="30"/>
      <c r="Q84" s="30"/>
      <c r="R84" s="30"/>
      <c r="S84" s="30" t="s">
        <v>71</v>
      </c>
      <c r="T84" s="45">
        <v>3</v>
      </c>
      <c r="U84" s="30" t="s">
        <v>27</v>
      </c>
      <c r="V84" s="45">
        <v>2</v>
      </c>
      <c r="W84" s="30" t="s">
        <v>2</v>
      </c>
      <c r="X84" s="302">
        <f>H84+K84/T84*V84</f>
        <v>1.2261076964948596</v>
      </c>
      <c r="Y84" s="295"/>
      <c r="Z84" s="337"/>
      <c r="AA84" s="13"/>
      <c r="AB84" s="13"/>
      <c r="AC84" s="13"/>
      <c r="AD84" s="13"/>
      <c r="AE84" s="13"/>
      <c r="AF84" s="13"/>
      <c r="AG84" s="13"/>
      <c r="AH84" s="13"/>
      <c r="AI84" s="15"/>
    </row>
    <row r="85" spans="2:35">
      <c r="B85" s="13"/>
      <c r="C85" s="12"/>
      <c r="D85" s="28"/>
      <c r="E85" s="28"/>
      <c r="F85" s="94"/>
      <c r="G85" s="167"/>
      <c r="H85" s="24"/>
      <c r="I85" s="24"/>
      <c r="J85" s="202"/>
      <c r="K85" s="24"/>
      <c r="L85" s="24"/>
      <c r="M85" s="13"/>
      <c r="N85" s="24"/>
      <c r="O85" s="24"/>
      <c r="P85" s="13"/>
      <c r="Q85" s="13"/>
      <c r="R85" s="13"/>
      <c r="S85" s="13"/>
      <c r="T85" s="31"/>
      <c r="U85" s="13"/>
      <c r="V85" s="31"/>
      <c r="W85" s="13"/>
      <c r="X85" s="24"/>
      <c r="Y85" s="24"/>
      <c r="Z85" s="24"/>
      <c r="AA85" s="13"/>
      <c r="AB85" s="13"/>
      <c r="AC85" s="13"/>
      <c r="AD85" s="13"/>
      <c r="AE85" s="13"/>
      <c r="AF85" s="13"/>
      <c r="AG85" s="13"/>
      <c r="AH85" s="13"/>
      <c r="AI85" s="15"/>
    </row>
    <row r="86" spans="2:35">
      <c r="C86" s="12"/>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5"/>
    </row>
    <row r="87" spans="2:35">
      <c r="B87" s="13"/>
      <c r="C87" s="12"/>
      <c r="D87" s="96"/>
      <c r="E87" s="95"/>
      <c r="F87" s="95"/>
      <c r="G87" s="95"/>
      <c r="H87" s="257" t="s">
        <v>265</v>
      </c>
      <c r="I87" s="258"/>
      <c r="J87" s="259"/>
      <c r="K87" s="257" t="s">
        <v>32</v>
      </c>
      <c r="L87" s="258"/>
      <c r="M87" s="259"/>
      <c r="N87" s="257" t="s">
        <v>272</v>
      </c>
      <c r="O87" s="258"/>
      <c r="P87" s="258"/>
      <c r="Q87" s="259"/>
      <c r="R87" s="13"/>
      <c r="S87" s="13"/>
      <c r="T87" s="13"/>
      <c r="U87" s="13"/>
      <c r="V87" s="13"/>
      <c r="W87" s="13"/>
      <c r="X87" s="13"/>
      <c r="Y87" s="13"/>
      <c r="Z87" s="13"/>
      <c r="AA87" s="13"/>
      <c r="AB87" s="13"/>
      <c r="AC87" s="13"/>
      <c r="AD87" s="13"/>
      <c r="AE87" s="13"/>
      <c r="AF87" s="13"/>
      <c r="AG87" s="13"/>
      <c r="AH87" s="13"/>
      <c r="AI87" s="15"/>
    </row>
    <row r="88" spans="2:35">
      <c r="B88" s="13"/>
      <c r="C88" s="12"/>
      <c r="D88" s="13"/>
      <c r="E88" s="95"/>
      <c r="F88" s="95"/>
      <c r="G88" s="95"/>
      <c r="H88" s="317" t="s">
        <v>33</v>
      </c>
      <c r="I88" s="318"/>
      <c r="J88" s="319"/>
      <c r="K88" s="317" t="s">
        <v>275</v>
      </c>
      <c r="L88" s="318"/>
      <c r="M88" s="319"/>
      <c r="N88" s="317" t="s">
        <v>274</v>
      </c>
      <c r="O88" s="318"/>
      <c r="P88" s="318"/>
      <c r="Q88" s="319"/>
      <c r="R88" s="13"/>
      <c r="S88" s="13"/>
      <c r="T88" s="13"/>
      <c r="U88" s="13"/>
      <c r="V88" s="13"/>
      <c r="W88" s="13"/>
      <c r="X88" s="13"/>
      <c r="Y88" s="13"/>
      <c r="Z88" s="13"/>
      <c r="AA88" s="13"/>
      <c r="AB88" s="13"/>
      <c r="AC88" s="13"/>
      <c r="AD88" s="13"/>
      <c r="AE88" s="13"/>
      <c r="AF88" s="13"/>
      <c r="AG88" s="13"/>
      <c r="AH88" s="13"/>
      <c r="AI88" s="15"/>
    </row>
    <row r="89" spans="2:35">
      <c r="B89" s="13"/>
      <c r="C89" s="12"/>
      <c r="D89" s="96"/>
      <c r="E89" s="95"/>
      <c r="F89" s="95"/>
      <c r="G89" s="95"/>
      <c r="H89" s="334" t="s">
        <v>34</v>
      </c>
      <c r="I89" s="335"/>
      <c r="J89" s="336"/>
      <c r="K89" s="334" t="s">
        <v>20</v>
      </c>
      <c r="L89" s="335"/>
      <c r="M89" s="336"/>
      <c r="N89" s="334" t="s">
        <v>35</v>
      </c>
      <c r="O89" s="335"/>
      <c r="P89" s="335"/>
      <c r="Q89" s="336"/>
      <c r="R89" s="13"/>
      <c r="S89" s="13"/>
      <c r="T89" s="13"/>
      <c r="U89" s="13"/>
      <c r="V89" s="13"/>
      <c r="W89" s="13"/>
      <c r="X89" s="13"/>
      <c r="Y89" s="13"/>
      <c r="Z89" s="13"/>
      <c r="AA89" s="13"/>
      <c r="AB89" s="13"/>
      <c r="AC89" s="13"/>
      <c r="AD89" s="13"/>
      <c r="AE89" s="13"/>
      <c r="AF89" s="13"/>
      <c r="AG89" s="13"/>
      <c r="AH89" s="13"/>
      <c r="AI89" s="15"/>
    </row>
    <row r="90" spans="2:35">
      <c r="B90" s="13"/>
      <c r="C90" s="12"/>
      <c r="D90" s="284" t="s">
        <v>22</v>
      </c>
      <c r="E90" s="285"/>
      <c r="F90" s="288" t="s">
        <v>156</v>
      </c>
      <c r="G90" s="289"/>
      <c r="H90" s="315">
        <f>P69</f>
        <v>5.3151999999999999</v>
      </c>
      <c r="I90" s="316"/>
      <c r="J90" s="460"/>
      <c r="K90" s="315">
        <f>X80</f>
        <v>3.8722667143006846</v>
      </c>
      <c r="L90" s="316"/>
      <c r="M90" s="316"/>
      <c r="N90" s="302">
        <f>H90*K90</f>
        <v>20.581872039851</v>
      </c>
      <c r="O90" s="295"/>
      <c r="P90" s="295"/>
      <c r="Q90" s="337"/>
      <c r="R90" s="13"/>
      <c r="S90" s="13"/>
      <c r="T90" s="13"/>
      <c r="U90" s="13"/>
      <c r="V90" s="13"/>
      <c r="W90" s="13"/>
      <c r="X90" s="13"/>
      <c r="Y90" s="13"/>
      <c r="Z90" s="13"/>
      <c r="AA90" s="13"/>
      <c r="AB90" s="13"/>
      <c r="AC90" s="13"/>
      <c r="AD90" s="13"/>
      <c r="AE90" s="13"/>
      <c r="AF90" s="13"/>
      <c r="AG90" s="13"/>
      <c r="AH90" s="13"/>
      <c r="AI90" s="15"/>
    </row>
    <row r="91" spans="2:35">
      <c r="B91" s="13"/>
      <c r="C91" s="12"/>
      <c r="D91" s="286"/>
      <c r="E91" s="287"/>
      <c r="F91" s="341" t="s">
        <v>157</v>
      </c>
      <c r="G91" s="341"/>
      <c r="H91" s="315">
        <f>P70</f>
        <v>11.299199999999999</v>
      </c>
      <c r="I91" s="316"/>
      <c r="J91" s="460"/>
      <c r="K91" s="315">
        <f>X81</f>
        <v>3.5389333809673515</v>
      </c>
      <c r="L91" s="316"/>
      <c r="M91" s="316"/>
      <c r="N91" s="302">
        <f t="shared" ref="N91:N94" si="1">H91*K91</f>
        <v>39.987116058226292</v>
      </c>
      <c r="O91" s="295"/>
      <c r="P91" s="295"/>
      <c r="Q91" s="337"/>
      <c r="R91" s="13"/>
      <c r="S91" s="13"/>
      <c r="T91" s="13"/>
      <c r="U91" s="13"/>
      <c r="V91" s="13"/>
      <c r="W91" s="13"/>
      <c r="X91" s="13"/>
      <c r="Y91" s="13"/>
      <c r="Z91" s="13"/>
      <c r="AA91" s="13"/>
      <c r="AB91" s="13"/>
      <c r="AC91" s="13"/>
      <c r="AD91" s="13"/>
      <c r="AE91" s="13"/>
      <c r="AF91" s="13"/>
      <c r="AG91" s="13"/>
      <c r="AH91" s="13"/>
      <c r="AI91" s="15"/>
    </row>
    <row r="92" spans="2:35">
      <c r="B92" s="13"/>
      <c r="C92" s="12"/>
      <c r="D92" s="284" t="s">
        <v>95</v>
      </c>
      <c r="E92" s="285"/>
      <c r="F92" s="296" t="s">
        <v>158</v>
      </c>
      <c r="G92" s="243"/>
      <c r="H92" s="315">
        <f>P71</f>
        <v>19.208639999999999</v>
      </c>
      <c r="I92" s="316"/>
      <c r="J92" s="460"/>
      <c r="K92" s="315">
        <f>X82</f>
        <v>2.6389333809673512</v>
      </c>
      <c r="L92" s="316"/>
      <c r="M92" s="316"/>
      <c r="N92" s="302">
        <f t="shared" si="1"/>
        <v>50.690321298984699</v>
      </c>
      <c r="O92" s="295"/>
      <c r="P92" s="295"/>
      <c r="Q92" s="337"/>
      <c r="R92" s="13"/>
      <c r="S92" s="13"/>
      <c r="T92" s="13"/>
      <c r="U92" s="13"/>
      <c r="V92" s="13"/>
      <c r="W92" s="13"/>
      <c r="X92" s="13"/>
      <c r="Y92" s="13"/>
      <c r="Z92" s="13"/>
      <c r="AA92" s="13"/>
      <c r="AB92" s="13"/>
      <c r="AC92" s="13"/>
      <c r="AD92" s="13"/>
      <c r="AE92" s="13"/>
      <c r="AF92" s="13"/>
      <c r="AG92" s="13"/>
      <c r="AH92" s="13"/>
      <c r="AI92" s="15"/>
    </row>
    <row r="93" spans="2:35">
      <c r="B93" s="13"/>
      <c r="C93" s="12"/>
      <c r="D93" s="286"/>
      <c r="E93" s="287"/>
      <c r="F93" s="297" t="s">
        <v>159</v>
      </c>
      <c r="G93" s="298"/>
      <c r="H93" s="315">
        <f>P72</f>
        <v>41.796880000000002</v>
      </c>
      <c r="I93" s="316"/>
      <c r="J93" s="460"/>
      <c r="K93" s="315">
        <f>X83</f>
        <v>2.0722667143006843</v>
      </c>
      <c r="L93" s="316"/>
      <c r="M93" s="316"/>
      <c r="N93" s="302">
        <f t="shared" si="1"/>
        <v>86.614283185619996</v>
      </c>
      <c r="O93" s="295"/>
      <c r="P93" s="295"/>
      <c r="Q93" s="337"/>
      <c r="R93" s="13"/>
      <c r="S93" s="13"/>
      <c r="T93" s="13"/>
      <c r="U93" s="13"/>
      <c r="V93" s="13"/>
      <c r="W93" s="13"/>
      <c r="X93" s="13"/>
      <c r="Y93" s="13"/>
      <c r="Z93" s="13"/>
      <c r="AA93" s="13"/>
      <c r="AB93" s="13"/>
      <c r="AC93" s="13"/>
      <c r="AD93" s="13"/>
      <c r="AE93" s="13"/>
      <c r="AF93" s="13"/>
      <c r="AG93" s="13"/>
      <c r="AH93" s="13"/>
      <c r="AI93" s="15"/>
    </row>
    <row r="94" spans="2:35" ht="18.600000000000001" thickBot="1">
      <c r="B94" s="13"/>
      <c r="C94" s="12"/>
      <c r="D94" s="493" t="s">
        <v>117</v>
      </c>
      <c r="E94" s="494"/>
      <c r="F94" s="447" t="s">
        <v>160</v>
      </c>
      <c r="G94" s="448"/>
      <c r="H94" s="429">
        <f>P73</f>
        <v>13.008929559919451</v>
      </c>
      <c r="I94" s="430"/>
      <c r="J94" s="449"/>
      <c r="K94" s="429">
        <f>X84</f>
        <v>1.2261076964948596</v>
      </c>
      <c r="L94" s="430"/>
      <c r="M94" s="430"/>
      <c r="N94" s="457">
        <f t="shared" si="1"/>
        <v>15.950348656576727</v>
      </c>
      <c r="O94" s="458"/>
      <c r="P94" s="458"/>
      <c r="Q94" s="459"/>
      <c r="R94" s="13"/>
      <c r="S94" s="13"/>
      <c r="T94" s="13"/>
      <c r="U94" s="13"/>
      <c r="V94" s="13"/>
      <c r="W94" s="13"/>
      <c r="X94" s="13"/>
      <c r="Y94" s="13"/>
      <c r="Z94" s="13"/>
      <c r="AA94" s="13"/>
      <c r="AB94" s="13"/>
      <c r="AC94" s="13"/>
      <c r="AD94" s="13"/>
      <c r="AE94" s="13"/>
      <c r="AF94" s="13"/>
      <c r="AG94" s="13"/>
      <c r="AH94" s="13"/>
      <c r="AI94" s="15"/>
    </row>
    <row r="95" spans="2:35" ht="18.600000000000001" thickTop="1">
      <c r="C95" s="12"/>
      <c r="D95" s="497" t="s">
        <v>273</v>
      </c>
      <c r="E95" s="498"/>
      <c r="F95" s="76"/>
      <c r="G95" s="76"/>
      <c r="H95" s="76"/>
      <c r="I95" s="76"/>
      <c r="J95" s="76"/>
      <c r="K95" s="76"/>
      <c r="L95" s="76"/>
      <c r="M95" s="119"/>
      <c r="N95" s="495">
        <f>SUM(N90:Q94)</f>
        <v>213.82394123925872</v>
      </c>
      <c r="O95" s="282"/>
      <c r="P95" s="282"/>
      <c r="Q95" s="496"/>
      <c r="R95" s="13"/>
      <c r="S95" s="13"/>
      <c r="T95" s="13"/>
      <c r="U95" s="13"/>
      <c r="V95" s="13"/>
      <c r="W95" s="13"/>
      <c r="X95" s="13"/>
      <c r="Y95" s="13"/>
      <c r="Z95" s="13"/>
      <c r="AA95" s="13"/>
      <c r="AB95" s="13"/>
      <c r="AC95" s="13"/>
      <c r="AD95" s="13"/>
      <c r="AE95" s="13"/>
      <c r="AF95" s="13"/>
      <c r="AG95" s="13"/>
      <c r="AH95" s="13"/>
      <c r="AI95" s="15"/>
    </row>
    <row r="96" spans="2:35">
      <c r="C96" s="12"/>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5"/>
    </row>
    <row r="97" spans="3:35" ht="19.2">
      <c r="C97" s="12"/>
      <c r="D97" s="13" t="s">
        <v>276</v>
      </c>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5"/>
    </row>
    <row r="98" spans="3:35">
      <c r="C98" s="12"/>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5"/>
    </row>
    <row r="99" spans="3:35">
      <c r="C99" s="12"/>
      <c r="D99" s="13"/>
      <c r="E99" s="13" t="s">
        <v>70</v>
      </c>
      <c r="F99" s="294">
        <f>H57</f>
        <v>1</v>
      </c>
      <c r="G99" s="294"/>
      <c r="H99" s="294"/>
      <c r="I99" s="13" t="s">
        <v>69</v>
      </c>
      <c r="J99" s="294">
        <f>H59</f>
        <v>1.7</v>
      </c>
      <c r="K99" s="294"/>
      <c r="L99" s="294"/>
      <c r="M99" s="13" t="s">
        <v>69</v>
      </c>
      <c r="N99" s="294">
        <f>H49</f>
        <v>1.5056000476340179</v>
      </c>
      <c r="O99" s="294"/>
      <c r="P99" s="294"/>
      <c r="Q99" s="13" t="s">
        <v>84</v>
      </c>
      <c r="R99" s="13" t="s">
        <v>27</v>
      </c>
      <c r="S99" s="210" t="s">
        <v>279</v>
      </c>
      <c r="T99" s="210"/>
      <c r="U99" s="13" t="s">
        <v>2</v>
      </c>
      <c r="V99" s="309">
        <f>N95</f>
        <v>213.82394123925872</v>
      </c>
      <c r="W99" s="309"/>
      <c r="X99" s="309"/>
      <c r="Y99" s="309"/>
      <c r="Z99" s="13"/>
      <c r="AA99" s="13"/>
      <c r="AB99" s="13"/>
      <c r="AC99" s="13"/>
      <c r="AD99" s="13"/>
      <c r="AE99" s="13"/>
      <c r="AF99" s="13"/>
      <c r="AG99" s="13"/>
      <c r="AH99" s="13"/>
      <c r="AI99" s="15"/>
    </row>
    <row r="100" spans="3:35">
      <c r="C100" s="12"/>
      <c r="D100" s="13"/>
      <c r="E100" s="13"/>
      <c r="F100" s="24"/>
      <c r="G100" s="24"/>
      <c r="H100" s="24"/>
      <c r="I100" s="13"/>
      <c r="J100" s="24"/>
      <c r="K100" s="24"/>
      <c r="L100" s="24"/>
      <c r="M100" s="13"/>
      <c r="N100" s="24"/>
      <c r="O100" s="24"/>
      <c r="P100" s="24"/>
      <c r="Q100" s="13"/>
      <c r="R100" s="13"/>
      <c r="S100" s="35"/>
      <c r="T100" s="35"/>
      <c r="U100" s="13"/>
      <c r="V100" s="14"/>
      <c r="W100" s="14"/>
      <c r="X100" s="14"/>
      <c r="Y100" s="14"/>
      <c r="Z100" s="13"/>
      <c r="AA100" s="13"/>
      <c r="AB100" s="13"/>
      <c r="AC100" s="13"/>
      <c r="AD100" s="13"/>
      <c r="AE100" s="13"/>
      <c r="AF100" s="13"/>
      <c r="AG100" s="13"/>
      <c r="AH100" s="13"/>
      <c r="AI100" s="15"/>
    </row>
    <row r="101" spans="3:35">
      <c r="C101" s="12"/>
      <c r="D101" s="13" t="s">
        <v>68</v>
      </c>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5"/>
    </row>
    <row r="102" spans="3:35" ht="19.2">
      <c r="C102" s="12"/>
      <c r="D102" s="13"/>
      <c r="E102" s="13"/>
      <c r="F102" s="13"/>
      <c r="G102" s="13"/>
      <c r="H102" s="210" t="s">
        <v>277</v>
      </c>
      <c r="I102" s="210"/>
      <c r="J102" s="13" t="s">
        <v>2</v>
      </c>
      <c r="K102" s="309">
        <f>V99/(F99+J99+N99)</f>
        <v>50.842671394668535</v>
      </c>
      <c r="L102" s="309"/>
      <c r="M102" s="309"/>
      <c r="N102" s="13" t="s">
        <v>278</v>
      </c>
      <c r="O102" s="13"/>
      <c r="P102" s="13"/>
      <c r="Q102" s="13"/>
      <c r="R102" s="13"/>
      <c r="S102" s="13"/>
      <c r="T102" s="13"/>
      <c r="U102" s="13"/>
      <c r="V102" s="13"/>
      <c r="W102" s="13"/>
      <c r="X102" s="13"/>
      <c r="Y102" s="13"/>
      <c r="Z102" s="13"/>
      <c r="AA102" s="13"/>
      <c r="AB102" s="13"/>
      <c r="AC102" s="13"/>
      <c r="AD102" s="13"/>
      <c r="AE102" s="13"/>
      <c r="AF102" s="13"/>
      <c r="AG102" s="13"/>
      <c r="AH102" s="13"/>
      <c r="AI102" s="15"/>
    </row>
    <row r="103" spans="3:35">
      <c r="C103" s="12"/>
      <c r="D103" s="13"/>
      <c r="E103" s="13"/>
      <c r="F103" s="13"/>
      <c r="G103" s="13"/>
      <c r="H103" s="35"/>
      <c r="I103" s="35"/>
      <c r="J103" s="13"/>
      <c r="K103" s="14"/>
      <c r="L103" s="14"/>
      <c r="M103" s="14"/>
      <c r="N103" s="13"/>
      <c r="O103" s="13"/>
      <c r="P103" s="13"/>
      <c r="Q103" s="13"/>
      <c r="R103" s="13"/>
      <c r="S103" s="13"/>
      <c r="T103" s="13"/>
      <c r="U103" s="13"/>
      <c r="V103" s="13"/>
      <c r="W103" s="13"/>
      <c r="X103" s="13"/>
      <c r="Y103" s="13"/>
      <c r="Z103" s="13"/>
      <c r="AA103" s="13"/>
      <c r="AB103" s="13"/>
      <c r="AC103" s="13"/>
      <c r="AD103" s="13"/>
      <c r="AE103" s="13"/>
      <c r="AF103" s="13"/>
      <c r="AG103" s="13"/>
      <c r="AH103" s="13"/>
      <c r="AI103" s="15"/>
    </row>
    <row r="104" spans="3:35">
      <c r="C104" s="12"/>
      <c r="D104" s="13"/>
      <c r="E104" s="13"/>
      <c r="F104" s="13"/>
      <c r="G104" s="13"/>
      <c r="H104" s="35"/>
      <c r="I104" s="35"/>
      <c r="J104" s="13"/>
      <c r="K104" s="14"/>
      <c r="L104" s="14"/>
      <c r="M104" s="14"/>
      <c r="N104" s="13"/>
      <c r="O104" s="13"/>
      <c r="P104" s="13"/>
      <c r="Q104" s="13"/>
      <c r="R104" s="13"/>
      <c r="S104" s="13"/>
      <c r="T104" s="13"/>
      <c r="U104" s="13"/>
      <c r="V104" s="13"/>
      <c r="W104" s="13"/>
      <c r="X104" s="13"/>
      <c r="Y104" s="13"/>
      <c r="Z104" s="13"/>
      <c r="AA104" s="13"/>
      <c r="AB104" s="13"/>
      <c r="AC104" s="13"/>
      <c r="AD104" s="13"/>
      <c r="AE104" s="13"/>
      <c r="AF104" s="13"/>
      <c r="AG104" s="13"/>
      <c r="AH104" s="13"/>
      <c r="AI104" s="15"/>
    </row>
    <row r="105" spans="3:35">
      <c r="C105" s="12" t="s">
        <v>437</v>
      </c>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5"/>
    </row>
    <row r="106" spans="3:35">
      <c r="C106" s="12"/>
      <c r="D106" s="455" t="s">
        <v>280</v>
      </c>
      <c r="E106" s="455"/>
      <c r="F106" s="455"/>
      <c r="G106" s="455"/>
      <c r="H106" s="455"/>
      <c r="I106" s="455"/>
      <c r="J106" s="455"/>
      <c r="K106" s="455"/>
      <c r="L106" s="455"/>
      <c r="M106" s="455"/>
      <c r="N106" s="455"/>
      <c r="O106" s="455"/>
      <c r="P106" s="455"/>
      <c r="Q106" s="455"/>
      <c r="R106" s="455"/>
      <c r="S106" s="455"/>
      <c r="T106" s="455"/>
      <c r="U106" s="455"/>
      <c r="V106" s="455"/>
      <c r="W106" s="455"/>
      <c r="X106" s="455"/>
      <c r="Y106" s="455"/>
      <c r="Z106" s="455"/>
      <c r="AA106" s="455"/>
      <c r="AB106" s="455"/>
      <c r="AC106" s="455"/>
      <c r="AD106" s="455"/>
      <c r="AE106" s="455"/>
      <c r="AF106" s="455"/>
      <c r="AG106" s="455"/>
      <c r="AH106" s="455"/>
      <c r="AI106" s="456"/>
    </row>
    <row r="107" spans="3:35">
      <c r="C107" s="12"/>
      <c r="D107" s="455"/>
      <c r="E107" s="455"/>
      <c r="F107" s="455"/>
      <c r="G107" s="455"/>
      <c r="H107" s="455"/>
      <c r="I107" s="455"/>
      <c r="J107" s="455"/>
      <c r="K107" s="455"/>
      <c r="L107" s="455"/>
      <c r="M107" s="455"/>
      <c r="N107" s="455"/>
      <c r="O107" s="455"/>
      <c r="P107" s="455"/>
      <c r="Q107" s="455"/>
      <c r="R107" s="455"/>
      <c r="S107" s="455"/>
      <c r="T107" s="455"/>
      <c r="U107" s="455"/>
      <c r="V107" s="455"/>
      <c r="W107" s="455"/>
      <c r="X107" s="455"/>
      <c r="Y107" s="455"/>
      <c r="Z107" s="455"/>
      <c r="AA107" s="455"/>
      <c r="AB107" s="455"/>
      <c r="AC107" s="455"/>
      <c r="AD107" s="455"/>
      <c r="AE107" s="455"/>
      <c r="AF107" s="455"/>
      <c r="AG107" s="455"/>
      <c r="AH107" s="455"/>
      <c r="AI107" s="456"/>
    </row>
    <row r="108" spans="3:35">
      <c r="C108" s="12"/>
      <c r="D108" s="13"/>
      <c r="E108" s="13"/>
      <c r="F108" s="13"/>
      <c r="G108"/>
      <c r="H108" s="257" t="s">
        <v>23</v>
      </c>
      <c r="I108" s="259"/>
      <c r="J108" s="257" t="s">
        <v>257</v>
      </c>
      <c r="K108" s="258"/>
      <c r="L108" s="258"/>
      <c r="M108" s="258"/>
      <c r="N108" s="258"/>
      <c r="O108" s="258"/>
      <c r="P108" s="195"/>
      <c r="Q108" s="195"/>
      <c r="R108" s="195"/>
      <c r="S108" s="196"/>
      <c r="T108" s="129"/>
      <c r="U108" s="129"/>
      <c r="V108" s="129"/>
      <c r="W108" s="129"/>
      <c r="X108" s="129"/>
      <c r="Y108" s="129"/>
      <c r="Z108" s="129"/>
      <c r="AA108" s="129"/>
      <c r="AB108" s="129"/>
      <c r="AC108" s="129"/>
      <c r="AD108" s="129"/>
      <c r="AE108" s="129"/>
      <c r="AF108" s="129"/>
      <c r="AG108" s="129"/>
      <c r="AH108" s="129"/>
      <c r="AI108" s="130"/>
    </row>
    <row r="109" spans="3:35">
      <c r="C109" s="12"/>
      <c r="D109" s="13"/>
      <c r="E109" s="13"/>
      <c r="F109" s="13"/>
      <c r="G109"/>
      <c r="H109" s="249" t="s">
        <v>15</v>
      </c>
      <c r="I109" s="250"/>
      <c r="J109" s="249" t="s">
        <v>269</v>
      </c>
      <c r="K109" s="210"/>
      <c r="L109" s="210"/>
      <c r="M109" s="210"/>
      <c r="N109" s="210"/>
      <c r="O109" s="210"/>
      <c r="P109" s="129"/>
      <c r="Q109" s="129"/>
      <c r="R109" s="129"/>
      <c r="S109" s="130"/>
      <c r="T109" s="129"/>
      <c r="U109" s="129"/>
      <c r="V109" s="129"/>
      <c r="W109" s="129"/>
      <c r="X109" s="129"/>
      <c r="Y109" s="129"/>
      <c r="Z109" s="129"/>
      <c r="AA109" s="129"/>
      <c r="AB109" s="129"/>
      <c r="AC109" s="129"/>
      <c r="AD109" s="129"/>
      <c r="AE109" s="129"/>
      <c r="AF109" s="129"/>
      <c r="AG109" s="129"/>
      <c r="AH109" s="129"/>
      <c r="AI109" s="130"/>
    </row>
    <row r="110" spans="3:35" ht="19.8">
      <c r="C110" s="12"/>
      <c r="D110" s="13"/>
      <c r="E110" s="13"/>
      <c r="F110" s="13"/>
      <c r="G110"/>
      <c r="H110" s="334" t="s">
        <v>20</v>
      </c>
      <c r="I110" s="336"/>
      <c r="J110" s="251" t="s">
        <v>36</v>
      </c>
      <c r="K110" s="253"/>
      <c r="L110" s="253"/>
      <c r="M110" s="253"/>
      <c r="N110" s="253"/>
      <c r="O110" s="253"/>
      <c r="P110" s="129"/>
      <c r="Q110" s="129"/>
      <c r="R110" s="129"/>
      <c r="S110" s="130"/>
      <c r="T110" s="129"/>
      <c r="U110" s="129"/>
      <c r="V110" s="129"/>
      <c r="W110" s="129"/>
      <c r="X110" s="129"/>
      <c r="Y110" s="129"/>
      <c r="Z110" s="129"/>
      <c r="AA110" s="129"/>
      <c r="AB110" s="129"/>
      <c r="AC110" s="129"/>
      <c r="AD110" s="129"/>
      <c r="AE110" s="129"/>
      <c r="AF110" s="129"/>
      <c r="AG110" s="129"/>
      <c r="AH110" s="129"/>
      <c r="AI110" s="130"/>
    </row>
    <row r="111" spans="3:35">
      <c r="C111" s="12"/>
      <c r="D111" s="390" t="s">
        <v>22</v>
      </c>
      <c r="E111" s="390"/>
      <c r="F111" s="470" t="s">
        <v>255</v>
      </c>
      <c r="G111" s="471"/>
      <c r="H111" s="330">
        <f>H45</f>
        <v>1</v>
      </c>
      <c r="I111" s="331"/>
      <c r="J111" s="323" t="s">
        <v>259</v>
      </c>
      <c r="K111" s="324"/>
      <c r="L111" s="324"/>
      <c r="M111" s="363">
        <f>AF45</f>
        <v>10.6304</v>
      </c>
      <c r="N111" s="363"/>
      <c r="O111" s="363"/>
      <c r="P111" s="195"/>
      <c r="Q111" s="195"/>
      <c r="R111" s="195"/>
      <c r="S111" s="196"/>
      <c r="T111" s="129"/>
      <c r="U111" s="129"/>
      <c r="V111" s="129"/>
      <c r="W111" s="129"/>
      <c r="X111" s="129"/>
      <c r="Y111" s="129"/>
      <c r="Z111" s="129"/>
      <c r="AA111" s="129"/>
      <c r="AB111" s="129"/>
      <c r="AC111" s="129"/>
      <c r="AD111" s="129"/>
      <c r="AE111" s="129"/>
      <c r="AF111" s="129"/>
      <c r="AG111" s="129"/>
      <c r="AH111" s="129"/>
      <c r="AI111" s="130"/>
    </row>
    <row r="112" spans="3:35">
      <c r="C112" s="12"/>
      <c r="D112" s="390"/>
      <c r="E112" s="390"/>
      <c r="F112" s="228" t="s">
        <v>136</v>
      </c>
      <c r="G112" s="230"/>
      <c r="H112" s="332"/>
      <c r="I112" s="333"/>
      <c r="J112" s="321" t="s">
        <v>260</v>
      </c>
      <c r="K112" s="322"/>
      <c r="L112" s="322"/>
      <c r="M112" s="364">
        <f>AF46</f>
        <v>22.598399999999998</v>
      </c>
      <c r="N112" s="364"/>
      <c r="O112" s="364"/>
      <c r="P112" s="197"/>
      <c r="Q112" s="197"/>
      <c r="R112" s="197"/>
      <c r="S112" s="198"/>
      <c r="T112" s="129"/>
      <c r="U112" s="129"/>
      <c r="V112" s="129"/>
      <c r="W112" s="129"/>
      <c r="X112" s="129"/>
      <c r="Y112" s="129"/>
      <c r="Z112" s="129"/>
      <c r="AA112" s="129"/>
      <c r="AB112" s="129"/>
      <c r="AC112" s="129"/>
      <c r="AD112" s="129"/>
      <c r="AE112" s="129"/>
      <c r="AF112" s="129"/>
      <c r="AG112" s="129"/>
      <c r="AH112" s="129"/>
      <c r="AI112" s="130"/>
    </row>
    <row r="113" spans="3:44">
      <c r="C113" s="12"/>
      <c r="D113" s="284" t="s">
        <v>95</v>
      </c>
      <c r="E113" s="285"/>
      <c r="F113" s="242" t="s">
        <v>135</v>
      </c>
      <c r="G113" s="244"/>
      <c r="H113" s="409">
        <f>H47</f>
        <v>1.7</v>
      </c>
      <c r="I113" s="410"/>
      <c r="J113" s="323" t="s">
        <v>261</v>
      </c>
      <c r="K113" s="324"/>
      <c r="L113" s="324"/>
      <c r="M113" s="363">
        <f>AF47</f>
        <v>22.598399999999998</v>
      </c>
      <c r="N113" s="363"/>
      <c r="O113" s="363"/>
      <c r="P113" s="195"/>
      <c r="Q113" s="195"/>
      <c r="R113" s="195"/>
      <c r="S113" s="196"/>
      <c r="T113" s="129"/>
      <c r="U113" s="129"/>
      <c r="V113" s="129"/>
      <c r="W113" s="129"/>
      <c r="X113" s="129"/>
      <c r="Y113" s="129"/>
      <c r="Z113" s="129"/>
      <c r="AA113" s="129"/>
      <c r="AB113" s="129"/>
      <c r="AC113" s="129"/>
      <c r="AD113" s="129"/>
      <c r="AE113" s="129"/>
      <c r="AF113" s="129"/>
      <c r="AG113" s="129"/>
      <c r="AH113" s="129"/>
      <c r="AI113" s="130"/>
    </row>
    <row r="114" spans="3:44">
      <c r="C114" s="12"/>
      <c r="D114" s="522"/>
      <c r="E114" s="523"/>
      <c r="F114" s="452" t="s">
        <v>281</v>
      </c>
      <c r="G114" s="453"/>
      <c r="H114" s="526"/>
      <c r="I114" s="527"/>
      <c r="J114" s="321" t="s">
        <v>282</v>
      </c>
      <c r="K114" s="322"/>
      <c r="L114" s="322"/>
      <c r="M114" s="667">
        <f>G122</f>
        <v>15.632000000000003</v>
      </c>
      <c r="N114" s="667"/>
      <c r="O114" s="668" t="s">
        <v>281</v>
      </c>
      <c r="P114" s="197" t="s">
        <v>69</v>
      </c>
      <c r="Q114" s="667">
        <f>L122</f>
        <v>22.598399999999998</v>
      </c>
      <c r="R114" s="667"/>
      <c r="S114" s="669"/>
      <c r="T114" s="129"/>
      <c r="U114" s="129"/>
      <c r="V114" s="129"/>
      <c r="W114" s="129"/>
      <c r="X114" s="129"/>
      <c r="Y114" s="129"/>
      <c r="Z114" s="129"/>
      <c r="AA114" s="129"/>
      <c r="AB114" s="129"/>
      <c r="AC114" s="129"/>
      <c r="AD114" s="129"/>
      <c r="AE114" s="129"/>
      <c r="AF114" s="129"/>
      <c r="AG114" s="129"/>
      <c r="AH114" s="129"/>
      <c r="AI114" s="130"/>
    </row>
    <row r="115" spans="3:44">
      <c r="C115" s="12"/>
      <c r="D115" s="522"/>
      <c r="E115" s="523"/>
      <c r="F115" s="524" t="s">
        <v>281</v>
      </c>
      <c r="G115" s="525"/>
      <c r="H115" s="526"/>
      <c r="I115" s="527"/>
      <c r="J115" s="499" t="s">
        <v>282</v>
      </c>
      <c r="K115" s="500"/>
      <c r="L115" s="500"/>
      <c r="M115" s="670">
        <f>M114</f>
        <v>15.632000000000003</v>
      </c>
      <c r="N115" s="670"/>
      <c r="O115" s="671" t="s">
        <v>281</v>
      </c>
      <c r="P115" s="129" t="s">
        <v>69</v>
      </c>
      <c r="Q115" s="670">
        <f>L122</f>
        <v>22.598399999999998</v>
      </c>
      <c r="R115" s="670"/>
      <c r="S115" s="672"/>
      <c r="T115" s="129"/>
      <c r="U115" s="129"/>
      <c r="V115" s="129"/>
      <c r="W115" s="129"/>
      <c r="X115" s="129"/>
      <c r="Y115" s="129"/>
      <c r="Z115" s="129"/>
      <c r="AA115" s="129"/>
      <c r="AB115" s="129"/>
      <c r="AC115" s="129"/>
      <c r="AD115" s="129"/>
      <c r="AE115" s="129"/>
      <c r="AF115" s="129"/>
      <c r="AG115" s="129"/>
      <c r="AH115" s="129"/>
      <c r="AI115" s="130"/>
    </row>
    <row r="116" spans="3:44">
      <c r="C116" s="12"/>
      <c r="D116" s="286"/>
      <c r="E116" s="287"/>
      <c r="F116" s="228" t="s">
        <v>136</v>
      </c>
      <c r="G116" s="230"/>
      <c r="H116" s="411"/>
      <c r="I116" s="412"/>
      <c r="J116" s="321" t="s">
        <v>262</v>
      </c>
      <c r="K116" s="322"/>
      <c r="L116" s="322"/>
      <c r="M116" s="364">
        <f>AF48</f>
        <v>49.172800000000002</v>
      </c>
      <c r="N116" s="364"/>
      <c r="O116" s="364"/>
      <c r="P116" s="197"/>
      <c r="Q116" s="197"/>
      <c r="R116" s="197"/>
      <c r="S116" s="198"/>
      <c r="T116" s="129"/>
      <c r="U116" s="129"/>
      <c r="V116" s="129"/>
      <c r="W116" s="129"/>
      <c r="X116" s="129"/>
      <c r="Y116" s="129"/>
      <c r="Z116" s="129"/>
      <c r="AA116" s="129"/>
      <c r="AB116" s="129"/>
      <c r="AC116" s="129"/>
      <c r="AD116" s="129"/>
      <c r="AE116" s="129"/>
      <c r="AF116" s="129"/>
      <c r="AG116" s="129"/>
      <c r="AH116" s="129"/>
      <c r="AI116" s="130"/>
    </row>
    <row r="117" spans="3:44">
      <c r="C117" s="12"/>
      <c r="D117" s="13"/>
      <c r="E117" s="13"/>
      <c r="F117" s="13"/>
      <c r="G117" s="13"/>
      <c r="H117" s="13"/>
      <c r="I117" s="13"/>
      <c r="J117" s="13"/>
      <c r="K117" s="13"/>
      <c r="L117" s="13"/>
      <c r="M117" s="13"/>
      <c r="N117" s="13"/>
      <c r="O117" s="13"/>
      <c r="P117" s="13"/>
      <c r="Q117" s="13"/>
      <c r="R117" s="13"/>
      <c r="S117" s="13"/>
      <c r="T117" s="129"/>
      <c r="U117" s="129"/>
      <c r="V117" s="129"/>
      <c r="W117" s="129"/>
      <c r="X117" s="129"/>
      <c r="Y117" s="129"/>
      <c r="Z117" s="129"/>
      <c r="AA117" s="129"/>
      <c r="AB117" s="129"/>
      <c r="AC117" s="129"/>
      <c r="AD117" s="129"/>
      <c r="AE117" s="129"/>
      <c r="AF117" s="129"/>
      <c r="AG117" s="129"/>
      <c r="AH117" s="129"/>
      <c r="AI117" s="130"/>
    </row>
    <row r="118" spans="3:44">
      <c r="C118" s="12"/>
      <c r="D118" s="13" t="s">
        <v>283</v>
      </c>
      <c r="E118" s="13"/>
      <c r="F118" s="13"/>
      <c r="G118" s="13"/>
      <c r="H118" s="13"/>
      <c r="I118" s="13"/>
      <c r="J118" s="13"/>
      <c r="K118" s="13"/>
      <c r="L118" s="13"/>
      <c r="M118" s="13"/>
      <c r="N118" s="13"/>
      <c r="O118" s="13"/>
      <c r="P118" s="13"/>
      <c r="Q118" s="13"/>
      <c r="R118" s="13"/>
      <c r="S118" s="13"/>
      <c r="T118" s="129"/>
      <c r="U118" s="129"/>
      <c r="V118" s="129"/>
      <c r="W118" s="129"/>
      <c r="X118" s="129"/>
      <c r="Y118" s="129"/>
      <c r="Z118" s="129"/>
      <c r="AA118" s="129"/>
      <c r="AB118" s="129"/>
      <c r="AC118" s="129"/>
      <c r="AD118" s="129"/>
      <c r="AE118" s="129"/>
      <c r="AF118" s="129"/>
      <c r="AG118" s="129"/>
      <c r="AH118" s="129"/>
      <c r="AI118" s="130"/>
    </row>
    <row r="119" spans="3:44">
      <c r="C119" s="12"/>
      <c r="D119" s="529" t="s">
        <v>483</v>
      </c>
      <c r="E119" s="529"/>
      <c r="F119" s="393" t="s">
        <v>2</v>
      </c>
      <c r="G119" s="450">
        <f>M116</f>
        <v>49.172800000000002</v>
      </c>
      <c r="H119" s="451"/>
      <c r="I119" s="451"/>
      <c r="J119" s="17" t="s">
        <v>245</v>
      </c>
      <c r="K119" s="450">
        <f>M113</f>
        <v>22.598399999999998</v>
      </c>
      <c r="L119" s="451"/>
      <c r="M119" s="451"/>
      <c r="N119" s="529" t="s">
        <v>281</v>
      </c>
      <c r="O119" s="393" t="s">
        <v>69</v>
      </c>
      <c r="P119" s="454">
        <f>M113</f>
        <v>22.598399999999998</v>
      </c>
      <c r="Q119" s="454"/>
      <c r="R119" s="13"/>
      <c r="S119" s="13"/>
      <c r="T119" s="129"/>
      <c r="U119" s="129"/>
      <c r="V119" s="129"/>
      <c r="W119" s="129"/>
      <c r="X119" s="129"/>
      <c r="Y119" s="129"/>
      <c r="Z119" s="129"/>
      <c r="AA119" s="13"/>
      <c r="AB119" s="13"/>
      <c r="AC119" s="13"/>
      <c r="AD119" s="13"/>
      <c r="AE119" s="13"/>
      <c r="AF119" s="13"/>
      <c r="AG119" s="13"/>
      <c r="AH119" s="13"/>
      <c r="AI119" s="15"/>
    </row>
    <row r="120" spans="3:44">
      <c r="C120" s="12"/>
      <c r="D120" s="529"/>
      <c r="E120" s="529"/>
      <c r="F120" s="393"/>
      <c r="G120" s="13"/>
      <c r="H120" s="13"/>
      <c r="I120" s="528">
        <f>H113</f>
        <v>1.7</v>
      </c>
      <c r="J120" s="407"/>
      <c r="K120" s="407"/>
      <c r="L120" s="13"/>
      <c r="M120" s="13"/>
      <c r="N120" s="529"/>
      <c r="O120" s="393"/>
      <c r="P120" s="454"/>
      <c r="Q120" s="454"/>
      <c r="R120" s="13"/>
      <c r="S120" s="13"/>
      <c r="T120" s="129"/>
      <c r="U120" s="129"/>
      <c r="V120" s="129"/>
      <c r="W120" s="129"/>
      <c r="X120" s="129"/>
      <c r="Y120" s="129"/>
      <c r="Z120" s="129"/>
      <c r="AA120" s="13"/>
      <c r="AB120" s="13"/>
      <c r="AC120" s="13"/>
      <c r="AD120" s="13"/>
      <c r="AE120" s="13"/>
      <c r="AF120" s="13"/>
      <c r="AG120" s="13"/>
      <c r="AH120" s="13"/>
      <c r="AI120" s="15"/>
    </row>
    <row r="121" spans="3:44">
      <c r="C121" s="12"/>
      <c r="D121" s="96"/>
      <c r="E121" s="95"/>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5"/>
      <c r="AL121" s="126"/>
      <c r="AM121" s="126"/>
      <c r="AN121" s="126"/>
      <c r="AO121" s="126"/>
      <c r="AP121" s="126"/>
      <c r="AQ121" s="126"/>
      <c r="AR121" s="126"/>
    </row>
    <row r="122" spans="3:44">
      <c r="C122" s="12"/>
      <c r="D122" s="96"/>
      <c r="E122" s="95"/>
      <c r="F122" s="32" t="s">
        <v>2</v>
      </c>
      <c r="G122" s="454">
        <f>(G119-K119)/I120</f>
        <v>15.632000000000003</v>
      </c>
      <c r="H122" s="454"/>
      <c r="I122" s="454"/>
      <c r="J122" s="203" t="s">
        <v>281</v>
      </c>
      <c r="K122" s="32" t="s">
        <v>69</v>
      </c>
      <c r="L122" s="454">
        <f>P119</f>
        <v>22.598399999999998</v>
      </c>
      <c r="M122" s="454"/>
      <c r="N122" s="454"/>
      <c r="O122" s="13"/>
      <c r="P122" s="13"/>
      <c r="Q122" s="13"/>
      <c r="R122" s="13"/>
      <c r="S122" s="13"/>
      <c r="T122" s="13"/>
      <c r="U122" s="13"/>
      <c r="V122" s="13"/>
      <c r="W122" s="13"/>
      <c r="X122" s="13"/>
      <c r="Y122" s="13"/>
      <c r="Z122" s="13"/>
      <c r="AA122" s="13"/>
      <c r="AB122" s="13"/>
      <c r="AC122" s="13"/>
      <c r="AD122" s="13"/>
      <c r="AE122" s="13"/>
      <c r="AF122" s="203"/>
      <c r="AG122" s="13"/>
      <c r="AH122" s="13"/>
      <c r="AI122" s="15"/>
      <c r="AL122" s="126"/>
      <c r="AM122" s="126"/>
      <c r="AN122" s="126"/>
      <c r="AO122" s="126"/>
      <c r="AP122" s="126"/>
      <c r="AQ122" s="126"/>
      <c r="AR122" s="126"/>
    </row>
    <row r="123" spans="3:44">
      <c r="C123" s="12"/>
      <c r="D123" s="13"/>
      <c r="E123" s="95"/>
      <c r="F123" s="32"/>
      <c r="G123" s="201"/>
      <c r="H123" s="201"/>
      <c r="I123" s="13"/>
      <c r="J123" s="13"/>
      <c r="K123" s="13"/>
      <c r="L123" s="13"/>
      <c r="M123" s="13"/>
      <c r="N123" s="13"/>
      <c r="O123" s="13"/>
      <c r="P123" s="13"/>
      <c r="Q123" s="13"/>
      <c r="R123" s="13"/>
      <c r="S123" s="13"/>
      <c r="T123" s="13"/>
      <c r="U123" s="13"/>
      <c r="V123" s="13"/>
      <c r="W123" s="13"/>
      <c r="X123" s="13"/>
      <c r="Y123" s="201"/>
      <c r="Z123" s="201"/>
      <c r="AA123" s="32"/>
      <c r="AB123" s="13"/>
      <c r="AC123" s="13"/>
      <c r="AD123" s="13"/>
      <c r="AE123" s="13"/>
      <c r="AF123" s="203"/>
      <c r="AG123" s="13"/>
      <c r="AH123" s="13"/>
      <c r="AI123" s="15"/>
      <c r="AM123" s="13"/>
      <c r="AN123" s="13"/>
      <c r="AO123" s="13"/>
      <c r="AP123" s="13"/>
      <c r="AQ123" s="13"/>
      <c r="AR123" s="13"/>
    </row>
    <row r="124" spans="3:44">
      <c r="C124" s="12"/>
      <c r="D124" s="96"/>
      <c r="E124" s="95"/>
      <c r="F124" s="95"/>
      <c r="G124" s="95"/>
      <c r="H124" s="257" t="s">
        <v>461</v>
      </c>
      <c r="I124" s="258"/>
      <c r="J124" s="258"/>
      <c r="K124" s="258"/>
      <c r="L124" s="258"/>
      <c r="M124" s="258"/>
      <c r="N124" s="258"/>
      <c r="O124" s="258"/>
      <c r="P124" s="258"/>
      <c r="Q124" s="258"/>
      <c r="R124" s="258"/>
      <c r="S124" s="258"/>
      <c r="T124" s="259"/>
      <c r="U124" s="257" t="s">
        <v>265</v>
      </c>
      <c r="V124" s="258"/>
      <c r="W124" s="258"/>
      <c r="X124" s="258"/>
      <c r="Y124" s="258"/>
      <c r="Z124" s="258"/>
      <c r="AA124" s="258"/>
      <c r="AB124" s="258"/>
      <c r="AC124" s="258"/>
      <c r="AD124" s="258"/>
      <c r="AE124" s="258"/>
      <c r="AF124" s="258"/>
      <c r="AG124" s="259"/>
      <c r="AH124" s="13"/>
      <c r="AI124" s="15"/>
      <c r="AM124" s="13"/>
      <c r="AN124" s="13"/>
      <c r="AO124" s="13"/>
      <c r="AP124" s="13"/>
      <c r="AQ124" s="13"/>
      <c r="AR124" s="13"/>
    </row>
    <row r="125" spans="3:44">
      <c r="C125" s="12"/>
      <c r="D125" s="13"/>
      <c r="E125" s="13"/>
      <c r="F125" s="13"/>
      <c r="G125" s="13"/>
      <c r="H125" s="251" t="s">
        <v>448</v>
      </c>
      <c r="I125" s="253"/>
      <c r="J125" s="253"/>
      <c r="K125" s="253"/>
      <c r="L125" s="253"/>
      <c r="M125" s="253"/>
      <c r="N125" s="253"/>
      <c r="O125" s="253"/>
      <c r="P125" s="253"/>
      <c r="Q125" s="253"/>
      <c r="R125" s="253"/>
      <c r="S125" s="253"/>
      <c r="T125" s="252"/>
      <c r="U125" s="317" t="s">
        <v>33</v>
      </c>
      <c r="V125" s="318"/>
      <c r="W125" s="318"/>
      <c r="X125" s="318"/>
      <c r="Y125" s="318"/>
      <c r="Z125" s="318"/>
      <c r="AA125" s="318"/>
      <c r="AB125" s="318"/>
      <c r="AC125" s="318"/>
      <c r="AD125" s="318"/>
      <c r="AE125" s="318"/>
      <c r="AF125" s="318"/>
      <c r="AG125" s="319"/>
      <c r="AH125" s="13"/>
      <c r="AI125" s="15"/>
      <c r="AM125" s="13"/>
      <c r="AN125" s="13"/>
      <c r="AO125" s="13"/>
      <c r="AP125" s="13"/>
      <c r="AQ125" s="13"/>
      <c r="AR125" s="13"/>
    </row>
    <row r="126" spans="3:44">
      <c r="C126" s="12"/>
      <c r="D126" s="13"/>
      <c r="E126" s="13"/>
      <c r="F126" s="13"/>
      <c r="G126" s="13"/>
      <c r="H126" s="334"/>
      <c r="I126" s="335"/>
      <c r="J126" s="335"/>
      <c r="K126" s="335"/>
      <c r="L126" s="335"/>
      <c r="M126" s="335"/>
      <c r="N126" s="335"/>
      <c r="O126" s="335"/>
      <c r="P126" s="335"/>
      <c r="Q126" s="335"/>
      <c r="R126" s="335"/>
      <c r="S126" s="335"/>
      <c r="T126" s="336"/>
      <c r="U126" s="334" t="s">
        <v>34</v>
      </c>
      <c r="V126" s="335"/>
      <c r="W126" s="335"/>
      <c r="X126" s="335"/>
      <c r="Y126" s="335"/>
      <c r="Z126" s="335"/>
      <c r="AA126" s="335"/>
      <c r="AB126" s="335"/>
      <c r="AC126" s="335"/>
      <c r="AD126" s="335"/>
      <c r="AE126" s="335"/>
      <c r="AF126" s="335"/>
      <c r="AG126" s="336"/>
      <c r="AH126" s="13"/>
      <c r="AI126" s="15"/>
      <c r="AM126" s="13"/>
      <c r="AN126" s="13"/>
      <c r="AO126" s="13"/>
      <c r="AP126" s="13"/>
      <c r="AQ126" s="13"/>
      <c r="AR126" s="13"/>
    </row>
    <row r="127" spans="3:44">
      <c r="C127" s="12"/>
      <c r="D127" s="284" t="s">
        <v>22</v>
      </c>
      <c r="E127" s="285"/>
      <c r="F127" s="288" t="s">
        <v>156</v>
      </c>
      <c r="G127" s="289"/>
      <c r="H127" s="315">
        <f>M111</f>
        <v>10.6304</v>
      </c>
      <c r="I127" s="316"/>
      <c r="J127" s="30" t="s">
        <v>27</v>
      </c>
      <c r="K127" s="316">
        <f>H111</f>
        <v>1</v>
      </c>
      <c r="L127" s="316"/>
      <c r="M127" s="30" t="s">
        <v>71</v>
      </c>
      <c r="N127" s="63">
        <v>2</v>
      </c>
      <c r="O127" s="30" t="s">
        <v>2</v>
      </c>
      <c r="P127" s="30"/>
      <c r="Q127" s="30"/>
      <c r="R127" s="30"/>
      <c r="S127" s="30"/>
      <c r="T127" s="79"/>
      <c r="U127" s="134"/>
      <c r="V127" s="30"/>
      <c r="W127" s="30"/>
      <c r="X127" s="30"/>
      <c r="Y127" s="30"/>
      <c r="Z127" s="30"/>
      <c r="AA127" s="30"/>
      <c r="AB127" s="30"/>
      <c r="AC127" s="30"/>
      <c r="AD127" s="30"/>
      <c r="AE127" s="295">
        <f>K127*H127/N127</f>
        <v>5.3151999999999999</v>
      </c>
      <c r="AF127" s="295"/>
      <c r="AG127" s="337"/>
      <c r="AH127" s="13"/>
      <c r="AI127" s="15"/>
      <c r="AM127" s="13"/>
      <c r="AN127" s="13"/>
      <c r="AO127" s="13"/>
      <c r="AP127" s="13"/>
      <c r="AQ127" s="13"/>
      <c r="AR127" s="13"/>
    </row>
    <row r="128" spans="3:44">
      <c r="C128" s="12"/>
      <c r="D128" s="286"/>
      <c r="E128" s="287"/>
      <c r="F128" s="341" t="s">
        <v>157</v>
      </c>
      <c r="G128" s="341"/>
      <c r="H128" s="315">
        <f>M112</f>
        <v>22.598399999999998</v>
      </c>
      <c r="I128" s="316"/>
      <c r="J128" s="30" t="s">
        <v>27</v>
      </c>
      <c r="K128" s="316">
        <f>H111</f>
        <v>1</v>
      </c>
      <c r="L128" s="316"/>
      <c r="M128" s="30" t="s">
        <v>71</v>
      </c>
      <c r="N128" s="63">
        <v>2</v>
      </c>
      <c r="O128" s="30" t="s">
        <v>2</v>
      </c>
      <c r="P128" s="30"/>
      <c r="Q128" s="30"/>
      <c r="R128" s="30"/>
      <c r="S128" s="30"/>
      <c r="T128" s="79"/>
      <c r="U128" s="134"/>
      <c r="V128" s="30"/>
      <c r="W128" s="30"/>
      <c r="X128" s="30"/>
      <c r="Y128" s="30"/>
      <c r="Z128" s="30"/>
      <c r="AA128" s="30"/>
      <c r="AB128" s="30"/>
      <c r="AC128" s="30"/>
      <c r="AD128" s="30"/>
      <c r="AE128" s="295">
        <f>K128*H128/N128</f>
        <v>11.299199999999999</v>
      </c>
      <c r="AF128" s="295"/>
      <c r="AG128" s="337"/>
      <c r="AH128" s="13"/>
      <c r="AI128" s="15"/>
      <c r="AM128" s="13"/>
      <c r="AN128" s="13"/>
      <c r="AO128" s="13"/>
      <c r="AP128" s="13"/>
      <c r="AQ128" s="13"/>
      <c r="AR128" s="13"/>
    </row>
    <row r="129" spans="3:44">
      <c r="C129" s="12"/>
      <c r="D129" s="284" t="s">
        <v>95</v>
      </c>
      <c r="E129" s="285"/>
      <c r="F129" s="296" t="s">
        <v>158</v>
      </c>
      <c r="G129" s="243"/>
      <c r="H129" s="613">
        <f>M113</f>
        <v>22.598399999999998</v>
      </c>
      <c r="I129" s="614"/>
      <c r="J129" s="615" t="s">
        <v>27</v>
      </c>
      <c r="K129" s="616" t="s">
        <v>281</v>
      </c>
      <c r="L129" s="616"/>
      <c r="M129" s="615" t="s">
        <v>71</v>
      </c>
      <c r="N129" s="617">
        <v>2</v>
      </c>
      <c r="O129" s="615" t="s">
        <v>2</v>
      </c>
      <c r="P129" s="615"/>
      <c r="Q129" s="615"/>
      <c r="R129" s="615"/>
      <c r="S129" s="615"/>
      <c r="T129" s="618"/>
      <c r="U129" s="619"/>
      <c r="V129" s="620"/>
      <c r="W129" s="620"/>
      <c r="X129" s="620"/>
      <c r="Y129" s="620"/>
      <c r="Z129" s="621">
        <f>H129/N129</f>
        <v>11.299199999999999</v>
      </c>
      <c r="AA129" s="621"/>
      <c r="AB129" s="621"/>
      <c r="AC129" s="622" t="s">
        <v>281</v>
      </c>
      <c r="AD129" s="620"/>
      <c r="AE129" s="620"/>
      <c r="AF129" s="620"/>
      <c r="AG129" s="623"/>
      <c r="AH129" s="13"/>
      <c r="AI129" s="15"/>
      <c r="AM129" s="13"/>
      <c r="AN129" s="13"/>
      <c r="AO129" s="13"/>
      <c r="AP129" s="13"/>
      <c r="AQ129" s="13"/>
      <c r="AR129" s="13"/>
    </row>
    <row r="130" spans="3:44" ht="19.2">
      <c r="C130" s="12"/>
      <c r="D130" s="286"/>
      <c r="E130" s="287"/>
      <c r="F130" s="297" t="s">
        <v>159</v>
      </c>
      <c r="G130" s="298"/>
      <c r="H130" s="624" t="s">
        <v>70</v>
      </c>
      <c r="I130" s="614">
        <f>M114</f>
        <v>15.632000000000003</v>
      </c>
      <c r="J130" s="614"/>
      <c r="K130" s="625" t="s">
        <v>281</v>
      </c>
      <c r="L130" s="615" t="s">
        <v>69</v>
      </c>
      <c r="M130" s="614">
        <f>Q114</f>
        <v>22.598399999999998</v>
      </c>
      <c r="N130" s="614"/>
      <c r="O130" s="615" t="s">
        <v>84</v>
      </c>
      <c r="P130" s="615" t="s">
        <v>27</v>
      </c>
      <c r="Q130" s="626" t="s">
        <v>281</v>
      </c>
      <c r="R130" s="615" t="s">
        <v>71</v>
      </c>
      <c r="S130" s="617">
        <v>2</v>
      </c>
      <c r="T130" s="618" t="s">
        <v>2</v>
      </c>
      <c r="U130" s="627">
        <f>I130/S130</f>
        <v>7.8160000000000016</v>
      </c>
      <c r="V130" s="628"/>
      <c r="W130" s="628"/>
      <c r="X130" s="626" t="s">
        <v>285</v>
      </c>
      <c r="Y130" s="615" t="s">
        <v>69</v>
      </c>
      <c r="Z130" s="270">
        <f>M130/S130</f>
        <v>11.299199999999999</v>
      </c>
      <c r="AA130" s="270"/>
      <c r="AB130" s="270"/>
      <c r="AC130" s="625" t="s">
        <v>281</v>
      </c>
      <c r="AD130" s="615"/>
      <c r="AE130" s="615"/>
      <c r="AF130" s="615"/>
      <c r="AG130" s="618"/>
      <c r="AH130" s="13"/>
      <c r="AI130" s="15"/>
      <c r="AM130" s="13"/>
      <c r="AN130" s="13"/>
      <c r="AO130" s="13"/>
      <c r="AP130" s="13"/>
      <c r="AQ130" s="13"/>
      <c r="AR130" s="13"/>
    </row>
    <row r="131" spans="3:44">
      <c r="C131" s="12"/>
      <c r="D131" s="13"/>
      <c r="E131" s="13"/>
      <c r="F131" s="13"/>
      <c r="G131" s="13"/>
      <c r="H131" s="116"/>
      <c r="I131" s="116"/>
      <c r="J131" s="116"/>
      <c r="K131" s="116"/>
      <c r="L131" s="116"/>
      <c r="M131" s="116"/>
      <c r="N131" s="116"/>
      <c r="O131" s="116"/>
      <c r="P131" s="116"/>
      <c r="Q131" s="116"/>
      <c r="R131" s="116"/>
      <c r="S131" s="116"/>
      <c r="T131" s="116"/>
      <c r="U131" s="116"/>
      <c r="V131" s="116"/>
      <c r="W131" s="116"/>
      <c r="X131" s="116"/>
      <c r="Y131" s="116"/>
      <c r="Z131" s="116"/>
      <c r="AA131" s="116"/>
      <c r="AB131" s="116"/>
      <c r="AC131" s="116"/>
      <c r="AD131" s="116"/>
      <c r="AE131" s="116"/>
      <c r="AF131" s="116"/>
      <c r="AG131" s="116"/>
      <c r="AH131" s="13"/>
      <c r="AI131" s="15"/>
    </row>
    <row r="132" spans="3:44">
      <c r="C132" s="12"/>
      <c r="D132" s="96"/>
      <c r="E132" s="95"/>
      <c r="F132" s="95"/>
      <c r="G132" s="95"/>
      <c r="H132" s="629" t="s">
        <v>461</v>
      </c>
      <c r="I132" s="630"/>
      <c r="J132" s="630"/>
      <c r="K132" s="630"/>
      <c r="L132" s="630"/>
      <c r="M132" s="630"/>
      <c r="N132" s="630"/>
      <c r="O132" s="630"/>
      <c r="P132" s="630"/>
      <c r="Q132" s="631"/>
      <c r="R132" s="629" t="s">
        <v>32</v>
      </c>
      <c r="S132" s="630"/>
      <c r="T132" s="630"/>
      <c r="U132" s="630"/>
      <c r="V132" s="630"/>
      <c r="W132" s="630"/>
      <c r="X132" s="630"/>
      <c r="Y132" s="630"/>
      <c r="Z132" s="630"/>
      <c r="AA132" s="631"/>
      <c r="AB132" s="129"/>
      <c r="AC132" s="129"/>
      <c r="AD132" s="129"/>
      <c r="AE132" s="129"/>
      <c r="AF132" s="129"/>
      <c r="AG132" s="129"/>
      <c r="AH132" s="129"/>
      <c r="AI132" s="130"/>
      <c r="AJ132" s="126"/>
      <c r="AK132" s="126"/>
      <c r="AL132" s="126"/>
      <c r="AM132" s="126"/>
      <c r="AN132" s="126"/>
      <c r="AO132" s="126"/>
      <c r="AP132" s="126"/>
      <c r="AQ132" s="126"/>
      <c r="AR132" s="126"/>
    </row>
    <row r="133" spans="3:44">
      <c r="C133" s="12"/>
      <c r="D133" s="13"/>
      <c r="E133" s="95"/>
      <c r="F133" s="95"/>
      <c r="G133" s="95"/>
      <c r="H133" s="632" t="s">
        <v>462</v>
      </c>
      <c r="I133" s="633"/>
      <c r="J133" s="633"/>
      <c r="K133" s="633"/>
      <c r="L133" s="633"/>
      <c r="M133" s="633"/>
      <c r="N133" s="633"/>
      <c r="O133" s="633"/>
      <c r="P133" s="633"/>
      <c r="Q133" s="634"/>
      <c r="R133" s="635" t="s">
        <v>155</v>
      </c>
      <c r="S133" s="636"/>
      <c r="T133" s="636"/>
      <c r="U133" s="636"/>
      <c r="V133" s="636"/>
      <c r="W133" s="636"/>
      <c r="X133" s="636"/>
      <c r="Y133" s="636"/>
      <c r="Z133" s="636"/>
      <c r="AA133" s="637"/>
      <c r="AB133" s="638"/>
      <c r="AC133" s="638"/>
      <c r="AD133" s="638"/>
      <c r="AE133" s="116"/>
      <c r="AF133" s="639"/>
      <c r="AG133" s="639"/>
      <c r="AH133" s="128"/>
      <c r="AI133" s="122"/>
      <c r="AJ133" s="95"/>
      <c r="AK133" s="95"/>
      <c r="AM133" s="13"/>
      <c r="AN133" s="13"/>
      <c r="AO133" s="13"/>
      <c r="AP133" s="13"/>
      <c r="AQ133" s="13"/>
      <c r="AR133" s="13"/>
    </row>
    <row r="134" spans="3:44">
      <c r="C134" s="12"/>
      <c r="D134" s="96"/>
      <c r="E134" s="95"/>
      <c r="F134" s="95"/>
      <c r="G134" s="95"/>
      <c r="H134" s="640"/>
      <c r="I134" s="641"/>
      <c r="J134" s="641"/>
      <c r="K134" s="641"/>
      <c r="L134" s="641"/>
      <c r="M134" s="641"/>
      <c r="N134" s="641"/>
      <c r="O134" s="641"/>
      <c r="P134" s="641"/>
      <c r="Q134" s="641"/>
      <c r="R134" s="642" t="s">
        <v>20</v>
      </c>
      <c r="S134" s="643"/>
      <c r="T134" s="643"/>
      <c r="U134" s="643"/>
      <c r="V134" s="643"/>
      <c r="W134" s="643"/>
      <c r="X134" s="643"/>
      <c r="Y134" s="643"/>
      <c r="Z134" s="643"/>
      <c r="AA134" s="644"/>
      <c r="AB134" s="638"/>
      <c r="AC134" s="638"/>
      <c r="AD134" s="638"/>
      <c r="AE134" s="116"/>
      <c r="AF134" s="639"/>
      <c r="AG134" s="639"/>
      <c r="AH134" s="128"/>
      <c r="AI134" s="122"/>
      <c r="AJ134" s="95"/>
      <c r="AK134" s="95"/>
      <c r="AM134" s="13"/>
      <c r="AN134" s="13"/>
      <c r="AO134" s="13"/>
      <c r="AP134" s="13"/>
      <c r="AQ134" s="13"/>
      <c r="AR134" s="13"/>
    </row>
    <row r="135" spans="3:44">
      <c r="C135" s="12"/>
      <c r="D135" s="284" t="s">
        <v>22</v>
      </c>
      <c r="E135" s="285"/>
      <c r="F135" s="288" t="s">
        <v>156</v>
      </c>
      <c r="G135" s="289"/>
      <c r="H135" s="645" t="s">
        <v>281</v>
      </c>
      <c r="I135" s="616"/>
      <c r="J135" s="615" t="s">
        <v>69</v>
      </c>
      <c r="K135" s="614">
        <f>H111</f>
        <v>1</v>
      </c>
      <c r="L135" s="614"/>
      <c r="M135" s="615" t="s">
        <v>71</v>
      </c>
      <c r="N135" s="617">
        <v>3</v>
      </c>
      <c r="O135" s="615" t="s">
        <v>27</v>
      </c>
      <c r="P135" s="646">
        <v>2</v>
      </c>
      <c r="Q135" s="618" t="s">
        <v>2</v>
      </c>
      <c r="R135" s="615"/>
      <c r="S135" s="615"/>
      <c r="T135" s="615"/>
      <c r="U135" s="615"/>
      <c r="V135" s="615"/>
      <c r="W135" s="647" t="s">
        <v>281</v>
      </c>
      <c r="X135" s="615" t="s">
        <v>69</v>
      </c>
      <c r="Y135" s="270">
        <f>K135/N135*P135</f>
        <v>0.66666666666666663</v>
      </c>
      <c r="Z135" s="270"/>
      <c r="AA135" s="271"/>
      <c r="AB135" s="638"/>
      <c r="AC135" s="638"/>
      <c r="AD135" s="638"/>
      <c r="AE135" s="116"/>
      <c r="AF135" s="639"/>
      <c r="AG135" s="639"/>
      <c r="AH135" s="128"/>
      <c r="AI135" s="122"/>
      <c r="AJ135" s="95"/>
      <c r="AK135" s="95"/>
      <c r="AM135" s="13"/>
      <c r="AN135" s="13"/>
      <c r="AO135" s="13"/>
      <c r="AP135" s="13"/>
      <c r="AQ135" s="13"/>
      <c r="AR135" s="13"/>
    </row>
    <row r="136" spans="3:44">
      <c r="C136" s="12"/>
      <c r="D136" s="286"/>
      <c r="E136" s="287"/>
      <c r="F136" s="341" t="s">
        <v>157</v>
      </c>
      <c r="G136" s="341"/>
      <c r="H136" s="645" t="s">
        <v>281</v>
      </c>
      <c r="I136" s="616"/>
      <c r="J136" s="615" t="s">
        <v>69</v>
      </c>
      <c r="K136" s="648">
        <f>H111</f>
        <v>1</v>
      </c>
      <c r="L136" s="648"/>
      <c r="M136" s="601" t="s">
        <v>71</v>
      </c>
      <c r="N136" s="617">
        <v>3</v>
      </c>
      <c r="O136" s="615" t="s">
        <v>27</v>
      </c>
      <c r="P136" s="646">
        <v>1</v>
      </c>
      <c r="Q136" s="618" t="s">
        <v>2</v>
      </c>
      <c r="R136" s="116"/>
      <c r="S136" s="116"/>
      <c r="T136" s="116"/>
      <c r="U136" s="116"/>
      <c r="V136" s="116"/>
      <c r="W136" s="647" t="s">
        <v>281</v>
      </c>
      <c r="X136" s="615" t="s">
        <v>69</v>
      </c>
      <c r="Y136" s="270">
        <f>K136/N136*P136</f>
        <v>0.33333333333333331</v>
      </c>
      <c r="Z136" s="270"/>
      <c r="AA136" s="271"/>
      <c r="AB136" s="638"/>
      <c r="AC136" s="638"/>
      <c r="AD136" s="638"/>
      <c r="AE136" s="116"/>
      <c r="AF136" s="639"/>
      <c r="AG136" s="639"/>
      <c r="AH136" s="128"/>
      <c r="AI136" s="122"/>
      <c r="AJ136" s="95"/>
      <c r="AK136" s="95"/>
      <c r="AM136" s="13"/>
      <c r="AN136" s="13"/>
      <c r="AO136" s="13"/>
      <c r="AP136" s="13"/>
      <c r="AQ136" s="13"/>
      <c r="AR136" s="13"/>
    </row>
    <row r="137" spans="3:44">
      <c r="C137" s="12"/>
      <c r="D137" s="284" t="s">
        <v>95</v>
      </c>
      <c r="E137" s="285"/>
      <c r="F137" s="296" t="s">
        <v>158</v>
      </c>
      <c r="G137" s="243"/>
      <c r="H137" s="645" t="s">
        <v>281</v>
      </c>
      <c r="I137" s="616"/>
      <c r="J137" s="615"/>
      <c r="K137" s="649"/>
      <c r="L137" s="649"/>
      <c r="M137" s="615" t="s">
        <v>71</v>
      </c>
      <c r="N137" s="617">
        <v>3</v>
      </c>
      <c r="O137" s="615" t="s">
        <v>27</v>
      </c>
      <c r="P137" s="646">
        <v>2</v>
      </c>
      <c r="Q137" s="618" t="s">
        <v>2</v>
      </c>
      <c r="R137" s="620"/>
      <c r="S137" s="615"/>
      <c r="T137" s="270">
        <f>P137/N137</f>
        <v>0.66666666666666663</v>
      </c>
      <c r="U137" s="270"/>
      <c r="V137" s="270"/>
      <c r="W137" s="647" t="s">
        <v>281</v>
      </c>
      <c r="X137" s="620"/>
      <c r="Y137" s="270"/>
      <c r="Z137" s="270"/>
      <c r="AA137" s="271"/>
      <c r="AB137" s="638"/>
      <c r="AC137" s="638"/>
      <c r="AD137" s="638"/>
      <c r="AE137" s="116"/>
      <c r="AF137" s="639"/>
      <c r="AG137" s="639"/>
      <c r="AH137" s="128"/>
      <c r="AI137" s="122"/>
      <c r="AJ137" s="95"/>
      <c r="AK137" s="95"/>
      <c r="AM137" s="13"/>
      <c r="AN137" s="13"/>
      <c r="AO137" s="13"/>
      <c r="AP137" s="13"/>
      <c r="AQ137" s="13"/>
      <c r="AR137" s="13"/>
    </row>
    <row r="138" spans="3:44">
      <c r="C138" s="12"/>
      <c r="D138" s="286"/>
      <c r="E138" s="287"/>
      <c r="F138" s="297" t="s">
        <v>159</v>
      </c>
      <c r="G138" s="298"/>
      <c r="H138" s="645" t="s">
        <v>281</v>
      </c>
      <c r="I138" s="616"/>
      <c r="J138" s="615"/>
      <c r="K138" s="614"/>
      <c r="L138" s="614"/>
      <c r="M138" s="615" t="s">
        <v>71</v>
      </c>
      <c r="N138" s="617">
        <v>3</v>
      </c>
      <c r="O138" s="615" t="s">
        <v>27</v>
      </c>
      <c r="P138" s="646">
        <v>1</v>
      </c>
      <c r="Q138" s="618" t="s">
        <v>2</v>
      </c>
      <c r="R138" s="615"/>
      <c r="S138" s="601"/>
      <c r="T138" s="270">
        <f>P138/N138</f>
        <v>0.33333333333333331</v>
      </c>
      <c r="U138" s="270"/>
      <c r="V138" s="270"/>
      <c r="W138" s="647" t="s">
        <v>281</v>
      </c>
      <c r="X138" s="615"/>
      <c r="Y138" s="615"/>
      <c r="Z138" s="615"/>
      <c r="AA138" s="618"/>
      <c r="AB138" s="638"/>
      <c r="AC138" s="638"/>
      <c r="AD138" s="638"/>
      <c r="AE138" s="116"/>
      <c r="AF138" s="639"/>
      <c r="AG138" s="639"/>
      <c r="AH138" s="128"/>
      <c r="AI138" s="122"/>
      <c r="AJ138" s="95"/>
      <c r="AK138" s="95"/>
      <c r="AM138" s="13"/>
      <c r="AN138" s="13"/>
      <c r="AO138" s="13"/>
      <c r="AP138" s="13"/>
      <c r="AQ138" s="13"/>
      <c r="AR138" s="13"/>
    </row>
    <row r="139" spans="3:44">
      <c r="C139" s="12"/>
      <c r="D139" s="13"/>
      <c r="E139" s="13"/>
      <c r="F139" s="13"/>
      <c r="G139" s="13"/>
      <c r="H139" s="116"/>
      <c r="I139" s="116"/>
      <c r="J139" s="116"/>
      <c r="K139" s="116"/>
      <c r="L139" s="116"/>
      <c r="M139" s="116"/>
      <c r="N139" s="116"/>
      <c r="O139" s="116"/>
      <c r="P139" s="116"/>
      <c r="Q139" s="116"/>
      <c r="R139" s="116"/>
      <c r="S139" s="116"/>
      <c r="T139" s="116"/>
      <c r="U139" s="116"/>
      <c r="V139" s="116"/>
      <c r="W139" s="116"/>
      <c r="X139" s="116"/>
      <c r="Y139" s="116"/>
      <c r="Z139" s="116"/>
      <c r="AA139" s="116"/>
      <c r="AB139" s="116"/>
      <c r="AC139" s="116"/>
      <c r="AD139" s="116"/>
      <c r="AE139" s="116"/>
      <c r="AF139" s="116"/>
      <c r="AG139" s="116"/>
      <c r="AH139" s="13"/>
      <c r="AI139" s="15"/>
    </row>
    <row r="140" spans="3:44">
      <c r="C140" s="12"/>
      <c r="D140" s="96"/>
      <c r="E140" s="95"/>
      <c r="F140" s="95"/>
      <c r="G140" s="95"/>
      <c r="H140" s="629" t="s">
        <v>272</v>
      </c>
      <c r="I140" s="630"/>
      <c r="J140" s="630"/>
      <c r="K140" s="630"/>
      <c r="L140" s="630"/>
      <c r="M140" s="630"/>
      <c r="N140" s="630"/>
      <c r="O140" s="630"/>
      <c r="P140" s="630"/>
      <c r="Q140" s="630"/>
      <c r="R140" s="630"/>
      <c r="S140" s="630"/>
      <c r="T140" s="630"/>
      <c r="U140" s="630"/>
      <c r="V140" s="630"/>
      <c r="W140" s="630"/>
      <c r="X140" s="630"/>
      <c r="Y140" s="630"/>
      <c r="Z140" s="630"/>
      <c r="AA140" s="631"/>
      <c r="AB140" s="129"/>
      <c r="AC140" s="129"/>
      <c r="AD140" s="129"/>
      <c r="AE140" s="129"/>
      <c r="AF140" s="129"/>
      <c r="AG140" s="129"/>
      <c r="AH140" s="129"/>
      <c r="AI140" s="130"/>
      <c r="AJ140" s="126"/>
      <c r="AK140" s="126"/>
      <c r="AL140" s="126"/>
      <c r="AM140" s="126"/>
      <c r="AN140" s="126"/>
      <c r="AO140" s="126"/>
      <c r="AP140" s="126"/>
      <c r="AQ140" s="126"/>
      <c r="AR140" s="126"/>
    </row>
    <row r="141" spans="3:44">
      <c r="C141" s="12"/>
      <c r="D141" s="13"/>
      <c r="E141" s="95"/>
      <c r="F141" s="95"/>
      <c r="G141" s="95"/>
      <c r="H141" s="635" t="s">
        <v>284</v>
      </c>
      <c r="I141" s="636"/>
      <c r="J141" s="636"/>
      <c r="K141" s="636"/>
      <c r="L141" s="636"/>
      <c r="M141" s="636"/>
      <c r="N141" s="636"/>
      <c r="O141" s="636"/>
      <c r="P141" s="636"/>
      <c r="Q141" s="636"/>
      <c r="R141" s="636"/>
      <c r="S141" s="636"/>
      <c r="T141" s="636"/>
      <c r="U141" s="636"/>
      <c r="V141" s="636"/>
      <c r="W141" s="636"/>
      <c r="X141" s="636"/>
      <c r="Y141" s="636"/>
      <c r="Z141" s="636"/>
      <c r="AA141" s="637"/>
      <c r="AB141" s="638"/>
      <c r="AC141" s="638"/>
      <c r="AD141" s="638"/>
      <c r="AE141" s="116"/>
      <c r="AF141" s="639"/>
      <c r="AG141" s="639"/>
      <c r="AH141" s="128"/>
      <c r="AI141" s="122"/>
      <c r="AJ141" s="95"/>
      <c r="AK141" s="95"/>
      <c r="AM141" s="13"/>
      <c r="AN141" s="13"/>
      <c r="AO141" s="13"/>
      <c r="AP141" s="13"/>
      <c r="AQ141" s="13"/>
      <c r="AR141" s="13"/>
    </row>
    <row r="142" spans="3:44">
      <c r="C142" s="12"/>
      <c r="D142" s="96"/>
      <c r="E142" s="95"/>
      <c r="F142" s="95"/>
      <c r="G142" s="95"/>
      <c r="H142" s="642" t="s">
        <v>35</v>
      </c>
      <c r="I142" s="643"/>
      <c r="J142" s="643"/>
      <c r="K142" s="643"/>
      <c r="L142" s="643"/>
      <c r="M142" s="643"/>
      <c r="N142" s="643"/>
      <c r="O142" s="643"/>
      <c r="P142" s="643"/>
      <c r="Q142" s="643"/>
      <c r="R142" s="643"/>
      <c r="S142" s="643"/>
      <c r="T142" s="643"/>
      <c r="U142" s="643"/>
      <c r="V142" s="643"/>
      <c r="W142" s="643"/>
      <c r="X142" s="643"/>
      <c r="Y142" s="643"/>
      <c r="Z142" s="643"/>
      <c r="AA142" s="644"/>
      <c r="AB142" s="638"/>
      <c r="AC142" s="638"/>
      <c r="AD142" s="638"/>
      <c r="AE142" s="116"/>
      <c r="AF142" s="639"/>
      <c r="AG142" s="639"/>
      <c r="AH142" s="128"/>
      <c r="AI142" s="122"/>
      <c r="AJ142" s="95"/>
      <c r="AK142" s="95"/>
      <c r="AM142" s="13"/>
      <c r="AN142" s="13"/>
      <c r="AO142" s="13"/>
      <c r="AP142" s="13"/>
      <c r="AQ142" s="13"/>
      <c r="AR142" s="13"/>
    </row>
    <row r="143" spans="3:44">
      <c r="C143" s="12"/>
      <c r="D143" s="284" t="s">
        <v>22</v>
      </c>
      <c r="E143" s="285"/>
      <c r="F143" s="288" t="s">
        <v>156</v>
      </c>
      <c r="G143" s="289"/>
      <c r="H143" s="619"/>
      <c r="I143" s="620"/>
      <c r="J143" s="620"/>
      <c r="K143" s="620"/>
      <c r="L143" s="620"/>
      <c r="M143" s="650"/>
      <c r="N143" s="650"/>
      <c r="O143" s="650"/>
      <c r="P143" s="651"/>
      <c r="Q143" s="651"/>
      <c r="R143" s="652"/>
      <c r="S143" s="650">
        <f>AE127</f>
        <v>5.3151999999999999</v>
      </c>
      <c r="T143" s="650"/>
      <c r="U143" s="650"/>
      <c r="V143" s="622" t="s">
        <v>281</v>
      </c>
      <c r="W143" s="651"/>
      <c r="X143" s="652" t="s">
        <v>69</v>
      </c>
      <c r="Y143" s="650">
        <f>AE127*Y135</f>
        <v>3.5434666666666663</v>
      </c>
      <c r="Z143" s="650"/>
      <c r="AA143" s="653"/>
      <c r="AB143" s="638"/>
      <c r="AC143" s="638"/>
      <c r="AD143" s="638"/>
      <c r="AE143" s="116"/>
      <c r="AF143" s="639"/>
      <c r="AG143" s="639"/>
      <c r="AH143" s="13"/>
      <c r="AI143" s="15"/>
    </row>
    <row r="144" spans="3:44">
      <c r="C144" s="12"/>
      <c r="D144" s="286"/>
      <c r="E144" s="287"/>
      <c r="F144" s="344" t="s">
        <v>157</v>
      </c>
      <c r="G144" s="341"/>
      <c r="H144" s="624"/>
      <c r="I144" s="615"/>
      <c r="J144" s="615"/>
      <c r="K144" s="615"/>
      <c r="L144" s="615"/>
      <c r="M144" s="628"/>
      <c r="N144" s="628"/>
      <c r="O144" s="628"/>
      <c r="P144" s="626"/>
      <c r="Q144" s="626"/>
      <c r="R144" s="654"/>
      <c r="S144" s="628">
        <f>AE128</f>
        <v>11.299199999999999</v>
      </c>
      <c r="T144" s="628"/>
      <c r="U144" s="628"/>
      <c r="V144" s="625" t="s">
        <v>281</v>
      </c>
      <c r="W144" s="626"/>
      <c r="X144" s="654" t="s">
        <v>69</v>
      </c>
      <c r="Y144" s="628">
        <f>AE128*Y136</f>
        <v>3.7663999999999995</v>
      </c>
      <c r="Z144" s="628"/>
      <c r="AA144" s="655"/>
      <c r="AB144" s="638"/>
      <c r="AC144" s="638"/>
      <c r="AD144" s="638"/>
      <c r="AE144" s="116"/>
      <c r="AF144" s="639"/>
      <c r="AG144" s="639"/>
      <c r="AH144" s="13"/>
      <c r="AI144" s="15"/>
    </row>
    <row r="145" spans="3:35" ht="19.2">
      <c r="C145" s="12"/>
      <c r="D145" s="284" t="s">
        <v>95</v>
      </c>
      <c r="E145" s="285"/>
      <c r="F145" s="325" t="s">
        <v>158</v>
      </c>
      <c r="G145" s="243"/>
      <c r="H145" s="624"/>
      <c r="I145" s="615"/>
      <c r="J145" s="615"/>
      <c r="K145" s="615"/>
      <c r="L145" s="615"/>
      <c r="M145" s="628">
        <f>Z129*T137</f>
        <v>7.5327999999999991</v>
      </c>
      <c r="N145" s="628"/>
      <c r="O145" s="628"/>
      <c r="P145" s="626" t="s">
        <v>285</v>
      </c>
      <c r="Q145" s="626"/>
      <c r="R145" s="654"/>
      <c r="S145" s="615"/>
      <c r="T145" s="615"/>
      <c r="U145" s="615"/>
      <c r="V145" s="625"/>
      <c r="W145" s="626"/>
      <c r="X145" s="654"/>
      <c r="Y145" s="628"/>
      <c r="Z145" s="628"/>
      <c r="AA145" s="655"/>
      <c r="AB145" s="638"/>
      <c r="AC145" s="638"/>
      <c r="AD145" s="638"/>
      <c r="AE145" s="116"/>
      <c r="AF145" s="639"/>
      <c r="AG145" s="639"/>
      <c r="AH145" s="13"/>
      <c r="AI145" s="15"/>
    </row>
    <row r="146" spans="3:35" ht="19.8" thickBot="1">
      <c r="C146" s="12"/>
      <c r="D146" s="286"/>
      <c r="E146" s="287"/>
      <c r="F146" s="297" t="s">
        <v>159</v>
      </c>
      <c r="G146" s="298"/>
      <c r="H146" s="656">
        <f>U130*T138</f>
        <v>2.6053333333333337</v>
      </c>
      <c r="I146" s="657"/>
      <c r="J146" s="657"/>
      <c r="K146" s="658" t="s">
        <v>479</v>
      </c>
      <c r="L146" s="659" t="s">
        <v>69</v>
      </c>
      <c r="M146" s="657">
        <f>Z130*T138</f>
        <v>3.7663999999999995</v>
      </c>
      <c r="N146" s="657"/>
      <c r="O146" s="657"/>
      <c r="P146" s="658" t="s">
        <v>285</v>
      </c>
      <c r="Q146" s="658"/>
      <c r="R146" s="660"/>
      <c r="S146" s="657"/>
      <c r="T146" s="657"/>
      <c r="U146" s="657"/>
      <c r="V146" s="661"/>
      <c r="W146" s="658"/>
      <c r="X146" s="660"/>
      <c r="Y146" s="657"/>
      <c r="Z146" s="657"/>
      <c r="AA146" s="662"/>
      <c r="AB146" s="638"/>
      <c r="AC146" s="638"/>
      <c r="AD146" s="638"/>
      <c r="AE146" s="116"/>
      <c r="AF146" s="639"/>
      <c r="AG146" s="639"/>
      <c r="AH146" s="13"/>
      <c r="AI146" s="15"/>
    </row>
    <row r="147" spans="3:35" ht="19.8" thickTop="1">
      <c r="C147" s="12"/>
      <c r="D147" s="422" t="s">
        <v>273</v>
      </c>
      <c r="E147" s="423"/>
      <c r="F147" s="423"/>
      <c r="G147" s="423"/>
      <c r="H147" s="663">
        <f>SUM(H143:J146)</f>
        <v>2.6053333333333337</v>
      </c>
      <c r="I147" s="664"/>
      <c r="J147" s="664"/>
      <c r="K147" s="665" t="s">
        <v>479</v>
      </c>
      <c r="L147" s="601" t="s">
        <v>69</v>
      </c>
      <c r="M147" s="605">
        <f>SUM(M143:O146)</f>
        <v>11.299199999999999</v>
      </c>
      <c r="N147" s="605"/>
      <c r="O147" s="605"/>
      <c r="P147" s="665" t="s">
        <v>285</v>
      </c>
      <c r="Q147" s="665"/>
      <c r="R147" s="606" t="s">
        <v>69</v>
      </c>
      <c r="S147" s="605">
        <f>SUM(S143:U146)</f>
        <v>16.6144</v>
      </c>
      <c r="T147" s="605"/>
      <c r="U147" s="605"/>
      <c r="V147" s="647" t="s">
        <v>281</v>
      </c>
      <c r="W147" s="665"/>
      <c r="X147" s="606" t="s">
        <v>69</v>
      </c>
      <c r="Y147" s="605">
        <f>SUM(Y143:AA146)</f>
        <v>7.3098666666666663</v>
      </c>
      <c r="Z147" s="605"/>
      <c r="AA147" s="666"/>
      <c r="AB147" s="129"/>
      <c r="AC147" s="129"/>
      <c r="AD147" s="129"/>
      <c r="AE147" s="129"/>
      <c r="AF147" s="129"/>
      <c r="AG147" s="129"/>
      <c r="AH147" s="13"/>
      <c r="AI147" s="15"/>
    </row>
    <row r="148" spans="3:35">
      <c r="C148" s="12"/>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5"/>
    </row>
    <row r="149" spans="3:35">
      <c r="C149" s="12" t="s">
        <v>435</v>
      </c>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5"/>
    </row>
    <row r="150" spans="3:35">
      <c r="C150" s="12"/>
      <c r="D150" s="13" t="s">
        <v>436</v>
      </c>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5"/>
    </row>
    <row r="151" spans="3:35" ht="19.8">
      <c r="C151" s="12"/>
      <c r="D151" s="13"/>
      <c r="E151" s="34" t="s">
        <v>288</v>
      </c>
      <c r="F151" s="13"/>
      <c r="G151" s="13" t="s">
        <v>2</v>
      </c>
      <c r="H151" s="591" t="s">
        <v>277</v>
      </c>
      <c r="I151" s="591"/>
      <c r="J151" s="116" t="s">
        <v>70</v>
      </c>
      <c r="K151" s="592" t="s">
        <v>281</v>
      </c>
      <c r="L151" s="116" t="s">
        <v>69</v>
      </c>
      <c r="M151" s="512">
        <f>H111</f>
        <v>1</v>
      </c>
      <c r="N151" s="512"/>
      <c r="O151" s="116" t="s">
        <v>480</v>
      </c>
      <c r="P151" s="116"/>
      <c r="Q151" s="593">
        <f>H147</f>
        <v>2.6053333333333337</v>
      </c>
      <c r="R151" s="593"/>
      <c r="S151" s="593"/>
      <c r="T151" s="594" t="s">
        <v>479</v>
      </c>
      <c r="U151" s="595" t="s">
        <v>69</v>
      </c>
      <c r="V151" s="593">
        <f>M147</f>
        <v>11.299199999999999</v>
      </c>
      <c r="W151" s="593"/>
      <c r="X151" s="593"/>
      <c r="Y151" s="594" t="s">
        <v>285</v>
      </c>
      <c r="Z151" s="595" t="s">
        <v>69</v>
      </c>
      <c r="AA151" s="593">
        <f>S147</f>
        <v>16.6144</v>
      </c>
      <c r="AB151" s="593"/>
      <c r="AC151" s="593"/>
      <c r="AD151" s="592" t="s">
        <v>281</v>
      </c>
      <c r="AE151" s="595" t="s">
        <v>69</v>
      </c>
      <c r="AF151" s="593">
        <f>Y147</f>
        <v>7.3098666666666663</v>
      </c>
      <c r="AG151" s="593"/>
      <c r="AH151" s="593"/>
      <c r="AI151" s="596" t="s">
        <v>287</v>
      </c>
    </row>
    <row r="152" spans="3:35" ht="19.2">
      <c r="C152" s="12"/>
      <c r="D152" s="13"/>
      <c r="E152" s="13"/>
      <c r="F152" s="13"/>
      <c r="G152" s="13" t="s">
        <v>2</v>
      </c>
      <c r="H152" s="597">
        <f>K102</f>
        <v>50.842671394668535</v>
      </c>
      <c r="I152" s="597"/>
      <c r="J152" s="116" t="s">
        <v>70</v>
      </c>
      <c r="K152" s="592" t="s">
        <v>281</v>
      </c>
      <c r="L152" s="116" t="s">
        <v>69</v>
      </c>
      <c r="M152" s="512">
        <f>H111</f>
        <v>1</v>
      </c>
      <c r="N152" s="512"/>
      <c r="O152" s="116" t="s">
        <v>480</v>
      </c>
      <c r="P152" s="116"/>
      <c r="Q152" s="593">
        <f>Q151</f>
        <v>2.6053333333333337</v>
      </c>
      <c r="R152" s="593"/>
      <c r="S152" s="593"/>
      <c r="T152" s="594" t="s">
        <v>479</v>
      </c>
      <c r="U152" s="595" t="s">
        <v>69</v>
      </c>
      <c r="V152" s="593">
        <f>M147</f>
        <v>11.299199999999999</v>
      </c>
      <c r="W152" s="593"/>
      <c r="X152" s="593"/>
      <c r="Y152" s="594" t="s">
        <v>285</v>
      </c>
      <c r="Z152" s="595" t="s">
        <v>69</v>
      </c>
      <c r="AA152" s="593">
        <f>S147</f>
        <v>16.6144</v>
      </c>
      <c r="AB152" s="593"/>
      <c r="AC152" s="593"/>
      <c r="AD152" s="592" t="s">
        <v>281</v>
      </c>
      <c r="AE152" s="595" t="s">
        <v>69</v>
      </c>
      <c r="AF152" s="593">
        <f>Y147</f>
        <v>7.3098666666666663</v>
      </c>
      <c r="AG152" s="593"/>
      <c r="AH152" s="593"/>
      <c r="AI152" s="596" t="s">
        <v>287</v>
      </c>
    </row>
    <row r="153" spans="3:35" ht="19.2">
      <c r="C153" s="12"/>
      <c r="D153" s="13"/>
      <c r="E153" s="13"/>
      <c r="F153" s="13"/>
      <c r="G153" s="13" t="s">
        <v>2</v>
      </c>
      <c r="H153" s="598">
        <f>-Q152</f>
        <v>-2.6053333333333337</v>
      </c>
      <c r="I153" s="598"/>
      <c r="J153" s="598"/>
      <c r="K153" s="594" t="s">
        <v>479</v>
      </c>
      <c r="L153" s="594"/>
      <c r="M153" s="595" t="s">
        <v>69</v>
      </c>
      <c r="N153" s="598">
        <f>-V152</f>
        <v>-11.299199999999999</v>
      </c>
      <c r="O153" s="598"/>
      <c r="P153" s="598"/>
      <c r="Q153" s="594" t="s">
        <v>285</v>
      </c>
      <c r="R153" s="594"/>
      <c r="S153" s="595" t="s">
        <v>69</v>
      </c>
      <c r="T153" s="593">
        <f>H152-AA152</f>
        <v>34.228271394668539</v>
      </c>
      <c r="U153" s="593"/>
      <c r="V153" s="593"/>
      <c r="W153" s="592" t="s">
        <v>281</v>
      </c>
      <c r="X153" s="594"/>
      <c r="Y153" s="595" t="s">
        <v>69</v>
      </c>
      <c r="Z153" s="593">
        <f>H152*M152-AF152</f>
        <v>43.532804728001871</v>
      </c>
      <c r="AA153" s="593"/>
      <c r="AB153" s="593"/>
      <c r="AC153" s="116"/>
      <c r="AD153" s="116"/>
      <c r="AE153" s="116"/>
      <c r="AF153" s="116"/>
      <c r="AG153" s="116"/>
      <c r="AH153" s="116"/>
      <c r="AI153" s="596"/>
    </row>
    <row r="154" spans="3:35">
      <c r="C154" s="12"/>
      <c r="D154" s="13"/>
      <c r="E154" s="13"/>
      <c r="F154" s="13"/>
      <c r="G154" s="13"/>
      <c r="H154" s="599"/>
      <c r="I154" s="599"/>
      <c r="J154" s="599"/>
      <c r="K154" s="594"/>
      <c r="L154" s="594"/>
      <c r="M154" s="595"/>
      <c r="N154" s="599"/>
      <c r="O154" s="599"/>
      <c r="P154" s="599"/>
      <c r="Q154" s="594"/>
      <c r="R154" s="594"/>
      <c r="S154" s="595"/>
      <c r="T154" s="600"/>
      <c r="U154" s="600"/>
      <c r="V154" s="600"/>
      <c r="W154" s="592"/>
      <c r="X154" s="594"/>
      <c r="Y154" s="595"/>
      <c r="Z154" s="600"/>
      <c r="AA154" s="600"/>
      <c r="AB154" s="600"/>
      <c r="AC154" s="116"/>
      <c r="AD154" s="116"/>
      <c r="AE154" s="116"/>
      <c r="AF154" s="116"/>
      <c r="AG154" s="116"/>
      <c r="AH154" s="116"/>
      <c r="AI154" s="596"/>
    </row>
    <row r="155" spans="3:35">
      <c r="C155" s="12"/>
      <c r="D155" s="13" t="s">
        <v>290</v>
      </c>
      <c r="E155" s="13"/>
      <c r="F155" s="13"/>
      <c r="G155" s="13"/>
      <c r="H155" s="116"/>
      <c r="I155" s="116"/>
      <c r="J155" s="116"/>
      <c r="K155" s="116"/>
      <c r="L155" s="116"/>
      <c r="M155" s="116"/>
      <c r="N155" s="116"/>
      <c r="O155" s="116"/>
      <c r="P155" s="116"/>
      <c r="Q155" s="116"/>
      <c r="R155" s="116"/>
      <c r="S155" s="116"/>
      <c r="T155" s="116"/>
      <c r="U155" s="116"/>
      <c r="V155" s="116"/>
      <c r="W155" s="116"/>
      <c r="X155" s="116"/>
      <c r="Y155" s="116"/>
      <c r="Z155" s="116"/>
      <c r="AA155" s="116"/>
      <c r="AB155" s="116"/>
      <c r="AC155" s="116"/>
      <c r="AD155" s="116"/>
      <c r="AE155" s="116"/>
      <c r="AF155" s="116"/>
      <c r="AG155" s="116"/>
      <c r="AH155" s="116"/>
      <c r="AI155" s="596"/>
    </row>
    <row r="156" spans="3:35" ht="19.2">
      <c r="C156" s="12"/>
      <c r="D156" s="13"/>
      <c r="E156" s="34" t="s">
        <v>288</v>
      </c>
      <c r="F156" s="131" t="s">
        <v>289</v>
      </c>
      <c r="G156" s="13" t="s">
        <v>2</v>
      </c>
      <c r="H156" s="598">
        <f>H153*3</f>
        <v>-7.8160000000000007</v>
      </c>
      <c r="I156" s="598"/>
      <c r="J156" s="598"/>
      <c r="K156" s="594" t="s">
        <v>285</v>
      </c>
      <c r="L156" s="594"/>
      <c r="M156" s="595" t="s">
        <v>69</v>
      </c>
      <c r="N156" s="598">
        <f>N153*2</f>
        <v>-22.598399999999998</v>
      </c>
      <c r="O156" s="598"/>
      <c r="P156" s="598"/>
      <c r="Q156" s="592" t="s">
        <v>281</v>
      </c>
      <c r="R156" s="594"/>
      <c r="S156" s="595" t="s">
        <v>69</v>
      </c>
      <c r="T156" s="593">
        <f>T153</f>
        <v>34.228271394668539</v>
      </c>
      <c r="U156" s="593"/>
      <c r="V156" s="593"/>
      <c r="W156" s="116"/>
      <c r="X156" s="116"/>
      <c r="Y156" s="116"/>
      <c r="Z156" s="116"/>
      <c r="AA156" s="116"/>
      <c r="AB156" s="116"/>
      <c r="AC156" s="116"/>
      <c r="AD156" s="116"/>
      <c r="AE156" s="116"/>
      <c r="AF156" s="116"/>
      <c r="AG156" s="116"/>
      <c r="AH156" s="116"/>
      <c r="AI156" s="596"/>
    </row>
    <row r="157" spans="3:35">
      <c r="C157" s="12"/>
      <c r="D157" s="13"/>
      <c r="E157" s="34"/>
      <c r="F157" s="131"/>
      <c r="G157" s="13"/>
      <c r="H157" s="599"/>
      <c r="I157" s="599"/>
      <c r="J157" s="599"/>
      <c r="K157" s="594"/>
      <c r="L157" s="594"/>
      <c r="M157" s="595"/>
      <c r="N157" s="599"/>
      <c r="O157" s="599"/>
      <c r="P157" s="599"/>
      <c r="Q157" s="592"/>
      <c r="R157" s="594"/>
      <c r="S157" s="595"/>
      <c r="T157" s="600"/>
      <c r="U157" s="600"/>
      <c r="V157" s="600"/>
      <c r="W157" s="116"/>
      <c r="X157" s="116"/>
      <c r="Y157" s="116"/>
      <c r="Z157" s="116"/>
      <c r="AA157" s="116"/>
      <c r="AB157" s="116"/>
      <c r="AC157" s="116"/>
      <c r="AD157" s="116"/>
      <c r="AE157" s="116"/>
      <c r="AF157" s="116"/>
      <c r="AG157" s="116"/>
      <c r="AH157" s="116"/>
      <c r="AI157" s="596"/>
    </row>
    <row r="158" spans="3:35">
      <c r="C158" s="12"/>
      <c r="D158" s="13" t="s">
        <v>434</v>
      </c>
      <c r="E158" s="13"/>
      <c r="F158" s="13"/>
      <c r="G158" s="13"/>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116"/>
      <c r="AI158" s="596"/>
    </row>
    <row r="159" spans="3:35">
      <c r="C159" s="12"/>
      <c r="D159" s="13"/>
      <c r="E159" s="445" t="s">
        <v>281</v>
      </c>
      <c r="F159" s="131"/>
      <c r="G159" s="446" t="s">
        <v>2</v>
      </c>
      <c r="H159" s="601" t="s">
        <v>286</v>
      </c>
      <c r="I159" s="602">
        <f>N156</f>
        <v>-22.598399999999998</v>
      </c>
      <c r="J159" s="602"/>
      <c r="K159" s="602"/>
      <c r="L159" s="603" t="s">
        <v>286</v>
      </c>
      <c r="M159" s="604" t="s">
        <v>481</v>
      </c>
      <c r="N159" s="605">
        <f>-N156</f>
        <v>22.598399999999998</v>
      </c>
      <c r="O159" s="605"/>
      <c r="P159" s="605"/>
      <c r="Q159" s="606" t="s">
        <v>482</v>
      </c>
      <c r="R159" s="601" t="s">
        <v>286</v>
      </c>
      <c r="S159" s="607">
        <v>4</v>
      </c>
      <c r="T159" s="607" t="s">
        <v>27</v>
      </c>
      <c r="U159" s="602">
        <f>H156</f>
        <v>-7.8160000000000007</v>
      </c>
      <c r="V159" s="602"/>
      <c r="W159" s="602"/>
      <c r="X159" s="607" t="s">
        <v>27</v>
      </c>
      <c r="Y159" s="605">
        <f>T156</f>
        <v>34.228271394668539</v>
      </c>
      <c r="Z159" s="605"/>
      <c r="AA159" s="605"/>
      <c r="AB159" s="601" t="s">
        <v>84</v>
      </c>
      <c r="AC159" s="116"/>
      <c r="AD159" s="116"/>
      <c r="AE159" s="116"/>
      <c r="AF159" s="116"/>
      <c r="AG159" s="116"/>
      <c r="AH159" s="116"/>
      <c r="AI159" s="596"/>
    </row>
    <row r="160" spans="3:35">
      <c r="C160" s="12"/>
      <c r="D160" s="13"/>
      <c r="E160" s="445"/>
      <c r="F160" s="131"/>
      <c r="G160" s="446"/>
      <c r="H160" s="116"/>
      <c r="I160" s="599"/>
      <c r="J160" s="599"/>
      <c r="K160" s="599"/>
      <c r="L160" s="608"/>
      <c r="M160" s="609"/>
      <c r="N160" s="600"/>
      <c r="O160" s="600"/>
      <c r="P160" s="610">
        <v>2</v>
      </c>
      <c r="Q160" s="116" t="s">
        <v>27</v>
      </c>
      <c r="R160" s="598">
        <f>H156</f>
        <v>-7.8160000000000007</v>
      </c>
      <c r="S160" s="598"/>
      <c r="T160" s="598"/>
      <c r="U160" s="599"/>
      <c r="V160" s="599"/>
      <c r="W160" s="599"/>
      <c r="X160" s="610"/>
      <c r="Y160" s="600"/>
      <c r="Z160" s="600"/>
      <c r="AA160" s="600"/>
      <c r="AB160" s="116"/>
      <c r="AC160" s="116"/>
      <c r="AD160" s="610"/>
      <c r="AE160" s="116"/>
      <c r="AF160" s="599"/>
      <c r="AG160" s="599"/>
      <c r="AH160" s="599"/>
      <c r="AI160" s="596"/>
    </row>
    <row r="161" spans="2:35">
      <c r="C161" s="12"/>
      <c r="D161" s="13"/>
      <c r="E161" s="13"/>
      <c r="F161" s="13"/>
      <c r="G161" s="13" t="s">
        <v>2</v>
      </c>
      <c r="H161" s="269">
        <f>(-I159-SQRT(N159^2-S159*U159*Y159))/(P160*R160)</f>
        <v>1.0978045143017447</v>
      </c>
      <c r="I161" s="270"/>
      <c r="J161" s="271"/>
      <c r="K161" s="116" t="s">
        <v>3</v>
      </c>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116"/>
      <c r="AI161" s="596"/>
    </row>
    <row r="162" spans="2:35">
      <c r="C162" s="12"/>
      <c r="D162" s="13"/>
      <c r="E162" s="13"/>
      <c r="F162" s="13"/>
      <c r="G162" s="13"/>
      <c r="H162" s="199"/>
      <c r="I162" s="199"/>
      <c r="J162" s="199"/>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116"/>
      <c r="AI162" s="596"/>
    </row>
    <row r="163" spans="2:35">
      <c r="C163" s="12"/>
      <c r="D163" s="13" t="s">
        <v>433</v>
      </c>
      <c r="E163" s="13"/>
      <c r="F163" s="13"/>
      <c r="G163" s="13"/>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596"/>
    </row>
    <row r="164" spans="2:35" ht="19.8">
      <c r="C164" s="12"/>
      <c r="D164" s="13"/>
      <c r="E164" s="34" t="s">
        <v>291</v>
      </c>
      <c r="F164" s="13"/>
      <c r="G164" s="13" t="s">
        <v>2</v>
      </c>
      <c r="H164" s="598">
        <f>H153</f>
        <v>-2.6053333333333337</v>
      </c>
      <c r="I164" s="598"/>
      <c r="J164" s="598"/>
      <c r="K164" s="116" t="s">
        <v>27</v>
      </c>
      <c r="L164" s="611">
        <f>H161</f>
        <v>1.0978045143017447</v>
      </c>
      <c r="M164" s="611"/>
      <c r="N164" s="612">
        <v>3</v>
      </c>
      <c r="O164" s="116" t="s">
        <v>69</v>
      </c>
      <c r="P164" s="598">
        <f>N153</f>
        <v>-11.299199999999999</v>
      </c>
      <c r="Q164" s="598"/>
      <c r="R164" s="598"/>
      <c r="S164" s="116" t="s">
        <v>27</v>
      </c>
      <c r="T164" s="611">
        <f>H161</f>
        <v>1.0978045143017447</v>
      </c>
      <c r="U164" s="611"/>
      <c r="V164" s="612">
        <v>2</v>
      </c>
      <c r="W164" s="116"/>
      <c r="X164" s="116" t="s">
        <v>69</v>
      </c>
      <c r="Y164" s="512">
        <f>T153</f>
        <v>34.228271394668539</v>
      </c>
      <c r="Z164" s="512"/>
      <c r="AA164" s="512"/>
      <c r="AB164" s="116" t="s">
        <v>27</v>
      </c>
      <c r="AC164" s="512">
        <f>H161</f>
        <v>1.0978045143017447</v>
      </c>
      <c r="AD164" s="512"/>
      <c r="AE164" s="116"/>
      <c r="AF164" s="116" t="s">
        <v>69</v>
      </c>
      <c r="AG164" s="512">
        <f>Z153</f>
        <v>43.532804728001871</v>
      </c>
      <c r="AH164" s="512"/>
      <c r="AI164" s="513"/>
    </row>
    <row r="165" spans="2:35">
      <c r="C165" s="12"/>
      <c r="D165" s="13"/>
      <c r="E165" s="13"/>
      <c r="F165" s="13"/>
      <c r="G165" s="13" t="s">
        <v>2</v>
      </c>
      <c r="H165" s="269">
        <f>H164*L164^3+P164*T164^2+Y164*AC164+AG164</f>
        <v>64.044268446037051</v>
      </c>
      <c r="I165" s="270"/>
      <c r="J165" s="271"/>
      <c r="K165" s="116" t="s">
        <v>292</v>
      </c>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596"/>
    </row>
    <row r="166" spans="2:35">
      <c r="C166" s="16"/>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9"/>
    </row>
    <row r="168" spans="2:35">
      <c r="B168" s="1" t="s">
        <v>253</v>
      </c>
      <c r="W168" t="s">
        <v>454</v>
      </c>
    </row>
    <row r="169" spans="2:35">
      <c r="C169" s="9" t="s">
        <v>129</v>
      </c>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1"/>
    </row>
    <row r="170" spans="2:35">
      <c r="C170" s="12" t="s">
        <v>130</v>
      </c>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5"/>
    </row>
    <row r="171" spans="2:35">
      <c r="C171" s="492" t="s">
        <v>128</v>
      </c>
      <c r="D171" s="445"/>
      <c r="E171" s="393" t="s">
        <v>2</v>
      </c>
      <c r="F171" s="491" t="s">
        <v>126</v>
      </c>
      <c r="G171" s="491"/>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5"/>
    </row>
    <row r="172" spans="2:35">
      <c r="C172" s="492"/>
      <c r="D172" s="445"/>
      <c r="E172" s="393"/>
      <c r="F172" s="34" t="s">
        <v>81</v>
      </c>
      <c r="G172" s="34"/>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5"/>
    </row>
    <row r="173" spans="2:35">
      <c r="C173" s="12"/>
      <c r="D173" s="36"/>
      <c r="E173" s="33" t="s">
        <v>42</v>
      </c>
      <c r="F173" s="34"/>
      <c r="G173" s="34"/>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5"/>
    </row>
    <row r="174" spans="2:35" ht="19.8">
      <c r="C174" s="12"/>
      <c r="D174" s="36"/>
      <c r="E174" s="33"/>
      <c r="F174" s="34" t="s">
        <v>132</v>
      </c>
      <c r="G174" s="34"/>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5"/>
    </row>
    <row r="175" spans="2:35" ht="19.8">
      <c r="C175" s="12"/>
      <c r="D175" s="13"/>
      <c r="E175" s="36"/>
      <c r="F175" s="38" t="s">
        <v>131</v>
      </c>
      <c r="G175" s="13"/>
      <c r="H175" s="13"/>
      <c r="I175" s="13"/>
      <c r="J175" s="13"/>
      <c r="K175" s="13"/>
      <c r="L175" s="13"/>
      <c r="M175" s="13"/>
      <c r="N175" s="13"/>
      <c r="O175" s="13"/>
      <c r="P175" s="13"/>
      <c r="Q175" s="13"/>
      <c r="R175" s="13"/>
      <c r="S175" s="36" t="s">
        <v>60</v>
      </c>
      <c r="T175" s="34" t="s">
        <v>2</v>
      </c>
      <c r="U175" s="255">
        <f>'1.設計条件と鋼矢板・支保工の設定'!T31</f>
        <v>874</v>
      </c>
      <c r="V175" s="255"/>
      <c r="W175" s="255"/>
      <c r="X175" s="13" t="s">
        <v>53</v>
      </c>
      <c r="Y175" s="13"/>
      <c r="Z175" s="13"/>
      <c r="AA175" s="34" t="s">
        <v>2</v>
      </c>
      <c r="AB175" s="481">
        <f>U175/1000000</f>
        <v>8.7399999999999999E-4</v>
      </c>
      <c r="AC175" s="482"/>
      <c r="AD175" s="482"/>
      <c r="AE175" s="482"/>
      <c r="AF175" s="483"/>
      <c r="AG175" s="13" t="s">
        <v>82</v>
      </c>
      <c r="AH175" s="13"/>
      <c r="AI175" s="15"/>
    </row>
    <row r="176" spans="2:35">
      <c r="C176" s="12"/>
      <c r="D176" s="13"/>
      <c r="E176" s="36"/>
      <c r="F176" s="38" t="s">
        <v>92</v>
      </c>
      <c r="G176" s="13"/>
      <c r="H176" s="13"/>
      <c r="I176" s="13"/>
      <c r="J176" s="13"/>
      <c r="K176" s="13"/>
      <c r="L176" s="13"/>
      <c r="M176" s="13"/>
      <c r="N176" s="13"/>
      <c r="O176" s="13"/>
      <c r="P176" s="13"/>
      <c r="Q176" s="13"/>
      <c r="R176" s="13"/>
      <c r="S176" s="36" t="s">
        <v>83</v>
      </c>
      <c r="T176" s="13" t="s">
        <v>2</v>
      </c>
      <c r="U176" s="478">
        <f>'1.設計条件と鋼矢板・支保工の設定'!T36</f>
        <v>0.6</v>
      </c>
      <c r="V176" s="479"/>
      <c r="W176" s="480"/>
      <c r="X176" s="13"/>
      <c r="Y176" s="13"/>
      <c r="Z176" s="13"/>
      <c r="AA176" s="13"/>
      <c r="AB176" s="13"/>
      <c r="AC176" s="13"/>
      <c r="AD176" s="13"/>
      <c r="AE176" s="13"/>
      <c r="AF176" s="13"/>
      <c r="AG176" s="13"/>
      <c r="AH176" s="13"/>
      <c r="AI176" s="15"/>
    </row>
    <row r="177" spans="3:35">
      <c r="C177" s="12"/>
      <c r="D177" s="36"/>
      <c r="E177" s="13"/>
      <c r="F177" s="13"/>
      <c r="G177" s="13"/>
      <c r="H177" s="13"/>
      <c r="I177" s="13"/>
      <c r="J177" s="13"/>
      <c r="K177" s="13"/>
      <c r="L177" s="13"/>
      <c r="M177" s="13"/>
      <c r="N177" s="13"/>
      <c r="O177" s="13"/>
      <c r="P177" s="13"/>
      <c r="Q177" s="13"/>
      <c r="R177" s="13"/>
      <c r="S177" s="13"/>
      <c r="T177" s="14"/>
      <c r="U177" s="14"/>
      <c r="V177" s="14"/>
      <c r="W177" s="13"/>
      <c r="X177" s="13"/>
      <c r="Y177" s="13"/>
      <c r="Z177" s="13"/>
      <c r="AA177" s="13"/>
      <c r="AB177" s="13"/>
      <c r="AC177" s="13"/>
      <c r="AD177" s="13"/>
      <c r="AE177" s="13"/>
      <c r="AF177" s="13"/>
      <c r="AG177" s="13"/>
      <c r="AH177" s="13"/>
      <c r="AI177" s="15"/>
    </row>
    <row r="178" spans="3:35">
      <c r="C178" s="12"/>
      <c r="D178" s="13" t="s">
        <v>68</v>
      </c>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5"/>
    </row>
    <row r="179" spans="3:35">
      <c r="C179" s="492" t="s">
        <v>128</v>
      </c>
      <c r="D179" s="445"/>
      <c r="E179" s="393" t="s">
        <v>2</v>
      </c>
      <c r="F179" s="584">
        <f>H165</f>
        <v>64.044268446037051</v>
      </c>
      <c r="G179" s="584"/>
      <c r="H179" s="584"/>
      <c r="I179" s="584"/>
      <c r="J179" s="584"/>
      <c r="K179" s="584"/>
      <c r="L179" s="584"/>
      <c r="M179" s="17"/>
      <c r="N179" s="17"/>
      <c r="O179" s="13"/>
      <c r="P179" s="13"/>
      <c r="Q179" s="13"/>
      <c r="R179" s="13"/>
      <c r="S179" s="13"/>
      <c r="T179" s="13"/>
      <c r="U179" s="13"/>
      <c r="V179" s="13"/>
      <c r="W179" s="13"/>
      <c r="X179" s="13"/>
      <c r="Y179" s="13"/>
      <c r="Z179" s="13"/>
      <c r="AA179" s="13"/>
      <c r="AB179" s="13"/>
      <c r="AC179" s="13"/>
      <c r="AD179" s="13"/>
      <c r="AE179" s="13"/>
      <c r="AF179" s="13"/>
      <c r="AG179" s="13"/>
      <c r="AH179" s="13"/>
      <c r="AI179" s="15"/>
    </row>
    <row r="180" spans="3:35">
      <c r="C180" s="492"/>
      <c r="D180" s="445"/>
      <c r="E180" s="393"/>
      <c r="F180" s="585">
        <f>AB175</f>
        <v>8.7399999999999999E-4</v>
      </c>
      <c r="G180" s="585"/>
      <c r="H180" s="585"/>
      <c r="I180" s="585"/>
      <c r="J180" s="585"/>
      <c r="K180" s="586" t="s">
        <v>67</v>
      </c>
      <c r="L180" s="116"/>
      <c r="M180" s="309">
        <f>U176</f>
        <v>0.6</v>
      </c>
      <c r="N180" s="309"/>
      <c r="O180" s="13"/>
      <c r="P180" s="13"/>
      <c r="U180" s="13"/>
      <c r="V180" s="13"/>
      <c r="W180" s="13"/>
      <c r="X180" s="13"/>
      <c r="Y180" s="13"/>
      <c r="Z180" s="13"/>
      <c r="AA180" s="13"/>
      <c r="AB180" s="13"/>
      <c r="AC180" s="13"/>
      <c r="AD180" s="13"/>
      <c r="AE180" s="13"/>
      <c r="AF180" s="13"/>
      <c r="AG180" s="13"/>
      <c r="AH180" s="13"/>
      <c r="AI180" s="15"/>
    </row>
    <row r="181" spans="3:35">
      <c r="C181" s="12"/>
      <c r="D181" s="13"/>
      <c r="E181" s="13"/>
      <c r="F181" s="116"/>
      <c r="G181" s="116"/>
      <c r="H181" s="116"/>
      <c r="I181" s="116"/>
      <c r="J181" s="116"/>
      <c r="K181" s="116"/>
      <c r="L181" s="116"/>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5"/>
    </row>
    <row r="182" spans="3:35" ht="19.8">
      <c r="C182" s="12"/>
      <c r="D182" s="13"/>
      <c r="E182" s="14" t="s">
        <v>2</v>
      </c>
      <c r="F182" s="587">
        <f>F179/F180/M180</f>
        <v>122128.65836391505</v>
      </c>
      <c r="G182" s="587"/>
      <c r="H182" s="587"/>
      <c r="I182" s="116" t="s">
        <v>41</v>
      </c>
      <c r="J182" s="116"/>
      <c r="K182" s="116"/>
      <c r="L182" s="116"/>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5"/>
    </row>
    <row r="183" spans="3:35">
      <c r="C183" s="12"/>
      <c r="D183" s="13"/>
      <c r="E183" s="14"/>
      <c r="F183" s="39"/>
      <c r="G183" s="39"/>
      <c r="H183" s="39"/>
      <c r="I183" s="116"/>
      <c r="J183" s="116"/>
      <c r="K183" s="116"/>
      <c r="L183" s="116"/>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5"/>
    </row>
    <row r="184" spans="3:35" ht="20.399999999999999">
      <c r="C184" s="12"/>
      <c r="D184" s="13"/>
      <c r="E184" s="14" t="s">
        <v>2</v>
      </c>
      <c r="F184" s="588">
        <f>F182/1000</f>
        <v>122.12865836391505</v>
      </c>
      <c r="G184" s="589"/>
      <c r="H184" s="590"/>
      <c r="I184" s="116" t="s">
        <v>49</v>
      </c>
      <c r="J184" s="116"/>
      <c r="K184" s="116"/>
      <c r="L184" s="116"/>
      <c r="M184" s="13" t="str">
        <f>IF(F184&lt;=Q184, "≦","&gt;")</f>
        <v>≦</v>
      </c>
      <c r="N184" s="210" t="s">
        <v>85</v>
      </c>
      <c r="O184" s="210"/>
      <c r="P184" s="13" t="s">
        <v>2</v>
      </c>
      <c r="Q184" s="309">
        <f>'1.設計条件と鋼矢板・支保工の設定'!T32</f>
        <v>270</v>
      </c>
      <c r="R184" s="309"/>
      <c r="S184" s="309"/>
      <c r="T184" s="13" t="s">
        <v>49</v>
      </c>
      <c r="U184" s="13"/>
      <c r="V184" s="13"/>
      <c r="W184" s="13"/>
      <c r="X184" s="394" t="str">
        <f>IF(M184="≦","OK","NG")</f>
        <v>OK</v>
      </c>
      <c r="Y184" s="392"/>
      <c r="Z184" s="395"/>
      <c r="AA184" s="13"/>
      <c r="AB184" s="13"/>
      <c r="AC184" s="13"/>
      <c r="AD184" s="13"/>
      <c r="AE184" s="13"/>
      <c r="AF184" s="13"/>
      <c r="AG184" s="13"/>
      <c r="AH184" s="13"/>
      <c r="AI184" s="15"/>
    </row>
    <row r="185" spans="3:35">
      <c r="C185" s="16"/>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9"/>
    </row>
  </sheetData>
  <sheetProtection sheet="1" objects="1" scenarios="1"/>
  <mergeCells count="448">
    <mergeCell ref="H153:J153"/>
    <mergeCell ref="H156:J156"/>
    <mergeCell ref="N159:P159"/>
    <mergeCell ref="U159:W159"/>
    <mergeCell ref="AC164:AD164"/>
    <mergeCell ref="AG164:AI164"/>
    <mergeCell ref="AF152:AH152"/>
    <mergeCell ref="H151:I151"/>
    <mergeCell ref="M151:N151"/>
    <mergeCell ref="V151:X151"/>
    <mergeCell ref="AA151:AC151"/>
    <mergeCell ref="AF151:AH151"/>
    <mergeCell ref="N153:P153"/>
    <mergeCell ref="T153:V153"/>
    <mergeCell ref="Z153:AB153"/>
    <mergeCell ref="H152:I152"/>
    <mergeCell ref="M152:N152"/>
    <mergeCell ref="Q114:S114"/>
    <mergeCell ref="Q115:S115"/>
    <mergeCell ref="I130:J130"/>
    <mergeCell ref="U130:W130"/>
    <mergeCell ref="U124:AG124"/>
    <mergeCell ref="U125:AG125"/>
    <mergeCell ref="U126:AG126"/>
    <mergeCell ref="H124:T124"/>
    <mergeCell ref="H125:T125"/>
    <mergeCell ref="H126:T126"/>
    <mergeCell ref="M114:N114"/>
    <mergeCell ref="M115:N115"/>
    <mergeCell ref="N119:N120"/>
    <mergeCell ref="L122:N122"/>
    <mergeCell ref="N87:Q87"/>
    <mergeCell ref="N88:Q88"/>
    <mergeCell ref="N89:Q89"/>
    <mergeCell ref="P69:R69"/>
    <mergeCell ref="Q80:R80"/>
    <mergeCell ref="Q81:R81"/>
    <mergeCell ref="Q82:R82"/>
    <mergeCell ref="X82:Z82"/>
    <mergeCell ref="X83:Z83"/>
    <mergeCell ref="X84:Z84"/>
    <mergeCell ref="H77:Z77"/>
    <mergeCell ref="H78:Z78"/>
    <mergeCell ref="H79:Z79"/>
    <mergeCell ref="X80:Z80"/>
    <mergeCell ref="X81:Z81"/>
    <mergeCell ref="K84:L84"/>
    <mergeCell ref="N84:O84"/>
    <mergeCell ref="H165:J165"/>
    <mergeCell ref="N156:P156"/>
    <mergeCell ref="T156:V156"/>
    <mergeCell ref="I159:K159"/>
    <mergeCell ref="H161:J161"/>
    <mergeCell ref="P164:R164"/>
    <mergeCell ref="T164:U164"/>
    <mergeCell ref="Y164:AA164"/>
    <mergeCell ref="Y159:AA159"/>
    <mergeCell ref="R160:T160"/>
    <mergeCell ref="H164:J164"/>
    <mergeCell ref="L164:M164"/>
    <mergeCell ref="H142:AA142"/>
    <mergeCell ref="V152:X152"/>
    <mergeCell ref="AA152:AC152"/>
    <mergeCell ref="D147:G147"/>
    <mergeCell ref="M147:O147"/>
    <mergeCell ref="S147:U147"/>
    <mergeCell ref="Y147:AA147"/>
    <mergeCell ref="D143:E144"/>
    <mergeCell ref="F143:G143"/>
    <mergeCell ref="F144:G144"/>
    <mergeCell ref="M146:O146"/>
    <mergeCell ref="H147:J147"/>
    <mergeCell ref="Q151:S151"/>
    <mergeCell ref="Q152:S152"/>
    <mergeCell ref="D145:E146"/>
    <mergeCell ref="F145:G145"/>
    <mergeCell ref="Y145:AA145"/>
    <mergeCell ref="F146:G146"/>
    <mergeCell ref="Y146:AA146"/>
    <mergeCell ref="H146:J146"/>
    <mergeCell ref="S143:U143"/>
    <mergeCell ref="S144:U144"/>
    <mergeCell ref="M145:O145"/>
    <mergeCell ref="S146:U146"/>
    <mergeCell ref="Y143:AA143"/>
    <mergeCell ref="Y144:AA144"/>
    <mergeCell ref="M143:O143"/>
    <mergeCell ref="M144:O144"/>
    <mergeCell ref="H140:AA140"/>
    <mergeCell ref="H141:AA141"/>
    <mergeCell ref="Y137:AA137"/>
    <mergeCell ref="Y135:AA135"/>
    <mergeCell ref="Y136:AA136"/>
    <mergeCell ref="D137:E138"/>
    <mergeCell ref="F137:G137"/>
    <mergeCell ref="H137:I137"/>
    <mergeCell ref="K137:L137"/>
    <mergeCell ref="F138:G138"/>
    <mergeCell ref="H138:I138"/>
    <mergeCell ref="K138:L138"/>
    <mergeCell ref="T138:V138"/>
    <mergeCell ref="T137:V137"/>
    <mergeCell ref="P119:Q120"/>
    <mergeCell ref="O119:O120"/>
    <mergeCell ref="K119:M119"/>
    <mergeCell ref="D119:E120"/>
    <mergeCell ref="D135:E136"/>
    <mergeCell ref="F135:G135"/>
    <mergeCell ref="H135:I135"/>
    <mergeCell ref="K135:L135"/>
    <mergeCell ref="F136:G136"/>
    <mergeCell ref="H136:I136"/>
    <mergeCell ref="K136:L136"/>
    <mergeCell ref="D113:E116"/>
    <mergeCell ref="H108:I108"/>
    <mergeCell ref="J108:O108"/>
    <mergeCell ref="H109:I109"/>
    <mergeCell ref="J109:O109"/>
    <mergeCell ref="H110:I110"/>
    <mergeCell ref="J110:O110"/>
    <mergeCell ref="D111:E112"/>
    <mergeCell ref="F111:G111"/>
    <mergeCell ref="H111:I112"/>
    <mergeCell ref="J111:L111"/>
    <mergeCell ref="M111:O111"/>
    <mergeCell ref="F112:G112"/>
    <mergeCell ref="J112:L112"/>
    <mergeCell ref="M112:O112"/>
    <mergeCell ref="F115:G115"/>
    <mergeCell ref="J115:L115"/>
    <mergeCell ref="F116:G116"/>
    <mergeCell ref="J116:L116"/>
    <mergeCell ref="M116:O116"/>
    <mergeCell ref="H113:I116"/>
    <mergeCell ref="F113:G113"/>
    <mergeCell ref="F70:G70"/>
    <mergeCell ref="K70:L70"/>
    <mergeCell ref="H70:I70"/>
    <mergeCell ref="P70:R70"/>
    <mergeCell ref="D59:E60"/>
    <mergeCell ref="F59:G59"/>
    <mergeCell ref="D61:E64"/>
    <mergeCell ref="F63:G63"/>
    <mergeCell ref="H63:I64"/>
    <mergeCell ref="F64:G64"/>
    <mergeCell ref="M61:O61"/>
    <mergeCell ref="J64:L64"/>
    <mergeCell ref="M64:O64"/>
    <mergeCell ref="J62:L62"/>
    <mergeCell ref="M62:O62"/>
    <mergeCell ref="F61:G61"/>
    <mergeCell ref="H59:I60"/>
    <mergeCell ref="H61:I62"/>
    <mergeCell ref="F62:G62"/>
    <mergeCell ref="J59:L59"/>
    <mergeCell ref="M59:O59"/>
    <mergeCell ref="J60:L60"/>
    <mergeCell ref="M60:O60"/>
    <mergeCell ref="H68:R68"/>
    <mergeCell ref="D73:E74"/>
    <mergeCell ref="F73:G73"/>
    <mergeCell ref="K73:L73"/>
    <mergeCell ref="H73:I73"/>
    <mergeCell ref="P71:R71"/>
    <mergeCell ref="F72:G72"/>
    <mergeCell ref="K72:L72"/>
    <mergeCell ref="H72:I72"/>
    <mergeCell ref="P72:R72"/>
    <mergeCell ref="D71:E72"/>
    <mergeCell ref="F71:G71"/>
    <mergeCell ref="K71:L71"/>
    <mergeCell ref="H71:I71"/>
    <mergeCell ref="P73:R73"/>
    <mergeCell ref="F74:G74"/>
    <mergeCell ref="H74:I74"/>
    <mergeCell ref="K74:L74"/>
    <mergeCell ref="P74:R74"/>
    <mergeCell ref="H56:I56"/>
    <mergeCell ref="J56:O56"/>
    <mergeCell ref="D69:E70"/>
    <mergeCell ref="F69:G69"/>
    <mergeCell ref="K69:L69"/>
    <mergeCell ref="H69:I69"/>
    <mergeCell ref="H54:I54"/>
    <mergeCell ref="H55:I55"/>
    <mergeCell ref="D57:E58"/>
    <mergeCell ref="J54:O54"/>
    <mergeCell ref="J55:O55"/>
    <mergeCell ref="H57:I58"/>
    <mergeCell ref="F58:G58"/>
    <mergeCell ref="J57:L57"/>
    <mergeCell ref="M57:O57"/>
    <mergeCell ref="J58:L58"/>
    <mergeCell ref="M58:O58"/>
    <mergeCell ref="J63:L63"/>
    <mergeCell ref="F57:G57"/>
    <mergeCell ref="M63:O63"/>
    <mergeCell ref="J61:L61"/>
    <mergeCell ref="F60:G60"/>
    <mergeCell ref="H66:R66"/>
    <mergeCell ref="H67:R67"/>
    <mergeCell ref="V52:X52"/>
    <mergeCell ref="Y52:AA52"/>
    <mergeCell ref="P49:R49"/>
    <mergeCell ref="S49:U49"/>
    <mergeCell ref="P50:R50"/>
    <mergeCell ref="S50:U50"/>
    <mergeCell ref="F51:G51"/>
    <mergeCell ref="H51:I52"/>
    <mergeCell ref="J51:L51"/>
    <mergeCell ref="M51:O51"/>
    <mergeCell ref="P51:R51"/>
    <mergeCell ref="S51:U51"/>
    <mergeCell ref="F50:G50"/>
    <mergeCell ref="H49:I50"/>
    <mergeCell ref="V49:X49"/>
    <mergeCell ref="Y49:AA49"/>
    <mergeCell ref="V50:X50"/>
    <mergeCell ref="Y50:AA50"/>
    <mergeCell ref="AC40:AH40"/>
    <mergeCell ref="AC41:AH41"/>
    <mergeCell ref="AC42:AH42"/>
    <mergeCell ref="AC43:AE43"/>
    <mergeCell ref="AF43:AH43"/>
    <mergeCell ref="V51:X51"/>
    <mergeCell ref="Y51:AA51"/>
    <mergeCell ref="AF48:AH48"/>
    <mergeCell ref="AC49:AE49"/>
    <mergeCell ref="AF49:AH49"/>
    <mergeCell ref="AC50:AE50"/>
    <mergeCell ref="AF50:AH50"/>
    <mergeCell ref="AC44:AE44"/>
    <mergeCell ref="AF44:AH44"/>
    <mergeCell ref="AC45:AE45"/>
    <mergeCell ref="AF45:AH45"/>
    <mergeCell ref="AC46:AE46"/>
    <mergeCell ref="AF46:AH46"/>
    <mergeCell ref="AC47:AE47"/>
    <mergeCell ref="AF47:AH47"/>
    <mergeCell ref="AC48:AE48"/>
    <mergeCell ref="J45:L45"/>
    <mergeCell ref="M45:O45"/>
    <mergeCell ref="J46:L46"/>
    <mergeCell ref="M46:O46"/>
    <mergeCell ref="C179:D180"/>
    <mergeCell ref="H83:I83"/>
    <mergeCell ref="K83:L83"/>
    <mergeCell ref="N83:O83"/>
    <mergeCell ref="D80:E81"/>
    <mergeCell ref="F80:G80"/>
    <mergeCell ref="H80:I80"/>
    <mergeCell ref="K80:L80"/>
    <mergeCell ref="N80:O80"/>
    <mergeCell ref="F81:G81"/>
    <mergeCell ref="H81:I81"/>
    <mergeCell ref="K81:L81"/>
    <mergeCell ref="N81:O81"/>
    <mergeCell ref="D94:E94"/>
    <mergeCell ref="N95:Q95"/>
    <mergeCell ref="D95:E95"/>
    <mergeCell ref="D47:E48"/>
    <mergeCell ref="F47:G47"/>
    <mergeCell ref="F49:G49"/>
    <mergeCell ref="F52:G52"/>
    <mergeCell ref="C8:AI9"/>
    <mergeCell ref="D12:E13"/>
    <mergeCell ref="F12:F13"/>
    <mergeCell ref="G12:H12"/>
    <mergeCell ref="G13:H13"/>
    <mergeCell ref="C3:AI6"/>
    <mergeCell ref="E171:E172"/>
    <mergeCell ref="F171:G171"/>
    <mergeCell ref="C171:D172"/>
    <mergeCell ref="F15:G15"/>
    <mergeCell ref="I15:K15"/>
    <mergeCell ref="O15:Q15"/>
    <mergeCell ref="F16:G16"/>
    <mergeCell ref="I16:K16"/>
    <mergeCell ref="Y27:AA27"/>
    <mergeCell ref="F21:F22"/>
    <mergeCell ref="G21:I21"/>
    <mergeCell ref="G22:I22"/>
    <mergeCell ref="I20:K20"/>
    <mergeCell ref="F19:F20"/>
    <mergeCell ref="G19:H19"/>
    <mergeCell ref="Q26:S26"/>
    <mergeCell ref="U26:W26"/>
    <mergeCell ref="Y26:AA26"/>
    <mergeCell ref="X184:Z184"/>
    <mergeCell ref="M180:N180"/>
    <mergeCell ref="F179:L179"/>
    <mergeCell ref="F182:H182"/>
    <mergeCell ref="F184:H184"/>
    <mergeCell ref="Q184:S184"/>
    <mergeCell ref="N184:O184"/>
    <mergeCell ref="E179:E180"/>
    <mergeCell ref="F180:J180"/>
    <mergeCell ref="I17:K17"/>
    <mergeCell ref="D19:E20"/>
    <mergeCell ref="U175:W175"/>
    <mergeCell ref="U176:W176"/>
    <mergeCell ref="AB175:AF175"/>
    <mergeCell ref="H47:I48"/>
    <mergeCell ref="F48:G48"/>
    <mergeCell ref="H40:I40"/>
    <mergeCell ref="H41:I41"/>
    <mergeCell ref="H42:I42"/>
    <mergeCell ref="D43:E44"/>
    <mergeCell ref="F43:G43"/>
    <mergeCell ref="H43:I44"/>
    <mergeCell ref="F44:G44"/>
    <mergeCell ref="J42:O42"/>
    <mergeCell ref="J43:L43"/>
    <mergeCell ref="M43:O43"/>
    <mergeCell ref="J44:L44"/>
    <mergeCell ref="M44:O44"/>
    <mergeCell ref="J40:O40"/>
    <mergeCell ref="V16:W17"/>
    <mergeCell ref="J47:L47"/>
    <mergeCell ref="M47:O47"/>
    <mergeCell ref="J48:L48"/>
    <mergeCell ref="T23:U23"/>
    <mergeCell ref="E33:P33"/>
    <mergeCell ref="Q33:S33"/>
    <mergeCell ref="J19:K19"/>
    <mergeCell ref="N19:O19"/>
    <mergeCell ref="Q19:R19"/>
    <mergeCell ref="M20:N20"/>
    <mergeCell ref="G24:I24"/>
    <mergeCell ref="E26:P26"/>
    <mergeCell ref="E27:P27"/>
    <mergeCell ref="Q27:S27"/>
    <mergeCell ref="U27:W27"/>
    <mergeCell ref="AE29:AG29"/>
    <mergeCell ref="E31:G31"/>
    <mergeCell ref="H31:J31"/>
    <mergeCell ref="L31:N31"/>
    <mergeCell ref="J41:O41"/>
    <mergeCell ref="D45:E46"/>
    <mergeCell ref="F45:G45"/>
    <mergeCell ref="H45:I46"/>
    <mergeCell ref="F46:G46"/>
    <mergeCell ref="V40:AA40"/>
    <mergeCell ref="V41:AA41"/>
    <mergeCell ref="V42:AA42"/>
    <mergeCell ref="P40:U40"/>
    <mergeCell ref="P41:U41"/>
    <mergeCell ref="P42:U42"/>
    <mergeCell ref="P43:R43"/>
    <mergeCell ref="S43:U43"/>
    <mergeCell ref="P44:R44"/>
    <mergeCell ref="S44:U44"/>
    <mergeCell ref="P45:R45"/>
    <mergeCell ref="S45:U45"/>
    <mergeCell ref="P46:R46"/>
    <mergeCell ref="S46:U46"/>
    <mergeCell ref="Z29:AB29"/>
    <mergeCell ref="P47:R47"/>
    <mergeCell ref="S47:U47"/>
    <mergeCell ref="P48:R48"/>
    <mergeCell ref="S48:U48"/>
    <mergeCell ref="D49:E52"/>
    <mergeCell ref="J49:L49"/>
    <mergeCell ref="J50:L50"/>
    <mergeCell ref="M49:O49"/>
    <mergeCell ref="M50:O50"/>
    <mergeCell ref="M48:O48"/>
    <mergeCell ref="J52:L52"/>
    <mergeCell ref="M52:O52"/>
    <mergeCell ref="P52:R52"/>
    <mergeCell ref="S52:U52"/>
    <mergeCell ref="K90:M90"/>
    <mergeCell ref="D92:E93"/>
    <mergeCell ref="F92:G92"/>
    <mergeCell ref="F93:G93"/>
    <mergeCell ref="D90:E91"/>
    <mergeCell ref="F90:G90"/>
    <mergeCell ref="F91:G91"/>
    <mergeCell ref="D84:E84"/>
    <mergeCell ref="F84:G84"/>
    <mergeCell ref="H84:I84"/>
    <mergeCell ref="H87:J87"/>
    <mergeCell ref="H88:J88"/>
    <mergeCell ref="H89:J89"/>
    <mergeCell ref="K87:M87"/>
    <mergeCell ref="K88:M88"/>
    <mergeCell ref="K89:M89"/>
    <mergeCell ref="G122:I122"/>
    <mergeCell ref="D82:E83"/>
    <mergeCell ref="F82:G82"/>
    <mergeCell ref="H82:I82"/>
    <mergeCell ref="K82:L82"/>
    <mergeCell ref="N82:O82"/>
    <mergeCell ref="F83:G83"/>
    <mergeCell ref="D106:AI107"/>
    <mergeCell ref="F99:H99"/>
    <mergeCell ref="J99:L99"/>
    <mergeCell ref="N99:P99"/>
    <mergeCell ref="S99:T99"/>
    <mergeCell ref="V99:Y99"/>
    <mergeCell ref="H102:I102"/>
    <mergeCell ref="K102:M102"/>
    <mergeCell ref="N90:Q90"/>
    <mergeCell ref="N91:Q91"/>
    <mergeCell ref="N92:Q92"/>
    <mergeCell ref="N93:Q93"/>
    <mergeCell ref="N94:Q94"/>
    <mergeCell ref="H90:J90"/>
    <mergeCell ref="H91:J91"/>
    <mergeCell ref="H92:J92"/>
    <mergeCell ref="H93:J93"/>
    <mergeCell ref="K91:M91"/>
    <mergeCell ref="K92:M92"/>
    <mergeCell ref="K93:M93"/>
    <mergeCell ref="K94:M94"/>
    <mergeCell ref="F94:G94"/>
    <mergeCell ref="H94:J94"/>
    <mergeCell ref="G119:I119"/>
    <mergeCell ref="J113:L113"/>
    <mergeCell ref="M113:O113"/>
    <mergeCell ref="F114:G114"/>
    <mergeCell ref="J114:L114"/>
    <mergeCell ref="F119:F120"/>
    <mergeCell ref="I120:K120"/>
    <mergeCell ref="E159:E160"/>
    <mergeCell ref="G159:G160"/>
    <mergeCell ref="R132:AA132"/>
    <mergeCell ref="R133:AA133"/>
    <mergeCell ref="R134:AA134"/>
    <mergeCell ref="H132:Q132"/>
    <mergeCell ref="H133:Q133"/>
    <mergeCell ref="AE127:AG127"/>
    <mergeCell ref="AE128:AG128"/>
    <mergeCell ref="Z129:AB129"/>
    <mergeCell ref="Z130:AB130"/>
    <mergeCell ref="D129:E130"/>
    <mergeCell ref="F129:G129"/>
    <mergeCell ref="K129:L129"/>
    <mergeCell ref="H129:I129"/>
    <mergeCell ref="F130:G130"/>
    <mergeCell ref="M130:N130"/>
    <mergeCell ref="D127:E128"/>
    <mergeCell ref="F127:G127"/>
    <mergeCell ref="K127:L127"/>
    <mergeCell ref="H127:I127"/>
    <mergeCell ref="F128:G128"/>
    <mergeCell ref="K128:L128"/>
    <mergeCell ref="H128:I128"/>
  </mergeCells>
  <phoneticPr fontId="3"/>
  <conditionalFormatting sqref="N87:N94 AE127:AF128 Z129:AA130">
    <cfRule type="cellIs" dxfId="3" priority="4" operator="greaterThan">
      <formula>#REF!</formula>
    </cfRule>
  </conditionalFormatting>
  <conditionalFormatting sqref="P69:Q75">
    <cfRule type="cellIs" dxfId="2" priority="5" operator="greaterThan">
      <formula>#REF!</formula>
    </cfRule>
  </conditionalFormatting>
  <conditionalFormatting sqref="Y135:Z137 T137:U138">
    <cfRule type="cellIs" dxfId="1" priority="2" operator="greaterThan">
      <formula>#REF!</formula>
    </cfRule>
  </conditionalFormatting>
  <pageMargins left="0.70866141732283472" right="0.70866141732283472" top="0.74803149606299213" bottom="0.74803149606299213" header="0.31496062992125984" footer="0.31496062992125984"/>
  <pageSetup paperSize="9"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0C0E9-0C86-4F8F-8BD7-4818CADD2DED}">
  <dimension ref="A2:AJ197"/>
  <sheetViews>
    <sheetView showGridLines="0" view="pageBreakPreview" zoomScale="80" zoomScaleNormal="100" zoomScaleSheetLayoutView="80" workbookViewId="0"/>
  </sheetViews>
  <sheetFormatPr defaultColWidth="9" defaultRowHeight="18"/>
  <cols>
    <col min="1" max="36" width="3" style="1" customWidth="1"/>
    <col min="37" max="16384" width="9" style="1"/>
  </cols>
  <sheetData>
    <row r="2" spans="1:35">
      <c r="A2" s="1" t="s">
        <v>294</v>
      </c>
      <c r="W2" s="1" t="s">
        <v>295</v>
      </c>
    </row>
    <row r="3" spans="1:35">
      <c r="B3" s="1" t="s">
        <v>301</v>
      </c>
      <c r="C3" s="115"/>
      <c r="D3" s="115"/>
      <c r="E3" s="115"/>
      <c r="F3" s="115"/>
      <c r="G3" s="115"/>
      <c r="H3" s="115"/>
      <c r="I3" s="115"/>
      <c r="J3" s="115"/>
      <c r="K3" s="115"/>
      <c r="L3" s="115"/>
      <c r="M3" s="115"/>
      <c r="N3" s="115"/>
      <c r="O3" s="115"/>
      <c r="P3" s="115"/>
      <c r="Q3" s="115"/>
      <c r="R3" s="115"/>
      <c r="S3" s="115"/>
      <c r="T3" s="115"/>
      <c r="U3" s="115"/>
      <c r="V3" s="115"/>
      <c r="W3" t="s">
        <v>303</v>
      </c>
      <c r="X3" s="115"/>
      <c r="Y3" s="115"/>
      <c r="Z3" s="115"/>
      <c r="AA3" s="115"/>
      <c r="AB3" s="115"/>
      <c r="AC3" s="115"/>
      <c r="AD3" s="115"/>
      <c r="AE3" s="115"/>
      <c r="AF3" s="115"/>
      <c r="AG3" s="115"/>
      <c r="AH3" s="115"/>
      <c r="AI3" s="115"/>
    </row>
    <row r="4" spans="1:35" ht="18.75" customHeight="1">
      <c r="C4" s="484" t="s">
        <v>296</v>
      </c>
      <c r="D4" s="485"/>
      <c r="E4" s="485"/>
      <c r="F4" s="485"/>
      <c r="G4" s="485"/>
      <c r="H4" s="485"/>
      <c r="I4" s="485"/>
      <c r="J4" s="485"/>
      <c r="K4" s="485"/>
      <c r="L4" s="485"/>
      <c r="M4" s="485"/>
      <c r="N4" s="485"/>
      <c r="O4" s="485"/>
      <c r="P4" s="485"/>
      <c r="Q4" s="485"/>
      <c r="R4" s="485"/>
      <c r="S4" s="485"/>
      <c r="T4" s="485"/>
      <c r="U4" s="485"/>
      <c r="V4" s="485"/>
      <c r="W4" s="485"/>
      <c r="X4" s="485"/>
      <c r="Y4" s="485"/>
      <c r="Z4" s="485"/>
      <c r="AA4" s="485"/>
      <c r="AB4" s="485"/>
      <c r="AC4" s="485"/>
      <c r="AD4" s="485"/>
      <c r="AE4" s="485"/>
      <c r="AF4" s="485"/>
      <c r="AG4" s="485"/>
      <c r="AH4" s="485"/>
      <c r="AI4" s="486"/>
    </row>
    <row r="5" spans="1:35" ht="18.75" customHeight="1">
      <c r="B5" s="13"/>
      <c r="C5" s="487"/>
      <c r="D5" s="488"/>
      <c r="E5" s="488"/>
      <c r="F5" s="488"/>
      <c r="G5" s="488"/>
      <c r="H5" s="488"/>
      <c r="I5" s="488"/>
      <c r="J5" s="488"/>
      <c r="K5" s="488"/>
      <c r="L5" s="488"/>
      <c r="M5" s="488"/>
      <c r="N5" s="488"/>
      <c r="O5" s="488"/>
      <c r="P5" s="488"/>
      <c r="Q5" s="488"/>
      <c r="R5" s="488"/>
      <c r="S5" s="488"/>
      <c r="T5" s="488"/>
      <c r="U5" s="488"/>
      <c r="V5" s="488"/>
      <c r="W5" s="488"/>
      <c r="X5" s="488"/>
      <c r="Y5" s="488"/>
      <c r="Z5" s="488"/>
      <c r="AA5" s="488"/>
      <c r="AB5" s="488"/>
      <c r="AC5" s="488"/>
      <c r="AD5" s="488"/>
      <c r="AE5" s="488"/>
      <c r="AF5" s="488"/>
      <c r="AG5" s="488"/>
      <c r="AH5" s="488"/>
      <c r="AI5" s="489"/>
    </row>
    <row r="6" spans="1:35">
      <c r="B6" s="13"/>
      <c r="C6" s="12"/>
      <c r="D6" s="13"/>
      <c r="E6" s="13"/>
      <c r="F6" s="13"/>
      <c r="G6"/>
      <c r="H6" s="257" t="s">
        <v>23</v>
      </c>
      <c r="I6" s="259"/>
      <c r="J6" s="257" t="s">
        <v>25</v>
      </c>
      <c r="K6" s="258"/>
      <c r="L6" s="258"/>
      <c r="M6" s="258"/>
      <c r="N6" s="258"/>
      <c r="O6" s="259"/>
      <c r="P6" s="257" t="s">
        <v>31</v>
      </c>
      <c r="Q6" s="258"/>
      <c r="R6" s="258"/>
      <c r="S6" s="258"/>
      <c r="T6" s="258"/>
      <c r="U6" s="259"/>
      <c r="V6" s="13"/>
      <c r="W6" s="257" t="s">
        <v>257</v>
      </c>
      <c r="X6" s="258"/>
      <c r="Y6" s="258"/>
      <c r="Z6" s="258"/>
      <c r="AA6" s="258"/>
      <c r="AB6" s="259"/>
      <c r="AC6" s="13"/>
      <c r="AD6" s="13"/>
      <c r="AE6" s="13"/>
      <c r="AF6" s="13"/>
      <c r="AG6" s="13"/>
      <c r="AH6" s="13"/>
      <c r="AI6" s="15"/>
    </row>
    <row r="7" spans="1:35">
      <c r="B7" s="13"/>
      <c r="C7" s="12"/>
      <c r="D7" s="13"/>
      <c r="E7" s="13"/>
      <c r="F7" s="13"/>
      <c r="G7"/>
      <c r="H7" s="249" t="s">
        <v>15</v>
      </c>
      <c r="I7" s="250"/>
      <c r="J7" s="249" t="s">
        <v>119</v>
      </c>
      <c r="K7" s="210"/>
      <c r="L7" s="210"/>
      <c r="M7" s="210"/>
      <c r="N7" s="210"/>
      <c r="O7" s="250"/>
      <c r="P7" s="249" t="s">
        <v>153</v>
      </c>
      <c r="Q7" s="210"/>
      <c r="R7" s="210"/>
      <c r="S7" s="210"/>
      <c r="T7" s="210"/>
      <c r="U7" s="250"/>
      <c r="V7" s="13"/>
      <c r="W7" s="249" t="s">
        <v>304</v>
      </c>
      <c r="X7" s="210"/>
      <c r="Y7" s="210"/>
      <c r="Z7" s="210"/>
      <c r="AA7" s="210"/>
      <c r="AB7" s="250"/>
      <c r="AC7" s="13"/>
      <c r="AD7" s="13"/>
      <c r="AE7" s="13"/>
      <c r="AF7" s="13"/>
      <c r="AG7" s="13"/>
      <c r="AH7" s="13"/>
      <c r="AI7" s="15"/>
    </row>
    <row r="8" spans="1:35" ht="19.8">
      <c r="B8" s="13"/>
      <c r="C8" s="12"/>
      <c r="D8" s="13"/>
      <c r="E8" s="13"/>
      <c r="F8" s="13"/>
      <c r="G8"/>
      <c r="H8" s="334" t="s">
        <v>20</v>
      </c>
      <c r="I8" s="336"/>
      <c r="J8" s="334" t="s">
        <v>36</v>
      </c>
      <c r="K8" s="335"/>
      <c r="L8" s="335"/>
      <c r="M8" s="335"/>
      <c r="N8" s="335"/>
      <c r="O8" s="336"/>
      <c r="P8" s="334" t="s">
        <v>36</v>
      </c>
      <c r="Q8" s="335"/>
      <c r="R8" s="335"/>
      <c r="S8" s="335"/>
      <c r="T8" s="335"/>
      <c r="U8" s="336"/>
      <c r="V8" s="13"/>
      <c r="W8" s="334" t="s">
        <v>36</v>
      </c>
      <c r="X8" s="335"/>
      <c r="Y8" s="335"/>
      <c r="Z8" s="335"/>
      <c r="AA8" s="335"/>
      <c r="AB8" s="336"/>
      <c r="AC8" s="13"/>
      <c r="AD8" s="13"/>
      <c r="AE8" s="13"/>
      <c r="AF8" s="13"/>
      <c r="AG8" s="13"/>
      <c r="AH8" s="13"/>
      <c r="AI8" s="15"/>
    </row>
    <row r="9" spans="1:35">
      <c r="B9" s="13"/>
      <c r="C9" s="12"/>
      <c r="D9" s="390" t="s">
        <v>21</v>
      </c>
      <c r="E9" s="390"/>
      <c r="F9" s="242" t="s">
        <v>135</v>
      </c>
      <c r="G9" s="244"/>
      <c r="H9" s="330">
        <f>'2.根入れ長の計算'!H12</f>
        <v>0.3</v>
      </c>
      <c r="I9" s="331"/>
      <c r="J9" s="323" t="s">
        <v>137</v>
      </c>
      <c r="K9" s="324"/>
      <c r="L9" s="324"/>
      <c r="M9" s="363">
        <f>'2.根入れ長の計算'!AF12</f>
        <v>7.0399999999999991</v>
      </c>
      <c r="N9" s="363"/>
      <c r="O9" s="362"/>
      <c r="P9" s="323" t="s">
        <v>151</v>
      </c>
      <c r="Q9" s="324"/>
      <c r="R9" s="324"/>
      <c r="S9" s="363">
        <f>'2.根入れ長の計算'!O40</f>
        <v>0</v>
      </c>
      <c r="T9" s="363"/>
      <c r="U9" s="362"/>
      <c r="V9" s="13"/>
      <c r="W9" s="323" t="s">
        <v>297</v>
      </c>
      <c r="X9" s="324"/>
      <c r="Y9" s="324"/>
      <c r="Z9" s="363">
        <f t="shared" ref="Z9:Z14" si="0">M9+S9</f>
        <v>7.0399999999999991</v>
      </c>
      <c r="AA9" s="363"/>
      <c r="AB9" s="362"/>
      <c r="AC9" s="13"/>
      <c r="AD9" s="13"/>
      <c r="AE9" s="13"/>
      <c r="AF9" s="13"/>
      <c r="AG9" s="13"/>
      <c r="AH9" s="13"/>
      <c r="AI9" s="15"/>
    </row>
    <row r="10" spans="1:35">
      <c r="B10" s="13"/>
      <c r="C10" s="12"/>
      <c r="D10" s="390"/>
      <c r="E10" s="390"/>
      <c r="F10" s="228" t="s">
        <v>136</v>
      </c>
      <c r="G10" s="230"/>
      <c r="H10" s="332"/>
      <c r="I10" s="333"/>
      <c r="J10" s="321" t="s">
        <v>146</v>
      </c>
      <c r="K10" s="322"/>
      <c r="L10" s="322"/>
      <c r="M10" s="364">
        <f>'2.根入れ長の計算'!AF13</f>
        <v>10.6304</v>
      </c>
      <c r="N10" s="364"/>
      <c r="O10" s="365"/>
      <c r="P10" s="321" t="s">
        <v>144</v>
      </c>
      <c r="Q10" s="322"/>
      <c r="R10" s="322"/>
      <c r="S10" s="356">
        <f>'2.根入れ長の計算'!O41</f>
        <v>0</v>
      </c>
      <c r="T10" s="356"/>
      <c r="U10" s="357"/>
      <c r="V10" s="13"/>
      <c r="W10" s="321" t="s">
        <v>298</v>
      </c>
      <c r="X10" s="322"/>
      <c r="Y10" s="322"/>
      <c r="Z10" s="364">
        <f t="shared" si="0"/>
        <v>10.6304</v>
      </c>
      <c r="AA10" s="364"/>
      <c r="AB10" s="365"/>
      <c r="AC10" s="13"/>
      <c r="AD10" s="13"/>
      <c r="AE10" s="13"/>
      <c r="AF10" s="13"/>
      <c r="AG10" s="13"/>
      <c r="AH10" s="13"/>
      <c r="AI10" s="15"/>
    </row>
    <row r="11" spans="1:35">
      <c r="B11" s="13"/>
      <c r="C11" s="12"/>
      <c r="D11" s="390" t="s">
        <v>22</v>
      </c>
      <c r="E11" s="390"/>
      <c r="F11" s="242" t="s">
        <v>135</v>
      </c>
      <c r="G11" s="244"/>
      <c r="H11" s="330">
        <f>'2.根入れ長の計算'!H14</f>
        <v>1</v>
      </c>
      <c r="I11" s="331"/>
      <c r="J11" s="323" t="s">
        <v>138</v>
      </c>
      <c r="K11" s="324"/>
      <c r="L11" s="324"/>
      <c r="M11" s="363">
        <f>'2.根入れ長の計算'!AF14</f>
        <v>10.6304</v>
      </c>
      <c r="N11" s="363"/>
      <c r="O11" s="362"/>
      <c r="P11" s="323" t="s">
        <v>145</v>
      </c>
      <c r="Q11" s="324"/>
      <c r="R11" s="324"/>
      <c r="S11" s="363">
        <f>'2.根入れ長の計算'!O42</f>
        <v>0</v>
      </c>
      <c r="T11" s="363"/>
      <c r="U11" s="362"/>
      <c r="V11" s="13"/>
      <c r="W11" s="323" t="s">
        <v>259</v>
      </c>
      <c r="X11" s="324"/>
      <c r="Y11" s="324"/>
      <c r="Z11" s="363">
        <f t="shared" si="0"/>
        <v>10.6304</v>
      </c>
      <c r="AA11" s="363"/>
      <c r="AB11" s="362"/>
      <c r="AC11" s="13"/>
      <c r="AD11" s="13"/>
      <c r="AE11" s="13"/>
      <c r="AF11" s="13"/>
      <c r="AG11" s="13"/>
      <c r="AH11" s="13"/>
      <c r="AI11" s="15"/>
    </row>
    <row r="12" spans="1:35">
      <c r="B12" s="13"/>
      <c r="C12" s="12"/>
      <c r="D12" s="390"/>
      <c r="E12" s="390"/>
      <c r="F12" s="228" t="s">
        <v>136</v>
      </c>
      <c r="G12" s="230"/>
      <c r="H12" s="332"/>
      <c r="I12" s="333"/>
      <c r="J12" s="321" t="s">
        <v>139</v>
      </c>
      <c r="K12" s="322"/>
      <c r="L12" s="322"/>
      <c r="M12" s="364">
        <f>'2.根入れ長の計算'!AF15</f>
        <v>22.598399999999998</v>
      </c>
      <c r="N12" s="364"/>
      <c r="O12" s="365"/>
      <c r="P12" s="321" t="s">
        <v>152</v>
      </c>
      <c r="Q12" s="322"/>
      <c r="R12" s="322"/>
      <c r="S12" s="356">
        <f>'2.根入れ長の計算'!O43</f>
        <v>0</v>
      </c>
      <c r="T12" s="356"/>
      <c r="U12" s="357"/>
      <c r="V12" s="13"/>
      <c r="W12" s="321" t="s">
        <v>260</v>
      </c>
      <c r="X12" s="322"/>
      <c r="Y12" s="322"/>
      <c r="Z12" s="364">
        <f t="shared" si="0"/>
        <v>22.598399999999998</v>
      </c>
      <c r="AA12" s="364"/>
      <c r="AB12" s="365"/>
      <c r="AC12" s="13"/>
      <c r="AD12" s="13"/>
      <c r="AE12" s="13"/>
      <c r="AF12" s="13"/>
      <c r="AG12" s="13"/>
      <c r="AH12" s="13"/>
      <c r="AI12" s="15"/>
    </row>
    <row r="13" spans="1:35">
      <c r="B13" s="13"/>
      <c r="C13" s="12"/>
      <c r="D13" s="390" t="s">
        <v>95</v>
      </c>
      <c r="E13" s="390"/>
      <c r="F13" s="242" t="s">
        <v>135</v>
      </c>
      <c r="G13" s="244"/>
      <c r="H13" s="330">
        <f>'2.根入れ長の計算'!H16</f>
        <v>1.7</v>
      </c>
      <c r="I13" s="331"/>
      <c r="J13" s="323" t="s">
        <v>140</v>
      </c>
      <c r="K13" s="324"/>
      <c r="L13" s="324"/>
      <c r="M13" s="363">
        <f>'2.根入れ長の計算'!AF16</f>
        <v>22.598399999999998</v>
      </c>
      <c r="N13" s="363"/>
      <c r="O13" s="362"/>
      <c r="P13" s="323" t="s">
        <v>147</v>
      </c>
      <c r="Q13" s="324"/>
      <c r="R13" s="324"/>
      <c r="S13" s="363">
        <f>'2.根入れ長の計算'!O44</f>
        <v>0</v>
      </c>
      <c r="T13" s="363"/>
      <c r="U13" s="362"/>
      <c r="V13" s="13"/>
      <c r="W13" s="323" t="s">
        <v>261</v>
      </c>
      <c r="X13" s="324"/>
      <c r="Y13" s="324"/>
      <c r="Z13" s="363">
        <f t="shared" si="0"/>
        <v>22.598399999999998</v>
      </c>
      <c r="AA13" s="363"/>
      <c r="AB13" s="362"/>
      <c r="AC13" s="13"/>
      <c r="AD13" s="13"/>
      <c r="AE13" s="13"/>
      <c r="AF13" s="13"/>
      <c r="AG13" s="13"/>
      <c r="AH13" s="13"/>
      <c r="AI13" s="15"/>
    </row>
    <row r="14" spans="1:35">
      <c r="B14" s="13"/>
      <c r="C14" s="12"/>
      <c r="D14" s="390"/>
      <c r="E14" s="390"/>
      <c r="F14" s="228" t="s">
        <v>136</v>
      </c>
      <c r="G14" s="230"/>
      <c r="H14" s="332"/>
      <c r="I14" s="333"/>
      <c r="J14" s="321" t="s">
        <v>141</v>
      </c>
      <c r="K14" s="322"/>
      <c r="L14" s="322"/>
      <c r="M14" s="364">
        <f>'2.根入れ長の計算'!AF17</f>
        <v>32.172800000000002</v>
      </c>
      <c r="N14" s="364"/>
      <c r="O14" s="365"/>
      <c r="P14" s="321" t="s">
        <v>148</v>
      </c>
      <c r="Q14" s="322"/>
      <c r="R14" s="322"/>
      <c r="S14" s="364">
        <f>'2.根入れ長の計算'!O45</f>
        <v>17</v>
      </c>
      <c r="T14" s="364"/>
      <c r="U14" s="365"/>
      <c r="V14" s="13"/>
      <c r="W14" s="321" t="s">
        <v>262</v>
      </c>
      <c r="X14" s="322"/>
      <c r="Y14" s="322"/>
      <c r="Z14" s="364">
        <f t="shared" si="0"/>
        <v>49.172800000000002</v>
      </c>
      <c r="AA14" s="364"/>
      <c r="AB14" s="365"/>
      <c r="AC14" s="13"/>
      <c r="AD14" s="13"/>
      <c r="AE14" s="13"/>
      <c r="AF14" s="13"/>
      <c r="AG14" s="13"/>
      <c r="AH14" s="13"/>
      <c r="AI14" s="15"/>
    </row>
    <row r="15" spans="1:35">
      <c r="C15" s="12"/>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5"/>
    </row>
    <row r="16" spans="1:35">
      <c r="B16" s="13"/>
      <c r="C16" s="12"/>
      <c r="D16" s="96"/>
      <c r="E16" s="95"/>
      <c r="F16" s="257" t="s">
        <v>265</v>
      </c>
      <c r="G16" s="258"/>
      <c r="H16" s="258"/>
      <c r="I16" s="258"/>
      <c r="J16" s="258"/>
      <c r="K16" s="258"/>
      <c r="L16" s="258"/>
      <c r="M16" s="258"/>
      <c r="N16" s="258"/>
      <c r="O16" s="258"/>
      <c r="P16" s="258"/>
      <c r="Q16" s="258"/>
      <c r="R16" s="258"/>
      <c r="S16" s="258"/>
      <c r="T16" s="259"/>
      <c r="U16" s="13"/>
      <c r="V16" s="13"/>
      <c r="W16" s="13"/>
      <c r="X16" s="13"/>
      <c r="Y16" s="13"/>
      <c r="Z16" s="13"/>
      <c r="AA16" s="13"/>
      <c r="AB16" s="13"/>
      <c r="AC16" s="13"/>
      <c r="AD16" s="13"/>
      <c r="AE16" s="13"/>
      <c r="AF16" s="13"/>
      <c r="AG16" s="13"/>
      <c r="AH16" s="13"/>
      <c r="AI16" s="15"/>
    </row>
    <row r="17" spans="2:36">
      <c r="B17" s="13"/>
      <c r="C17" s="12"/>
      <c r="D17" s="13"/>
      <c r="E17" s="95"/>
      <c r="F17" s="317" t="s">
        <v>33</v>
      </c>
      <c r="G17" s="318"/>
      <c r="H17" s="318"/>
      <c r="I17" s="318"/>
      <c r="J17" s="318"/>
      <c r="K17" s="318"/>
      <c r="L17" s="318"/>
      <c r="M17" s="318"/>
      <c r="N17" s="318"/>
      <c r="O17" s="318"/>
      <c r="P17" s="318"/>
      <c r="Q17" s="318"/>
      <c r="R17" s="318"/>
      <c r="S17" s="318"/>
      <c r="T17" s="319"/>
      <c r="U17" s="13"/>
      <c r="V17" s="13"/>
      <c r="W17" s="13"/>
      <c r="X17" s="13"/>
      <c r="Y17" s="13"/>
      <c r="Z17" s="13"/>
      <c r="AA17" s="13"/>
      <c r="AB17" s="13"/>
      <c r="AC17" s="13"/>
      <c r="AD17" s="13"/>
      <c r="AE17" s="13"/>
      <c r="AF17" s="13"/>
      <c r="AG17" s="13"/>
      <c r="AH17" s="13"/>
      <c r="AI17" s="15"/>
    </row>
    <row r="18" spans="2:36">
      <c r="B18" s="13"/>
      <c r="C18" s="12"/>
      <c r="D18" s="96"/>
      <c r="E18" s="95"/>
      <c r="F18" s="334" t="s">
        <v>34</v>
      </c>
      <c r="G18" s="335"/>
      <c r="H18" s="335"/>
      <c r="I18" s="335"/>
      <c r="J18" s="335"/>
      <c r="K18" s="335"/>
      <c r="L18" s="335"/>
      <c r="M18" s="335"/>
      <c r="N18" s="335"/>
      <c r="O18" s="335"/>
      <c r="P18" s="335"/>
      <c r="Q18" s="335"/>
      <c r="R18" s="335"/>
      <c r="S18" s="335"/>
      <c r="T18" s="336"/>
      <c r="U18" s="13"/>
      <c r="V18" s="13"/>
      <c r="W18" s="13"/>
      <c r="X18" s="13"/>
      <c r="Y18" s="13"/>
      <c r="Z18" s="13"/>
      <c r="AA18" s="13"/>
      <c r="AB18" s="13"/>
      <c r="AC18" s="13"/>
      <c r="AD18" s="13"/>
      <c r="AE18" s="13"/>
      <c r="AF18" s="13"/>
      <c r="AG18" s="13"/>
      <c r="AH18" s="13"/>
      <c r="AI18" s="15"/>
    </row>
    <row r="19" spans="2:36">
      <c r="B19" s="13"/>
      <c r="C19" s="12"/>
      <c r="D19" s="132" t="s">
        <v>21</v>
      </c>
      <c r="E19" s="133"/>
      <c r="F19" s="134" t="s">
        <v>70</v>
      </c>
      <c r="G19" s="316">
        <f>Z9</f>
        <v>7.0399999999999991</v>
      </c>
      <c r="H19" s="316"/>
      <c r="I19" s="30" t="s">
        <v>69</v>
      </c>
      <c r="J19" s="316">
        <f>Z10</f>
        <v>10.6304</v>
      </c>
      <c r="K19" s="316"/>
      <c r="L19" s="30" t="s">
        <v>84</v>
      </c>
      <c r="M19" s="30" t="s">
        <v>27</v>
      </c>
      <c r="N19" s="316">
        <f>H9</f>
        <v>0.3</v>
      </c>
      <c r="O19" s="316"/>
      <c r="P19" s="30" t="s">
        <v>71</v>
      </c>
      <c r="Q19" s="63">
        <v>2</v>
      </c>
      <c r="R19" s="79" t="s">
        <v>2</v>
      </c>
      <c r="S19" s="315">
        <f>(G19+J19)*N19/Q19</f>
        <v>2.65056</v>
      </c>
      <c r="T19" s="460"/>
      <c r="U19" s="13"/>
      <c r="V19" s="13"/>
      <c r="W19" s="13"/>
      <c r="X19" s="13"/>
      <c r="Y19" s="13"/>
      <c r="Z19" s="13"/>
      <c r="AA19" s="13"/>
      <c r="AB19" s="13"/>
      <c r="AC19" s="13"/>
      <c r="AD19" s="13"/>
      <c r="AE19" s="13"/>
      <c r="AF19" s="13"/>
      <c r="AG19" s="13"/>
      <c r="AH19" s="13"/>
      <c r="AI19" s="15"/>
    </row>
    <row r="20" spans="2:36">
      <c r="B20" s="13"/>
      <c r="C20" s="12"/>
      <c r="D20" s="132" t="s">
        <v>22</v>
      </c>
      <c r="E20" s="133"/>
      <c r="F20" s="134" t="s">
        <v>70</v>
      </c>
      <c r="G20" s="316">
        <f>Z11</f>
        <v>10.6304</v>
      </c>
      <c r="H20" s="316"/>
      <c r="I20" s="30" t="s">
        <v>69</v>
      </c>
      <c r="J20" s="316">
        <f>Z12</f>
        <v>22.598399999999998</v>
      </c>
      <c r="K20" s="316"/>
      <c r="L20" s="30" t="s">
        <v>84</v>
      </c>
      <c r="M20" s="30" t="s">
        <v>27</v>
      </c>
      <c r="N20" s="316">
        <f>H11</f>
        <v>1</v>
      </c>
      <c r="O20" s="316"/>
      <c r="P20" s="30" t="s">
        <v>71</v>
      </c>
      <c r="Q20" s="63">
        <v>2</v>
      </c>
      <c r="R20" s="79" t="s">
        <v>2</v>
      </c>
      <c r="S20" s="315">
        <f>(G20+J20)*N20/Q20</f>
        <v>16.6144</v>
      </c>
      <c r="T20" s="460"/>
      <c r="U20" s="13"/>
      <c r="V20" s="13"/>
      <c r="W20" s="13"/>
      <c r="X20" s="13"/>
      <c r="Y20" s="13"/>
      <c r="Z20" s="13"/>
      <c r="AA20" s="13"/>
      <c r="AB20" s="13"/>
      <c r="AC20" s="13"/>
      <c r="AD20" s="13"/>
      <c r="AE20" s="13"/>
      <c r="AF20" s="13"/>
      <c r="AG20" s="13"/>
      <c r="AH20" s="13"/>
      <c r="AI20" s="15"/>
    </row>
    <row r="21" spans="2:36" ht="18.600000000000001" thickBot="1">
      <c r="B21" s="13"/>
      <c r="C21" s="12"/>
      <c r="D21" s="136" t="s">
        <v>95</v>
      </c>
      <c r="E21" s="71"/>
      <c r="F21" s="137" t="s">
        <v>70</v>
      </c>
      <c r="G21" s="430">
        <f>Z13</f>
        <v>22.598399999999998</v>
      </c>
      <c r="H21" s="430"/>
      <c r="I21" s="71" t="s">
        <v>69</v>
      </c>
      <c r="J21" s="430">
        <f>Z14</f>
        <v>49.172800000000002</v>
      </c>
      <c r="K21" s="430"/>
      <c r="L21" s="71" t="s">
        <v>84</v>
      </c>
      <c r="M21" s="71" t="s">
        <v>27</v>
      </c>
      <c r="N21" s="430">
        <f>H13</f>
        <v>1.7</v>
      </c>
      <c r="O21" s="430"/>
      <c r="P21" s="71" t="s">
        <v>71</v>
      </c>
      <c r="Q21" s="138">
        <v>2</v>
      </c>
      <c r="R21" s="139" t="s">
        <v>2</v>
      </c>
      <c r="S21" s="429">
        <f>(G21+J21)*N21/Q21</f>
        <v>61.00551999999999</v>
      </c>
      <c r="T21" s="449"/>
      <c r="U21" s="13"/>
      <c r="V21" s="13"/>
      <c r="W21" s="13"/>
      <c r="X21" s="13"/>
      <c r="Y21" s="13"/>
      <c r="Z21" s="13"/>
      <c r="AA21" s="13"/>
      <c r="AB21" s="13"/>
      <c r="AC21" s="13"/>
      <c r="AD21" s="13"/>
      <c r="AE21" s="13"/>
      <c r="AF21" s="13"/>
      <c r="AG21" s="13"/>
      <c r="AH21" s="13"/>
      <c r="AI21" s="15"/>
    </row>
    <row r="22" spans="2:36" ht="18.600000000000001" thickTop="1">
      <c r="C22" s="12"/>
      <c r="D22" s="123" t="s">
        <v>26</v>
      </c>
      <c r="E22" s="124"/>
      <c r="F22" s="120"/>
      <c r="G22" s="120"/>
      <c r="H22" s="135"/>
      <c r="I22" s="135"/>
      <c r="J22" s="121"/>
      <c r="K22" s="121"/>
      <c r="L22" s="121"/>
      <c r="M22" s="125"/>
      <c r="N22" s="125"/>
      <c r="O22" s="125"/>
      <c r="P22" s="121"/>
      <c r="Q22" s="121"/>
      <c r="R22" s="121"/>
      <c r="S22" s="299">
        <f>SUM(S19:T21)</f>
        <v>80.270479999999992</v>
      </c>
      <c r="T22" s="551"/>
      <c r="U22" s="95"/>
      <c r="V22" s="13"/>
      <c r="W22" s="128"/>
      <c r="X22" s="128"/>
      <c r="Y22" s="128"/>
      <c r="Z22" s="95"/>
      <c r="AA22" s="95"/>
      <c r="AB22" s="95"/>
      <c r="AC22" s="13"/>
      <c r="AD22" s="13"/>
      <c r="AE22" s="13"/>
      <c r="AF22" s="13"/>
      <c r="AG22" s="13"/>
      <c r="AH22" s="13"/>
      <c r="AI22" s="15"/>
    </row>
    <row r="23" spans="2:36">
      <c r="C23" s="12"/>
      <c r="D23" s="118"/>
      <c r="E23" s="118"/>
      <c r="F23" s="167"/>
      <c r="G23" s="167"/>
      <c r="H23" s="168"/>
      <c r="I23" s="168"/>
      <c r="J23" s="128"/>
      <c r="K23" s="128"/>
      <c r="L23" s="128"/>
      <c r="M23" s="117"/>
      <c r="N23" s="117"/>
      <c r="O23" s="117"/>
      <c r="P23" s="128"/>
      <c r="Q23" s="128"/>
      <c r="R23" s="128"/>
      <c r="S23" s="95"/>
      <c r="T23" s="95"/>
      <c r="U23" s="95"/>
      <c r="V23" s="13"/>
      <c r="W23" s="128"/>
      <c r="X23" s="128"/>
      <c r="Y23" s="128"/>
      <c r="Z23" s="95"/>
      <c r="AA23" s="95"/>
      <c r="AB23" s="95"/>
      <c r="AC23" s="13"/>
      <c r="AD23" s="13"/>
      <c r="AE23" s="13"/>
      <c r="AF23" s="13"/>
      <c r="AG23" s="13"/>
      <c r="AH23" s="13"/>
      <c r="AI23" s="15"/>
    </row>
    <row r="24" spans="2:36">
      <c r="C24" s="12"/>
      <c r="D24" s="169" t="s">
        <v>305</v>
      </c>
      <c r="E24" s="118"/>
      <c r="F24" s="167"/>
      <c r="G24" s="13"/>
      <c r="H24" s="13"/>
      <c r="I24" s="13"/>
      <c r="J24" s="13"/>
      <c r="K24" s="13"/>
      <c r="L24" s="13"/>
      <c r="M24" s="13"/>
      <c r="N24" s="13"/>
      <c r="O24" s="117"/>
      <c r="P24" s="128"/>
      <c r="Q24" s="128"/>
      <c r="R24" s="128"/>
      <c r="S24" s="95"/>
      <c r="T24" s="95"/>
      <c r="U24" s="95"/>
      <c r="V24" s="13"/>
      <c r="W24" s="128"/>
      <c r="X24" s="128"/>
      <c r="Y24" s="128"/>
      <c r="Z24" s="95"/>
      <c r="AA24" s="95"/>
      <c r="AB24" s="95"/>
      <c r="AC24" s="13"/>
      <c r="AD24" s="13"/>
      <c r="AE24" s="13"/>
      <c r="AF24" s="13"/>
      <c r="AG24" s="13"/>
      <c r="AH24" s="13"/>
      <c r="AI24" s="15"/>
    </row>
    <row r="25" spans="2:36" ht="19.2">
      <c r="C25" s="12"/>
      <c r="D25" s="169"/>
      <c r="E25" s="118"/>
      <c r="F25" s="167"/>
      <c r="G25" s="210" t="s">
        <v>299</v>
      </c>
      <c r="H25" s="210"/>
      <c r="I25" s="13" t="s">
        <v>2</v>
      </c>
      <c r="J25" s="302">
        <f>S22</f>
        <v>80.270479999999992</v>
      </c>
      <c r="K25" s="295"/>
      <c r="L25" s="337"/>
      <c r="M25" s="13" t="s">
        <v>300</v>
      </c>
      <c r="N25" s="117"/>
      <c r="O25" s="117"/>
      <c r="P25" s="128"/>
      <c r="Q25" s="128"/>
      <c r="R25" s="128"/>
      <c r="S25" s="95"/>
      <c r="T25" s="95"/>
      <c r="U25" s="95"/>
      <c r="V25" s="13"/>
      <c r="W25" s="128"/>
      <c r="X25" s="128"/>
      <c r="Y25" s="128"/>
      <c r="Z25" s="95"/>
      <c r="AA25" s="95"/>
      <c r="AB25" s="95"/>
      <c r="AC25" s="13"/>
      <c r="AD25" s="13"/>
      <c r="AE25" s="13"/>
      <c r="AF25" s="13"/>
      <c r="AG25" s="13"/>
      <c r="AH25" s="13"/>
      <c r="AI25" s="15"/>
    </row>
    <row r="26" spans="2:36">
      <c r="C26" s="16"/>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9"/>
      <c r="AJ26" s="13"/>
    </row>
    <row r="27" spans="2:36">
      <c r="B27" s="13"/>
      <c r="C27" s="116"/>
      <c r="D27" s="116"/>
      <c r="E27" s="116"/>
      <c r="F27" s="116"/>
      <c r="G27" s="116"/>
      <c r="H27" s="116"/>
      <c r="I27" s="116"/>
      <c r="J27" s="116"/>
      <c r="K27" s="116"/>
      <c r="L27" s="116"/>
      <c r="M27" s="116"/>
      <c r="N27" s="116"/>
      <c r="O27" s="116"/>
      <c r="P27" s="116"/>
      <c r="Q27" s="13"/>
      <c r="R27" s="13"/>
      <c r="S27" s="13"/>
      <c r="T27" s="13"/>
      <c r="U27" s="13"/>
      <c r="V27" s="13"/>
      <c r="W27" s="13"/>
      <c r="X27" s="13"/>
      <c r="Y27" s="13"/>
      <c r="Z27" s="13"/>
      <c r="AA27" s="13"/>
      <c r="AB27" s="13"/>
      <c r="AC27" s="13"/>
      <c r="AD27" s="13"/>
      <c r="AE27" s="13"/>
      <c r="AF27" s="13"/>
      <c r="AG27" s="13"/>
      <c r="AH27" s="13"/>
      <c r="AI27" s="13"/>
    </row>
    <row r="28" spans="2:36">
      <c r="B28" s="1" t="s">
        <v>302</v>
      </c>
      <c r="W28" t="s">
        <v>306</v>
      </c>
    </row>
    <row r="29" spans="2:36">
      <c r="C29" s="9" t="s">
        <v>439</v>
      </c>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1"/>
    </row>
    <row r="30" spans="2:36" ht="18.75" customHeight="1">
      <c r="C30" s="12"/>
      <c r="D30" s="488" t="s">
        <v>472</v>
      </c>
      <c r="E30" s="488"/>
      <c r="F30" s="488"/>
      <c r="G30" s="488"/>
      <c r="H30" s="488"/>
      <c r="I30" s="488"/>
      <c r="J30" s="488"/>
      <c r="K30" s="488"/>
      <c r="L30" s="488"/>
      <c r="M30" s="488"/>
      <c r="N30" s="488"/>
      <c r="O30" s="488"/>
      <c r="P30" s="488"/>
      <c r="Q30" s="488"/>
      <c r="R30" s="488"/>
      <c r="S30" s="488"/>
      <c r="T30" s="488"/>
      <c r="U30" s="488"/>
      <c r="V30" s="488"/>
      <c r="W30" s="488"/>
      <c r="X30" s="488"/>
      <c r="Y30" s="488"/>
      <c r="Z30" s="488"/>
      <c r="AA30" s="488"/>
      <c r="AB30" s="488"/>
      <c r="AC30" s="488"/>
      <c r="AD30" s="488"/>
      <c r="AE30" s="488"/>
      <c r="AF30" s="488"/>
      <c r="AG30" s="488"/>
      <c r="AH30" s="488"/>
      <c r="AI30" s="489"/>
    </row>
    <row r="31" spans="2:36">
      <c r="C31" s="142"/>
      <c r="D31" s="488"/>
      <c r="E31" s="488"/>
      <c r="F31" s="488"/>
      <c r="G31" s="488"/>
      <c r="H31" s="488"/>
      <c r="I31" s="488"/>
      <c r="J31" s="488"/>
      <c r="K31" s="488"/>
      <c r="L31" s="488"/>
      <c r="M31" s="488"/>
      <c r="N31" s="488"/>
      <c r="O31" s="488"/>
      <c r="P31" s="488"/>
      <c r="Q31" s="488"/>
      <c r="R31" s="488"/>
      <c r="S31" s="488"/>
      <c r="T31" s="488"/>
      <c r="U31" s="488"/>
      <c r="V31" s="488"/>
      <c r="W31" s="488"/>
      <c r="X31" s="488"/>
      <c r="Y31" s="488"/>
      <c r="Z31" s="488"/>
      <c r="AA31" s="488"/>
      <c r="AB31" s="488"/>
      <c r="AC31" s="488"/>
      <c r="AD31" s="488"/>
      <c r="AE31" s="488"/>
      <c r="AF31" s="488"/>
      <c r="AG31" s="488"/>
      <c r="AH31" s="488"/>
      <c r="AI31" s="489"/>
    </row>
    <row r="32" spans="2:36">
      <c r="C32" s="12"/>
      <c r="E32" s="13" t="s">
        <v>407</v>
      </c>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5"/>
    </row>
    <row r="33" spans="3:35" ht="19.8">
      <c r="C33" s="12"/>
      <c r="D33" s="13"/>
      <c r="F33" s="445" t="s">
        <v>126</v>
      </c>
      <c r="G33" s="445"/>
      <c r="H33" s="393" t="s">
        <v>2</v>
      </c>
      <c r="I33" s="490" t="s">
        <v>470</v>
      </c>
      <c r="J33" s="490"/>
      <c r="K33" s="490"/>
      <c r="L33" s="490"/>
      <c r="M33" s="13"/>
      <c r="N33" s="393" t="s">
        <v>2</v>
      </c>
      <c r="O33" s="558">
        <f>J25</f>
        <v>80.270479999999992</v>
      </c>
      <c r="P33" s="558"/>
      <c r="Q33" s="140" t="s">
        <v>27</v>
      </c>
      <c r="R33" s="559">
        <f>'1.設計条件と鋼矢板・支保工の設定'!T54</f>
        <v>4</v>
      </c>
      <c r="S33" s="559"/>
      <c r="T33" s="141" t="s">
        <v>309</v>
      </c>
      <c r="U33" s="393" t="s">
        <v>2</v>
      </c>
      <c r="V33" s="552">
        <f>O33*R33^2/O34</f>
        <v>160.54095999999998</v>
      </c>
      <c r="W33" s="553"/>
      <c r="X33" s="554"/>
      <c r="Y33" s="548" t="s">
        <v>292</v>
      </c>
      <c r="Z33" s="549"/>
      <c r="AA33" s="549"/>
      <c r="AB33" s="13"/>
      <c r="AC33" s="13"/>
      <c r="AD33" s="13"/>
      <c r="AE33" s="13"/>
      <c r="AF33" s="13"/>
      <c r="AG33" s="13"/>
      <c r="AH33" s="13"/>
      <c r="AI33" s="15"/>
    </row>
    <row r="34" spans="3:35">
      <c r="C34" s="12"/>
      <c r="D34" s="13"/>
      <c r="F34" s="445"/>
      <c r="G34" s="445"/>
      <c r="H34" s="393"/>
      <c r="I34" s="550">
        <v>8</v>
      </c>
      <c r="J34" s="550"/>
      <c r="K34" s="550"/>
      <c r="L34" s="550"/>
      <c r="M34" s="13"/>
      <c r="N34" s="393"/>
      <c r="O34" s="550">
        <f>I34</f>
        <v>8</v>
      </c>
      <c r="P34" s="550"/>
      <c r="Q34" s="550"/>
      <c r="R34" s="550"/>
      <c r="S34" s="550"/>
      <c r="T34" s="550"/>
      <c r="U34" s="393"/>
      <c r="V34" s="555"/>
      <c r="W34" s="556"/>
      <c r="X34" s="557"/>
      <c r="Y34" s="548"/>
      <c r="Z34" s="549"/>
      <c r="AA34" s="549"/>
      <c r="AB34" s="13"/>
      <c r="AC34" s="13"/>
      <c r="AD34" s="13"/>
      <c r="AE34" s="13"/>
      <c r="AF34" s="13"/>
      <c r="AG34" s="13"/>
      <c r="AH34" s="13"/>
      <c r="AI34" s="15"/>
    </row>
    <row r="35" spans="3:35">
      <c r="C35" s="12"/>
      <c r="D35" s="13"/>
      <c r="E35" s="13"/>
      <c r="F35" s="13"/>
      <c r="G35" s="13"/>
      <c r="M35" s="13"/>
      <c r="N35" s="13"/>
      <c r="O35" s="13"/>
      <c r="P35" s="13"/>
      <c r="Q35" s="13"/>
      <c r="R35" s="13"/>
      <c r="S35" s="13"/>
      <c r="T35" s="13"/>
      <c r="U35" s="13"/>
      <c r="V35" s="13"/>
      <c r="W35" s="13"/>
      <c r="X35" s="13"/>
      <c r="Y35" s="13"/>
      <c r="Z35" s="13"/>
      <c r="AA35" s="13"/>
      <c r="AB35" s="13"/>
      <c r="AC35" s="13"/>
      <c r="AD35" s="13"/>
      <c r="AE35" s="13"/>
      <c r="AF35" s="13"/>
      <c r="AG35" s="13"/>
      <c r="AH35" s="13"/>
      <c r="AI35" s="15"/>
    </row>
    <row r="36" spans="3:35">
      <c r="C36" s="12"/>
      <c r="D36" s="13"/>
      <c r="E36" s="13" t="s">
        <v>408</v>
      </c>
      <c r="F36" s="13"/>
      <c r="G36" s="13"/>
      <c r="H36" s="13"/>
      <c r="I36" s="13"/>
      <c r="J36" s="13"/>
      <c r="K36" s="13"/>
      <c r="L36" s="13"/>
      <c r="M36" s="13"/>
      <c r="N36" s="13"/>
      <c r="O36" s="13"/>
      <c r="P36" s="13"/>
      <c r="Q36" s="13"/>
      <c r="AG36" s="13"/>
      <c r="AH36" s="13"/>
      <c r="AI36" s="15"/>
    </row>
    <row r="37" spans="3:35" ht="19.8">
      <c r="C37" s="12"/>
      <c r="D37" s="13"/>
      <c r="E37" s="13"/>
      <c r="F37" s="445" t="s">
        <v>312</v>
      </c>
      <c r="G37" s="445"/>
      <c r="H37" s="393" t="s">
        <v>2</v>
      </c>
      <c r="I37" s="490" t="s">
        <v>471</v>
      </c>
      <c r="J37" s="490"/>
      <c r="K37" s="490"/>
      <c r="L37" s="490"/>
      <c r="M37" s="13"/>
      <c r="N37" s="393" t="s">
        <v>2</v>
      </c>
      <c r="O37" s="558">
        <f>J25</f>
        <v>80.270479999999992</v>
      </c>
      <c r="P37" s="558"/>
      <c r="Q37" s="140" t="s">
        <v>27</v>
      </c>
      <c r="R37" s="559">
        <f>'1.設計条件と鋼矢板・支保工の設定'!T54</f>
        <v>4</v>
      </c>
      <c r="S37" s="559"/>
      <c r="T37" s="141"/>
      <c r="U37" s="13" t="s">
        <v>2</v>
      </c>
      <c r="V37" s="552">
        <f>O37*R37/O38</f>
        <v>160.54095999999998</v>
      </c>
      <c r="W37" s="553"/>
      <c r="X37" s="554"/>
      <c r="Y37" s="548" t="s">
        <v>278</v>
      </c>
      <c r="Z37" s="549"/>
      <c r="AA37" s="549"/>
      <c r="AB37" s="13"/>
      <c r="AC37" s="13"/>
      <c r="AD37" s="13"/>
      <c r="AE37" s="13"/>
      <c r="AF37" s="13"/>
      <c r="AG37" s="13"/>
      <c r="AH37" s="13"/>
      <c r="AI37" s="15"/>
    </row>
    <row r="38" spans="3:35">
      <c r="C38" s="12"/>
      <c r="F38" s="445"/>
      <c r="G38" s="445"/>
      <c r="H38" s="393"/>
      <c r="I38" s="550">
        <v>2</v>
      </c>
      <c r="J38" s="550"/>
      <c r="K38" s="550"/>
      <c r="L38" s="550"/>
      <c r="M38" s="13"/>
      <c r="N38" s="393"/>
      <c r="O38" s="550">
        <f>I38</f>
        <v>2</v>
      </c>
      <c r="P38" s="550"/>
      <c r="Q38" s="550"/>
      <c r="R38" s="550"/>
      <c r="S38" s="550"/>
      <c r="T38" s="550"/>
      <c r="U38" s="13"/>
      <c r="V38" s="555"/>
      <c r="W38" s="556"/>
      <c r="X38" s="557"/>
      <c r="Y38" s="548"/>
      <c r="Z38" s="549"/>
      <c r="AA38" s="549"/>
      <c r="AB38" s="13"/>
      <c r="AC38" s="13"/>
      <c r="AD38" s="13"/>
      <c r="AE38" s="13"/>
      <c r="AF38" s="13"/>
      <c r="AG38" s="13"/>
      <c r="AH38" s="13"/>
      <c r="AI38" s="15"/>
    </row>
    <row r="39" spans="3:35">
      <c r="C39" s="12"/>
      <c r="D39" s="13"/>
      <c r="M39" s="13"/>
      <c r="T39" s="13"/>
      <c r="U39" s="32"/>
      <c r="V39" s="309"/>
      <c r="W39" s="309"/>
      <c r="X39" s="309"/>
      <c r="Y39" s="13"/>
      <c r="Z39" s="13"/>
      <c r="AA39" s="13"/>
      <c r="AB39" s="13"/>
      <c r="AC39" s="13"/>
      <c r="AD39" s="13"/>
      <c r="AE39" s="13"/>
      <c r="AF39" s="13"/>
      <c r="AG39" s="13"/>
      <c r="AH39" s="13"/>
      <c r="AI39" s="15"/>
    </row>
    <row r="40" spans="3:35">
      <c r="C40" s="12" t="s">
        <v>442</v>
      </c>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5"/>
    </row>
    <row r="41" spans="3:35">
      <c r="C41" s="12"/>
      <c r="D41" s="13"/>
      <c r="E41" s="13" t="s">
        <v>416</v>
      </c>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5"/>
    </row>
    <row r="42" spans="3:35">
      <c r="C42" s="12"/>
      <c r="D42" s="13"/>
      <c r="F42" s="445" t="s">
        <v>80</v>
      </c>
      <c r="G42" s="445"/>
      <c r="H42" s="393" t="s">
        <v>2</v>
      </c>
      <c r="I42" s="491" t="s">
        <v>126</v>
      </c>
      <c r="J42" s="491"/>
      <c r="K42" s="143"/>
      <c r="L42" s="393" t="s">
        <v>2</v>
      </c>
      <c r="M42" s="303">
        <f>V33</f>
        <v>160.54095999999998</v>
      </c>
      <c r="N42" s="303"/>
      <c r="O42" s="303"/>
      <c r="P42" s="17" t="s">
        <v>27</v>
      </c>
      <c r="Q42" s="536">
        <v>1000000</v>
      </c>
      <c r="R42" s="536"/>
      <c r="S42" s="536"/>
      <c r="T42" s="13"/>
      <c r="U42" s="13"/>
      <c r="V42" s="13"/>
      <c r="W42" s="13"/>
      <c r="X42" s="13"/>
      <c r="Y42" s="13"/>
      <c r="Z42" s="13"/>
      <c r="AA42" s="13"/>
      <c r="AB42" s="13"/>
      <c r="AC42" s="13"/>
      <c r="AD42" s="13"/>
      <c r="AE42" s="13"/>
      <c r="AF42" s="13"/>
      <c r="AG42" s="13"/>
      <c r="AH42" s="13"/>
      <c r="AI42" s="15"/>
    </row>
    <row r="43" spans="3:35">
      <c r="C43" s="12"/>
      <c r="D43" s="13"/>
      <c r="F43" s="445"/>
      <c r="G43" s="445"/>
      <c r="H43" s="393"/>
      <c r="I43" s="544" t="s">
        <v>60</v>
      </c>
      <c r="J43" s="544"/>
      <c r="K43" s="144"/>
      <c r="L43" s="393"/>
      <c r="M43" s="537">
        <f>'1.設計条件と鋼矢板・支保工の設定'!T46</f>
        <v>1150</v>
      </c>
      <c r="N43" s="537"/>
      <c r="O43" s="537"/>
      <c r="P43" s="13" t="s">
        <v>27</v>
      </c>
      <c r="Q43" s="537">
        <v>1000</v>
      </c>
      <c r="R43" s="537"/>
      <c r="S43" s="13"/>
      <c r="T43" s="13"/>
      <c r="U43" s="13"/>
      <c r="V43" s="13"/>
      <c r="W43" s="13"/>
      <c r="X43" s="13"/>
      <c r="Y43" s="13"/>
      <c r="Z43" s="13"/>
      <c r="AA43" s="13"/>
      <c r="AB43" s="13"/>
      <c r="AC43" s="13"/>
      <c r="AD43" s="13"/>
      <c r="AE43" s="13"/>
      <c r="AF43" s="13"/>
      <c r="AG43" s="13"/>
      <c r="AH43" s="13"/>
      <c r="AI43" s="15"/>
    </row>
    <row r="44" spans="3:35">
      <c r="C44" s="12"/>
      <c r="D44" s="13"/>
      <c r="F44" s="36"/>
      <c r="G44" s="36"/>
      <c r="H44" s="28"/>
      <c r="I44" s="35"/>
      <c r="J44" s="35"/>
      <c r="K44" s="144"/>
      <c r="L44" s="28"/>
      <c r="M44" s="27"/>
      <c r="N44" s="27"/>
      <c r="O44" s="27"/>
      <c r="P44" s="13"/>
      <c r="Q44" s="27"/>
      <c r="R44" s="27"/>
      <c r="S44" s="13"/>
      <c r="T44" s="13"/>
      <c r="U44" s="13"/>
      <c r="V44" s="13"/>
      <c r="W44" s="13"/>
      <c r="X44" s="13"/>
      <c r="Y44" s="13"/>
      <c r="Z44" s="13"/>
      <c r="AA44" s="13"/>
      <c r="AB44" s="13"/>
      <c r="AC44" s="13"/>
      <c r="AD44" s="13"/>
      <c r="AE44" s="13"/>
      <c r="AF44" s="13"/>
      <c r="AG44" s="13"/>
      <c r="AH44" s="13"/>
      <c r="AI44" s="15"/>
    </row>
    <row r="45" spans="3:35" ht="20.399999999999999">
      <c r="C45" s="12"/>
      <c r="D45" s="13"/>
      <c r="E45" s="13"/>
      <c r="F45" s="13"/>
      <c r="G45" s="13"/>
      <c r="H45" s="13" t="s">
        <v>2</v>
      </c>
      <c r="I45" s="394">
        <f>M42*Q42/M43/Q43</f>
        <v>139.60083478260867</v>
      </c>
      <c r="J45" s="392"/>
      <c r="K45" s="395"/>
      <c r="L45" s="13" t="s">
        <v>49</v>
      </c>
      <c r="M45" s="13"/>
      <c r="N45" s="13"/>
      <c r="O45" s="13"/>
      <c r="P45" s="13" t="str">
        <f>IF(I45&lt;=T45, "≦","&gt;")</f>
        <v>≦</v>
      </c>
      <c r="Q45" s="210" t="s">
        <v>85</v>
      </c>
      <c r="R45" s="210"/>
      <c r="S45" s="13" t="s">
        <v>2</v>
      </c>
      <c r="T45" s="309">
        <f>'1.設計条件と鋼矢板・支保工の設定'!T48:V48</f>
        <v>210</v>
      </c>
      <c r="U45" s="309"/>
      <c r="V45" s="309"/>
      <c r="W45" s="13" t="s">
        <v>49</v>
      </c>
      <c r="X45" s="13"/>
      <c r="Y45" s="13"/>
      <c r="Z45" s="13"/>
      <c r="AA45" s="394" t="str">
        <f>IF(P45="≦","OK","NG")</f>
        <v>OK</v>
      </c>
      <c r="AB45" s="392"/>
      <c r="AC45" s="395"/>
      <c r="AD45" s="13"/>
      <c r="AE45" s="13"/>
      <c r="AF45" s="13"/>
      <c r="AG45" s="13"/>
      <c r="AH45" s="13"/>
      <c r="AI45" s="15"/>
    </row>
    <row r="46" spans="3:35">
      <c r="C46" s="12"/>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5"/>
    </row>
    <row r="47" spans="3:35">
      <c r="C47" s="12"/>
      <c r="D47" s="13"/>
      <c r="E47" s="13" t="s">
        <v>417</v>
      </c>
      <c r="F47" s="13"/>
      <c r="G47" s="13"/>
      <c r="H47" s="13"/>
      <c r="I47" s="13"/>
      <c r="J47" s="13"/>
      <c r="K47" s="13"/>
      <c r="L47" s="13"/>
      <c r="M47" s="13"/>
      <c r="N47" s="13"/>
      <c r="V47" s="13"/>
      <c r="W47" s="13"/>
      <c r="X47" s="13"/>
      <c r="Y47" s="13"/>
      <c r="Z47" s="13"/>
      <c r="AA47" s="13"/>
      <c r="AB47" s="13"/>
      <c r="AC47" s="13"/>
      <c r="AD47" s="13"/>
      <c r="AE47" s="13"/>
      <c r="AF47" s="13"/>
      <c r="AG47" s="13"/>
      <c r="AH47" s="13"/>
      <c r="AI47" s="15"/>
    </row>
    <row r="48" spans="3:35">
      <c r="C48" s="12"/>
      <c r="D48" s="13"/>
      <c r="F48" s="543" t="s">
        <v>314</v>
      </c>
      <c r="G48" s="445"/>
      <c r="H48" s="393" t="s">
        <v>2</v>
      </c>
      <c r="I48" s="491" t="s">
        <v>312</v>
      </c>
      <c r="J48" s="491"/>
      <c r="K48" s="143"/>
      <c r="L48" s="393" t="s">
        <v>2</v>
      </c>
      <c r="M48" s="17"/>
      <c r="N48" s="17"/>
      <c r="O48" s="303">
        <f>V37</f>
        <v>160.54095999999998</v>
      </c>
      <c r="P48" s="303"/>
      <c r="Q48" s="303"/>
      <c r="R48" s="17" t="s">
        <v>27</v>
      </c>
      <c r="S48" s="281">
        <v>1000</v>
      </c>
      <c r="T48" s="281"/>
      <c r="U48" s="281"/>
      <c r="V48" s="17"/>
      <c r="W48" s="17"/>
      <c r="X48" s="17"/>
      <c r="Y48" s="13"/>
      <c r="Z48" s="13"/>
      <c r="AA48" s="13"/>
      <c r="AB48" s="13"/>
      <c r="AC48" s="13"/>
      <c r="AD48" s="13"/>
      <c r="AE48" s="13"/>
      <c r="AF48" s="13"/>
      <c r="AG48" s="13"/>
      <c r="AH48" s="13"/>
      <c r="AI48" s="15"/>
    </row>
    <row r="49" spans="2:35">
      <c r="C49" s="12"/>
      <c r="D49" s="13"/>
      <c r="F49" s="445"/>
      <c r="G49" s="445"/>
      <c r="H49" s="393"/>
      <c r="I49" s="544" t="s">
        <v>315</v>
      </c>
      <c r="J49" s="544"/>
      <c r="K49" s="144"/>
      <c r="L49" s="393"/>
      <c r="M49" s="1" t="s">
        <v>70</v>
      </c>
      <c r="N49" s="537">
        <f>'1.設計条件と鋼矢板・支保工の設定'!T42</f>
        <v>300</v>
      </c>
      <c r="O49" s="537"/>
      <c r="P49" s="31" t="s">
        <v>286</v>
      </c>
      <c r="Q49" s="31">
        <v>2</v>
      </c>
      <c r="R49" s="31" t="s">
        <v>27</v>
      </c>
      <c r="S49" s="537">
        <f>'1.設計条件と鋼矢板・支保工の設定'!T45</f>
        <v>15</v>
      </c>
      <c r="T49" s="537"/>
      <c r="U49" s="13" t="s">
        <v>84</v>
      </c>
      <c r="V49" s="13" t="s">
        <v>27</v>
      </c>
      <c r="W49" s="537">
        <f>'1.設計条件と鋼矢板・支保工の設定'!T44</f>
        <v>10</v>
      </c>
      <c r="X49" s="537"/>
      <c r="AF49" s="13"/>
      <c r="AG49" s="13"/>
      <c r="AH49" s="13"/>
      <c r="AI49" s="15"/>
    </row>
    <row r="50" spans="2:35">
      <c r="C50" s="12"/>
      <c r="D50" s="13"/>
      <c r="F50" s="36"/>
      <c r="G50" s="36"/>
      <c r="H50" s="28"/>
      <c r="I50" s="35"/>
      <c r="J50" s="35"/>
      <c r="K50" s="144"/>
      <c r="L50" s="28"/>
      <c r="M50" s="27"/>
      <c r="N50" s="27"/>
      <c r="O50" s="27"/>
      <c r="P50" s="13"/>
      <c r="Q50" s="27"/>
      <c r="R50" s="27"/>
      <c r="S50" s="13"/>
      <c r="T50" s="13"/>
      <c r="U50" s="13"/>
      <c r="V50" s="13"/>
      <c r="W50" s="13"/>
      <c r="X50" s="13"/>
      <c r="Y50" s="13"/>
      <c r="Z50" s="13"/>
      <c r="AA50" s="13"/>
      <c r="AB50" s="13"/>
      <c r="AC50" s="13"/>
      <c r="AD50" s="13"/>
      <c r="AE50" s="13"/>
      <c r="AF50" s="13"/>
      <c r="AG50" s="13"/>
      <c r="AH50" s="13"/>
      <c r="AI50" s="15"/>
    </row>
    <row r="51" spans="2:35" ht="19.8">
      <c r="C51" s="12"/>
      <c r="D51" s="13"/>
      <c r="E51" s="13"/>
      <c r="F51" s="13"/>
      <c r="G51" s="13"/>
      <c r="H51" s="13" t="s">
        <v>2</v>
      </c>
      <c r="I51" s="394">
        <f>O48*S48/(N49-Q49*S49)/W49</f>
        <v>59.459614814814813</v>
      </c>
      <c r="J51" s="392"/>
      <c r="K51" s="395"/>
      <c r="L51" s="13" t="s">
        <v>49</v>
      </c>
      <c r="M51" s="13"/>
      <c r="N51" s="13"/>
      <c r="O51" s="13"/>
      <c r="P51" s="13" t="str">
        <f>IF(I51&lt;=T51, "≦","&gt;")</f>
        <v>≦</v>
      </c>
      <c r="Q51" s="226" t="s">
        <v>326</v>
      </c>
      <c r="R51" s="210"/>
      <c r="S51" s="13" t="s">
        <v>2</v>
      </c>
      <c r="T51" s="309">
        <f>'1.設計条件と鋼矢板・支保工の設定'!T49</f>
        <v>120</v>
      </c>
      <c r="U51" s="309"/>
      <c r="V51" s="309"/>
      <c r="W51" s="13" t="s">
        <v>49</v>
      </c>
      <c r="X51" s="13"/>
      <c r="Y51" s="13"/>
      <c r="Z51" s="13"/>
      <c r="AA51" s="394" t="str">
        <f>IF(P51="≦","OK","NG")</f>
        <v>OK</v>
      </c>
      <c r="AB51" s="392"/>
      <c r="AC51" s="395"/>
      <c r="AD51" s="13"/>
      <c r="AE51" s="13"/>
      <c r="AF51" s="13"/>
      <c r="AG51" s="13"/>
      <c r="AH51" s="13"/>
      <c r="AI51" s="15"/>
    </row>
    <row r="52" spans="2:35">
      <c r="C52" s="16"/>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9"/>
    </row>
    <row r="54" spans="2:35">
      <c r="B54" s="1" t="s">
        <v>327</v>
      </c>
      <c r="W54" t="s">
        <v>328</v>
      </c>
    </row>
    <row r="55" spans="2:35">
      <c r="C55" s="9" t="s">
        <v>439</v>
      </c>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1"/>
    </row>
    <row r="56" spans="2:35" ht="18.75" customHeight="1">
      <c r="C56" s="12"/>
      <c r="D56" s="13" t="s">
        <v>339</v>
      </c>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45"/>
    </row>
    <row r="57" spans="2:35" ht="18.75" customHeight="1">
      <c r="C57" s="12"/>
      <c r="D57" s="13"/>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45"/>
    </row>
    <row r="58" spans="2:35">
      <c r="C58" s="142"/>
      <c r="D58" s="13" t="s">
        <v>340</v>
      </c>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45"/>
    </row>
    <row r="59" spans="2:35">
      <c r="C59" s="12"/>
      <c r="D59" s="13" t="s">
        <v>345</v>
      </c>
      <c r="E59" s="13"/>
      <c r="F59" s="13"/>
      <c r="G59" s="13"/>
      <c r="H59" s="13"/>
      <c r="I59" s="13"/>
      <c r="J59" s="13"/>
      <c r="K59" s="13"/>
      <c r="L59" s="13"/>
      <c r="M59" s="210" t="s">
        <v>338</v>
      </c>
      <c r="N59" s="210"/>
      <c r="O59" s="13" t="s">
        <v>2</v>
      </c>
      <c r="P59" s="220">
        <v>150</v>
      </c>
      <c r="Q59" s="222"/>
      <c r="R59" s="13" t="s">
        <v>278</v>
      </c>
      <c r="S59" s="13"/>
      <c r="T59" s="13"/>
      <c r="U59" s="32" t="s">
        <v>346</v>
      </c>
      <c r="V59" s="13"/>
      <c r="W59" s="13"/>
      <c r="X59" s="13"/>
      <c r="Y59" s="13"/>
      <c r="Z59" s="13"/>
      <c r="AA59" s="13"/>
      <c r="AB59" s="13"/>
      <c r="AC59" s="13"/>
      <c r="AD59" s="13"/>
      <c r="AE59" s="13"/>
      <c r="AF59" s="13"/>
      <c r="AG59" s="13"/>
      <c r="AH59" s="13"/>
      <c r="AI59" s="15"/>
    </row>
    <row r="60" spans="2:35">
      <c r="C60" s="12"/>
      <c r="D60" s="13"/>
      <c r="E60" s="13"/>
      <c r="F60" s="13"/>
      <c r="G60" s="13"/>
      <c r="H60" s="13"/>
      <c r="I60" s="13"/>
      <c r="J60" s="13"/>
      <c r="K60" s="13"/>
      <c r="L60" s="13"/>
      <c r="M60" s="35"/>
      <c r="N60" s="35"/>
      <c r="O60" s="13"/>
      <c r="P60" s="146"/>
      <c r="Q60" s="146"/>
      <c r="R60" s="13"/>
      <c r="S60" s="13"/>
      <c r="T60" s="13"/>
      <c r="U60" s="32"/>
      <c r="V60" s="13"/>
      <c r="W60" s="13"/>
      <c r="X60" s="13"/>
      <c r="Y60" s="13"/>
      <c r="Z60" s="13"/>
      <c r="AA60" s="13"/>
      <c r="AB60" s="13"/>
      <c r="AC60" s="13"/>
      <c r="AD60" s="13"/>
      <c r="AE60" s="13"/>
      <c r="AF60" s="13"/>
      <c r="AG60" s="13"/>
      <c r="AH60" s="13"/>
      <c r="AI60" s="15"/>
    </row>
    <row r="61" spans="2:35">
      <c r="C61" s="12"/>
      <c r="D61" s="13" t="s">
        <v>68</v>
      </c>
      <c r="E61" s="13"/>
      <c r="F61" s="13"/>
      <c r="G61" s="13"/>
      <c r="H61" s="13"/>
      <c r="I61" s="13"/>
      <c r="J61" s="13"/>
      <c r="K61" s="13"/>
      <c r="L61" s="13"/>
      <c r="M61" s="13"/>
      <c r="N61" s="13"/>
      <c r="O61" s="13"/>
      <c r="P61" s="13"/>
      <c r="Q61" s="13"/>
      <c r="R61" s="13"/>
      <c r="S61" s="13"/>
      <c r="T61" s="13"/>
      <c r="U61" s="32"/>
      <c r="V61" s="14"/>
      <c r="W61" s="14"/>
      <c r="X61" s="14"/>
      <c r="Y61" s="13"/>
      <c r="Z61" s="13"/>
      <c r="AA61" s="13"/>
      <c r="AB61" s="13"/>
      <c r="AC61" s="13"/>
      <c r="AD61" s="13"/>
      <c r="AE61" s="13"/>
      <c r="AF61" s="13"/>
      <c r="AG61" s="13"/>
      <c r="AH61" s="13"/>
      <c r="AI61" s="15"/>
    </row>
    <row r="62" spans="2:35">
      <c r="C62" s="12"/>
      <c r="D62" s="13"/>
      <c r="E62" s="13"/>
      <c r="F62" s="210" t="s">
        <v>341</v>
      </c>
      <c r="G62" s="210"/>
      <c r="H62" s="13" t="s">
        <v>2</v>
      </c>
      <c r="I62" s="226" t="s">
        <v>471</v>
      </c>
      <c r="J62" s="226"/>
      <c r="K62" s="226"/>
      <c r="L62" s="226"/>
      <c r="M62" s="13" t="s">
        <v>69</v>
      </c>
      <c r="N62" s="210" t="s">
        <v>338</v>
      </c>
      <c r="O62" s="210"/>
      <c r="P62" s="146"/>
      <c r="Q62" s="13"/>
      <c r="R62" s="13"/>
      <c r="S62" s="13"/>
      <c r="T62" s="13"/>
      <c r="U62" s="13"/>
      <c r="V62" s="13"/>
      <c r="W62" s="13"/>
      <c r="X62" s="13"/>
      <c r="Y62" s="13"/>
      <c r="Z62" s="13"/>
      <c r="AA62" s="13"/>
      <c r="AB62" s="13"/>
      <c r="AC62" s="13"/>
      <c r="AD62" s="13"/>
      <c r="AE62" s="13"/>
      <c r="AF62" s="13"/>
      <c r="AG62" s="13"/>
      <c r="AH62" s="13"/>
      <c r="AI62" s="15"/>
    </row>
    <row r="63" spans="2:35">
      <c r="C63" s="12"/>
      <c r="D63" s="13"/>
      <c r="E63" s="13"/>
      <c r="F63" s="13"/>
      <c r="G63" s="13"/>
      <c r="H63" s="13" t="s">
        <v>2</v>
      </c>
      <c r="I63" s="294">
        <f>J25</f>
        <v>80.270479999999992</v>
      </c>
      <c r="J63" s="294"/>
      <c r="K63" s="294"/>
      <c r="L63" s="13" t="s">
        <v>27</v>
      </c>
      <c r="M63" s="294">
        <f>'1.設計条件と鋼矢板・支保工の設定'!T54</f>
        <v>4</v>
      </c>
      <c r="N63" s="294"/>
      <c r="O63" s="294"/>
      <c r="P63" s="146"/>
      <c r="Q63" s="13" t="s">
        <v>69</v>
      </c>
      <c r="R63" s="537">
        <f>P59</f>
        <v>150</v>
      </c>
      <c r="S63" s="537"/>
      <c r="T63" s="537"/>
      <c r="U63" s="32"/>
      <c r="V63" s="14"/>
      <c r="W63" s="14"/>
      <c r="X63" s="14"/>
      <c r="Y63" s="13"/>
      <c r="Z63" s="13"/>
      <c r="AA63" s="13"/>
      <c r="AB63" s="13"/>
      <c r="AC63" s="13"/>
      <c r="AD63" s="13"/>
      <c r="AE63" s="13"/>
      <c r="AF63" s="13"/>
      <c r="AG63" s="13"/>
      <c r="AH63" s="13"/>
      <c r="AI63" s="15"/>
    </row>
    <row r="64" spans="2:35">
      <c r="C64" s="12"/>
      <c r="D64" s="13"/>
      <c r="E64" s="13"/>
      <c r="F64" s="13"/>
      <c r="G64" s="13"/>
      <c r="H64" s="13" t="s">
        <v>2</v>
      </c>
      <c r="I64" s="394">
        <f>I63*M63+R63</f>
        <v>471.08191999999997</v>
      </c>
      <c r="J64" s="392"/>
      <c r="K64" s="395"/>
      <c r="L64" s="13" t="s">
        <v>278</v>
      </c>
      <c r="M64" s="13"/>
      <c r="N64" s="13"/>
      <c r="O64" s="146"/>
      <c r="P64" s="146"/>
      <c r="Q64" s="13"/>
      <c r="R64" s="13"/>
      <c r="S64" s="13"/>
      <c r="T64" s="13"/>
      <c r="U64" s="32"/>
      <c r="V64" s="14"/>
      <c r="W64" s="14"/>
      <c r="X64" s="14"/>
      <c r="Y64" s="13"/>
      <c r="Z64" s="13"/>
      <c r="AA64" s="13"/>
      <c r="AB64" s="13"/>
      <c r="AC64" s="13"/>
      <c r="AD64" s="13"/>
      <c r="AE64" s="13"/>
      <c r="AF64" s="13"/>
      <c r="AG64" s="13"/>
      <c r="AH64" s="13"/>
      <c r="AI64" s="15"/>
    </row>
    <row r="65" spans="3:35">
      <c r="C65" s="12"/>
      <c r="D65" s="13"/>
      <c r="E65" s="13"/>
      <c r="F65" s="13"/>
      <c r="G65" s="13"/>
      <c r="H65" s="13"/>
      <c r="I65" s="14"/>
      <c r="J65" s="14"/>
      <c r="K65" s="14"/>
      <c r="L65" s="13"/>
      <c r="M65" s="13"/>
      <c r="N65" s="13"/>
      <c r="O65" s="146"/>
      <c r="P65" s="146"/>
      <c r="Q65" s="13"/>
      <c r="R65" s="13"/>
      <c r="S65" s="13"/>
      <c r="T65" s="13"/>
      <c r="U65" s="32"/>
      <c r="V65" s="14"/>
      <c r="W65" s="14"/>
      <c r="X65" s="14"/>
      <c r="Y65" s="13"/>
      <c r="Z65" s="13"/>
      <c r="AA65" s="13"/>
      <c r="AB65" s="13"/>
      <c r="AC65" s="13"/>
      <c r="AD65" s="13"/>
      <c r="AE65" s="13"/>
      <c r="AF65" s="13"/>
      <c r="AG65" s="13"/>
      <c r="AH65" s="13"/>
      <c r="AI65" s="15"/>
    </row>
    <row r="66" spans="3:35">
      <c r="C66" s="12"/>
      <c r="D66" s="13"/>
      <c r="E66" s="13"/>
      <c r="F66" s="13"/>
      <c r="G66" s="13"/>
      <c r="H66" s="13"/>
      <c r="I66" s="14"/>
      <c r="J66" s="14"/>
      <c r="K66" s="14"/>
      <c r="L66" s="13"/>
      <c r="M66" s="13"/>
      <c r="N66" s="13"/>
      <c r="O66" s="146"/>
      <c r="P66" s="146"/>
      <c r="Q66" s="13"/>
      <c r="R66" s="13"/>
      <c r="S66" s="13"/>
      <c r="T66" s="13"/>
      <c r="U66" s="32"/>
      <c r="V66" s="14"/>
      <c r="W66" s="14"/>
      <c r="X66" s="14"/>
      <c r="Y66" s="13"/>
      <c r="Z66" s="13"/>
      <c r="AA66" s="13"/>
      <c r="AB66" s="13"/>
      <c r="AC66" s="13"/>
      <c r="AD66" s="13"/>
      <c r="AE66" s="13"/>
      <c r="AF66" s="13"/>
      <c r="AG66" s="13"/>
      <c r="AH66" s="13"/>
      <c r="AI66" s="15"/>
    </row>
    <row r="67" spans="3:35">
      <c r="C67" s="12"/>
      <c r="D67" s="13" t="s">
        <v>342</v>
      </c>
      <c r="E67" s="13"/>
      <c r="F67" s="13"/>
      <c r="G67" s="13"/>
      <c r="H67" s="13"/>
      <c r="I67" s="13"/>
      <c r="J67" s="13"/>
      <c r="K67" s="13"/>
      <c r="L67" s="13"/>
      <c r="M67" s="13"/>
      <c r="N67" s="13"/>
      <c r="O67" s="146"/>
      <c r="P67" s="146"/>
      <c r="Q67" s="13"/>
      <c r="R67" s="13"/>
      <c r="S67" s="13"/>
      <c r="T67" s="13"/>
      <c r="U67" s="32"/>
      <c r="V67" s="14"/>
      <c r="W67" s="14"/>
      <c r="X67" s="14"/>
      <c r="Y67" s="13"/>
      <c r="Z67" s="13"/>
      <c r="AA67" s="13"/>
      <c r="AB67" s="13"/>
      <c r="AC67" s="13"/>
      <c r="AD67" s="13"/>
      <c r="AE67" s="13"/>
      <c r="AF67" s="13"/>
      <c r="AG67" s="13"/>
      <c r="AH67" s="13"/>
      <c r="AI67" s="15"/>
    </row>
    <row r="68" spans="3:35">
      <c r="C68" s="12"/>
      <c r="D68" s="13" t="s">
        <v>343</v>
      </c>
      <c r="E68" s="13"/>
      <c r="F68" s="13"/>
      <c r="G68" s="13"/>
      <c r="H68" s="13"/>
      <c r="I68" s="13"/>
      <c r="J68" s="13"/>
      <c r="K68" s="13"/>
      <c r="L68" s="13"/>
      <c r="M68" s="13"/>
      <c r="N68" s="13"/>
      <c r="O68" s="220">
        <v>5</v>
      </c>
      <c r="P68" s="222"/>
      <c r="Q68" s="13" t="s">
        <v>300</v>
      </c>
      <c r="R68" s="13"/>
      <c r="S68" s="13"/>
      <c r="T68" s="13" t="s">
        <v>344</v>
      </c>
      <c r="U68" s="32"/>
      <c r="V68" s="14"/>
      <c r="W68" s="14"/>
      <c r="X68" s="14"/>
      <c r="Y68" s="13"/>
      <c r="Z68" s="13"/>
      <c r="AA68" s="13"/>
      <c r="AB68" s="13"/>
      <c r="AC68" s="13"/>
      <c r="AD68" s="13"/>
      <c r="AE68" s="13"/>
      <c r="AF68" s="13"/>
      <c r="AG68" s="13"/>
      <c r="AH68" s="13"/>
      <c r="AI68" s="15"/>
    </row>
    <row r="69" spans="3:35">
      <c r="C69" s="12"/>
      <c r="D69" s="13"/>
      <c r="E69" s="13"/>
      <c r="F69" s="13"/>
      <c r="G69" s="13"/>
      <c r="H69" s="13"/>
      <c r="I69" s="13"/>
      <c r="J69" s="13"/>
      <c r="K69" s="13"/>
      <c r="L69" s="13"/>
      <c r="M69" s="13"/>
      <c r="N69" s="13"/>
      <c r="O69" s="146"/>
      <c r="P69" s="146"/>
      <c r="Q69" s="13"/>
      <c r="R69" s="13"/>
      <c r="S69" s="13"/>
      <c r="T69" s="13"/>
      <c r="U69" s="32"/>
      <c r="V69" s="14"/>
      <c r="W69" s="14"/>
      <c r="X69" s="14"/>
      <c r="Y69" s="13"/>
      <c r="Z69" s="13"/>
      <c r="AA69" s="13"/>
      <c r="AB69" s="13"/>
      <c r="AC69" s="13"/>
      <c r="AD69" s="13"/>
      <c r="AE69" s="13"/>
      <c r="AF69" s="13"/>
      <c r="AG69" s="13"/>
      <c r="AH69" s="13"/>
      <c r="AI69" s="15"/>
    </row>
    <row r="70" spans="3:35">
      <c r="C70" s="12"/>
      <c r="D70" s="13" t="s">
        <v>68</v>
      </c>
      <c r="E70" s="13"/>
      <c r="F70" s="13"/>
      <c r="G70" s="13"/>
      <c r="H70" s="13"/>
      <c r="I70" s="13"/>
      <c r="J70" s="13"/>
      <c r="K70" s="13"/>
      <c r="L70" s="13"/>
      <c r="M70" s="13"/>
      <c r="N70" s="13"/>
      <c r="O70" s="146"/>
      <c r="P70" s="146"/>
      <c r="Q70" s="13"/>
      <c r="R70" s="13"/>
      <c r="S70" s="13"/>
      <c r="T70" s="13"/>
      <c r="U70" s="32"/>
      <c r="V70" s="14"/>
      <c r="W70" s="14"/>
      <c r="X70" s="14"/>
      <c r="Y70" s="13"/>
      <c r="Z70" s="13"/>
      <c r="AA70" s="13"/>
      <c r="AB70" s="13"/>
      <c r="AC70" s="13"/>
      <c r="AD70" s="13"/>
      <c r="AE70" s="13"/>
      <c r="AF70" s="13"/>
      <c r="AG70" s="13"/>
      <c r="AH70" s="13"/>
      <c r="AI70" s="15"/>
    </row>
    <row r="71" spans="3:35" ht="19.8">
      <c r="C71" s="12"/>
      <c r="D71" s="13"/>
      <c r="E71" s="13"/>
      <c r="F71" s="445" t="s">
        <v>126</v>
      </c>
      <c r="G71" s="445"/>
      <c r="H71" s="393" t="s">
        <v>2</v>
      </c>
      <c r="I71" s="490" t="s">
        <v>347</v>
      </c>
      <c r="J71" s="490"/>
      <c r="K71" s="490"/>
      <c r="L71" s="490"/>
      <c r="M71" s="13"/>
      <c r="N71" s="393" t="s">
        <v>2</v>
      </c>
      <c r="O71" s="558">
        <f>O68</f>
        <v>5</v>
      </c>
      <c r="P71" s="558"/>
      <c r="Q71" s="140" t="s">
        <v>27</v>
      </c>
      <c r="R71" s="559">
        <f>'1.設計条件と鋼矢板・支保工の設定'!T55</f>
        <v>3.1999999999999997</v>
      </c>
      <c r="S71" s="559"/>
      <c r="T71" s="141" t="s">
        <v>309</v>
      </c>
      <c r="U71" s="32"/>
      <c r="V71" s="14"/>
      <c r="W71" s="14"/>
      <c r="X71" s="14"/>
      <c r="Y71" s="13"/>
      <c r="Z71" s="13"/>
      <c r="AA71" s="13"/>
      <c r="AB71" s="13"/>
      <c r="AC71" s="13"/>
      <c r="AD71" s="13"/>
      <c r="AE71" s="13"/>
      <c r="AF71" s="13"/>
      <c r="AG71" s="13"/>
      <c r="AH71" s="13"/>
      <c r="AI71" s="15"/>
    </row>
    <row r="72" spans="3:35">
      <c r="C72" s="12"/>
      <c r="D72" s="13"/>
      <c r="E72" s="13"/>
      <c r="F72" s="445"/>
      <c r="G72" s="445"/>
      <c r="H72" s="393"/>
      <c r="I72" s="550">
        <v>8</v>
      </c>
      <c r="J72" s="550"/>
      <c r="K72" s="550"/>
      <c r="L72" s="550"/>
      <c r="M72" s="13"/>
      <c r="N72" s="393"/>
      <c r="O72" s="550">
        <f>I72</f>
        <v>8</v>
      </c>
      <c r="P72" s="550"/>
      <c r="Q72" s="550"/>
      <c r="R72" s="550"/>
      <c r="S72" s="550"/>
      <c r="T72" s="550"/>
      <c r="U72" s="32"/>
      <c r="V72" s="14"/>
      <c r="W72" s="14"/>
      <c r="X72" s="14"/>
      <c r="Y72" s="13"/>
      <c r="Z72" s="13"/>
      <c r="AA72" s="13"/>
      <c r="AB72" s="13"/>
      <c r="AC72" s="13"/>
      <c r="AD72" s="13"/>
      <c r="AE72" s="13"/>
      <c r="AF72" s="13"/>
      <c r="AG72" s="13"/>
      <c r="AH72" s="13"/>
      <c r="AI72" s="15"/>
    </row>
    <row r="73" spans="3:35">
      <c r="C73" s="12"/>
      <c r="D73" s="13"/>
      <c r="E73" s="13"/>
      <c r="F73" s="13"/>
      <c r="G73" s="13"/>
      <c r="H73" s="13" t="s">
        <v>2</v>
      </c>
      <c r="I73" s="394">
        <f>O71*R71^2/O72</f>
        <v>6.3999999999999986</v>
      </c>
      <c r="J73" s="392"/>
      <c r="K73" s="395"/>
      <c r="L73" s="13" t="s">
        <v>292</v>
      </c>
      <c r="M73" s="13"/>
      <c r="N73" s="13"/>
      <c r="O73" s="13"/>
      <c r="P73" s="13"/>
      <c r="Q73" s="13"/>
      <c r="R73" s="13"/>
      <c r="S73" s="13"/>
      <c r="T73" s="13"/>
      <c r="U73" s="32"/>
      <c r="V73" s="14"/>
      <c r="W73" s="14"/>
      <c r="X73" s="14"/>
      <c r="Y73" s="13"/>
      <c r="Z73" s="13"/>
      <c r="AA73" s="13"/>
      <c r="AB73" s="13"/>
      <c r="AC73" s="13"/>
      <c r="AD73" s="13"/>
      <c r="AE73" s="13"/>
      <c r="AF73" s="13"/>
      <c r="AG73" s="13"/>
      <c r="AH73" s="13"/>
      <c r="AI73" s="15"/>
    </row>
    <row r="74" spans="3:35">
      <c r="C74" s="12"/>
      <c r="D74" s="13"/>
      <c r="E74" s="13"/>
      <c r="F74" s="13"/>
      <c r="G74" s="13"/>
      <c r="H74" s="13"/>
      <c r="I74" s="24"/>
      <c r="J74" s="24"/>
      <c r="K74" s="24"/>
      <c r="L74" s="13"/>
      <c r="M74" s="13"/>
      <c r="N74" s="13"/>
      <c r="O74" s="13"/>
      <c r="P74" s="13"/>
      <c r="Q74" s="13"/>
      <c r="R74" s="13"/>
      <c r="S74" s="13"/>
      <c r="T74" s="13"/>
      <c r="U74" s="32"/>
      <c r="V74" s="14"/>
      <c r="W74" s="14"/>
      <c r="X74" s="14"/>
      <c r="Y74" s="13"/>
      <c r="Z74" s="13"/>
      <c r="AA74" s="13"/>
      <c r="AB74" s="13"/>
      <c r="AC74" s="13"/>
      <c r="AD74" s="13"/>
      <c r="AE74" s="13"/>
      <c r="AF74" s="13"/>
      <c r="AG74" s="13"/>
      <c r="AH74" s="13"/>
      <c r="AI74" s="15"/>
    </row>
    <row r="75" spans="3:35">
      <c r="C75" s="12" t="s">
        <v>440</v>
      </c>
      <c r="D75" s="13"/>
      <c r="E75" s="13"/>
      <c r="F75" s="13"/>
      <c r="G75" s="13"/>
      <c r="H75" s="13"/>
      <c r="I75" s="13"/>
      <c r="J75" s="13"/>
      <c r="K75" s="13"/>
      <c r="L75" s="13"/>
      <c r="M75" s="13"/>
      <c r="N75" s="13"/>
      <c r="O75" s="13"/>
      <c r="P75" s="13"/>
      <c r="Q75" s="13"/>
      <c r="R75" s="13"/>
      <c r="S75" s="13"/>
      <c r="T75" s="13"/>
      <c r="U75" s="13"/>
      <c r="V75" s="13"/>
      <c r="W75" t="s">
        <v>348</v>
      </c>
      <c r="X75" s="13"/>
      <c r="Y75" s="13"/>
      <c r="Z75" s="13"/>
      <c r="AA75" s="13"/>
      <c r="AB75" s="13"/>
      <c r="AC75" s="13"/>
      <c r="AD75" s="13"/>
      <c r="AE75" s="13"/>
      <c r="AF75" s="13"/>
      <c r="AG75" s="13"/>
      <c r="AH75" s="13"/>
      <c r="AI75" s="15"/>
    </row>
    <row r="76" spans="3:35">
      <c r="C76" s="12"/>
      <c r="D76" s="1" t="s">
        <v>441</v>
      </c>
      <c r="AI76" s="15"/>
    </row>
    <row r="77" spans="3:35">
      <c r="C77" s="12"/>
      <c r="AI77" s="15"/>
    </row>
    <row r="78" spans="3:35">
      <c r="C78" s="12"/>
      <c r="E78" s="13" t="s">
        <v>422</v>
      </c>
      <c r="F78" s="13"/>
      <c r="G78" s="13"/>
      <c r="H78" s="13"/>
      <c r="I78" s="13"/>
      <c r="J78" s="13"/>
      <c r="K78" s="13"/>
      <c r="L78" s="13"/>
      <c r="M78" s="13"/>
      <c r="N78" s="13"/>
      <c r="O78" s="13"/>
      <c r="P78" s="13"/>
      <c r="Q78" s="13"/>
      <c r="R78" s="13"/>
      <c r="S78" s="13"/>
      <c r="T78" s="13"/>
      <c r="U78" s="13"/>
      <c r="V78" s="13"/>
      <c r="W78"/>
      <c r="X78" s="13"/>
      <c r="Y78" s="13"/>
      <c r="Z78" s="13"/>
      <c r="AA78" s="13"/>
      <c r="AB78" s="13"/>
      <c r="AC78" s="13"/>
      <c r="AI78" s="15"/>
    </row>
    <row r="79" spans="3:35">
      <c r="C79" s="12"/>
      <c r="D79" s="13"/>
      <c r="E79" s="13"/>
      <c r="F79" s="491" t="s">
        <v>350</v>
      </c>
      <c r="G79" s="491"/>
      <c r="H79" s="393" t="s">
        <v>69</v>
      </c>
      <c r="I79" s="17"/>
      <c r="J79" s="17"/>
      <c r="K79" s="17"/>
      <c r="L79" s="17"/>
      <c r="M79" s="491" t="s">
        <v>349</v>
      </c>
      <c r="N79" s="491"/>
      <c r="O79" s="17"/>
      <c r="P79" s="17"/>
      <c r="Q79" s="17"/>
      <c r="R79" s="17"/>
      <c r="S79" s="393" t="s">
        <v>69</v>
      </c>
      <c r="T79" s="17"/>
      <c r="U79" s="17"/>
      <c r="V79" s="17"/>
      <c r="W79" s="17"/>
      <c r="X79" s="491" t="s">
        <v>355</v>
      </c>
      <c r="Y79" s="491"/>
      <c r="Z79" s="17"/>
      <c r="AA79" s="17"/>
      <c r="AB79" s="17"/>
      <c r="AC79" s="17"/>
      <c r="AE79" s="547" t="s">
        <v>358</v>
      </c>
      <c r="AF79" s="583">
        <v>1</v>
      </c>
      <c r="AI79" s="15"/>
    </row>
    <row r="80" spans="3:35">
      <c r="C80" s="12"/>
      <c r="D80" s="13"/>
      <c r="E80" s="13"/>
      <c r="F80" s="210" t="s">
        <v>351</v>
      </c>
      <c r="G80" s="210"/>
      <c r="H80" s="393"/>
      <c r="I80" s="210" t="s">
        <v>354</v>
      </c>
      <c r="J80" s="210"/>
      <c r="K80" s="40" t="s">
        <v>352</v>
      </c>
      <c r="L80" s="13" t="s">
        <v>286</v>
      </c>
      <c r="M80" s="210" t="s">
        <v>350</v>
      </c>
      <c r="N80" s="210"/>
      <c r="O80" s="13" t="s">
        <v>71</v>
      </c>
      <c r="P80" s="210" t="s">
        <v>353</v>
      </c>
      <c r="Q80" s="210"/>
      <c r="R80" s="13" t="s">
        <v>84</v>
      </c>
      <c r="S80" s="393"/>
      <c r="T80" s="210" t="s">
        <v>356</v>
      </c>
      <c r="U80" s="210"/>
      <c r="V80" s="40" t="s">
        <v>352</v>
      </c>
      <c r="W80" s="13" t="s">
        <v>286</v>
      </c>
      <c r="X80" s="210" t="s">
        <v>350</v>
      </c>
      <c r="Y80" s="210"/>
      <c r="Z80" s="13" t="s">
        <v>71</v>
      </c>
      <c r="AA80" s="210" t="s">
        <v>357</v>
      </c>
      <c r="AB80" s="210"/>
      <c r="AC80" s="13" t="s">
        <v>84</v>
      </c>
      <c r="AE80" s="547"/>
      <c r="AF80" s="583"/>
      <c r="AI80" s="15"/>
    </row>
    <row r="81" spans="3:35">
      <c r="C81" s="12"/>
      <c r="AI81" s="15"/>
    </row>
    <row r="82" spans="3:35">
      <c r="C82" s="12"/>
      <c r="AI82" s="15"/>
    </row>
    <row r="83" spans="3:35">
      <c r="C83" s="12"/>
      <c r="E83" s="13" t="s">
        <v>423</v>
      </c>
      <c r="F83" s="13"/>
      <c r="G83" s="13"/>
      <c r="H83" s="13"/>
      <c r="I83" s="13"/>
      <c r="J83" s="13"/>
      <c r="K83" s="13"/>
      <c r="L83" s="13"/>
      <c r="M83" s="13"/>
      <c r="N83" s="13"/>
      <c r="O83" s="13"/>
      <c r="P83" s="13"/>
      <c r="Q83" s="13"/>
      <c r="R83" s="13"/>
      <c r="S83" s="13"/>
      <c r="T83" s="13"/>
      <c r="U83" s="13"/>
      <c r="V83" s="13"/>
      <c r="W83"/>
      <c r="X83" s="13"/>
      <c r="Y83" s="13"/>
      <c r="AI83" s="15"/>
    </row>
    <row r="84" spans="3:35" ht="20.25" customHeight="1">
      <c r="C84" s="12"/>
      <c r="D84" s="13"/>
      <c r="E84" s="13"/>
      <c r="F84" s="445" t="s">
        <v>350</v>
      </c>
      <c r="G84" s="445"/>
      <c r="H84" s="393" t="s">
        <v>69</v>
      </c>
      <c r="I84" s="17"/>
      <c r="J84" s="17"/>
      <c r="K84" s="17"/>
      <c r="L84" s="491" t="s">
        <v>349</v>
      </c>
      <c r="M84" s="491"/>
      <c r="N84" s="17"/>
      <c r="O84" s="17"/>
      <c r="P84" s="17"/>
      <c r="Q84" s="393" t="s">
        <v>69</v>
      </c>
      <c r="R84" s="17"/>
      <c r="S84" s="17"/>
      <c r="T84" s="17"/>
      <c r="U84" s="491" t="s">
        <v>355</v>
      </c>
      <c r="V84" s="491"/>
      <c r="W84" s="17"/>
      <c r="X84" s="17"/>
      <c r="Y84" s="17"/>
      <c r="AB84" s="547" t="s">
        <v>358</v>
      </c>
      <c r="AC84" s="445" t="s">
        <v>359</v>
      </c>
      <c r="AD84" s="445"/>
      <c r="AI84" s="15"/>
    </row>
    <row r="85" spans="3:35">
      <c r="C85" s="12"/>
      <c r="D85" s="13"/>
      <c r="E85" s="13"/>
      <c r="F85" s="445"/>
      <c r="G85" s="445"/>
      <c r="H85" s="393"/>
      <c r="I85" s="13" t="s">
        <v>352</v>
      </c>
      <c r="J85" s="13" t="s">
        <v>286</v>
      </c>
      <c r="K85" s="210" t="s">
        <v>350</v>
      </c>
      <c r="L85" s="210"/>
      <c r="M85" s="13" t="s">
        <v>71</v>
      </c>
      <c r="N85" s="210" t="s">
        <v>353</v>
      </c>
      <c r="O85" s="210"/>
      <c r="P85" s="13" t="s">
        <v>84</v>
      </c>
      <c r="Q85" s="393"/>
      <c r="R85" s="13" t="s">
        <v>352</v>
      </c>
      <c r="S85" s="13" t="s">
        <v>286</v>
      </c>
      <c r="T85" s="210" t="s">
        <v>350</v>
      </c>
      <c r="U85" s="210"/>
      <c r="V85" s="13" t="s">
        <v>71</v>
      </c>
      <c r="W85" s="210" t="s">
        <v>357</v>
      </c>
      <c r="X85" s="210"/>
      <c r="Y85" s="13" t="s">
        <v>84</v>
      </c>
      <c r="AB85" s="547"/>
      <c r="AC85" s="445"/>
      <c r="AD85" s="445"/>
      <c r="AI85" s="15"/>
    </row>
    <row r="86" spans="3:35">
      <c r="C86" s="12"/>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5"/>
    </row>
    <row r="87" spans="3:35">
      <c r="C87" s="12"/>
      <c r="D87" s="13"/>
      <c r="E87" s="13" t="s">
        <v>42</v>
      </c>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5"/>
    </row>
    <row r="88" spans="3:35" ht="19.8">
      <c r="C88" s="12"/>
      <c r="D88" s="13"/>
      <c r="E88" s="9"/>
      <c r="F88" s="10"/>
      <c r="G88" s="544" t="s">
        <v>350</v>
      </c>
      <c r="H88" s="544"/>
      <c r="I88" s="10" t="s">
        <v>360</v>
      </c>
      <c r="J88" s="10"/>
      <c r="K88" s="10"/>
      <c r="L88" s="10"/>
      <c r="M88" s="10"/>
      <c r="N88" s="10"/>
      <c r="O88" s="10"/>
      <c r="P88" s="10"/>
      <c r="Q88" s="10"/>
      <c r="R88" s="10"/>
      <c r="S88" s="10"/>
      <c r="T88" s="10"/>
      <c r="U88" s="10"/>
      <c r="V88" s="10"/>
      <c r="W88" s="3"/>
      <c r="X88" s="10"/>
      <c r="Y88" s="10"/>
      <c r="Z88" s="10"/>
      <c r="AA88" s="10"/>
      <c r="AB88" s="10"/>
      <c r="AC88" s="10"/>
      <c r="AD88" s="10"/>
      <c r="AE88" s="10"/>
      <c r="AF88" s="10"/>
      <c r="AG88" s="10"/>
      <c r="AH88" s="11"/>
      <c r="AI88" s="15"/>
    </row>
    <row r="89" spans="3:35">
      <c r="C89" s="12"/>
      <c r="D89" s="13"/>
      <c r="E89" s="12"/>
      <c r="F89" s="13"/>
      <c r="G89" s="565" t="s">
        <v>350</v>
      </c>
      <c r="H89" s="565"/>
      <c r="I89" s="393" t="s">
        <v>2</v>
      </c>
      <c r="J89" s="161" t="s">
        <v>341</v>
      </c>
      <c r="K89" s="34"/>
      <c r="L89" s="13"/>
      <c r="M89" s="393" t="s">
        <v>2</v>
      </c>
      <c r="N89" s="282">
        <f>I64</f>
        <v>471.08191999999997</v>
      </c>
      <c r="O89" s="282"/>
      <c r="P89" s="282"/>
      <c r="Q89" s="17" t="s">
        <v>27</v>
      </c>
      <c r="R89" s="281">
        <v>1000</v>
      </c>
      <c r="S89" s="281"/>
      <c r="T89" s="13"/>
      <c r="U89" s="393" t="s">
        <v>2</v>
      </c>
      <c r="V89" s="284">
        <f>N89*R89/N90/R90</f>
        <v>91.41896371045992</v>
      </c>
      <c r="W89" s="285"/>
      <c r="X89" s="13"/>
      <c r="Y89" s="13"/>
      <c r="Z89" s="13"/>
      <c r="AA89" s="13"/>
      <c r="AB89" s="13"/>
      <c r="AC89" s="13"/>
      <c r="AD89" s="13"/>
      <c r="AE89" s="13"/>
      <c r="AF89" s="13"/>
      <c r="AG89" s="13"/>
      <c r="AH89" s="15"/>
      <c r="AI89" s="15"/>
    </row>
    <row r="90" spans="3:35">
      <c r="C90" s="12"/>
      <c r="D90" s="13"/>
      <c r="E90" s="12"/>
      <c r="F90" s="13"/>
      <c r="G90" s="565"/>
      <c r="H90" s="565"/>
      <c r="I90" s="393"/>
      <c r="J90" s="35" t="s">
        <v>255</v>
      </c>
      <c r="K90" s="13"/>
      <c r="L90" s="13"/>
      <c r="M90" s="393"/>
      <c r="N90" s="293">
        <f>'1.設計条件と鋼矢板・支保工の設定'!T62</f>
        <v>51.53</v>
      </c>
      <c r="O90" s="293"/>
      <c r="P90" s="293"/>
      <c r="Q90" s="13" t="s">
        <v>27</v>
      </c>
      <c r="R90" s="537">
        <v>100</v>
      </c>
      <c r="S90" s="537"/>
      <c r="T90" s="13"/>
      <c r="U90" s="393"/>
      <c r="V90" s="286"/>
      <c r="W90" s="287"/>
      <c r="X90" s="13"/>
      <c r="Y90" s="13"/>
      <c r="Z90" s="13"/>
      <c r="AA90" s="13"/>
      <c r="AB90" s="13"/>
      <c r="AC90" s="13"/>
      <c r="AD90" s="13"/>
      <c r="AE90" s="13"/>
      <c r="AF90" s="13"/>
      <c r="AG90" s="13"/>
      <c r="AH90" s="15"/>
      <c r="AI90" s="15"/>
    </row>
    <row r="91" spans="3:35">
      <c r="C91" s="12"/>
      <c r="D91" s="13"/>
      <c r="E91" s="16"/>
      <c r="F91" s="17"/>
      <c r="G91" s="170"/>
      <c r="H91" s="170"/>
      <c r="I91" s="171"/>
      <c r="J91" s="151"/>
      <c r="K91" s="17"/>
      <c r="L91" s="17"/>
      <c r="M91" s="171"/>
      <c r="N91" s="150"/>
      <c r="O91" s="150"/>
      <c r="P91" s="150"/>
      <c r="Q91" s="17"/>
      <c r="R91" s="152"/>
      <c r="S91" s="152"/>
      <c r="T91" s="17"/>
      <c r="U91" s="171"/>
      <c r="V91" s="171"/>
      <c r="W91" s="171"/>
      <c r="X91" s="17"/>
      <c r="Y91" s="17"/>
      <c r="Z91" s="17"/>
      <c r="AA91" s="17"/>
      <c r="AB91" s="17"/>
      <c r="AC91" s="17"/>
      <c r="AD91" s="17"/>
      <c r="AE91" s="17"/>
      <c r="AF91" s="17"/>
      <c r="AG91" s="17"/>
      <c r="AH91" s="19"/>
      <c r="AI91" s="15"/>
    </row>
    <row r="92" spans="3:35">
      <c r="C92" s="12"/>
      <c r="D92" s="13"/>
      <c r="E92" s="13"/>
      <c r="F92" s="13"/>
      <c r="G92" s="160"/>
      <c r="H92" s="160"/>
      <c r="I92" s="28"/>
      <c r="J92" s="35"/>
      <c r="K92" s="13"/>
      <c r="L92" s="13"/>
      <c r="M92" s="28"/>
      <c r="N92" s="24"/>
      <c r="O92" s="24"/>
      <c r="P92" s="24"/>
      <c r="Q92" s="13"/>
      <c r="R92" s="27"/>
      <c r="S92" s="27"/>
      <c r="T92" s="13"/>
      <c r="U92" s="28"/>
      <c r="V92" s="28"/>
      <c r="W92" s="28"/>
      <c r="X92" s="13"/>
      <c r="Y92" s="13"/>
      <c r="Z92" s="13"/>
      <c r="AA92" s="13"/>
      <c r="AB92" s="13"/>
      <c r="AC92" s="13"/>
      <c r="AD92" s="13"/>
      <c r="AE92" s="13"/>
      <c r="AF92" s="13"/>
      <c r="AG92" s="13"/>
      <c r="AH92" s="13"/>
      <c r="AI92" s="15"/>
    </row>
    <row r="93" spans="3:35">
      <c r="C93" s="12"/>
      <c r="D93" s="13"/>
      <c r="E93" s="13"/>
      <c r="F93" s="13"/>
      <c r="G93" s="35"/>
      <c r="H93" s="35"/>
      <c r="I93" s="160"/>
      <c r="J93" s="160"/>
      <c r="K93" s="28"/>
      <c r="L93" s="35"/>
      <c r="M93" s="13"/>
      <c r="N93" s="13"/>
      <c r="O93" s="28"/>
      <c r="P93" s="24"/>
      <c r="Q93" s="24"/>
      <c r="R93" s="24"/>
      <c r="S93" s="13"/>
      <c r="T93" s="27"/>
      <c r="U93" s="27"/>
      <c r="V93" s="13"/>
      <c r="W93" s="28"/>
      <c r="X93" s="28"/>
      <c r="Y93" s="28"/>
      <c r="Z93" s="13"/>
      <c r="AA93" s="13"/>
      <c r="AB93" s="13"/>
      <c r="AC93" s="13"/>
      <c r="AD93" s="13"/>
      <c r="AE93" s="13"/>
      <c r="AF93" s="13"/>
      <c r="AG93" s="13"/>
      <c r="AH93" s="13"/>
      <c r="AI93" s="15"/>
    </row>
    <row r="94" spans="3:35">
      <c r="C94" s="12"/>
      <c r="D94" s="13"/>
      <c r="E94" s="561" t="s">
        <v>349</v>
      </c>
      <c r="F94" s="562"/>
      <c r="G94" s="563" t="s">
        <v>374</v>
      </c>
      <c r="H94" s="563"/>
      <c r="I94" s="533" t="s">
        <v>406</v>
      </c>
      <c r="J94" s="533"/>
      <c r="K94" s="533"/>
      <c r="L94" s="533"/>
      <c r="M94" s="533"/>
      <c r="N94" s="533"/>
      <c r="O94" s="533"/>
      <c r="P94" s="533"/>
      <c r="Q94" s="533"/>
      <c r="R94" s="533"/>
      <c r="S94" s="533"/>
      <c r="T94" s="533"/>
      <c r="U94" s="533"/>
      <c r="V94" s="533"/>
      <c r="W94" s="533"/>
      <c r="X94" s="533"/>
      <c r="Y94" s="533"/>
      <c r="Z94" s="533"/>
      <c r="AA94" s="533"/>
      <c r="AB94" s="533"/>
      <c r="AC94" s="533"/>
      <c r="AD94" s="533"/>
      <c r="AE94" s="533"/>
      <c r="AF94" s="533"/>
      <c r="AG94" s="533"/>
      <c r="AH94" s="534"/>
      <c r="AI94" s="172"/>
    </row>
    <row r="95" spans="3:35">
      <c r="C95" s="12"/>
      <c r="D95" s="13"/>
      <c r="E95" s="173"/>
      <c r="F95" s="153"/>
      <c r="G95" s="155"/>
      <c r="H95" s="155"/>
      <c r="I95" s="384" t="s">
        <v>463</v>
      </c>
      <c r="J95" s="384"/>
      <c r="K95" s="384"/>
      <c r="L95" s="384"/>
      <c r="M95" s="384"/>
      <c r="N95" s="384"/>
      <c r="O95" s="384"/>
      <c r="P95" s="384"/>
      <c r="Q95" s="384"/>
      <c r="R95" s="384"/>
      <c r="S95" s="384"/>
      <c r="T95" s="384"/>
      <c r="U95" s="384"/>
      <c r="V95" s="384"/>
      <c r="W95" s="384"/>
      <c r="X95" s="384"/>
      <c r="Y95" s="384"/>
      <c r="Z95" s="384"/>
      <c r="AA95" s="384"/>
      <c r="AB95" s="384"/>
      <c r="AC95" s="384"/>
      <c r="AD95" s="384"/>
      <c r="AE95" s="384"/>
      <c r="AF95" s="384"/>
      <c r="AG95" s="384"/>
      <c r="AH95" s="535"/>
      <c r="AI95" s="172"/>
    </row>
    <row r="96" spans="3:35">
      <c r="C96" s="12"/>
      <c r="D96" s="13"/>
      <c r="E96" s="173"/>
      <c r="F96" s="153"/>
      <c r="G96" s="565" t="s">
        <v>349</v>
      </c>
      <c r="H96" s="565"/>
      <c r="I96" s="393" t="s">
        <v>2</v>
      </c>
      <c r="J96" s="566" t="s">
        <v>291</v>
      </c>
      <c r="K96" s="566"/>
      <c r="L96" s="56"/>
      <c r="M96" s="393" t="s">
        <v>2</v>
      </c>
      <c r="N96" s="474">
        <f>I73</f>
        <v>6.3999999999999986</v>
      </c>
      <c r="O96" s="474"/>
      <c r="P96" s="474"/>
      <c r="Q96" s="17" t="s">
        <v>27</v>
      </c>
      <c r="R96" s="536">
        <v>1000000</v>
      </c>
      <c r="S96" s="536"/>
      <c r="T96" s="536"/>
      <c r="U96" s="13"/>
      <c r="V96" s="13"/>
      <c r="W96" s="13"/>
      <c r="X96" s="13"/>
      <c r="Y96" s="13"/>
      <c r="Z96" s="56"/>
      <c r="AA96" s="56"/>
      <c r="AB96" s="56"/>
      <c r="AC96" s="56"/>
      <c r="AD96" s="56"/>
      <c r="AE96" s="56"/>
      <c r="AF96" s="56"/>
      <c r="AG96" s="56"/>
      <c r="AH96" s="154"/>
      <c r="AI96" s="154"/>
    </row>
    <row r="97" spans="3:35">
      <c r="C97" s="12"/>
      <c r="D97" s="13"/>
      <c r="E97" s="173"/>
      <c r="F97" s="153"/>
      <c r="G97" s="565"/>
      <c r="H97" s="565"/>
      <c r="I97" s="393"/>
      <c r="J97" s="210" t="s">
        <v>60</v>
      </c>
      <c r="K97" s="210"/>
      <c r="L97" s="56"/>
      <c r="M97" s="393"/>
      <c r="N97" s="545">
        <f>'1.設計条件と鋼矢板・支保工の設定'!T63</f>
        <v>366</v>
      </c>
      <c r="O97" s="545"/>
      <c r="P97" s="545"/>
      <c r="Q97" s="13" t="s">
        <v>27</v>
      </c>
      <c r="R97" s="537">
        <v>1000</v>
      </c>
      <c r="S97" s="537"/>
      <c r="T97" s="56"/>
      <c r="U97" s="13"/>
      <c r="V97" s="13"/>
      <c r="W97" s="13"/>
      <c r="X97" s="13"/>
      <c r="Y97" s="13"/>
      <c r="Z97" s="56"/>
      <c r="AA97" s="56"/>
      <c r="AB97" s="56"/>
      <c r="AC97" s="56"/>
      <c r="AD97" s="56"/>
      <c r="AE97" s="56"/>
      <c r="AF97" s="56"/>
      <c r="AG97" s="56"/>
      <c r="AH97" s="154"/>
      <c r="AI97" s="154"/>
    </row>
    <row r="98" spans="3:35">
      <c r="C98" s="12"/>
      <c r="D98" s="13"/>
      <c r="E98" s="173"/>
      <c r="F98" s="153"/>
      <c r="G98" s="160"/>
      <c r="H98" s="160"/>
      <c r="I98" s="393" t="s">
        <v>2</v>
      </c>
      <c r="J98" s="284">
        <f>N96*R96/N97/R97</f>
        <v>17.486338797814202</v>
      </c>
      <c r="K98" s="285"/>
      <c r="L98" s="56"/>
      <c r="M98" s="28"/>
      <c r="N98" s="158"/>
      <c r="O98" s="158"/>
      <c r="P98" s="158"/>
      <c r="Q98" s="13"/>
      <c r="R98" s="27"/>
      <c r="S98" s="27"/>
      <c r="T98" s="56"/>
      <c r="U98" s="28"/>
      <c r="V98" s="28"/>
      <c r="W98" s="28"/>
      <c r="X98" s="13"/>
      <c r="Y98" s="13"/>
      <c r="Z98" s="56"/>
      <c r="AA98" s="56"/>
      <c r="AB98" s="56"/>
      <c r="AC98" s="56"/>
      <c r="AD98" s="56"/>
      <c r="AE98" s="56"/>
      <c r="AF98" s="56"/>
      <c r="AG98" s="56"/>
      <c r="AH98" s="154"/>
      <c r="AI98" s="154"/>
    </row>
    <row r="99" spans="3:35">
      <c r="C99" s="12"/>
      <c r="D99" s="13"/>
      <c r="E99" s="173"/>
      <c r="F99" s="153"/>
      <c r="G99" s="160"/>
      <c r="H99" s="160"/>
      <c r="I99" s="393"/>
      <c r="J99" s="286"/>
      <c r="K99" s="287"/>
      <c r="L99" s="56"/>
      <c r="M99" s="28"/>
      <c r="N99" s="158"/>
      <c r="O99" s="158"/>
      <c r="P99" s="158"/>
      <c r="Q99" s="13"/>
      <c r="R99" s="27"/>
      <c r="S99" s="27"/>
      <c r="T99" s="56"/>
      <c r="U99" s="28"/>
      <c r="V99" s="28"/>
      <c r="W99" s="28"/>
      <c r="X99" s="13"/>
      <c r="Y99" s="13"/>
      <c r="Z99" s="56"/>
      <c r="AA99" s="56"/>
      <c r="AB99" s="56"/>
      <c r="AC99" s="56"/>
      <c r="AD99" s="56"/>
      <c r="AE99" s="56"/>
      <c r="AF99" s="56"/>
      <c r="AG99" s="56"/>
      <c r="AH99" s="154"/>
      <c r="AI99" s="154"/>
    </row>
    <row r="100" spans="3:35">
      <c r="C100" s="12"/>
      <c r="D100" s="13"/>
      <c r="E100" s="173"/>
      <c r="F100" s="153"/>
      <c r="G100" s="160"/>
      <c r="H100" s="160"/>
      <c r="I100" s="28"/>
      <c r="J100" s="35"/>
      <c r="K100" s="35"/>
      <c r="L100" s="56"/>
      <c r="M100" s="28"/>
      <c r="N100" s="158"/>
      <c r="O100" s="158"/>
      <c r="P100" s="158"/>
      <c r="Q100" s="13"/>
      <c r="R100" s="27"/>
      <c r="S100" s="27"/>
      <c r="T100" s="56"/>
      <c r="U100" s="28"/>
      <c r="V100" s="28"/>
      <c r="W100" s="28"/>
      <c r="X100" s="13"/>
      <c r="Y100" s="13"/>
      <c r="Z100" s="56"/>
      <c r="AA100" s="56"/>
      <c r="AB100" s="56"/>
      <c r="AC100" s="56"/>
      <c r="AD100" s="56"/>
      <c r="AE100" s="56"/>
      <c r="AF100" s="56"/>
      <c r="AG100" s="56"/>
      <c r="AH100" s="154"/>
      <c r="AI100" s="154"/>
    </row>
    <row r="101" spans="3:35">
      <c r="C101" s="12"/>
      <c r="D101" s="13"/>
      <c r="E101" s="173"/>
      <c r="F101" s="153"/>
      <c r="G101" s="568" t="s">
        <v>355</v>
      </c>
      <c r="H101" s="568"/>
      <c r="I101" s="56" t="s">
        <v>2</v>
      </c>
      <c r="J101" s="569">
        <v>0</v>
      </c>
      <c r="K101" s="570"/>
      <c r="L101" s="56"/>
      <c r="M101" s="28"/>
      <c r="N101" s="158"/>
      <c r="O101" s="158"/>
      <c r="P101" s="158"/>
      <c r="Q101" s="13"/>
      <c r="R101" s="27"/>
      <c r="S101" s="27"/>
      <c r="T101" s="56"/>
      <c r="U101" s="28"/>
      <c r="V101" s="28"/>
      <c r="W101" s="28"/>
      <c r="X101" s="13"/>
      <c r="Y101" s="13"/>
      <c r="Z101" s="56"/>
      <c r="AA101" s="56"/>
      <c r="AB101" s="56"/>
      <c r="AC101" s="56"/>
      <c r="AD101" s="56"/>
      <c r="AE101" s="56"/>
      <c r="AF101" s="56"/>
      <c r="AG101" s="56"/>
      <c r="AH101" s="154"/>
      <c r="AI101" s="154"/>
    </row>
    <row r="102" spans="3:35">
      <c r="C102" s="12"/>
      <c r="D102" s="13"/>
      <c r="E102" s="174"/>
      <c r="F102" s="175"/>
      <c r="G102" s="176"/>
      <c r="H102" s="176"/>
      <c r="I102" s="105"/>
      <c r="J102" s="105"/>
      <c r="K102" s="105"/>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77"/>
      <c r="AI102" s="154"/>
    </row>
    <row r="103" spans="3:35">
      <c r="C103" s="12"/>
      <c r="D103" s="13"/>
      <c r="E103" s="153"/>
      <c r="F103" s="153"/>
      <c r="G103" s="155"/>
      <c r="H103" s="155"/>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154"/>
    </row>
    <row r="104" spans="3:35">
      <c r="C104" s="12"/>
      <c r="D104" s="13"/>
      <c r="E104" s="153"/>
      <c r="F104" s="153"/>
      <c r="L104" s="13"/>
      <c r="M104" s="13"/>
      <c r="N104" s="56"/>
      <c r="O104" s="56"/>
      <c r="P104" s="13"/>
      <c r="Q104" s="13"/>
      <c r="R104" s="13"/>
      <c r="S104" s="13"/>
      <c r="T104" s="13"/>
      <c r="U104" s="56"/>
      <c r="V104" s="56"/>
      <c r="W104" s="56"/>
      <c r="X104" s="56"/>
      <c r="Y104" s="56"/>
      <c r="Z104" s="56"/>
      <c r="AA104" s="56"/>
      <c r="AB104" s="56"/>
      <c r="AC104" s="56"/>
      <c r="AD104" s="56"/>
      <c r="AE104" s="56"/>
      <c r="AF104" s="56"/>
      <c r="AG104" s="56"/>
      <c r="AH104" s="56"/>
      <c r="AI104" s="154"/>
    </row>
    <row r="105" spans="3:35" ht="19.8">
      <c r="C105" s="12"/>
      <c r="D105" s="13"/>
      <c r="E105" s="9"/>
      <c r="F105" s="10"/>
      <c r="G105" s="544" t="s">
        <v>351</v>
      </c>
      <c r="H105" s="544"/>
      <c r="I105" s="10" t="s">
        <v>361</v>
      </c>
      <c r="J105" s="10"/>
      <c r="K105" s="10"/>
      <c r="L105" s="10"/>
      <c r="M105" s="10"/>
      <c r="N105" s="10"/>
      <c r="O105" s="10"/>
      <c r="P105" s="10"/>
      <c r="Q105" s="10"/>
      <c r="R105" s="10"/>
      <c r="S105" s="10"/>
      <c r="T105" s="10"/>
      <c r="U105" s="10"/>
      <c r="V105" s="10"/>
      <c r="W105" s="3"/>
      <c r="X105" s="10"/>
      <c r="Y105" s="10"/>
      <c r="Z105" s="10"/>
      <c r="AA105" s="10"/>
      <c r="AB105" s="10"/>
      <c r="AC105" s="10"/>
      <c r="AD105" s="10"/>
      <c r="AE105" s="10"/>
      <c r="AF105" s="10"/>
      <c r="AG105" s="10"/>
      <c r="AH105" s="11"/>
      <c r="AI105" s="15"/>
    </row>
    <row r="106" spans="3:35">
      <c r="C106" s="12"/>
      <c r="D106" s="13"/>
      <c r="E106" s="12"/>
      <c r="F106" s="13"/>
      <c r="G106" s="13"/>
      <c r="H106" s="13"/>
      <c r="I106" s="13"/>
      <c r="J106" s="13" t="s">
        <v>362</v>
      </c>
      <c r="K106" s="13"/>
      <c r="L106" s="13"/>
      <c r="M106" s="34" t="s">
        <v>363</v>
      </c>
      <c r="N106" s="13" t="s">
        <v>358</v>
      </c>
      <c r="O106" s="309">
        <v>13.1</v>
      </c>
      <c r="P106" s="309"/>
      <c r="Q106" s="34" t="s">
        <v>364</v>
      </c>
      <c r="R106" s="13" t="s">
        <v>346</v>
      </c>
      <c r="S106" s="13"/>
      <c r="T106" s="13"/>
      <c r="U106" s="13"/>
      <c r="V106" s="13"/>
      <c r="W106"/>
      <c r="X106" s="13"/>
      <c r="Y106" s="13"/>
      <c r="Z106" s="13"/>
      <c r="AA106" s="13"/>
      <c r="AB106" s="13"/>
      <c r="AC106" s="13"/>
      <c r="AD106" s="13"/>
      <c r="AE106" s="13"/>
      <c r="AF106" s="13"/>
      <c r="AG106" s="13"/>
      <c r="AH106" s="15"/>
      <c r="AI106" s="15"/>
    </row>
    <row r="107" spans="3:35">
      <c r="C107" s="12"/>
      <c r="D107" s="13"/>
      <c r="E107" s="12"/>
      <c r="F107" s="13"/>
      <c r="G107" s="13"/>
      <c r="H107" s="13"/>
      <c r="I107" s="13"/>
      <c r="J107" s="34" t="s">
        <v>363</v>
      </c>
      <c r="K107" s="384" t="s">
        <v>379</v>
      </c>
      <c r="L107" s="384"/>
      <c r="M107" s="384"/>
      <c r="N107" s="384"/>
      <c r="O107" s="384"/>
      <c r="P107" s="384"/>
      <c r="Q107" s="384"/>
      <c r="R107" s="384"/>
      <c r="S107" s="13"/>
      <c r="T107" s="13"/>
      <c r="U107" s="13"/>
      <c r="V107" s="13"/>
      <c r="W107" s="13"/>
      <c r="X107" s="13"/>
      <c r="Y107" s="13"/>
      <c r="Z107" s="13"/>
      <c r="AA107" s="13"/>
      <c r="AB107" s="13"/>
      <c r="AC107" s="13"/>
      <c r="AD107" s="13"/>
      <c r="AE107" s="13"/>
      <c r="AF107" s="13"/>
      <c r="AG107" s="13"/>
      <c r="AH107" s="15"/>
      <c r="AI107" s="15"/>
    </row>
    <row r="108" spans="3:35">
      <c r="C108" s="12"/>
      <c r="D108" s="13"/>
      <c r="E108" s="12"/>
      <c r="F108" s="13"/>
      <c r="G108" s="13"/>
      <c r="H108" s="13"/>
      <c r="I108" s="13"/>
      <c r="J108" s="13"/>
      <c r="K108" s="34" t="s">
        <v>363</v>
      </c>
      <c r="L108" s="13" t="s">
        <v>2</v>
      </c>
      <c r="M108" s="13" t="s">
        <v>70</v>
      </c>
      <c r="N108" s="546">
        <f>'1.設計条件と鋼矢板・支保工の設定'!T59</f>
        <v>200</v>
      </c>
      <c r="O108" s="546"/>
      <c r="P108" s="13" t="s">
        <v>286</v>
      </c>
      <c r="Q108" s="537">
        <f>'1.設計条件と鋼矢板・支保工の設定'!T60</f>
        <v>8</v>
      </c>
      <c r="R108" s="537"/>
      <c r="S108" s="13" t="s">
        <v>183</v>
      </c>
      <c r="T108" s="31">
        <v>2</v>
      </c>
      <c r="U108" s="13"/>
      <c r="V108" s="13" t="s">
        <v>2</v>
      </c>
      <c r="W108" s="383">
        <f>(N108-Q108)/T108</f>
        <v>96</v>
      </c>
      <c r="X108" s="382"/>
      <c r="Y108" s="13" t="s">
        <v>320</v>
      </c>
      <c r="Z108" s="13"/>
      <c r="AA108" s="13"/>
      <c r="AB108" s="13"/>
      <c r="AC108" s="13"/>
      <c r="AD108" s="13"/>
      <c r="AE108" s="13"/>
      <c r="AF108" s="13"/>
      <c r="AG108" s="13"/>
      <c r="AH108" s="15"/>
      <c r="AI108" s="15"/>
    </row>
    <row r="109" spans="3:35">
      <c r="C109" s="12"/>
      <c r="D109" s="13"/>
      <c r="E109" s="12"/>
      <c r="F109" s="13"/>
      <c r="G109" s="13"/>
      <c r="H109" s="13"/>
      <c r="I109" s="34"/>
      <c r="J109" s="34" t="s">
        <v>364</v>
      </c>
      <c r="K109" s="13" t="s">
        <v>380</v>
      </c>
      <c r="L109" s="27"/>
      <c r="M109" s="27"/>
      <c r="N109" s="13"/>
      <c r="O109" s="34"/>
      <c r="P109" s="13"/>
      <c r="Q109" s="13"/>
      <c r="R109" s="31"/>
      <c r="S109" s="13"/>
      <c r="T109" s="13"/>
      <c r="U109" s="13"/>
      <c r="V109" s="13"/>
      <c r="W109" s="13"/>
      <c r="X109" s="13"/>
      <c r="Y109" s="13"/>
      <c r="Z109" s="13"/>
      <c r="AA109" s="13"/>
      <c r="AB109" s="13"/>
      <c r="AC109" s="13"/>
      <c r="AD109" s="13"/>
      <c r="AE109" s="13"/>
      <c r="AF109" s="13"/>
      <c r="AG109" s="13"/>
      <c r="AH109" s="15"/>
      <c r="AI109" s="15"/>
    </row>
    <row r="110" spans="3:35">
      <c r="C110" s="12"/>
      <c r="D110" s="13"/>
      <c r="E110" s="12"/>
      <c r="F110" s="13"/>
      <c r="G110" s="13"/>
      <c r="H110" s="13"/>
      <c r="I110" s="35"/>
      <c r="J110" s="13"/>
      <c r="K110" s="34" t="s">
        <v>364</v>
      </c>
      <c r="L110" s="13" t="s">
        <v>2</v>
      </c>
      <c r="M110" s="383">
        <f>'1.設計条件と鋼矢板・支保工の設定'!T61</f>
        <v>12</v>
      </c>
      <c r="N110" s="382"/>
      <c r="O110" s="13" t="s">
        <v>320</v>
      </c>
      <c r="P110" s="13"/>
      <c r="Q110" s="13"/>
      <c r="R110" s="13"/>
      <c r="S110" s="13"/>
      <c r="T110" s="13"/>
      <c r="U110" s="13"/>
      <c r="V110" s="13"/>
      <c r="W110" s="13"/>
      <c r="X110" s="13"/>
      <c r="Y110" s="13"/>
      <c r="Z110" s="13"/>
      <c r="AA110" s="13"/>
      <c r="AB110" s="13"/>
      <c r="AC110" s="13"/>
      <c r="AD110" s="13"/>
      <c r="AE110" s="13"/>
      <c r="AF110" s="13"/>
      <c r="AG110" s="13"/>
      <c r="AH110" s="15"/>
      <c r="AI110" s="15"/>
    </row>
    <row r="111" spans="3:35">
      <c r="C111" s="12"/>
      <c r="D111" s="13"/>
      <c r="E111" s="12"/>
      <c r="F111" s="13"/>
      <c r="G111" s="13"/>
      <c r="H111" s="13"/>
      <c r="I111" s="35"/>
      <c r="J111" s="13"/>
      <c r="K111" s="34"/>
      <c r="L111" s="13"/>
      <c r="M111" s="27"/>
      <c r="N111" s="27"/>
      <c r="O111" s="13"/>
      <c r="P111" s="13"/>
      <c r="Q111" s="13"/>
      <c r="R111" s="13"/>
      <c r="S111" s="13"/>
      <c r="T111" s="13"/>
      <c r="U111" s="13"/>
      <c r="V111" s="13"/>
      <c r="W111" s="13"/>
      <c r="X111" s="13"/>
      <c r="Y111" s="13"/>
      <c r="Z111" s="13"/>
      <c r="AA111" s="13"/>
      <c r="AB111" s="13"/>
      <c r="AC111" s="13"/>
      <c r="AD111" s="13"/>
      <c r="AE111" s="13"/>
      <c r="AF111" s="13"/>
      <c r="AG111" s="13"/>
      <c r="AH111" s="15"/>
      <c r="AI111" s="15"/>
    </row>
    <row r="112" spans="3:35">
      <c r="C112" s="12"/>
      <c r="D112" s="13"/>
      <c r="E112" s="12"/>
      <c r="F112" s="13"/>
      <c r="G112" s="13"/>
      <c r="H112" s="13"/>
      <c r="I112" s="35"/>
      <c r="J112" s="309" t="s">
        <v>389</v>
      </c>
      <c r="K112" s="309"/>
      <c r="L112" s="13" t="s">
        <v>382</v>
      </c>
      <c r="M112" s="13"/>
      <c r="N112" s="13"/>
      <c r="O112" s="13"/>
      <c r="P112" s="13"/>
      <c r="Q112" s="27"/>
      <c r="R112" s="27"/>
      <c r="S112" s="13"/>
      <c r="T112" s="13"/>
      <c r="U112" s="13"/>
      <c r="V112" s="13"/>
      <c r="W112" s="13"/>
      <c r="X112" s="13"/>
      <c r="Y112" s="13"/>
      <c r="Z112" s="13"/>
      <c r="AA112" s="13"/>
      <c r="AB112" s="13"/>
      <c r="AC112" s="13"/>
      <c r="AD112" s="13"/>
      <c r="AE112" s="13"/>
      <c r="AF112" s="13"/>
      <c r="AG112" s="13"/>
      <c r="AH112" s="15"/>
      <c r="AI112" s="15"/>
    </row>
    <row r="113" spans="3:35">
      <c r="C113" s="12"/>
      <c r="D113" s="13"/>
      <c r="E113" s="12"/>
      <c r="F113" s="13"/>
      <c r="G113" s="13"/>
      <c r="H113" s="13"/>
      <c r="I113" s="35"/>
      <c r="J113" s="35"/>
      <c r="K113" s="309" t="s">
        <v>389</v>
      </c>
      <c r="L113" s="309"/>
      <c r="M113" s="13" t="s">
        <v>2</v>
      </c>
      <c r="N113" s="394">
        <f>'1.設計条件と鋼矢板・支保工の設定'!T55</f>
        <v>3.1999999999999997</v>
      </c>
      <c r="O113" s="395"/>
      <c r="P113" s="37" t="s">
        <v>3</v>
      </c>
      <c r="Q113" s="13"/>
      <c r="R113" s="31" t="s">
        <v>383</v>
      </c>
      <c r="S113" s="13"/>
      <c r="T113" s="13"/>
      <c r="U113" s="13"/>
      <c r="V113" s="13"/>
      <c r="W113"/>
      <c r="X113" s="13"/>
      <c r="Y113" s="13"/>
      <c r="Z113" s="13"/>
      <c r="AA113" s="13"/>
      <c r="AB113" s="13"/>
      <c r="AC113" s="13"/>
      <c r="AD113" s="13"/>
      <c r="AE113" s="13"/>
      <c r="AF113" s="13"/>
      <c r="AG113" s="13"/>
      <c r="AH113" s="15"/>
      <c r="AI113" s="15"/>
    </row>
    <row r="114" spans="3:35">
      <c r="C114" s="12"/>
      <c r="D114" s="13"/>
      <c r="E114" s="12"/>
      <c r="F114" s="13"/>
      <c r="G114" s="13"/>
      <c r="H114" s="13"/>
      <c r="I114" s="35"/>
      <c r="J114" s="35"/>
      <c r="K114" s="14"/>
      <c r="L114" s="14"/>
      <c r="M114" s="13"/>
      <c r="N114" s="14"/>
      <c r="O114" s="14"/>
      <c r="P114" s="37"/>
      <c r="Q114" s="13"/>
      <c r="R114" s="31"/>
      <c r="S114" s="13"/>
      <c r="T114" s="13"/>
      <c r="U114" s="13"/>
      <c r="V114" s="13"/>
      <c r="W114"/>
      <c r="X114" s="13"/>
      <c r="Y114" s="13"/>
      <c r="Z114" s="13"/>
      <c r="AA114" s="13"/>
      <c r="AB114" s="13"/>
      <c r="AC114" s="13"/>
      <c r="AD114" s="13"/>
      <c r="AE114" s="13"/>
      <c r="AF114" s="13"/>
      <c r="AG114" s="13"/>
      <c r="AH114" s="15"/>
      <c r="AI114" s="15"/>
    </row>
    <row r="115" spans="3:35">
      <c r="C115" s="12"/>
      <c r="D115" s="13"/>
      <c r="E115" s="12"/>
      <c r="F115" s="13"/>
      <c r="G115" s="13"/>
      <c r="H115" s="13"/>
      <c r="I115" s="35"/>
      <c r="J115" s="13" t="s">
        <v>384</v>
      </c>
      <c r="K115" s="13"/>
      <c r="L115" s="13"/>
      <c r="M115" s="13"/>
      <c r="N115" s="13"/>
      <c r="O115" s="13"/>
      <c r="P115" s="34"/>
      <c r="Q115" s="13"/>
      <c r="R115" s="31"/>
      <c r="S115" s="13"/>
      <c r="T115" s="13"/>
      <c r="U115" s="13"/>
      <c r="V115" s="13"/>
      <c r="W115"/>
      <c r="X115" s="13"/>
      <c r="Y115" s="13"/>
      <c r="Z115" s="13"/>
      <c r="AA115" s="13"/>
      <c r="AB115" s="13"/>
      <c r="AC115" s="13"/>
      <c r="AD115" s="13"/>
      <c r="AE115" s="13"/>
      <c r="AF115" s="13"/>
      <c r="AG115" s="13"/>
      <c r="AH115" s="15"/>
      <c r="AI115" s="15"/>
    </row>
    <row r="116" spans="3:35">
      <c r="C116" s="12"/>
      <c r="D116" s="13"/>
      <c r="E116" s="12"/>
      <c r="F116" s="13"/>
      <c r="G116" s="13"/>
      <c r="H116" s="13"/>
      <c r="I116" s="35"/>
      <c r="J116" s="35"/>
      <c r="K116" s="17" t="s">
        <v>389</v>
      </c>
      <c r="L116" s="393" t="s">
        <v>2</v>
      </c>
      <c r="M116" s="282">
        <f>N113</f>
        <v>3.1999999999999997</v>
      </c>
      <c r="N116" s="282"/>
      <c r="O116" s="17" t="s">
        <v>27</v>
      </c>
      <c r="P116" s="572">
        <v>1000</v>
      </c>
      <c r="Q116" s="572"/>
      <c r="R116" s="572"/>
      <c r="S116" s="13"/>
      <c r="T116" s="393" t="s">
        <v>2</v>
      </c>
      <c r="U116" s="574">
        <f>M116*P116/M117/P117</f>
        <v>75.829383886255911</v>
      </c>
      <c r="V116" s="575"/>
      <c r="W116"/>
      <c r="X116" s="13"/>
      <c r="Y116" s="13"/>
      <c r="Z116" s="13"/>
      <c r="AA116" s="13"/>
      <c r="AB116" s="13"/>
      <c r="AC116" s="13"/>
      <c r="AD116" s="13"/>
      <c r="AE116" s="13"/>
      <c r="AF116" s="13"/>
      <c r="AG116" s="13"/>
      <c r="AH116" s="15"/>
      <c r="AI116" s="15"/>
    </row>
    <row r="117" spans="3:35">
      <c r="C117" s="12"/>
      <c r="D117" s="13"/>
      <c r="E117" s="12"/>
      <c r="F117" s="13"/>
      <c r="G117" s="13"/>
      <c r="H117" s="13"/>
      <c r="I117" s="35"/>
      <c r="J117" s="35"/>
      <c r="K117" s="34" t="s">
        <v>334</v>
      </c>
      <c r="L117" s="393"/>
      <c r="M117" s="255">
        <f>'1.設計条件と鋼矢板・支保工の設定'!T65</f>
        <v>4.22</v>
      </c>
      <c r="N117" s="255"/>
      <c r="O117" s="13" t="s">
        <v>27</v>
      </c>
      <c r="P117" s="546">
        <v>10</v>
      </c>
      <c r="Q117" s="546"/>
      <c r="R117" s="546"/>
      <c r="S117" s="13"/>
      <c r="T117" s="393"/>
      <c r="U117" s="576"/>
      <c r="V117" s="577"/>
      <c r="W117"/>
      <c r="X117" s="13"/>
      <c r="Y117" s="13"/>
      <c r="Z117" s="13"/>
      <c r="AA117" s="13"/>
      <c r="AB117" s="13"/>
      <c r="AC117" s="13"/>
      <c r="AD117" s="13"/>
      <c r="AE117" s="13"/>
      <c r="AF117" s="13"/>
      <c r="AG117" s="13"/>
      <c r="AH117" s="15"/>
      <c r="AI117" s="15"/>
    </row>
    <row r="118" spans="3:35">
      <c r="C118" s="12"/>
      <c r="D118" s="13"/>
      <c r="E118" s="12"/>
      <c r="F118" s="13"/>
      <c r="G118" s="13"/>
      <c r="H118" s="13"/>
      <c r="I118" s="35"/>
      <c r="J118" s="35"/>
      <c r="K118" s="34"/>
      <c r="L118" s="28"/>
      <c r="M118" s="147"/>
      <c r="N118" s="147"/>
      <c r="O118" s="13"/>
      <c r="P118" s="157"/>
      <c r="Q118" s="157"/>
      <c r="R118" s="157"/>
      <c r="S118" s="13"/>
      <c r="T118" s="28"/>
      <c r="U118" s="28"/>
      <c r="V118" s="28"/>
      <c r="W118"/>
      <c r="X118" s="13"/>
      <c r="Y118" s="13"/>
      <c r="Z118" s="13"/>
      <c r="AA118" s="13"/>
      <c r="AB118" s="13"/>
      <c r="AC118" s="13"/>
      <c r="AD118" s="13"/>
      <c r="AE118" s="13"/>
      <c r="AF118" s="13"/>
      <c r="AG118" s="13"/>
      <c r="AH118" s="15"/>
      <c r="AI118" s="15"/>
    </row>
    <row r="119" spans="3:35">
      <c r="C119" s="12"/>
      <c r="D119" s="13"/>
      <c r="E119" s="12"/>
      <c r="F119" s="13"/>
      <c r="G119" s="13"/>
      <c r="H119" s="261" t="s">
        <v>388</v>
      </c>
      <c r="I119" s="261"/>
      <c r="J119" s="261"/>
      <c r="K119" s="261"/>
      <c r="L119" s="261"/>
      <c r="M119" s="261"/>
      <c r="N119" s="261"/>
      <c r="O119" s="261"/>
      <c r="P119" s="261"/>
      <c r="Q119" s="261"/>
      <c r="R119" s="157">
        <v>18</v>
      </c>
      <c r="S119" s="13" t="s">
        <v>385</v>
      </c>
      <c r="T119" s="393" t="s">
        <v>386</v>
      </c>
      <c r="U119" s="393"/>
      <c r="V119" s="1" t="s">
        <v>358</v>
      </c>
      <c r="W119">
        <v>92</v>
      </c>
      <c r="Y119" s="13"/>
      <c r="Z119" s="13"/>
      <c r="AA119" s="13"/>
      <c r="AB119" s="33" t="s">
        <v>387</v>
      </c>
      <c r="AC119" s="13"/>
      <c r="AD119" s="13" t="s">
        <v>464</v>
      </c>
      <c r="AE119" s="13"/>
      <c r="AF119" s="13"/>
      <c r="AG119" s="13"/>
      <c r="AH119" s="15"/>
      <c r="AI119" s="15"/>
    </row>
    <row r="120" spans="3:35">
      <c r="C120" s="12"/>
      <c r="D120" s="13"/>
      <c r="E120" s="12"/>
      <c r="F120" s="13"/>
      <c r="H120" s="165"/>
      <c r="J120" s="31"/>
      <c r="M120" s="31"/>
      <c r="N120" s="31"/>
      <c r="O120" s="31"/>
      <c r="P120" s="31"/>
      <c r="Q120" s="31"/>
      <c r="R120" s="31"/>
      <c r="S120" s="13"/>
      <c r="T120" s="13"/>
      <c r="U120" s="13"/>
      <c r="V120" s="28"/>
      <c r="W120" s="13"/>
      <c r="X120" s="31"/>
      <c r="AA120" s="31"/>
      <c r="AB120" s="31"/>
      <c r="AC120" s="31"/>
      <c r="AD120" s="31"/>
      <c r="AH120" s="15"/>
      <c r="AI120" s="15"/>
    </row>
    <row r="121" spans="3:35">
      <c r="C121" s="12"/>
      <c r="D121" s="13"/>
      <c r="E121" s="12"/>
      <c r="F121" s="13"/>
      <c r="G121" s="445" t="s">
        <v>351</v>
      </c>
      <c r="H121" s="445"/>
      <c r="I121" s="32" t="s">
        <v>2</v>
      </c>
      <c r="J121" s="1" t="s">
        <v>467</v>
      </c>
      <c r="K121" s="546">
        <v>140</v>
      </c>
      <c r="L121" s="546"/>
      <c r="M121" s="147" t="s">
        <v>125</v>
      </c>
      <c r="N121" s="540">
        <v>0.82</v>
      </c>
      <c r="O121" s="540"/>
      <c r="P121" s="1" t="s">
        <v>70</v>
      </c>
      <c r="Q121" s="13" t="s">
        <v>173</v>
      </c>
      <c r="R121" s="157" t="s">
        <v>71</v>
      </c>
      <c r="S121" s="34" t="s">
        <v>334</v>
      </c>
      <c r="T121" s="157" t="s">
        <v>125</v>
      </c>
      <c r="U121" s="191">
        <v>18</v>
      </c>
      <c r="V121" s="28" t="s">
        <v>468</v>
      </c>
      <c r="W121" s="32" t="s">
        <v>27</v>
      </c>
      <c r="X121" s="393">
        <v>1.5</v>
      </c>
      <c r="Y121" s="393"/>
      <c r="AH121" s="15"/>
      <c r="AI121" s="15"/>
    </row>
    <row r="122" spans="3:35">
      <c r="C122" s="12"/>
      <c r="D122" s="13"/>
      <c r="E122" s="12"/>
      <c r="F122" s="13"/>
      <c r="G122" s="13"/>
      <c r="H122" s="13"/>
      <c r="I122" s="32" t="s">
        <v>2</v>
      </c>
      <c r="J122" s="1" t="s">
        <v>467</v>
      </c>
      <c r="K122" s="546">
        <v>140</v>
      </c>
      <c r="L122" s="546"/>
      <c r="M122" s="147" t="s">
        <v>125</v>
      </c>
      <c r="N122" s="540">
        <v>0.82</v>
      </c>
      <c r="O122" s="540"/>
      <c r="P122" s="1" t="s">
        <v>70</v>
      </c>
      <c r="Q122" s="309">
        <f>U116</f>
        <v>75.829383886255911</v>
      </c>
      <c r="R122" s="309"/>
      <c r="S122" s="309"/>
      <c r="T122" s="157" t="s">
        <v>125</v>
      </c>
      <c r="U122" s="191">
        <v>18</v>
      </c>
      <c r="V122" s="28" t="s">
        <v>468</v>
      </c>
      <c r="W122" s="32" t="s">
        <v>27</v>
      </c>
      <c r="X122" s="393">
        <v>1.5</v>
      </c>
      <c r="Y122" s="393"/>
      <c r="Z122" s="13"/>
      <c r="AA122" s="13"/>
      <c r="AB122" s="13"/>
      <c r="AC122" s="13"/>
      <c r="AD122" s="13"/>
      <c r="AE122" s="13"/>
      <c r="AF122" s="13"/>
      <c r="AG122" s="13"/>
      <c r="AH122" s="15"/>
      <c r="AI122" s="15"/>
    </row>
    <row r="123" spans="3:35" ht="19.8">
      <c r="C123" s="12"/>
      <c r="D123" s="13"/>
      <c r="E123" s="12"/>
      <c r="F123" s="13"/>
      <c r="G123" s="13"/>
      <c r="H123" s="13"/>
      <c r="I123" s="35" t="s">
        <v>2</v>
      </c>
      <c r="J123" s="530">
        <f>(K122-N122*(Q122-U122))*X122</f>
        <v>138.86985781990523</v>
      </c>
      <c r="K123" s="531"/>
      <c r="L123" s="532"/>
      <c r="M123" s="164" t="s">
        <v>49</v>
      </c>
      <c r="N123" s="147"/>
      <c r="O123" s="13"/>
      <c r="P123" s="157"/>
      <c r="Q123" s="157"/>
      <c r="R123" s="157"/>
      <c r="S123" s="13"/>
      <c r="T123" s="28"/>
      <c r="U123" s="28"/>
      <c r="V123" s="28"/>
      <c r="W123"/>
      <c r="X123" s="13"/>
      <c r="Y123" s="13"/>
      <c r="Z123" s="13"/>
      <c r="AA123" s="13"/>
      <c r="AB123" s="13"/>
      <c r="AC123" s="13"/>
      <c r="AD123" s="13"/>
      <c r="AE123" s="13"/>
      <c r="AF123" s="13"/>
      <c r="AG123" s="13"/>
      <c r="AH123" s="15"/>
      <c r="AI123" s="15"/>
    </row>
    <row r="124" spans="3:35">
      <c r="C124" s="12"/>
      <c r="D124" s="13"/>
      <c r="E124" s="16"/>
      <c r="F124" s="17"/>
      <c r="G124" s="17"/>
      <c r="H124" s="17"/>
      <c r="I124" s="151"/>
      <c r="J124" s="162"/>
      <c r="K124" s="162"/>
      <c r="L124" s="162"/>
      <c r="M124" s="178"/>
      <c r="N124" s="162"/>
      <c r="O124" s="17"/>
      <c r="P124" s="163"/>
      <c r="Q124" s="163"/>
      <c r="R124" s="163"/>
      <c r="S124" s="17"/>
      <c r="T124" s="171"/>
      <c r="U124" s="171"/>
      <c r="V124" s="171"/>
      <c r="W124" s="25"/>
      <c r="X124" s="17"/>
      <c r="Y124" s="17"/>
      <c r="Z124" s="17"/>
      <c r="AA124" s="17"/>
      <c r="AB124" s="17"/>
      <c r="AC124" s="17"/>
      <c r="AD124" s="17"/>
      <c r="AE124" s="17"/>
      <c r="AF124" s="17"/>
      <c r="AG124" s="17"/>
      <c r="AH124" s="19"/>
      <c r="AI124" s="15"/>
    </row>
    <row r="125" spans="3:35">
      <c r="C125" s="12"/>
      <c r="D125" s="13"/>
      <c r="E125" s="13"/>
      <c r="F125" s="13"/>
      <c r="G125" s="13"/>
      <c r="H125" s="13"/>
      <c r="I125" s="35"/>
      <c r="J125" s="147"/>
      <c r="K125" s="147"/>
      <c r="L125" s="147"/>
      <c r="M125" s="164"/>
      <c r="N125" s="147"/>
      <c r="O125" s="13"/>
      <c r="P125" s="157"/>
      <c r="Q125" s="157"/>
      <c r="R125" s="157"/>
      <c r="S125" s="13"/>
      <c r="T125" s="28"/>
      <c r="U125" s="28"/>
      <c r="V125" s="28"/>
      <c r="W125"/>
      <c r="X125" s="13"/>
      <c r="Y125" s="13"/>
      <c r="Z125" s="13"/>
      <c r="AA125" s="13"/>
      <c r="AB125" s="13"/>
      <c r="AC125" s="13"/>
      <c r="AD125" s="13"/>
      <c r="AE125" s="13"/>
      <c r="AF125" s="13"/>
      <c r="AG125" s="13"/>
      <c r="AH125" s="13"/>
      <c r="AI125" s="15"/>
    </row>
    <row r="126" spans="3:35">
      <c r="C126" s="12"/>
      <c r="D126" s="13"/>
      <c r="E126" s="13"/>
      <c r="F126" s="13"/>
      <c r="G126" s="13"/>
      <c r="H126" s="13"/>
      <c r="I126" s="13"/>
      <c r="J126" s="13"/>
      <c r="K126" s="13"/>
      <c r="L126" s="13"/>
      <c r="M126" s="13"/>
      <c r="N126" s="13"/>
      <c r="O126" s="13"/>
      <c r="P126" s="13"/>
      <c r="Q126" s="13"/>
      <c r="R126" s="13"/>
      <c r="S126" s="13"/>
      <c r="T126" s="13"/>
      <c r="U126" s="13"/>
      <c r="V126" s="13"/>
      <c r="W126"/>
      <c r="X126" s="13"/>
      <c r="Y126" s="13"/>
      <c r="Z126" s="13"/>
      <c r="AA126" s="13"/>
      <c r="AB126" s="13"/>
      <c r="AC126" s="13"/>
      <c r="AD126" s="13"/>
      <c r="AE126" s="13"/>
      <c r="AF126" s="13"/>
      <c r="AG126" s="13"/>
      <c r="AH126" s="13"/>
      <c r="AI126" s="15"/>
    </row>
    <row r="127" spans="3:35" ht="19.8">
      <c r="C127" s="12"/>
      <c r="D127" s="13"/>
      <c r="E127" s="9"/>
      <c r="F127" s="10"/>
      <c r="G127" s="544" t="s">
        <v>354</v>
      </c>
      <c r="H127" s="544"/>
      <c r="I127" s="10" t="s">
        <v>365</v>
      </c>
      <c r="J127" s="10"/>
      <c r="K127" s="10"/>
      <c r="L127" s="10"/>
      <c r="M127" s="10"/>
      <c r="N127" s="10"/>
      <c r="O127" s="10"/>
      <c r="P127" s="10"/>
      <c r="Q127" s="10"/>
      <c r="R127" s="10"/>
      <c r="S127" s="10"/>
      <c r="T127" s="10"/>
      <c r="U127" s="10"/>
      <c r="V127" s="10"/>
      <c r="W127" s="3"/>
      <c r="X127" s="10"/>
      <c r="Y127" s="10"/>
      <c r="Z127" s="10"/>
      <c r="AA127" s="10"/>
      <c r="AB127" s="10"/>
      <c r="AC127" s="10"/>
      <c r="AD127" s="10"/>
      <c r="AE127" s="10"/>
      <c r="AF127" s="10"/>
      <c r="AG127" s="10"/>
      <c r="AH127" s="11"/>
      <c r="AI127" s="15"/>
    </row>
    <row r="128" spans="3:35">
      <c r="C128" s="12"/>
      <c r="D128" s="13"/>
      <c r="E128" s="12"/>
      <c r="F128" s="13"/>
      <c r="G128" s="13"/>
      <c r="H128" s="13"/>
      <c r="I128" s="13"/>
      <c r="J128" s="13" t="s">
        <v>362</v>
      </c>
      <c r="K128" s="13"/>
      <c r="L128" s="13"/>
      <c r="M128" s="31">
        <v>2</v>
      </c>
      <c r="N128" s="564" t="s">
        <v>366</v>
      </c>
      <c r="O128" s="564"/>
      <c r="P128" s="13" t="s">
        <v>367</v>
      </c>
      <c r="Q128" s="573" t="s">
        <v>315</v>
      </c>
      <c r="R128" s="573"/>
      <c r="S128" s="13"/>
      <c r="T128" s="13"/>
      <c r="U128" s="13"/>
      <c r="V128" s="13"/>
      <c r="W128" s="13"/>
      <c r="X128" s="13"/>
      <c r="Y128" s="13"/>
      <c r="Z128" s="13"/>
      <c r="AA128" s="13"/>
      <c r="AB128" s="13"/>
      <c r="AC128" s="13"/>
      <c r="AD128" s="13"/>
      <c r="AE128" s="13"/>
      <c r="AF128" s="13"/>
      <c r="AG128" s="13"/>
      <c r="AH128" s="15"/>
      <c r="AI128" s="15"/>
    </row>
    <row r="129" spans="3:35">
      <c r="C129" s="12"/>
      <c r="D129" s="13"/>
      <c r="E129" s="12"/>
      <c r="F129" s="13"/>
      <c r="G129" s="13"/>
      <c r="H129" s="13"/>
      <c r="I129" s="13"/>
      <c r="J129" s="578" t="s">
        <v>366</v>
      </c>
      <c r="K129" s="578"/>
      <c r="L129" s="13" t="s">
        <v>368</v>
      </c>
      <c r="M129" s="13"/>
      <c r="N129" s="13"/>
      <c r="O129" s="13"/>
      <c r="P129" s="13"/>
      <c r="Q129" s="13"/>
      <c r="R129" s="13"/>
      <c r="S129" s="13"/>
      <c r="T129" s="13"/>
      <c r="U129" s="578" t="s">
        <v>366</v>
      </c>
      <c r="V129" s="578"/>
      <c r="W129" s="13" t="s">
        <v>2</v>
      </c>
      <c r="X129" s="537">
        <f>'1.設計条件と鋼矢板・支保工の設定'!T59</f>
        <v>200</v>
      </c>
      <c r="Y129" s="537"/>
      <c r="Z129" s="13" t="s">
        <v>27</v>
      </c>
      <c r="AA129" s="537">
        <f>'1.設計条件と鋼矢板・支保工の設定'!T61</f>
        <v>12</v>
      </c>
      <c r="AB129" s="537"/>
      <c r="AC129" s="13" t="s">
        <v>2</v>
      </c>
      <c r="AD129" s="383">
        <f>X129*AA129</f>
        <v>2400</v>
      </c>
      <c r="AE129" s="381"/>
      <c r="AF129" s="579"/>
      <c r="AG129" s="13"/>
      <c r="AH129" s="15"/>
      <c r="AI129" s="15"/>
    </row>
    <row r="130" spans="3:35">
      <c r="C130" s="12"/>
      <c r="D130" s="13"/>
      <c r="E130" s="12"/>
      <c r="F130" s="13"/>
      <c r="G130" s="13"/>
      <c r="H130" s="13"/>
      <c r="I130" s="13"/>
      <c r="J130" s="578" t="s">
        <v>315</v>
      </c>
      <c r="K130" s="578"/>
      <c r="L130" s="384" t="s">
        <v>381</v>
      </c>
      <c r="M130" s="384"/>
      <c r="N130" s="384"/>
      <c r="O130" s="384"/>
      <c r="P130" s="384"/>
      <c r="Q130" s="384"/>
      <c r="R130" s="578" t="s">
        <v>315</v>
      </c>
      <c r="S130" s="578"/>
      <c r="T130" s="13" t="s">
        <v>2</v>
      </c>
      <c r="U130" s="13" t="s">
        <v>70</v>
      </c>
      <c r="V130" s="537">
        <f>'1.設計条件と鋼矢板・支保工の設定'!T58</f>
        <v>200</v>
      </c>
      <c r="W130" s="537"/>
      <c r="X130" s="13" t="s">
        <v>286</v>
      </c>
      <c r="Y130" s="31">
        <v>2</v>
      </c>
      <c r="Z130" s="13" t="s">
        <v>27</v>
      </c>
      <c r="AA130" s="31">
        <f>'1.設計条件と鋼矢板・支保工の設定'!T61</f>
        <v>12</v>
      </c>
      <c r="AB130" s="13" t="s">
        <v>84</v>
      </c>
      <c r="AC130" s="13" t="s">
        <v>27</v>
      </c>
      <c r="AD130" s="31">
        <f>'1.設計条件と鋼矢板・支保工の設定'!T60</f>
        <v>8</v>
      </c>
      <c r="AE130" s="31" t="s">
        <v>2</v>
      </c>
      <c r="AF130" s="383">
        <f>(V130-Y130*AA130)*AD130</f>
        <v>1408</v>
      </c>
      <c r="AG130" s="381"/>
      <c r="AH130" s="382"/>
      <c r="AI130" s="15"/>
    </row>
    <row r="131" spans="3:35">
      <c r="C131" s="12"/>
      <c r="D131" s="13"/>
      <c r="E131" s="12"/>
      <c r="F131" s="13"/>
      <c r="G131" s="13"/>
      <c r="H131" s="13"/>
      <c r="I131" s="13"/>
      <c r="J131" s="156"/>
      <c r="K131" s="156"/>
      <c r="L131" s="56"/>
      <c r="M131" s="56"/>
      <c r="N131" s="56"/>
      <c r="O131" s="56"/>
      <c r="P131" s="56"/>
      <c r="Q131" s="56"/>
      <c r="R131" s="156"/>
      <c r="S131" s="156"/>
      <c r="T131" s="13"/>
      <c r="U131" s="13"/>
      <c r="V131" s="27"/>
      <c r="W131" s="27"/>
      <c r="X131" s="13"/>
      <c r="Y131" s="31"/>
      <c r="Z131" s="13"/>
      <c r="AA131" s="31"/>
      <c r="AB131" s="13"/>
      <c r="AC131" s="13"/>
      <c r="AD131" s="31"/>
      <c r="AE131" s="31"/>
      <c r="AF131" s="27"/>
      <c r="AG131" s="27"/>
      <c r="AH131" s="179"/>
      <c r="AI131" s="15"/>
    </row>
    <row r="132" spans="3:35">
      <c r="C132" s="12"/>
      <c r="D132" s="13"/>
      <c r="E132" s="12"/>
      <c r="F132" s="13"/>
      <c r="G132" s="13"/>
      <c r="H132" s="13"/>
      <c r="I132" s="35"/>
      <c r="J132" s="309" t="s">
        <v>391</v>
      </c>
      <c r="K132" s="309"/>
      <c r="L132" s="13" t="s">
        <v>392</v>
      </c>
      <c r="M132" s="13"/>
      <c r="N132" s="13"/>
      <c r="O132" s="13"/>
      <c r="P132" s="13"/>
      <c r="Q132" s="27"/>
      <c r="R132" s="27"/>
      <c r="S132" s="13"/>
      <c r="T132" s="13"/>
      <c r="U132" s="13"/>
      <c r="V132" s="13"/>
      <c r="W132" s="13"/>
      <c r="X132" s="13"/>
      <c r="Y132" s="13"/>
      <c r="Z132" s="13"/>
      <c r="AA132" s="13"/>
      <c r="AB132" s="13"/>
      <c r="AC132" s="13"/>
      <c r="AD132" s="31"/>
      <c r="AE132" s="31"/>
      <c r="AF132" s="27"/>
      <c r="AG132" s="27"/>
      <c r="AH132" s="179"/>
      <c r="AI132" s="15"/>
    </row>
    <row r="133" spans="3:35">
      <c r="C133" s="12"/>
      <c r="D133" s="13"/>
      <c r="E133" s="12"/>
      <c r="F133" s="13"/>
      <c r="G133" s="13"/>
      <c r="H133" s="13"/>
      <c r="I133" s="35"/>
      <c r="J133" s="35"/>
      <c r="K133" s="309" t="s">
        <v>391</v>
      </c>
      <c r="L133" s="309"/>
      <c r="M133" s="13" t="s">
        <v>2</v>
      </c>
      <c r="N133" s="394">
        <f>'1.設計条件と鋼矢板・支保工の設定'!T55</f>
        <v>3.1999999999999997</v>
      </c>
      <c r="O133" s="395"/>
      <c r="P133" s="37" t="s">
        <v>3</v>
      </c>
      <c r="Q133" s="13"/>
      <c r="R133" s="31" t="s">
        <v>383</v>
      </c>
      <c r="S133" s="13"/>
      <c r="T133" s="13"/>
      <c r="U133" s="13"/>
      <c r="V133" s="13"/>
      <c r="W133"/>
      <c r="X133" s="13"/>
      <c r="Y133" s="13"/>
      <c r="Z133" s="13"/>
      <c r="AA133" s="13"/>
      <c r="AB133" s="13"/>
      <c r="AC133" s="13"/>
      <c r="AD133" s="31"/>
      <c r="AE133" s="31"/>
      <c r="AF133" s="27"/>
      <c r="AG133" s="27"/>
      <c r="AH133" s="179"/>
      <c r="AI133" s="15"/>
    </row>
    <row r="134" spans="3:35">
      <c r="C134" s="12"/>
      <c r="D134" s="13"/>
      <c r="E134" s="12"/>
      <c r="F134" s="13"/>
      <c r="G134" s="13"/>
      <c r="H134" s="13"/>
      <c r="I134" s="35"/>
      <c r="J134" s="35"/>
      <c r="K134" s="14"/>
      <c r="L134" s="14"/>
      <c r="M134" s="13"/>
      <c r="N134" s="14"/>
      <c r="O134" s="14"/>
      <c r="P134" s="37"/>
      <c r="Q134" s="13"/>
      <c r="R134" s="31"/>
      <c r="S134" s="13"/>
      <c r="T134" s="13"/>
      <c r="U134" s="13"/>
      <c r="V134" s="13"/>
      <c r="W134"/>
      <c r="X134" s="13"/>
      <c r="Y134" s="13"/>
      <c r="Z134" s="13"/>
      <c r="AA134" s="13"/>
      <c r="AB134" s="13"/>
      <c r="AC134" s="13"/>
      <c r="AD134" s="31"/>
      <c r="AE134" s="31"/>
      <c r="AF134" s="27"/>
      <c r="AG134" s="27"/>
      <c r="AH134" s="179"/>
      <c r="AI134" s="15"/>
    </row>
    <row r="135" spans="3:35">
      <c r="C135" s="12"/>
      <c r="D135" s="13"/>
      <c r="E135" s="12"/>
      <c r="F135" s="13"/>
      <c r="G135" s="13"/>
      <c r="H135" s="13"/>
      <c r="I135" s="35"/>
      <c r="J135" s="13" t="s">
        <v>393</v>
      </c>
      <c r="K135" s="13"/>
      <c r="L135" s="13"/>
      <c r="M135" s="13"/>
      <c r="N135" s="13"/>
      <c r="O135" s="13"/>
      <c r="P135" s="34"/>
      <c r="Q135" s="13"/>
      <c r="R135" s="31"/>
      <c r="S135" s="13"/>
      <c r="T135" s="13"/>
      <c r="U135" s="13"/>
      <c r="V135" s="13"/>
      <c r="W135"/>
      <c r="X135" s="13"/>
      <c r="Y135" s="13"/>
      <c r="Z135" s="13"/>
      <c r="AA135" s="13"/>
      <c r="AB135" s="13"/>
      <c r="AC135" s="13"/>
      <c r="AD135" s="31"/>
      <c r="AE135" s="31"/>
      <c r="AF135" s="27"/>
      <c r="AG135" s="27"/>
      <c r="AH135" s="179"/>
      <c r="AI135" s="15"/>
    </row>
    <row r="136" spans="3:35" ht="19.2">
      <c r="C136" s="12"/>
      <c r="D136" s="13"/>
      <c r="E136" s="12"/>
      <c r="F136" s="13"/>
      <c r="G136" s="13"/>
      <c r="H136" s="13"/>
      <c r="I136" s="35"/>
      <c r="J136" s="282" t="s">
        <v>390</v>
      </c>
      <c r="K136" s="282"/>
      <c r="L136" s="393" t="s">
        <v>2</v>
      </c>
      <c r="M136" s="282">
        <f>N133</f>
        <v>3.1999999999999997</v>
      </c>
      <c r="N136" s="282"/>
      <c r="O136" s="17" t="s">
        <v>27</v>
      </c>
      <c r="P136" s="572">
        <v>1000</v>
      </c>
      <c r="Q136" s="572"/>
      <c r="R136" s="572"/>
      <c r="S136" s="13"/>
      <c r="T136" s="393" t="s">
        <v>2</v>
      </c>
      <c r="U136" s="284">
        <f>M136*P136/O137</f>
        <v>15.999999999999998</v>
      </c>
      <c r="V136" s="285"/>
      <c r="W136"/>
      <c r="X136" s="13"/>
      <c r="Y136" s="13"/>
      <c r="Z136" s="13"/>
      <c r="AA136" s="13"/>
      <c r="AB136" s="13"/>
      <c r="AC136" s="13"/>
      <c r="AD136" s="31"/>
      <c r="AE136" s="31"/>
      <c r="AF136" s="27"/>
      <c r="AG136" s="27"/>
      <c r="AH136" s="179"/>
      <c r="AI136" s="15"/>
    </row>
    <row r="137" spans="3:35">
      <c r="C137" s="12"/>
      <c r="D137" s="13"/>
      <c r="E137" s="12"/>
      <c r="F137" s="13"/>
      <c r="G137" s="13"/>
      <c r="H137" s="13"/>
      <c r="I137" s="35"/>
      <c r="J137" s="544" t="s">
        <v>202</v>
      </c>
      <c r="K137" s="544"/>
      <c r="L137" s="393"/>
      <c r="M137" s="13"/>
      <c r="N137" s="13"/>
      <c r="O137" s="546">
        <f>'1.設計条件と鋼矢板・支保工の設定'!T59</f>
        <v>200</v>
      </c>
      <c r="P137" s="546"/>
      <c r="Q137" s="144"/>
      <c r="R137" s="144"/>
      <c r="S137" s="13"/>
      <c r="T137" s="393"/>
      <c r="U137" s="286"/>
      <c r="V137" s="287"/>
      <c r="W137"/>
      <c r="X137" s="13"/>
      <c r="Y137" s="13"/>
      <c r="Z137" s="13"/>
      <c r="AA137" s="13"/>
      <c r="AB137" s="13"/>
      <c r="AC137" s="13"/>
      <c r="AD137" s="31"/>
      <c r="AE137" s="31"/>
      <c r="AF137" s="27"/>
      <c r="AG137" s="27"/>
      <c r="AH137" s="179"/>
      <c r="AI137" s="15"/>
    </row>
    <row r="138" spans="3:35">
      <c r="C138" s="12"/>
      <c r="D138" s="13"/>
      <c r="E138" s="12"/>
      <c r="F138" s="13"/>
      <c r="G138" s="13"/>
      <c r="H138" s="13"/>
      <c r="I138" s="35"/>
      <c r="J138" s="35"/>
      <c r="K138" s="34"/>
      <c r="L138" s="28"/>
      <c r="M138" s="147"/>
      <c r="N138" s="147"/>
      <c r="O138" s="13"/>
      <c r="P138" s="157"/>
      <c r="Q138" s="157"/>
      <c r="R138" s="157"/>
      <c r="S138" s="13"/>
      <c r="T138" s="28"/>
      <c r="U138" s="28"/>
      <c r="V138" s="28"/>
      <c r="W138"/>
      <c r="X138" s="13"/>
      <c r="Y138" s="13"/>
      <c r="Z138" s="13"/>
      <c r="AA138" s="13"/>
      <c r="AB138" s="13"/>
      <c r="AC138" s="13"/>
      <c r="AD138" s="31"/>
      <c r="AE138" s="31"/>
      <c r="AF138" s="27"/>
      <c r="AG138" s="27"/>
      <c r="AH138" s="179"/>
      <c r="AI138" s="15"/>
    </row>
    <row r="139" spans="3:35">
      <c r="C139" s="12"/>
      <c r="D139" s="13"/>
      <c r="E139" s="12"/>
      <c r="F139" s="13"/>
      <c r="G139" s="13"/>
      <c r="H139" s="261" t="s">
        <v>394</v>
      </c>
      <c r="I139" s="261"/>
      <c r="J139" s="261"/>
      <c r="K139" s="261"/>
      <c r="L139" s="261"/>
      <c r="M139" s="261"/>
      <c r="N139" s="261"/>
      <c r="O139" s="261"/>
      <c r="P139" s="261"/>
      <c r="Q139" s="261"/>
      <c r="R139" s="255">
        <v>4.5</v>
      </c>
      <c r="S139" s="255"/>
      <c r="T139" s="13" t="s">
        <v>385</v>
      </c>
      <c r="U139" s="393" t="s">
        <v>395</v>
      </c>
      <c r="V139" s="393"/>
      <c r="W139" s="13" t="s">
        <v>358</v>
      </c>
      <c r="X139" s="537">
        <v>30</v>
      </c>
      <c r="Y139" s="537"/>
      <c r="Z139" s="33" t="s">
        <v>387</v>
      </c>
      <c r="AA139"/>
      <c r="AB139" s="13" t="s">
        <v>464</v>
      </c>
      <c r="AC139" s="13"/>
      <c r="AD139" s="13"/>
      <c r="AE139" s="13"/>
      <c r="AF139" s="27"/>
      <c r="AG139" s="27"/>
      <c r="AH139" s="179"/>
      <c r="AI139" s="15"/>
    </row>
    <row r="140" spans="3:35">
      <c r="C140" s="12"/>
      <c r="D140" s="13"/>
      <c r="E140" s="12"/>
      <c r="F140" s="13"/>
      <c r="G140" s="445" t="s">
        <v>354</v>
      </c>
      <c r="H140" s="445"/>
      <c r="I140" s="32" t="s">
        <v>2</v>
      </c>
      <c r="J140" s="148" t="s">
        <v>396</v>
      </c>
      <c r="K140" s="571">
        <v>140</v>
      </c>
      <c r="L140" s="571"/>
      <c r="M140" s="148" t="s">
        <v>286</v>
      </c>
      <c r="N140" s="261">
        <v>2.4</v>
      </c>
      <c r="O140" s="261"/>
      <c r="P140" s="148" t="s">
        <v>70</v>
      </c>
      <c r="Q140" s="309" t="s">
        <v>391</v>
      </c>
      <c r="R140" s="309"/>
      <c r="S140" s="147" t="s">
        <v>71</v>
      </c>
      <c r="T140" s="34" t="s">
        <v>202</v>
      </c>
      <c r="U140" s="13" t="s">
        <v>286</v>
      </c>
      <c r="V140" s="393">
        <v>4.5</v>
      </c>
      <c r="W140" s="393"/>
      <c r="X140" s="27" t="s">
        <v>397</v>
      </c>
      <c r="Y140" s="27" t="s">
        <v>27</v>
      </c>
      <c r="Z140" s="393">
        <v>1.5</v>
      </c>
      <c r="AA140" s="393"/>
      <c r="AB140" s="13"/>
      <c r="AC140" s="13"/>
      <c r="AD140" s="13"/>
      <c r="AE140" s="13"/>
      <c r="AF140" s="27"/>
      <c r="AG140" s="27"/>
      <c r="AH140" s="179"/>
      <c r="AI140" s="15"/>
    </row>
    <row r="141" spans="3:35">
      <c r="C141" s="12"/>
      <c r="D141" s="13"/>
      <c r="E141" s="12"/>
      <c r="F141" s="13"/>
      <c r="G141" s="165"/>
      <c r="H141" s="165"/>
      <c r="I141" s="32" t="s">
        <v>2</v>
      </c>
      <c r="J141" s="148" t="s">
        <v>396</v>
      </c>
      <c r="K141" s="571">
        <v>140</v>
      </c>
      <c r="L141" s="571"/>
      <c r="M141" s="148" t="s">
        <v>286</v>
      </c>
      <c r="N141" s="261">
        <v>2.4</v>
      </c>
      <c r="O141" s="261"/>
      <c r="P141" s="148" t="s">
        <v>70</v>
      </c>
      <c r="Q141" s="309">
        <f>U136</f>
        <v>15.999999999999998</v>
      </c>
      <c r="R141" s="309"/>
      <c r="S141" s="309"/>
      <c r="T141" s="309"/>
      <c r="U141" s="13" t="s">
        <v>286</v>
      </c>
      <c r="V141" s="393">
        <v>4.5</v>
      </c>
      <c r="W141" s="393"/>
      <c r="X141" s="27" t="s">
        <v>397</v>
      </c>
      <c r="Y141" s="27" t="s">
        <v>27</v>
      </c>
      <c r="Z141" s="393">
        <v>1.5</v>
      </c>
      <c r="AA141" s="393"/>
      <c r="AB141" s="13"/>
      <c r="AC141" s="13"/>
      <c r="AD141" s="13"/>
      <c r="AE141" s="13"/>
      <c r="AF141" s="27"/>
      <c r="AG141" s="27"/>
      <c r="AH141" s="179"/>
      <c r="AI141" s="15"/>
    </row>
    <row r="142" spans="3:35" ht="19.8">
      <c r="C142" s="12"/>
      <c r="D142" s="13"/>
      <c r="E142" s="12"/>
      <c r="F142" s="13"/>
      <c r="G142" s="13"/>
      <c r="H142" s="148"/>
      <c r="I142" s="32" t="s">
        <v>2</v>
      </c>
      <c r="J142" s="580">
        <f>(K141-N141*(Q141-V141))*Z141</f>
        <v>168.60000000000002</v>
      </c>
      <c r="K142" s="581"/>
      <c r="L142" s="582"/>
      <c r="M142" s="164" t="s">
        <v>49</v>
      </c>
      <c r="N142" s="148"/>
      <c r="O142" s="148"/>
      <c r="P142" s="148"/>
      <c r="Q142" s="148"/>
      <c r="R142" s="147"/>
      <c r="S142" s="147"/>
      <c r="T142" s="13"/>
      <c r="U142" s="28"/>
      <c r="V142" s="28"/>
      <c r="W142" s="13"/>
      <c r="X142" s="27"/>
      <c r="Y142" s="27"/>
      <c r="Z142" s="33"/>
      <c r="AA142"/>
      <c r="AB142" s="13"/>
      <c r="AC142" s="13"/>
      <c r="AD142" s="13"/>
      <c r="AE142" s="13"/>
      <c r="AF142" s="27"/>
      <c r="AG142" s="27"/>
      <c r="AH142" s="179"/>
      <c r="AI142" s="15"/>
    </row>
    <row r="143" spans="3:35">
      <c r="C143" s="12"/>
      <c r="D143" s="13"/>
      <c r="E143" s="16"/>
      <c r="F143" s="17"/>
      <c r="G143" s="17"/>
      <c r="H143" s="180"/>
      <c r="I143" s="181"/>
      <c r="J143" s="180"/>
      <c r="K143" s="180"/>
      <c r="L143" s="180"/>
      <c r="M143" s="178"/>
      <c r="N143" s="180"/>
      <c r="O143" s="180"/>
      <c r="P143" s="180"/>
      <c r="Q143" s="180"/>
      <c r="R143" s="162"/>
      <c r="S143" s="162"/>
      <c r="T143" s="17"/>
      <c r="U143" s="171"/>
      <c r="V143" s="171"/>
      <c r="W143" s="17"/>
      <c r="X143" s="152"/>
      <c r="Y143" s="152"/>
      <c r="Z143" s="182"/>
      <c r="AA143" s="25"/>
      <c r="AB143" s="17"/>
      <c r="AC143" s="17"/>
      <c r="AD143" s="17"/>
      <c r="AE143" s="17"/>
      <c r="AF143" s="152"/>
      <c r="AG143" s="152"/>
      <c r="AH143" s="183"/>
      <c r="AI143" s="15"/>
    </row>
    <row r="144" spans="3:35">
      <c r="C144" s="12"/>
      <c r="D144" s="13"/>
      <c r="E144" s="13"/>
      <c r="F144" s="13"/>
      <c r="G144" s="13"/>
      <c r="H144" s="148"/>
      <c r="I144" s="32"/>
      <c r="J144" s="148"/>
      <c r="K144" s="148"/>
      <c r="L144" s="148"/>
      <c r="M144" s="164"/>
      <c r="N144" s="148"/>
      <c r="O144" s="148"/>
      <c r="P144" s="148"/>
      <c r="Q144" s="148"/>
      <c r="R144" s="147"/>
      <c r="S144" s="147"/>
      <c r="T144" s="13"/>
      <c r="U144" s="28"/>
      <c r="V144" s="28"/>
      <c r="W144" s="13"/>
      <c r="X144" s="27"/>
      <c r="Y144" s="27"/>
      <c r="Z144" s="33"/>
      <c r="AA144"/>
      <c r="AB144" s="13"/>
      <c r="AC144" s="13"/>
      <c r="AD144" s="13"/>
      <c r="AE144" s="13"/>
      <c r="AF144" s="27"/>
      <c r="AG144" s="27"/>
      <c r="AH144" s="27"/>
      <c r="AI144" s="15"/>
    </row>
    <row r="145" spans="3:35">
      <c r="C145" s="12"/>
      <c r="D145" s="13"/>
      <c r="E145" s="13"/>
      <c r="F145" s="13"/>
      <c r="G145" s="13"/>
      <c r="H145" s="148"/>
      <c r="I145" s="148"/>
      <c r="J145" s="148"/>
      <c r="K145" s="148"/>
      <c r="L145" s="148"/>
      <c r="M145" s="148"/>
      <c r="N145" s="148"/>
      <c r="O145" s="148"/>
      <c r="P145" s="148"/>
      <c r="Q145" s="148"/>
      <c r="R145" s="147"/>
      <c r="S145" s="147"/>
      <c r="T145" s="13"/>
      <c r="U145" s="28"/>
      <c r="V145" s="28"/>
      <c r="W145" s="13"/>
      <c r="X145" s="27"/>
      <c r="Y145" s="27"/>
      <c r="Z145" s="33"/>
      <c r="AA145"/>
      <c r="AB145" s="13"/>
      <c r="AC145" s="13"/>
      <c r="AD145" s="13"/>
      <c r="AE145" s="13"/>
      <c r="AF145" s="27"/>
      <c r="AG145" s="27"/>
      <c r="AH145" s="27"/>
      <c r="AI145" s="15"/>
    </row>
    <row r="146" spans="3:35">
      <c r="C146" s="12"/>
      <c r="D146" s="13"/>
      <c r="E146" s="9"/>
      <c r="F146" s="10"/>
      <c r="G146" s="544" t="s">
        <v>356</v>
      </c>
      <c r="H146" s="544"/>
      <c r="I146" s="10" t="s">
        <v>371</v>
      </c>
      <c r="J146" s="10"/>
      <c r="K146" s="10"/>
      <c r="L146" s="10"/>
      <c r="M146" s="10"/>
      <c r="N146" s="10"/>
      <c r="O146" s="10"/>
      <c r="P146" s="10"/>
      <c r="Q146" s="10"/>
      <c r="R146" s="10"/>
      <c r="S146" s="10"/>
      <c r="T146" s="10"/>
      <c r="U146" s="10"/>
      <c r="V146" s="10"/>
      <c r="W146" s="3"/>
      <c r="X146" s="10"/>
      <c r="Y146" s="10"/>
      <c r="Z146" s="10"/>
      <c r="AA146" s="10"/>
      <c r="AB146" s="10"/>
      <c r="AC146" s="10"/>
      <c r="AD146" s="10"/>
      <c r="AE146" s="10"/>
      <c r="AF146" s="10"/>
      <c r="AG146" s="10"/>
      <c r="AH146" s="11"/>
      <c r="AI146" s="15"/>
    </row>
    <row r="147" spans="3:35" ht="19.8">
      <c r="C147" s="12"/>
      <c r="D147" s="13"/>
      <c r="E147" s="12"/>
      <c r="F147" s="13"/>
      <c r="G147" s="13"/>
      <c r="H147" s="13"/>
      <c r="I147" s="210" t="s">
        <v>356</v>
      </c>
      <c r="J147" s="210"/>
      <c r="K147" s="13" t="s">
        <v>2</v>
      </c>
      <c r="L147" s="220">
        <v>210</v>
      </c>
      <c r="M147" s="222"/>
      <c r="N147" s="13" t="s">
        <v>49</v>
      </c>
      <c r="O147" s="13"/>
      <c r="P147" s="13"/>
      <c r="Q147" s="13" t="s">
        <v>372</v>
      </c>
      <c r="R147" s="13"/>
      <c r="S147" s="13"/>
      <c r="T147" s="13"/>
      <c r="U147" s="13"/>
      <c r="V147" s="13"/>
      <c r="W147"/>
      <c r="X147" s="13"/>
      <c r="Y147" s="13"/>
      <c r="Z147" s="13"/>
      <c r="AA147" s="13"/>
      <c r="AB147" s="13"/>
      <c r="AC147" s="13"/>
      <c r="AD147" s="13"/>
      <c r="AE147" s="13"/>
      <c r="AF147" s="13"/>
      <c r="AG147" s="13"/>
      <c r="AH147" s="15"/>
      <c r="AI147" s="15"/>
    </row>
    <row r="148" spans="3:35">
      <c r="C148" s="12"/>
      <c r="D148" s="13"/>
      <c r="E148" s="16"/>
      <c r="F148" s="17"/>
      <c r="G148" s="17"/>
      <c r="H148" s="17"/>
      <c r="I148" s="151"/>
      <c r="J148" s="151"/>
      <c r="K148" s="17"/>
      <c r="L148" s="184"/>
      <c r="M148" s="184"/>
      <c r="N148" s="17"/>
      <c r="O148" s="17"/>
      <c r="P148" s="17"/>
      <c r="Q148" s="17"/>
      <c r="R148" s="17"/>
      <c r="S148" s="17"/>
      <c r="T148" s="17"/>
      <c r="U148" s="17"/>
      <c r="V148" s="17"/>
      <c r="W148" s="25"/>
      <c r="X148" s="17"/>
      <c r="Y148" s="17"/>
      <c r="Z148" s="17"/>
      <c r="AA148" s="17"/>
      <c r="AB148" s="17"/>
      <c r="AC148" s="17"/>
      <c r="AD148" s="17"/>
      <c r="AE148" s="17"/>
      <c r="AF148" s="17"/>
      <c r="AG148" s="17"/>
      <c r="AH148" s="19"/>
      <c r="AI148" s="15"/>
    </row>
    <row r="149" spans="3:35">
      <c r="C149" s="12"/>
      <c r="D149" s="13"/>
      <c r="E149" s="13"/>
      <c r="F149" s="13"/>
      <c r="G149" s="13"/>
      <c r="H149" s="13"/>
      <c r="I149" s="35"/>
      <c r="J149" s="35"/>
      <c r="K149" s="13"/>
      <c r="L149" s="146"/>
      <c r="M149" s="146"/>
      <c r="N149" s="13"/>
      <c r="O149" s="13"/>
      <c r="P149" s="13"/>
      <c r="Q149" s="13"/>
      <c r="R149" s="13"/>
      <c r="S149" s="13"/>
      <c r="T149" s="13"/>
      <c r="U149" s="13"/>
      <c r="V149" s="13"/>
      <c r="W149"/>
      <c r="X149" s="13"/>
      <c r="Y149" s="13"/>
      <c r="Z149" s="13"/>
      <c r="AA149" s="13"/>
      <c r="AB149" s="13"/>
      <c r="AC149" s="13"/>
      <c r="AD149" s="13"/>
      <c r="AE149" s="13"/>
      <c r="AF149" s="13"/>
      <c r="AG149" s="13"/>
      <c r="AH149" s="13"/>
      <c r="AI149" s="15"/>
    </row>
    <row r="150" spans="3:35">
      <c r="C150" s="12"/>
      <c r="D150" s="13"/>
      <c r="E150" s="13"/>
      <c r="F150" s="13"/>
      <c r="G150" s="13"/>
      <c r="H150" s="13"/>
      <c r="I150" s="13"/>
      <c r="J150" s="13"/>
      <c r="K150" s="13"/>
      <c r="L150" s="13"/>
      <c r="M150" s="13"/>
      <c r="N150" s="13"/>
      <c r="O150" s="13"/>
      <c r="P150" s="13"/>
      <c r="Q150" s="13"/>
      <c r="R150" s="13"/>
      <c r="S150" s="13"/>
      <c r="T150" s="13"/>
      <c r="U150" s="13"/>
      <c r="V150" s="13"/>
      <c r="W150"/>
      <c r="X150" s="13"/>
      <c r="Y150" s="13"/>
      <c r="Z150" s="13"/>
      <c r="AA150" s="13"/>
      <c r="AB150" s="13"/>
      <c r="AC150" s="13"/>
      <c r="AD150" s="13"/>
      <c r="AE150" s="13"/>
      <c r="AF150" s="13"/>
      <c r="AG150" s="13"/>
      <c r="AH150" s="13"/>
      <c r="AI150" s="15"/>
    </row>
    <row r="151" spans="3:35">
      <c r="C151" s="12"/>
      <c r="D151" s="13"/>
      <c r="E151" s="9"/>
      <c r="F151" s="10"/>
      <c r="G151" s="544" t="s">
        <v>398</v>
      </c>
      <c r="H151" s="544"/>
      <c r="I151" s="10" t="s">
        <v>399</v>
      </c>
      <c r="J151" s="10"/>
      <c r="K151" s="10"/>
      <c r="L151" s="10"/>
      <c r="M151" s="10"/>
      <c r="N151" s="10"/>
      <c r="O151" s="10"/>
      <c r="P151" s="10"/>
      <c r="Q151" s="10"/>
      <c r="R151" s="10"/>
      <c r="S151" s="10"/>
      <c r="T151" s="10"/>
      <c r="U151" s="10"/>
      <c r="V151" s="10"/>
      <c r="W151" s="3"/>
      <c r="X151" s="10"/>
      <c r="Y151" s="10"/>
      <c r="Z151" s="10"/>
      <c r="AA151" s="10"/>
      <c r="AB151" s="10"/>
      <c r="AC151" s="10"/>
      <c r="AD151" s="10"/>
      <c r="AE151" s="10"/>
      <c r="AF151" s="10"/>
      <c r="AG151" s="10"/>
      <c r="AH151" s="11"/>
      <c r="AI151" s="15"/>
    </row>
    <row r="152" spans="3:35" ht="19.8">
      <c r="C152" s="12"/>
      <c r="D152" s="13"/>
      <c r="E152" s="12"/>
      <c r="F152" s="13"/>
      <c r="G152" s="13"/>
      <c r="H152" s="13"/>
      <c r="I152" s="210" t="s">
        <v>398</v>
      </c>
      <c r="J152" s="210"/>
      <c r="K152" s="13" t="s">
        <v>2</v>
      </c>
      <c r="L152" s="220">
        <v>210</v>
      </c>
      <c r="M152" s="222"/>
      <c r="N152" s="13" t="s">
        <v>49</v>
      </c>
      <c r="O152" s="13"/>
      <c r="P152" s="13"/>
      <c r="Q152" s="13" t="s">
        <v>372</v>
      </c>
      <c r="R152" s="13"/>
      <c r="S152" s="13"/>
      <c r="T152" s="13"/>
      <c r="U152" s="13"/>
      <c r="V152" s="13"/>
      <c r="W152"/>
      <c r="X152" s="13"/>
      <c r="Y152" s="13"/>
      <c r="Z152" s="13"/>
      <c r="AA152" s="13"/>
      <c r="AB152" s="13"/>
      <c r="AC152" s="13"/>
      <c r="AD152" s="13"/>
      <c r="AE152" s="13"/>
      <c r="AF152" s="13"/>
      <c r="AG152" s="13"/>
      <c r="AH152" s="15"/>
      <c r="AI152" s="15"/>
    </row>
    <row r="153" spans="3:35">
      <c r="C153" s="12"/>
      <c r="D153" s="13"/>
      <c r="E153" s="16"/>
      <c r="F153" s="17"/>
      <c r="G153" s="17"/>
      <c r="H153" s="17"/>
      <c r="I153" s="17"/>
      <c r="J153" s="17" t="s">
        <v>362</v>
      </c>
      <c r="K153" s="17"/>
      <c r="L153" s="17"/>
      <c r="M153" s="127" t="s">
        <v>363</v>
      </c>
      <c r="N153" s="17" t="s">
        <v>358</v>
      </c>
      <c r="O153" s="282">
        <v>13.1</v>
      </c>
      <c r="P153" s="282"/>
      <c r="Q153" s="127" t="s">
        <v>364</v>
      </c>
      <c r="R153" s="17" t="s">
        <v>346</v>
      </c>
      <c r="S153" s="17"/>
      <c r="T153" s="17"/>
      <c r="U153" s="17"/>
      <c r="V153" s="17"/>
      <c r="W153" s="25"/>
      <c r="X153" s="17"/>
      <c r="Y153" s="17"/>
      <c r="Z153" s="17"/>
      <c r="AA153" s="17"/>
      <c r="AB153" s="17"/>
      <c r="AC153" s="17"/>
      <c r="AD153" s="17"/>
      <c r="AE153" s="17"/>
      <c r="AF153" s="17"/>
      <c r="AG153" s="17"/>
      <c r="AH153" s="19"/>
      <c r="AI153" s="15"/>
    </row>
    <row r="154" spans="3:35">
      <c r="C154" s="12"/>
      <c r="D154" s="13"/>
      <c r="E154" s="13"/>
      <c r="F154" s="13"/>
      <c r="G154" s="13"/>
      <c r="H154" s="13"/>
      <c r="I154" s="13"/>
      <c r="J154" s="13"/>
      <c r="K154" s="13"/>
      <c r="L154" s="13"/>
      <c r="M154" s="34"/>
      <c r="N154" s="13"/>
      <c r="O154" s="14"/>
      <c r="P154" s="14"/>
      <c r="Q154" s="34"/>
      <c r="R154" s="13"/>
      <c r="S154" s="13"/>
      <c r="T154" s="13"/>
      <c r="U154" s="13"/>
      <c r="V154" s="13"/>
      <c r="W154"/>
      <c r="X154" s="13"/>
      <c r="Y154" s="13"/>
      <c r="Z154" s="13"/>
      <c r="AA154" s="13"/>
      <c r="AB154" s="13"/>
      <c r="AC154" s="13"/>
      <c r="AD154" s="13"/>
      <c r="AE154" s="13"/>
      <c r="AF154" s="13"/>
      <c r="AG154" s="13"/>
      <c r="AH154" s="13"/>
      <c r="AI154" s="15"/>
    </row>
    <row r="155" spans="3:35">
      <c r="C155" s="12"/>
      <c r="D155" s="13"/>
      <c r="E155" s="13"/>
      <c r="F155" s="13"/>
      <c r="G155" s="13"/>
      <c r="H155" s="13"/>
      <c r="I155" s="13"/>
      <c r="J155" s="13"/>
      <c r="K155" s="13"/>
      <c r="L155" s="13"/>
      <c r="M155" s="34"/>
      <c r="N155" s="13"/>
      <c r="O155" s="14"/>
      <c r="P155" s="14"/>
      <c r="Q155" s="34"/>
      <c r="R155" s="13"/>
      <c r="S155" s="13"/>
      <c r="T155" s="13"/>
      <c r="U155" s="13"/>
      <c r="V155" s="13"/>
      <c r="W155"/>
      <c r="X155" s="13"/>
      <c r="Y155" s="13"/>
      <c r="Z155" s="13"/>
      <c r="AA155" s="13"/>
      <c r="AB155" s="13"/>
      <c r="AC155" s="13"/>
      <c r="AD155" s="13"/>
      <c r="AE155" s="13"/>
      <c r="AF155" s="13"/>
      <c r="AG155" s="13"/>
      <c r="AH155" s="13"/>
      <c r="AI155" s="15"/>
    </row>
    <row r="156" spans="3:35" ht="19.8">
      <c r="C156" s="12"/>
      <c r="D156" s="13"/>
      <c r="E156" s="561" t="s">
        <v>353</v>
      </c>
      <c r="F156" s="562"/>
      <c r="G156" s="563" t="s">
        <v>373</v>
      </c>
      <c r="H156" s="563"/>
      <c r="I156" s="10" t="s">
        <v>465</v>
      </c>
      <c r="J156" s="10"/>
      <c r="K156" s="10"/>
      <c r="L156" s="10"/>
      <c r="M156" s="10"/>
      <c r="N156" s="10"/>
      <c r="O156" s="10"/>
      <c r="P156" s="10"/>
      <c r="Q156" s="10"/>
      <c r="R156" s="10"/>
      <c r="S156" s="10"/>
      <c r="T156" s="10"/>
      <c r="U156" s="10"/>
      <c r="V156" s="10"/>
      <c r="W156" s="3"/>
      <c r="X156" s="10"/>
      <c r="Y156" s="10"/>
      <c r="Z156" s="10"/>
      <c r="AA156" s="10"/>
      <c r="AB156" s="10"/>
      <c r="AC156" s="10"/>
      <c r="AD156" s="10"/>
      <c r="AE156" s="10"/>
      <c r="AF156" s="10"/>
      <c r="AG156" s="10"/>
      <c r="AH156" s="11"/>
      <c r="AI156" s="15"/>
    </row>
    <row r="157" spans="3:35">
      <c r="C157" s="12"/>
      <c r="D157" s="13"/>
      <c r="E157" s="12"/>
      <c r="F157" s="13"/>
      <c r="G157" s="13"/>
      <c r="H157" s="13"/>
      <c r="I157" s="445" t="s">
        <v>353</v>
      </c>
      <c r="J157" s="445"/>
      <c r="K157" s="393" t="s">
        <v>2</v>
      </c>
      <c r="L157" s="536">
        <v>1200000</v>
      </c>
      <c r="M157" s="536"/>
      <c r="N157" s="536"/>
      <c r="O157" s="536"/>
      <c r="P157" s="536"/>
      <c r="Q157" s="13"/>
      <c r="R157" s="393" t="s">
        <v>2</v>
      </c>
      <c r="S157" s="536">
        <v>1200000</v>
      </c>
      <c r="T157" s="536"/>
      <c r="U157" s="536"/>
      <c r="V157" s="536"/>
      <c r="W157" s="536"/>
      <c r="X157" s="17"/>
      <c r="Y157" s="17"/>
      <c r="Z157" s="17"/>
      <c r="AA157" s="17"/>
      <c r="AB157" s="13"/>
      <c r="AC157" s="393" t="s">
        <v>2</v>
      </c>
      <c r="AD157" s="281">
        <f>S157</f>
        <v>1200000</v>
      </c>
      <c r="AE157" s="281"/>
      <c r="AF157" s="281"/>
      <c r="AG157" s="281"/>
      <c r="AH157" s="15"/>
      <c r="AI157" s="15"/>
    </row>
    <row r="158" spans="3:35" ht="19.8">
      <c r="C158" s="12"/>
      <c r="D158" s="13"/>
      <c r="E158" s="12"/>
      <c r="F158" s="13"/>
      <c r="G158" s="13"/>
      <c r="H158" s="13"/>
      <c r="I158" s="445"/>
      <c r="J158" s="445"/>
      <c r="K158" s="393"/>
      <c r="L158" s="13" t="s">
        <v>70</v>
      </c>
      <c r="M158" s="13" t="s">
        <v>375</v>
      </c>
      <c r="N158" s="13" t="s">
        <v>71</v>
      </c>
      <c r="O158" s="34" t="s">
        <v>333</v>
      </c>
      <c r="P158" s="13" t="s">
        <v>376</v>
      </c>
      <c r="Q158" s="13"/>
      <c r="R158" s="393"/>
      <c r="S158" s="13" t="s">
        <v>70</v>
      </c>
      <c r="T158" s="537">
        <f>U168</f>
        <v>3199.9999999999995</v>
      </c>
      <c r="U158" s="537"/>
      <c r="V158" s="537"/>
      <c r="W158" s="13" t="s">
        <v>71</v>
      </c>
      <c r="X158" s="309">
        <f>U171</f>
        <v>84.3</v>
      </c>
      <c r="Y158" s="309"/>
      <c r="Z158" s="13"/>
      <c r="AA158" s="13" t="s">
        <v>376</v>
      </c>
      <c r="AB158" s="13"/>
      <c r="AC158" s="393"/>
      <c r="AD158" s="309">
        <f>(T158/X158)^2</f>
        <v>1440.9363835029669</v>
      </c>
      <c r="AE158" s="309"/>
      <c r="AF158" s="309"/>
      <c r="AG158" s="309"/>
      <c r="AH158" s="15"/>
      <c r="AI158" s="15"/>
    </row>
    <row r="159" spans="3:35">
      <c r="C159" s="12"/>
      <c r="D159" s="13"/>
      <c r="E159" s="12"/>
      <c r="F159" s="13"/>
      <c r="G159" s="13"/>
      <c r="H159" s="13"/>
      <c r="I159" s="36"/>
      <c r="J159" s="36"/>
      <c r="K159" s="28"/>
      <c r="L159" s="13"/>
      <c r="M159" s="13"/>
      <c r="N159" s="13"/>
      <c r="O159" s="34"/>
      <c r="P159" s="13"/>
      <c r="Q159" s="13"/>
      <c r="R159" s="28"/>
      <c r="S159" s="13"/>
      <c r="T159" s="27"/>
      <c r="U159" s="27"/>
      <c r="V159" s="27"/>
      <c r="W159" s="13"/>
      <c r="X159" s="14"/>
      <c r="Y159" s="14"/>
      <c r="Z159" s="13"/>
      <c r="AA159" s="13"/>
      <c r="AB159" s="13"/>
      <c r="AC159" s="28"/>
      <c r="AD159" s="14"/>
      <c r="AE159" s="14"/>
      <c r="AF159" s="14"/>
      <c r="AG159" s="14"/>
      <c r="AH159" s="15"/>
      <c r="AI159" s="15"/>
    </row>
    <row r="160" spans="3:35">
      <c r="C160" s="12"/>
      <c r="D160" s="13"/>
      <c r="E160" s="12"/>
      <c r="F160" s="13"/>
      <c r="G160" s="13"/>
      <c r="H160" s="13"/>
      <c r="I160" s="36"/>
      <c r="J160" s="36"/>
      <c r="K160" s="28" t="s">
        <v>2</v>
      </c>
      <c r="L160" s="394">
        <f>AD157/AD158</f>
        <v>832.79179687500005</v>
      </c>
      <c r="M160" s="392"/>
      <c r="N160" s="395"/>
      <c r="O160" s="34"/>
      <c r="P160" s="13"/>
      <c r="Q160" s="13"/>
      <c r="R160" s="13"/>
      <c r="S160" s="28"/>
      <c r="T160" s="13"/>
      <c r="U160" s="27"/>
      <c r="V160" s="27"/>
      <c r="W160" s="27"/>
      <c r="X160" s="13"/>
      <c r="Y160" s="14"/>
      <c r="Z160" s="14"/>
      <c r="AA160" s="13"/>
      <c r="AB160" s="31"/>
      <c r="AC160" s="13"/>
      <c r="AD160" s="13"/>
      <c r="AE160" s="13"/>
      <c r="AF160" s="13"/>
      <c r="AG160" s="13"/>
      <c r="AH160" s="15"/>
      <c r="AI160" s="15"/>
    </row>
    <row r="161" spans="3:35">
      <c r="C161" s="12"/>
      <c r="D161" s="13"/>
      <c r="E161" s="12"/>
      <c r="F161" s="13"/>
      <c r="G161" s="13"/>
      <c r="H161" s="13"/>
      <c r="I161" s="13"/>
      <c r="J161" s="13"/>
      <c r="K161" s="13"/>
      <c r="L161" s="13"/>
      <c r="M161" s="13"/>
      <c r="N161" s="13"/>
      <c r="O161" s="13"/>
      <c r="P161" s="13"/>
      <c r="Q161" s="13"/>
      <c r="R161" s="13"/>
      <c r="S161" s="13"/>
      <c r="T161" s="13"/>
      <c r="U161" s="13"/>
      <c r="V161" s="13"/>
      <c r="W161"/>
      <c r="X161" s="13"/>
      <c r="Y161" s="13"/>
      <c r="Z161" s="13"/>
      <c r="AA161" s="13"/>
      <c r="AB161" s="13"/>
      <c r="AC161" s="13"/>
      <c r="AD161" s="13"/>
      <c r="AE161" s="13"/>
      <c r="AF161" s="13"/>
      <c r="AG161" s="13"/>
      <c r="AH161" s="15"/>
      <c r="AI161" s="15"/>
    </row>
    <row r="162" spans="3:35">
      <c r="C162" s="12"/>
      <c r="D162" s="13"/>
      <c r="E162" s="12"/>
      <c r="F162" s="13"/>
      <c r="G162" s="13"/>
      <c r="H162" s="13"/>
      <c r="I162" s="445" t="s">
        <v>357</v>
      </c>
      <c r="J162" s="445"/>
      <c r="K162" s="393" t="s">
        <v>2</v>
      </c>
      <c r="L162" s="536">
        <v>1200000</v>
      </c>
      <c r="M162" s="536"/>
      <c r="N162" s="536"/>
      <c r="O162" s="536"/>
      <c r="P162" s="536"/>
      <c r="Q162" s="13"/>
      <c r="R162" s="393" t="s">
        <v>2</v>
      </c>
      <c r="S162" s="536">
        <v>1200000</v>
      </c>
      <c r="T162" s="536"/>
      <c r="U162" s="536"/>
      <c r="V162" s="536"/>
      <c r="W162" s="536"/>
      <c r="X162" s="17"/>
      <c r="Y162" s="17"/>
      <c r="Z162" s="17"/>
      <c r="AA162" s="17"/>
      <c r="AB162" s="13"/>
      <c r="AC162" s="393" t="s">
        <v>2</v>
      </c>
      <c r="AD162" s="281">
        <f>S162</f>
        <v>1200000</v>
      </c>
      <c r="AE162" s="281"/>
      <c r="AF162" s="281"/>
      <c r="AG162" s="281"/>
      <c r="AH162" s="15"/>
      <c r="AI162" s="15"/>
    </row>
    <row r="163" spans="3:35" ht="19.8">
      <c r="C163" s="12"/>
      <c r="D163" s="13"/>
      <c r="E163" s="12"/>
      <c r="F163" s="13"/>
      <c r="G163" s="13"/>
      <c r="H163" s="13"/>
      <c r="I163" s="445"/>
      <c r="J163" s="445"/>
      <c r="K163" s="393"/>
      <c r="L163" s="13" t="s">
        <v>70</v>
      </c>
      <c r="M163" s="13" t="s">
        <v>375</v>
      </c>
      <c r="N163" s="13" t="s">
        <v>71</v>
      </c>
      <c r="O163" s="34" t="s">
        <v>334</v>
      </c>
      <c r="P163" s="13" t="s">
        <v>376</v>
      </c>
      <c r="Q163" s="13"/>
      <c r="R163" s="393"/>
      <c r="S163" s="13" t="s">
        <v>70</v>
      </c>
      <c r="T163" s="537">
        <f>U168</f>
        <v>3199.9999999999995</v>
      </c>
      <c r="U163" s="537"/>
      <c r="V163" s="537"/>
      <c r="W163" s="13" t="s">
        <v>71</v>
      </c>
      <c r="X163" s="309">
        <f>U172</f>
        <v>42.199999999999996</v>
      </c>
      <c r="Y163" s="309"/>
      <c r="Z163" s="13"/>
      <c r="AA163" s="13" t="s">
        <v>376</v>
      </c>
      <c r="AB163" s="13"/>
      <c r="AC163" s="393"/>
      <c r="AD163" s="309">
        <f>(T163/X163)^2</f>
        <v>5750.0954605691695</v>
      </c>
      <c r="AE163" s="309"/>
      <c r="AF163" s="309"/>
      <c r="AG163" s="309"/>
      <c r="AH163" s="15"/>
      <c r="AI163" s="15"/>
    </row>
    <row r="164" spans="3:35">
      <c r="C164" s="12"/>
      <c r="D164" s="13"/>
      <c r="E164" s="12"/>
      <c r="F164" s="13"/>
      <c r="G164" s="13"/>
      <c r="H164" s="13"/>
      <c r="I164" s="36"/>
      <c r="J164" s="36"/>
      <c r="K164" s="28"/>
      <c r="L164" s="13"/>
      <c r="M164" s="13"/>
      <c r="N164" s="13"/>
      <c r="O164" s="34"/>
      <c r="P164" s="13"/>
      <c r="Q164" s="13"/>
      <c r="R164" s="28"/>
      <c r="S164" s="13"/>
      <c r="T164" s="27"/>
      <c r="U164" s="27"/>
      <c r="V164" s="27"/>
      <c r="W164" s="13"/>
      <c r="X164" s="14"/>
      <c r="Y164" s="14"/>
      <c r="Z164" s="13"/>
      <c r="AA164" s="13"/>
      <c r="AB164" s="13"/>
      <c r="AC164" s="28"/>
      <c r="AD164" s="14"/>
      <c r="AE164" s="14"/>
      <c r="AF164" s="14"/>
      <c r="AG164" s="14"/>
      <c r="AH164" s="15"/>
      <c r="AI164" s="15"/>
    </row>
    <row r="165" spans="3:35">
      <c r="C165" s="12"/>
      <c r="D165" s="13"/>
      <c r="E165" s="12"/>
      <c r="F165" s="13"/>
      <c r="G165" s="13"/>
      <c r="H165" s="13"/>
      <c r="I165" s="36"/>
      <c r="J165" s="36"/>
      <c r="K165" s="28" t="s">
        <v>2</v>
      </c>
      <c r="L165" s="394">
        <f>AD162/AD163</f>
        <v>208.69218750000002</v>
      </c>
      <c r="M165" s="392"/>
      <c r="N165" s="395"/>
      <c r="O165" s="34"/>
      <c r="P165" s="13"/>
      <c r="Q165" s="13"/>
      <c r="R165" s="13"/>
      <c r="S165" s="28"/>
      <c r="T165" s="13"/>
      <c r="U165" s="27"/>
      <c r="V165" s="27"/>
      <c r="W165" s="27"/>
      <c r="X165" s="13"/>
      <c r="Y165" s="14"/>
      <c r="Z165" s="14"/>
      <c r="AA165" s="13"/>
      <c r="AB165" s="31"/>
      <c r="AC165" s="13"/>
      <c r="AD165" s="13"/>
      <c r="AE165" s="13"/>
      <c r="AF165" s="13"/>
      <c r="AG165" s="13"/>
      <c r="AH165" s="15"/>
      <c r="AI165" s="15"/>
    </row>
    <row r="166" spans="3:35">
      <c r="C166" s="12"/>
      <c r="D166" s="13"/>
      <c r="E166" s="12"/>
      <c r="F166" s="13"/>
      <c r="G166" s="13"/>
      <c r="H166" s="13"/>
      <c r="I166" s="13"/>
      <c r="J166" s="13"/>
      <c r="K166" s="13"/>
      <c r="L166" s="13"/>
      <c r="M166" s="13"/>
      <c r="N166" s="13"/>
      <c r="O166" s="13"/>
      <c r="P166" s="13"/>
      <c r="Q166" s="13"/>
      <c r="R166" s="13"/>
      <c r="S166" s="13"/>
      <c r="T166" s="13"/>
      <c r="U166" s="13"/>
      <c r="V166" s="13"/>
      <c r="W166"/>
      <c r="X166" s="13"/>
      <c r="Y166" s="13"/>
      <c r="Z166" s="13"/>
      <c r="AA166" s="13"/>
      <c r="AB166" s="13"/>
      <c r="AC166" s="13"/>
      <c r="AD166" s="13"/>
      <c r="AE166" s="13"/>
      <c r="AF166" s="13"/>
      <c r="AG166" s="13"/>
      <c r="AH166" s="15"/>
      <c r="AI166" s="15"/>
    </row>
    <row r="167" spans="3:35">
      <c r="C167" s="12"/>
      <c r="D167" s="13"/>
      <c r="E167" s="12"/>
      <c r="F167" s="13"/>
      <c r="G167" s="13"/>
      <c r="H167" s="13"/>
      <c r="I167" s="13"/>
      <c r="J167" s="13"/>
      <c r="K167" s="13" t="s">
        <v>375</v>
      </c>
      <c r="L167" s="13" t="s">
        <v>378</v>
      </c>
      <c r="M167" s="13"/>
      <c r="N167" s="13"/>
      <c r="O167" s="13"/>
      <c r="P167" s="13"/>
      <c r="Q167" s="13"/>
      <c r="R167" s="13"/>
      <c r="S167" s="13"/>
      <c r="T167" s="13"/>
      <c r="U167" s="13"/>
      <c r="V167" s="13"/>
      <c r="W167"/>
      <c r="X167" s="13"/>
      <c r="Y167" s="13"/>
      <c r="Z167" s="13"/>
      <c r="AA167" s="13"/>
      <c r="AB167" s="13"/>
      <c r="AC167" s="13"/>
      <c r="AD167" s="13"/>
      <c r="AE167" s="13"/>
      <c r="AF167" s="13"/>
      <c r="AG167" s="13"/>
      <c r="AH167" s="15"/>
      <c r="AI167" s="15"/>
    </row>
    <row r="168" spans="3:35">
      <c r="C168" s="12"/>
      <c r="D168" s="13"/>
      <c r="E168" s="12"/>
      <c r="F168" s="13"/>
      <c r="G168" s="13"/>
      <c r="H168" s="13"/>
      <c r="I168" s="13"/>
      <c r="J168" s="13"/>
      <c r="K168" s="13"/>
      <c r="L168" s="13" t="s">
        <v>375</v>
      </c>
      <c r="M168" s="13" t="s">
        <v>2</v>
      </c>
      <c r="N168" s="309">
        <f>'1.設計条件と鋼矢板・支保工の設定'!T55</f>
        <v>3.1999999999999997</v>
      </c>
      <c r="O168" s="309"/>
      <c r="P168" s="13" t="s">
        <v>27</v>
      </c>
      <c r="Q168" s="560">
        <v>1000</v>
      </c>
      <c r="R168" s="560"/>
      <c r="S168" s="13"/>
      <c r="T168" s="13" t="s">
        <v>2</v>
      </c>
      <c r="U168" s="383">
        <f>N168*Q168</f>
        <v>3199.9999999999995</v>
      </c>
      <c r="V168" s="381"/>
      <c r="W168" s="382"/>
      <c r="X168" s="13"/>
      <c r="Y168" s="13"/>
      <c r="Z168" s="13"/>
      <c r="AA168" s="13"/>
      <c r="AB168" s="13"/>
      <c r="AC168" s="13"/>
      <c r="AD168" s="13"/>
      <c r="AE168" s="13"/>
      <c r="AF168" s="13"/>
      <c r="AG168" s="13"/>
      <c r="AH168" s="15"/>
      <c r="AI168" s="15"/>
    </row>
    <row r="169" spans="3:35">
      <c r="C169" s="12"/>
      <c r="D169" s="13"/>
      <c r="E169" s="12"/>
      <c r="F169" s="13"/>
      <c r="G169" s="13"/>
      <c r="H169" s="13"/>
      <c r="I169" s="13"/>
      <c r="J169" s="13"/>
      <c r="K169" s="13"/>
      <c r="L169" s="13"/>
      <c r="M169" s="13"/>
      <c r="N169" s="14"/>
      <c r="O169" s="14"/>
      <c r="P169" s="13"/>
      <c r="Q169" s="158"/>
      <c r="R169" s="158"/>
      <c r="S169" s="13"/>
      <c r="T169" s="13"/>
      <c r="U169" s="27"/>
      <c r="V169" s="27"/>
      <c r="W169" s="27"/>
      <c r="X169" s="13"/>
      <c r="Y169" s="13"/>
      <c r="Z169" s="13"/>
      <c r="AA169" s="13"/>
      <c r="AB169" s="13"/>
      <c r="AC169" s="13"/>
      <c r="AD169" s="13"/>
      <c r="AE169" s="13"/>
      <c r="AF169" s="13"/>
      <c r="AG169" s="13"/>
      <c r="AH169" s="15"/>
      <c r="AI169" s="15"/>
    </row>
    <row r="170" spans="3:35">
      <c r="C170" s="12"/>
      <c r="D170" s="13"/>
      <c r="E170" s="12"/>
      <c r="F170" s="13"/>
      <c r="G170" s="13"/>
      <c r="H170" s="13"/>
      <c r="I170" s="13"/>
      <c r="J170" s="34" t="s">
        <v>333</v>
      </c>
      <c r="K170" s="34" t="s">
        <v>334</v>
      </c>
      <c r="L170" s="13" t="s">
        <v>377</v>
      </c>
      <c r="M170" s="13"/>
      <c r="N170" s="13"/>
      <c r="O170" s="13"/>
      <c r="P170" s="13"/>
      <c r="Q170" s="13"/>
      <c r="R170" s="13"/>
      <c r="S170" s="13"/>
      <c r="T170" s="13"/>
      <c r="U170" s="13"/>
      <c r="V170" s="13"/>
      <c r="W170"/>
      <c r="X170" s="13"/>
      <c r="Y170" s="13"/>
      <c r="Z170" s="13"/>
      <c r="AA170" s="13"/>
      <c r="AB170" s="13"/>
      <c r="AC170" s="13"/>
      <c r="AD170" s="13"/>
      <c r="AE170" s="13"/>
      <c r="AF170" s="13"/>
      <c r="AG170" s="13"/>
      <c r="AH170" s="15"/>
      <c r="AI170" s="15"/>
    </row>
    <row r="171" spans="3:35">
      <c r="C171" s="12"/>
      <c r="D171" s="13"/>
      <c r="E171" s="12"/>
      <c r="F171" s="13"/>
      <c r="G171" s="13"/>
      <c r="H171" s="13"/>
      <c r="I171" s="13"/>
      <c r="J171" s="13"/>
      <c r="K171" s="13"/>
      <c r="L171" s="34" t="s">
        <v>333</v>
      </c>
      <c r="M171" s="13" t="s">
        <v>2</v>
      </c>
      <c r="N171" s="294">
        <f>'1.設計条件と鋼矢板・支保工の設定'!T64</f>
        <v>8.43</v>
      </c>
      <c r="O171" s="294"/>
      <c r="P171" s="13" t="s">
        <v>27</v>
      </c>
      <c r="Q171" s="560">
        <v>10</v>
      </c>
      <c r="R171" s="560"/>
      <c r="S171" s="13"/>
      <c r="T171" s="13" t="s">
        <v>2</v>
      </c>
      <c r="U171" s="394">
        <f>N171*Q171</f>
        <v>84.3</v>
      </c>
      <c r="V171" s="392"/>
      <c r="W171" s="395"/>
      <c r="X171" s="13"/>
      <c r="Y171" s="13"/>
      <c r="Z171" s="13"/>
      <c r="AA171" s="13"/>
      <c r="AB171" s="13"/>
      <c r="AC171" s="13"/>
      <c r="AD171" s="13"/>
      <c r="AE171" s="13"/>
      <c r="AF171" s="13"/>
      <c r="AG171" s="13"/>
      <c r="AH171" s="15"/>
      <c r="AI171" s="15"/>
    </row>
    <row r="172" spans="3:35">
      <c r="C172" s="12"/>
      <c r="D172" s="13"/>
      <c r="E172" s="12"/>
      <c r="F172" s="13"/>
      <c r="G172" s="13"/>
      <c r="H172" s="13"/>
      <c r="I172" s="13"/>
      <c r="J172" s="13"/>
      <c r="K172" s="13"/>
      <c r="L172" s="34" t="s">
        <v>334</v>
      </c>
      <c r="M172" s="13" t="s">
        <v>2</v>
      </c>
      <c r="N172" s="294">
        <f>'1.設計条件と鋼矢板・支保工の設定'!T65</f>
        <v>4.22</v>
      </c>
      <c r="O172" s="294"/>
      <c r="P172" s="13" t="s">
        <v>27</v>
      </c>
      <c r="Q172" s="560">
        <v>10</v>
      </c>
      <c r="R172" s="560"/>
      <c r="S172" s="13"/>
      <c r="T172" s="13" t="s">
        <v>2</v>
      </c>
      <c r="U172" s="394">
        <f>N172*Q172</f>
        <v>42.199999999999996</v>
      </c>
      <c r="V172" s="392"/>
      <c r="W172" s="395"/>
      <c r="X172" s="13"/>
      <c r="Y172" s="13"/>
      <c r="Z172" s="13"/>
      <c r="AA172" s="13"/>
      <c r="AB172" s="13"/>
      <c r="AC172" s="13"/>
      <c r="AD172" s="13"/>
      <c r="AE172" s="13"/>
      <c r="AF172" s="13"/>
      <c r="AG172" s="13"/>
      <c r="AH172" s="15"/>
      <c r="AI172" s="15"/>
    </row>
    <row r="173" spans="3:35">
      <c r="C173" s="12"/>
      <c r="D173" s="13"/>
      <c r="E173" s="16"/>
      <c r="F173" s="17"/>
      <c r="G173" s="17"/>
      <c r="H173" s="17"/>
      <c r="I173" s="17"/>
      <c r="J173" s="17"/>
      <c r="K173" s="17"/>
      <c r="L173" s="127"/>
      <c r="M173" s="17"/>
      <c r="N173" s="150"/>
      <c r="O173" s="150"/>
      <c r="P173" s="17"/>
      <c r="Q173" s="159"/>
      <c r="R173" s="159"/>
      <c r="S173" s="17"/>
      <c r="T173" s="17"/>
      <c r="U173" s="18"/>
      <c r="V173" s="18"/>
      <c r="W173" s="18"/>
      <c r="X173" s="17"/>
      <c r="Y173" s="17"/>
      <c r="Z173" s="17"/>
      <c r="AA173" s="17"/>
      <c r="AB173" s="17"/>
      <c r="AC173" s="17"/>
      <c r="AD173" s="17"/>
      <c r="AE173" s="17"/>
      <c r="AF173" s="17"/>
      <c r="AG173" s="17"/>
      <c r="AH173" s="19"/>
      <c r="AI173" s="15"/>
    </row>
    <row r="174" spans="3:35">
      <c r="C174" s="12"/>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5"/>
    </row>
    <row r="175" spans="3:35">
      <c r="C175" s="12" t="s">
        <v>68</v>
      </c>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5"/>
    </row>
    <row r="176" spans="3:35">
      <c r="C176" s="12"/>
      <c r="D176" s="13" t="s">
        <v>422</v>
      </c>
      <c r="F176" s="13"/>
      <c r="G176" s="13"/>
      <c r="H176" s="13"/>
      <c r="I176" s="13"/>
      <c r="J176" s="13"/>
      <c r="K176" s="13"/>
      <c r="L176" s="13"/>
      <c r="M176" s="13"/>
      <c r="N176" s="13"/>
      <c r="O176" s="13"/>
      <c r="P176" s="13"/>
      <c r="Q176" s="13"/>
      <c r="R176" s="13"/>
      <c r="S176" s="13"/>
      <c r="T176" s="13"/>
      <c r="U176" s="13"/>
      <c r="V176" s="13"/>
      <c r="W176"/>
      <c r="X176" s="13"/>
      <c r="Y176" s="13"/>
      <c r="Z176" s="13"/>
      <c r="AA176" s="13"/>
      <c r="AB176" s="13"/>
      <c r="AC176" s="13"/>
      <c r="AD176" s="13"/>
      <c r="AE176" s="13"/>
      <c r="AF176" s="13"/>
      <c r="AG176" s="13"/>
      <c r="AH176" s="13"/>
      <c r="AI176" s="15"/>
    </row>
    <row r="177" spans="3:35">
      <c r="C177" s="12"/>
      <c r="D177" s="13"/>
      <c r="E177" s="13"/>
      <c r="F177" s="491" t="s">
        <v>350</v>
      </c>
      <c r="G177" s="491"/>
      <c r="H177" s="393" t="s">
        <v>69</v>
      </c>
      <c r="I177" s="17"/>
      <c r="J177" s="17"/>
      <c r="K177" s="17"/>
      <c r="L177" s="17"/>
      <c r="M177" s="491" t="s">
        <v>349</v>
      </c>
      <c r="N177" s="491"/>
      <c r="O177" s="17"/>
      <c r="P177" s="17"/>
      <c r="Q177" s="17"/>
      <c r="R177" s="17"/>
      <c r="S177" s="393" t="s">
        <v>69</v>
      </c>
      <c r="T177" s="17"/>
      <c r="U177" s="17"/>
      <c r="V177" s="17"/>
      <c r="W177" s="17"/>
      <c r="X177" s="491" t="s">
        <v>355</v>
      </c>
      <c r="Y177" s="491"/>
      <c r="Z177" s="17"/>
      <c r="AA177" s="17"/>
      <c r="AB177" s="17"/>
      <c r="AC177" s="17"/>
      <c r="AD177" s="393"/>
      <c r="AE177" s="538"/>
      <c r="AF177" s="13"/>
      <c r="AG177" s="13"/>
      <c r="AH177" s="13"/>
      <c r="AI177" s="15"/>
    </row>
    <row r="178" spans="3:35">
      <c r="C178" s="12"/>
      <c r="D178" s="13"/>
      <c r="E178" s="13"/>
      <c r="F178" s="210" t="s">
        <v>351</v>
      </c>
      <c r="G178" s="210"/>
      <c r="H178" s="393"/>
      <c r="I178" s="210" t="s">
        <v>354</v>
      </c>
      <c r="J178" s="210"/>
      <c r="K178" s="40" t="s">
        <v>352</v>
      </c>
      <c r="L178" s="13" t="s">
        <v>286</v>
      </c>
      <c r="M178" s="210" t="s">
        <v>350</v>
      </c>
      <c r="N178" s="210"/>
      <c r="O178" s="13" t="s">
        <v>71</v>
      </c>
      <c r="P178" s="210" t="s">
        <v>353</v>
      </c>
      <c r="Q178" s="210"/>
      <c r="R178" s="13" t="s">
        <v>84</v>
      </c>
      <c r="S178" s="393"/>
      <c r="T178" s="210" t="s">
        <v>356</v>
      </c>
      <c r="U178" s="210"/>
      <c r="V178" s="40" t="s">
        <v>352</v>
      </c>
      <c r="W178" s="13" t="s">
        <v>286</v>
      </c>
      <c r="X178" s="210" t="s">
        <v>350</v>
      </c>
      <c r="Y178" s="210"/>
      <c r="Z178" s="13" t="s">
        <v>71</v>
      </c>
      <c r="AA178" s="210" t="s">
        <v>357</v>
      </c>
      <c r="AB178" s="210"/>
      <c r="AC178" s="13" t="s">
        <v>84</v>
      </c>
      <c r="AD178" s="393"/>
      <c r="AE178" s="538"/>
      <c r="AF178" s="13"/>
      <c r="AG178" s="13"/>
      <c r="AH178" s="13"/>
      <c r="AI178" s="15"/>
    </row>
    <row r="179" spans="3:35">
      <c r="C179" s="12"/>
      <c r="D179" s="13"/>
      <c r="E179" s="13"/>
      <c r="F179" s="35"/>
      <c r="G179" s="35"/>
      <c r="H179" s="28"/>
      <c r="I179" s="35"/>
      <c r="J179" s="35"/>
      <c r="K179" s="40"/>
      <c r="L179" s="13"/>
      <c r="M179" s="35"/>
      <c r="N179" s="35"/>
      <c r="O179" s="13"/>
      <c r="P179" s="35"/>
      <c r="Q179" s="35"/>
      <c r="R179" s="13"/>
      <c r="S179" s="28"/>
      <c r="T179" s="35"/>
      <c r="U179" s="35"/>
      <c r="V179" s="40"/>
      <c r="W179" s="13"/>
      <c r="X179" s="35"/>
      <c r="Y179" s="35"/>
      <c r="Z179" s="13"/>
      <c r="AA179" s="35"/>
      <c r="AB179" s="35"/>
      <c r="AC179" s="13"/>
      <c r="AD179" s="28"/>
      <c r="AE179" s="149"/>
      <c r="AF179" s="13"/>
      <c r="AG179" s="13"/>
      <c r="AH179" s="13"/>
      <c r="AI179" s="15"/>
    </row>
    <row r="180" spans="3:35">
      <c r="C180" s="12"/>
      <c r="D180" s="13"/>
      <c r="E180" s="393" t="s">
        <v>2</v>
      </c>
      <c r="F180" s="539">
        <f>V89</f>
        <v>91.41896371045992</v>
      </c>
      <c r="G180" s="539"/>
      <c r="H180" s="393" t="s">
        <v>69</v>
      </c>
      <c r="I180" s="17"/>
      <c r="J180" s="17"/>
      <c r="K180" s="17"/>
      <c r="L180" s="17"/>
      <c r="M180" s="539">
        <f>J98</f>
        <v>17.486338797814202</v>
      </c>
      <c r="N180" s="539"/>
      <c r="O180" s="17"/>
      <c r="P180" s="17"/>
      <c r="Q180" s="17"/>
      <c r="R180" s="17"/>
      <c r="S180" s="393" t="s">
        <v>69</v>
      </c>
      <c r="T180" s="17"/>
      <c r="U180" s="17"/>
      <c r="V180" s="17"/>
      <c r="W180" s="17"/>
      <c r="X180" s="539">
        <f>J101</f>
        <v>0</v>
      </c>
      <c r="Y180" s="539"/>
      <c r="Z180" s="17"/>
      <c r="AA180" s="17"/>
      <c r="AB180" s="17"/>
      <c r="AC180" s="17"/>
      <c r="AD180" s="28"/>
      <c r="AE180" s="149"/>
      <c r="AF180" s="13"/>
      <c r="AG180" s="13"/>
      <c r="AH180" s="13"/>
      <c r="AI180" s="15"/>
    </row>
    <row r="181" spans="3:35">
      <c r="C181" s="12"/>
      <c r="D181" s="13"/>
      <c r="E181" s="393"/>
      <c r="F181" s="255">
        <f>J123</f>
        <v>138.86985781990523</v>
      </c>
      <c r="G181" s="255"/>
      <c r="H181" s="393"/>
      <c r="I181" s="261">
        <f>J142</f>
        <v>168.60000000000002</v>
      </c>
      <c r="J181" s="261"/>
      <c r="K181" s="40" t="s">
        <v>352</v>
      </c>
      <c r="L181" s="13" t="s">
        <v>286</v>
      </c>
      <c r="M181" s="255">
        <f>V89</f>
        <v>91.41896371045992</v>
      </c>
      <c r="N181" s="255"/>
      <c r="O181" s="13" t="s">
        <v>71</v>
      </c>
      <c r="P181" s="261">
        <f>L160</f>
        <v>832.79179687500005</v>
      </c>
      <c r="Q181" s="261"/>
      <c r="R181" s="13" t="s">
        <v>84</v>
      </c>
      <c r="S181" s="393"/>
      <c r="T181" s="261">
        <f>L147</f>
        <v>210</v>
      </c>
      <c r="U181" s="261"/>
      <c r="V181" s="40" t="s">
        <v>352</v>
      </c>
      <c r="W181" s="13" t="s">
        <v>286</v>
      </c>
      <c r="X181" s="255">
        <f>V89</f>
        <v>91.41896371045992</v>
      </c>
      <c r="Y181" s="255"/>
      <c r="Z181" s="13" t="s">
        <v>71</v>
      </c>
      <c r="AA181" s="255">
        <f>L165</f>
        <v>208.69218750000002</v>
      </c>
      <c r="AB181" s="255"/>
      <c r="AC181" s="13" t="s">
        <v>84</v>
      </c>
      <c r="AD181" s="28"/>
      <c r="AE181" s="149"/>
      <c r="AF181" s="13"/>
      <c r="AG181" s="13"/>
      <c r="AH181" s="13"/>
      <c r="AI181" s="15"/>
    </row>
    <row r="182" spans="3:35">
      <c r="C182" s="12"/>
      <c r="D182" s="13"/>
      <c r="E182" s="28"/>
      <c r="F182" s="35"/>
      <c r="G182" s="35"/>
      <c r="H182" s="28"/>
      <c r="I182" s="35"/>
      <c r="J182" s="35"/>
      <c r="K182" s="40"/>
      <c r="L182" s="13"/>
      <c r="M182" s="35"/>
      <c r="N182" s="35"/>
      <c r="O182" s="13"/>
      <c r="P182" s="35"/>
      <c r="Q182" s="35"/>
      <c r="R182" s="13"/>
      <c r="S182" s="28"/>
      <c r="T182" s="35"/>
      <c r="U182" s="35"/>
      <c r="V182" s="40"/>
      <c r="W182" s="13"/>
      <c r="X182" s="35"/>
      <c r="Y182" s="35"/>
      <c r="Z182" s="13"/>
      <c r="AA182" s="35"/>
      <c r="AB182" s="35"/>
      <c r="AC182" s="13"/>
      <c r="AD182" s="28"/>
      <c r="AE182" s="149"/>
      <c r="AF182" s="13"/>
      <c r="AG182" s="13"/>
      <c r="AH182" s="13"/>
      <c r="AI182" s="15"/>
    </row>
    <row r="183" spans="3:35">
      <c r="C183" s="12"/>
      <c r="D183" s="13"/>
      <c r="E183" s="13" t="s">
        <v>2</v>
      </c>
      <c r="F183" s="540">
        <f>F180/F181</f>
        <v>0.65830674233869757</v>
      </c>
      <c r="G183" s="540"/>
      <c r="H183" s="28" t="s">
        <v>69</v>
      </c>
      <c r="I183" s="540">
        <f>M180/(I181*(1-M181/P181))</f>
        <v>0.11650406779945024</v>
      </c>
      <c r="J183" s="540"/>
      <c r="K183" s="540"/>
      <c r="L183" s="540"/>
      <c r="M183" s="540"/>
      <c r="N183" s="540"/>
      <c r="O183" s="540"/>
      <c r="P183" s="540"/>
      <c r="Q183" s="540"/>
      <c r="R183" s="540"/>
      <c r="S183" s="28" t="s">
        <v>69</v>
      </c>
      <c r="T183" s="540">
        <f>X180/(T181*(1-X181/AA181))</f>
        <v>0</v>
      </c>
      <c r="U183" s="540"/>
      <c r="V183" s="540"/>
      <c r="W183" s="540"/>
      <c r="X183" s="540"/>
      <c r="Y183" s="540"/>
      <c r="Z183" s="540"/>
      <c r="AA183" s="540"/>
      <c r="AB183" s="540"/>
      <c r="AC183" s="540"/>
      <c r="AD183" s="28"/>
      <c r="AE183" s="149"/>
      <c r="AF183" s="13"/>
      <c r="AG183" s="13"/>
      <c r="AH183" s="13"/>
      <c r="AI183" s="15"/>
    </row>
    <row r="184" spans="3:35">
      <c r="C184" s="12"/>
      <c r="D184" s="13"/>
      <c r="E184" s="13"/>
      <c r="F184" s="166"/>
      <c r="G184" s="166"/>
      <c r="H184" s="28"/>
      <c r="I184" s="166"/>
      <c r="J184" s="166"/>
      <c r="K184" s="166"/>
      <c r="L184" s="166"/>
      <c r="M184" s="166"/>
      <c r="N184" s="166"/>
      <c r="O184" s="166"/>
      <c r="P184" s="166"/>
      <c r="Q184" s="166"/>
      <c r="R184" s="166"/>
      <c r="S184" s="28"/>
      <c r="T184" s="166"/>
      <c r="U184" s="166"/>
      <c r="V184" s="166"/>
      <c r="W184" s="166"/>
      <c r="X184" s="166"/>
      <c r="Y184" s="166"/>
      <c r="Z184" s="166"/>
      <c r="AA184" s="166"/>
      <c r="AB184" s="166"/>
      <c r="AC184" s="166"/>
      <c r="AD184" s="28"/>
      <c r="AE184" s="149"/>
      <c r="AF184" s="13"/>
      <c r="AG184" s="13"/>
      <c r="AH184" s="13"/>
      <c r="AI184" s="15"/>
    </row>
    <row r="185" spans="3:35">
      <c r="C185" s="12"/>
      <c r="D185" s="13"/>
      <c r="E185" s="13" t="s">
        <v>2</v>
      </c>
      <c r="F185" s="541">
        <f>F183+I183+T183</f>
        <v>0.77481081013814779</v>
      </c>
      <c r="G185" s="542"/>
      <c r="H185" s="28"/>
      <c r="I185" s="13" t="str">
        <f>IF(F185&lt;=J185, "≦","&gt;")</f>
        <v>≦</v>
      </c>
      <c r="J185" s="31">
        <v>1</v>
      </c>
      <c r="K185" s="166"/>
      <c r="L185" s="394" t="str">
        <f>IF(I185="≦","OK","NG")</f>
        <v>OK</v>
      </c>
      <c r="M185" s="392"/>
      <c r="N185" s="395"/>
      <c r="O185" s="34"/>
      <c r="P185" s="13"/>
      <c r="Q185" s="13"/>
      <c r="R185" s="13"/>
      <c r="S185" s="31"/>
      <c r="T185" s="13"/>
      <c r="U185" s="13"/>
      <c r="V185" s="13"/>
      <c r="W185" s="13"/>
      <c r="X185" s="13"/>
      <c r="Y185" s="13"/>
      <c r="Z185" s="13"/>
      <c r="AA185" s="166"/>
      <c r="AB185" s="166"/>
      <c r="AC185" s="166"/>
      <c r="AD185" s="28"/>
      <c r="AE185" s="149"/>
      <c r="AF185" s="13"/>
      <c r="AG185" s="13"/>
      <c r="AH185" s="13"/>
      <c r="AI185" s="15"/>
    </row>
    <row r="186" spans="3:35">
      <c r="C186" s="12"/>
      <c r="D186" s="13"/>
      <c r="E186" s="13"/>
      <c r="F186" s="13"/>
      <c r="G186" s="13"/>
      <c r="H186" s="13"/>
      <c r="I186" s="13"/>
      <c r="J186" s="13"/>
      <c r="K186" s="13"/>
      <c r="L186" s="13"/>
      <c r="M186" s="13"/>
      <c r="N186" s="13"/>
      <c r="O186" s="13"/>
      <c r="P186" s="13"/>
      <c r="Q186" s="13"/>
      <c r="R186" s="13"/>
      <c r="S186" s="13"/>
      <c r="T186" s="13"/>
      <c r="U186" s="13"/>
      <c r="V186" s="13"/>
      <c r="W186"/>
      <c r="X186" s="13"/>
      <c r="Y186" s="13"/>
      <c r="Z186" s="13"/>
      <c r="AA186" s="13"/>
      <c r="AB186" s="13"/>
      <c r="AC186" s="13"/>
      <c r="AD186" s="13"/>
      <c r="AE186" s="13"/>
      <c r="AF186" s="13"/>
      <c r="AG186" s="13"/>
      <c r="AH186" s="13"/>
      <c r="AI186" s="15"/>
    </row>
    <row r="187" spans="3:35">
      <c r="C187" s="12"/>
      <c r="D187" s="13" t="s">
        <v>423</v>
      </c>
      <c r="E187" s="13"/>
      <c r="F187" s="13"/>
      <c r="G187" s="13"/>
      <c r="H187" s="13"/>
      <c r="I187" s="13"/>
      <c r="J187" s="13"/>
      <c r="K187" s="13"/>
      <c r="L187" s="13"/>
      <c r="M187" s="13"/>
      <c r="N187" s="13"/>
      <c r="O187" s="13"/>
      <c r="P187" s="13"/>
      <c r="Q187" s="13"/>
      <c r="R187" s="13"/>
      <c r="S187" s="13"/>
      <c r="T187" s="13"/>
      <c r="U187" s="13"/>
      <c r="V187" s="13"/>
      <c r="W187"/>
      <c r="X187" s="13"/>
      <c r="Y187" s="13"/>
      <c r="Z187" s="13"/>
      <c r="AA187" s="13"/>
      <c r="AB187" s="13"/>
      <c r="AC187" s="13"/>
      <c r="AD187" s="13"/>
      <c r="AE187" s="13"/>
      <c r="AF187" s="13"/>
      <c r="AG187" s="13"/>
      <c r="AH187" s="13"/>
      <c r="AI187" s="15"/>
    </row>
    <row r="188" spans="3:35">
      <c r="C188" s="12"/>
      <c r="D188" s="13"/>
      <c r="E188" s="13"/>
      <c r="F188" s="445" t="s">
        <v>350</v>
      </c>
      <c r="G188" s="445"/>
      <c r="H188" s="393" t="s">
        <v>69</v>
      </c>
      <c r="I188" s="17"/>
      <c r="J188" s="17"/>
      <c r="K188" s="17"/>
      <c r="L188" s="491" t="s">
        <v>349</v>
      </c>
      <c r="M188" s="491"/>
      <c r="N188" s="17"/>
      <c r="O188" s="17"/>
      <c r="P188" s="17"/>
      <c r="Q188" s="393" t="s">
        <v>69</v>
      </c>
      <c r="R188" s="17"/>
      <c r="S188" s="17"/>
      <c r="T188" s="17"/>
      <c r="U188" s="491" t="s">
        <v>355</v>
      </c>
      <c r="V188" s="491"/>
      <c r="W188" s="17"/>
      <c r="X188" s="17"/>
      <c r="Y188" s="17"/>
      <c r="Z188" s="393"/>
      <c r="AA188" s="13"/>
      <c r="AB188" s="13"/>
      <c r="AC188" s="13"/>
      <c r="AD188" s="13"/>
      <c r="AE188" s="13"/>
      <c r="AF188" s="13"/>
      <c r="AG188" s="13"/>
      <c r="AH188" s="13"/>
      <c r="AI188" s="15"/>
    </row>
    <row r="189" spans="3:35">
      <c r="C189" s="12"/>
      <c r="D189" s="13"/>
      <c r="E189" s="13"/>
      <c r="F189" s="445"/>
      <c r="G189" s="445"/>
      <c r="H189" s="393"/>
      <c r="I189" s="13" t="s">
        <v>352</v>
      </c>
      <c r="J189" s="13" t="s">
        <v>286</v>
      </c>
      <c r="K189" s="210" t="s">
        <v>350</v>
      </c>
      <c r="L189" s="210"/>
      <c r="M189" s="13" t="s">
        <v>71</v>
      </c>
      <c r="N189" s="210" t="s">
        <v>353</v>
      </c>
      <c r="O189" s="210"/>
      <c r="P189" s="13" t="s">
        <v>84</v>
      </c>
      <c r="Q189" s="393"/>
      <c r="R189" s="13" t="s">
        <v>352</v>
      </c>
      <c r="S189" s="13" t="s">
        <v>286</v>
      </c>
      <c r="T189" s="210" t="s">
        <v>350</v>
      </c>
      <c r="U189" s="210"/>
      <c r="V189" s="13" t="s">
        <v>71</v>
      </c>
      <c r="W189" s="210" t="s">
        <v>357</v>
      </c>
      <c r="X189" s="210"/>
      <c r="Y189" s="13" t="s">
        <v>84</v>
      </c>
      <c r="Z189" s="393"/>
      <c r="AA189" s="165"/>
      <c r="AB189" s="165"/>
      <c r="AC189" s="13"/>
      <c r="AD189" s="13"/>
      <c r="AE189" s="13"/>
      <c r="AF189" s="13"/>
      <c r="AG189" s="13"/>
      <c r="AH189" s="13"/>
      <c r="AI189" s="15"/>
    </row>
    <row r="190" spans="3:35">
      <c r="C190" s="12"/>
      <c r="D190" s="13"/>
      <c r="E190" s="13"/>
      <c r="F190" s="13"/>
      <c r="G190" s="13"/>
      <c r="H190" s="13"/>
      <c r="I190" s="13"/>
      <c r="J190" s="13"/>
      <c r="K190" s="13"/>
      <c r="L190" s="13"/>
      <c r="M190" s="13"/>
      <c r="N190" s="13"/>
      <c r="O190" s="13"/>
      <c r="P190" s="13"/>
      <c r="Q190" s="13"/>
      <c r="R190" s="13"/>
      <c r="S190" s="13"/>
      <c r="T190" s="13"/>
      <c r="U190" s="13"/>
      <c r="V190" s="13"/>
      <c r="W190"/>
      <c r="X190" s="13"/>
      <c r="Y190" s="13"/>
      <c r="Z190" s="13"/>
      <c r="AA190" s="13"/>
      <c r="AB190" s="13"/>
      <c r="AC190" s="13"/>
      <c r="AD190" s="13"/>
      <c r="AE190" s="13"/>
      <c r="AF190" s="13"/>
      <c r="AG190" s="13"/>
      <c r="AH190" s="13"/>
      <c r="AI190" s="15"/>
    </row>
    <row r="191" spans="3:35">
      <c r="C191" s="12"/>
      <c r="D191" s="13"/>
      <c r="E191" s="393" t="s">
        <v>2</v>
      </c>
      <c r="F191" s="567">
        <f>V89</f>
        <v>91.41896371045992</v>
      </c>
      <c r="G191" s="567"/>
      <c r="H191" s="393" t="s">
        <v>69</v>
      </c>
      <c r="I191" s="17"/>
      <c r="J191" s="17"/>
      <c r="K191" s="17"/>
      <c r="L191" s="539">
        <f>J98</f>
        <v>17.486338797814202</v>
      </c>
      <c r="M191" s="539"/>
      <c r="N191" s="17"/>
      <c r="O191" s="17"/>
      <c r="P191" s="17"/>
      <c r="Q191" s="393" t="s">
        <v>69</v>
      </c>
      <c r="R191" s="17"/>
      <c r="S191" s="17"/>
      <c r="T191" s="17"/>
      <c r="U191" s="539">
        <f>J101</f>
        <v>0</v>
      </c>
      <c r="V191" s="539"/>
      <c r="W191" s="17"/>
      <c r="X191" s="17"/>
      <c r="Y191" s="17"/>
      <c r="Z191" s="393"/>
      <c r="AA191" s="538"/>
      <c r="AB191" s="538"/>
      <c r="AC191" s="13"/>
      <c r="AD191" s="13"/>
      <c r="AE191" s="13"/>
      <c r="AF191" s="13"/>
      <c r="AG191" s="13"/>
      <c r="AH191" s="13"/>
      <c r="AI191" s="15"/>
    </row>
    <row r="192" spans="3:35">
      <c r="C192" s="12"/>
      <c r="D192" s="13"/>
      <c r="E192" s="393"/>
      <c r="F192" s="567"/>
      <c r="G192" s="567"/>
      <c r="H192" s="393"/>
      <c r="I192" s="13" t="s">
        <v>352</v>
      </c>
      <c r="J192" s="13" t="s">
        <v>286</v>
      </c>
      <c r="K192" s="255">
        <f>V89</f>
        <v>91.41896371045992</v>
      </c>
      <c r="L192" s="255"/>
      <c r="M192" s="13" t="s">
        <v>71</v>
      </c>
      <c r="N192" s="261">
        <f>L160</f>
        <v>832.79179687500005</v>
      </c>
      <c r="O192" s="261"/>
      <c r="P192" s="13" t="s">
        <v>84</v>
      </c>
      <c r="Q192" s="393"/>
      <c r="R192" s="13" t="s">
        <v>352</v>
      </c>
      <c r="S192" s="13" t="s">
        <v>286</v>
      </c>
      <c r="T192" s="255">
        <f>V89</f>
        <v>91.41896371045992</v>
      </c>
      <c r="U192" s="255"/>
      <c r="V192" s="13" t="s">
        <v>71</v>
      </c>
      <c r="W192" s="255">
        <f>L165</f>
        <v>208.69218750000002</v>
      </c>
      <c r="X192" s="255"/>
      <c r="Y192" s="13" t="s">
        <v>84</v>
      </c>
      <c r="Z192" s="393"/>
      <c r="AA192" s="538"/>
      <c r="AB192" s="538"/>
      <c r="AC192" s="13"/>
      <c r="AD192" s="13"/>
      <c r="AE192" s="13"/>
      <c r="AF192" s="13"/>
      <c r="AG192" s="13"/>
      <c r="AH192" s="13"/>
      <c r="AI192" s="15"/>
    </row>
    <row r="193" spans="3:35">
      <c r="C193" s="12"/>
      <c r="D193" s="13"/>
      <c r="E193" s="13"/>
      <c r="F193" s="13"/>
      <c r="G193" s="13"/>
      <c r="H193" s="13"/>
      <c r="I193" s="13"/>
      <c r="J193" s="13"/>
      <c r="K193" s="13"/>
      <c r="L193" s="13"/>
      <c r="M193" s="13"/>
      <c r="N193" s="13"/>
      <c r="O193" s="13"/>
      <c r="P193" s="13"/>
      <c r="Q193" s="13"/>
      <c r="R193" s="13"/>
      <c r="S193" s="13"/>
      <c r="T193" s="13"/>
      <c r="U193" s="13"/>
      <c r="V193" s="13"/>
      <c r="W193"/>
      <c r="X193" s="13"/>
      <c r="Y193" s="13"/>
      <c r="Z193" s="13"/>
      <c r="AA193" s="13"/>
      <c r="AB193" s="13"/>
      <c r="AC193" s="13"/>
      <c r="AD193" s="13"/>
      <c r="AE193" s="13"/>
      <c r="AF193" s="13"/>
      <c r="AG193" s="13"/>
      <c r="AH193" s="13"/>
      <c r="AI193" s="15"/>
    </row>
    <row r="194" spans="3:35">
      <c r="C194" s="12"/>
      <c r="D194" s="13"/>
      <c r="E194" s="13" t="s">
        <v>2</v>
      </c>
      <c r="F194" s="309">
        <f>F191</f>
        <v>91.41896371045992</v>
      </c>
      <c r="G194" s="309"/>
      <c r="H194" s="13" t="s">
        <v>69</v>
      </c>
      <c r="I194" s="309">
        <f>L191/(1-K192/N192)</f>
        <v>19.642585830987315</v>
      </c>
      <c r="J194" s="309"/>
      <c r="K194" s="309"/>
      <c r="L194" s="309"/>
      <c r="M194" s="309"/>
      <c r="N194" s="309"/>
      <c r="O194" s="309"/>
      <c r="P194" s="309"/>
      <c r="Q194" s="13" t="s">
        <v>69</v>
      </c>
      <c r="R194" s="309">
        <f>U191/(1-T192/W192)</f>
        <v>0</v>
      </c>
      <c r="S194" s="309"/>
      <c r="T194" s="309"/>
      <c r="U194" s="309"/>
      <c r="V194" s="309"/>
      <c r="W194" s="309"/>
      <c r="X194" s="309"/>
      <c r="Y194" s="309"/>
      <c r="Z194" s="13"/>
      <c r="AA194" s="13"/>
      <c r="AB194" s="13"/>
      <c r="AC194" s="13"/>
      <c r="AD194" s="13"/>
      <c r="AE194" s="13"/>
      <c r="AF194" s="13"/>
      <c r="AG194" s="13"/>
      <c r="AH194" s="13"/>
      <c r="AI194" s="15"/>
    </row>
    <row r="195" spans="3:35">
      <c r="C195" s="12"/>
      <c r="D195" s="13"/>
      <c r="E195" s="13"/>
      <c r="F195" s="13"/>
      <c r="G195" s="13"/>
      <c r="H195" s="13"/>
      <c r="I195" s="13"/>
      <c r="J195" s="13"/>
      <c r="K195" s="13"/>
      <c r="L195" s="13"/>
      <c r="M195" s="13"/>
      <c r="N195" s="13"/>
      <c r="O195" s="13"/>
      <c r="P195" s="13"/>
      <c r="Q195" s="13"/>
      <c r="R195" s="13"/>
      <c r="S195" s="13"/>
      <c r="T195" s="13"/>
      <c r="U195" s="13"/>
      <c r="V195" s="13"/>
      <c r="W195"/>
      <c r="X195" s="13"/>
      <c r="Y195" s="13"/>
      <c r="Z195" s="13"/>
      <c r="AA195" s="13"/>
      <c r="AB195" s="13"/>
      <c r="AC195" s="13"/>
      <c r="AD195" s="13"/>
      <c r="AE195" s="13"/>
      <c r="AF195" s="13"/>
      <c r="AG195" s="13"/>
      <c r="AH195" s="13"/>
      <c r="AI195" s="15"/>
    </row>
    <row r="196" spans="3:35" ht="19.2">
      <c r="C196" s="12"/>
      <c r="D196" s="13"/>
      <c r="E196" s="13" t="s">
        <v>2</v>
      </c>
      <c r="F196" s="530">
        <f>F194+I194+R194</f>
        <v>111.06154954144723</v>
      </c>
      <c r="G196" s="531"/>
      <c r="H196" s="532"/>
      <c r="I196" s="13"/>
      <c r="J196" s="13" t="str">
        <f>IF(F196&lt;=N196, "≦","&gt;")</f>
        <v>≦</v>
      </c>
      <c r="K196" s="445" t="s">
        <v>359</v>
      </c>
      <c r="L196" s="445"/>
      <c r="M196" s="13" t="s">
        <v>2</v>
      </c>
      <c r="N196" s="309">
        <f>L152</f>
        <v>210</v>
      </c>
      <c r="O196" s="309"/>
      <c r="P196" s="309"/>
      <c r="Q196" s="394" t="str">
        <f>IF(J196="≦","OK","NG")</f>
        <v>OK</v>
      </c>
      <c r="R196" s="392"/>
      <c r="S196" s="395"/>
      <c r="T196" s="13"/>
      <c r="U196" s="13"/>
      <c r="V196" s="13"/>
      <c r="W196" s="13"/>
      <c r="X196" s="13"/>
      <c r="Y196" s="13"/>
      <c r="Z196" s="13"/>
      <c r="AA196" s="13"/>
      <c r="AB196" s="13"/>
      <c r="AC196" s="13"/>
      <c r="AD196" s="13"/>
      <c r="AE196" s="13"/>
      <c r="AF196" s="13"/>
      <c r="AG196" s="13"/>
      <c r="AH196" s="13"/>
      <c r="AI196" s="15"/>
    </row>
    <row r="197" spans="3:35">
      <c r="C197" s="16"/>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9"/>
    </row>
  </sheetData>
  <sheetProtection sheet="1" objects="1" scenarios="1"/>
  <mergeCells count="369">
    <mergeCell ref="AE79:AE80"/>
    <mergeCell ref="AF79:AF80"/>
    <mergeCell ref="F84:G85"/>
    <mergeCell ref="H84:H85"/>
    <mergeCell ref="L84:M84"/>
    <mergeCell ref="Q84:Q85"/>
    <mergeCell ref="U84:V84"/>
    <mergeCell ref="K85:L85"/>
    <mergeCell ref="N85:O85"/>
    <mergeCell ref="T85:U85"/>
    <mergeCell ref="W85:X85"/>
    <mergeCell ref="X79:Y79"/>
    <mergeCell ref="X80:Y80"/>
    <mergeCell ref="AA80:AB80"/>
    <mergeCell ref="F79:G79"/>
    <mergeCell ref="H79:H80"/>
    <mergeCell ref="M79:N79"/>
    <mergeCell ref="S79:S80"/>
    <mergeCell ref="F80:G80"/>
    <mergeCell ref="I80:J80"/>
    <mergeCell ref="M80:N80"/>
    <mergeCell ref="P80:Q80"/>
    <mergeCell ref="U168:W168"/>
    <mergeCell ref="R157:R158"/>
    <mergeCell ref="S157:W157"/>
    <mergeCell ref="T158:V158"/>
    <mergeCell ref="X158:Y158"/>
    <mergeCell ref="L160:N160"/>
    <mergeCell ref="U191:V191"/>
    <mergeCell ref="X180:Y180"/>
    <mergeCell ref="T181:U181"/>
    <mergeCell ref="X181:Y181"/>
    <mergeCell ref="N172:O172"/>
    <mergeCell ref="Q172:R172"/>
    <mergeCell ref="U172:W172"/>
    <mergeCell ref="L185:N185"/>
    <mergeCell ref="X177:Y177"/>
    <mergeCell ref="T178:U178"/>
    <mergeCell ref="X178:Y178"/>
    <mergeCell ref="N168:O168"/>
    <mergeCell ref="Q168:R168"/>
    <mergeCell ref="Q191:Q192"/>
    <mergeCell ref="K192:L192"/>
    <mergeCell ref="N192:O192"/>
    <mergeCell ref="V141:W141"/>
    <mergeCell ref="Z141:AA141"/>
    <mergeCell ref="Q141:T141"/>
    <mergeCell ref="J142:L142"/>
    <mergeCell ref="K133:L133"/>
    <mergeCell ref="X139:Y139"/>
    <mergeCell ref="T136:T137"/>
    <mergeCell ref="U136:V137"/>
    <mergeCell ref="O137:P137"/>
    <mergeCell ref="J136:K136"/>
    <mergeCell ref="J137:K137"/>
    <mergeCell ref="V140:W140"/>
    <mergeCell ref="U139:V139"/>
    <mergeCell ref="R139:S139"/>
    <mergeCell ref="M136:N136"/>
    <mergeCell ref="P136:R136"/>
    <mergeCell ref="H139:Q139"/>
    <mergeCell ref="G140:H140"/>
    <mergeCell ref="K140:L140"/>
    <mergeCell ref="N140:O140"/>
    <mergeCell ref="Q140:R140"/>
    <mergeCell ref="Z140:AA140"/>
    <mergeCell ref="N141:O141"/>
    <mergeCell ref="AC157:AC158"/>
    <mergeCell ref="AD157:AG157"/>
    <mergeCell ref="AD158:AG158"/>
    <mergeCell ref="I152:J152"/>
    <mergeCell ref="L152:M152"/>
    <mergeCell ref="O153:P153"/>
    <mergeCell ref="G151:H151"/>
    <mergeCell ref="K157:K158"/>
    <mergeCell ref="I157:J158"/>
    <mergeCell ref="L157:P157"/>
    <mergeCell ref="J132:K132"/>
    <mergeCell ref="U129:V129"/>
    <mergeCell ref="X129:Y129"/>
    <mergeCell ref="AA129:AB129"/>
    <mergeCell ref="AD129:AF129"/>
    <mergeCell ref="R130:S130"/>
    <mergeCell ref="V130:W130"/>
    <mergeCell ref="AF130:AH130"/>
    <mergeCell ref="J129:K129"/>
    <mergeCell ref="J130:K130"/>
    <mergeCell ref="Q128:R128"/>
    <mergeCell ref="X121:Y121"/>
    <mergeCell ref="K121:L121"/>
    <mergeCell ref="K122:L122"/>
    <mergeCell ref="N121:O121"/>
    <mergeCell ref="X122:Y122"/>
    <mergeCell ref="Q122:S122"/>
    <mergeCell ref="T116:T117"/>
    <mergeCell ref="U116:V117"/>
    <mergeCell ref="T119:U119"/>
    <mergeCell ref="N122:O122"/>
    <mergeCell ref="J123:L123"/>
    <mergeCell ref="F191:G192"/>
    <mergeCell ref="H191:H192"/>
    <mergeCell ref="L191:M191"/>
    <mergeCell ref="G156:H156"/>
    <mergeCell ref="E156:F156"/>
    <mergeCell ref="J98:K99"/>
    <mergeCell ref="G101:H101"/>
    <mergeCell ref="J101:K101"/>
    <mergeCell ref="K113:L113"/>
    <mergeCell ref="J112:K112"/>
    <mergeCell ref="I98:I99"/>
    <mergeCell ref="I162:J163"/>
    <mergeCell ref="K162:K163"/>
    <mergeCell ref="L162:P162"/>
    <mergeCell ref="K107:R107"/>
    <mergeCell ref="H119:Q119"/>
    <mergeCell ref="E191:E192"/>
    <mergeCell ref="E180:E181"/>
    <mergeCell ref="K141:L141"/>
    <mergeCell ref="L116:L117"/>
    <mergeCell ref="M116:N116"/>
    <mergeCell ref="M117:N117"/>
    <mergeCell ref="P116:R116"/>
    <mergeCell ref="P117:R117"/>
    <mergeCell ref="G127:H127"/>
    <mergeCell ref="N128:O128"/>
    <mergeCell ref="G89:H90"/>
    <mergeCell ref="I89:I90"/>
    <mergeCell ref="M89:M90"/>
    <mergeCell ref="N89:P89"/>
    <mergeCell ref="N90:P90"/>
    <mergeCell ref="M110:N110"/>
    <mergeCell ref="G96:H97"/>
    <mergeCell ref="I96:I97"/>
    <mergeCell ref="J96:K96"/>
    <mergeCell ref="J97:K97"/>
    <mergeCell ref="M96:M97"/>
    <mergeCell ref="G121:H121"/>
    <mergeCell ref="F181:G181"/>
    <mergeCell ref="I181:J181"/>
    <mergeCell ref="M181:N181"/>
    <mergeCell ref="P181:Q181"/>
    <mergeCell ref="G146:H146"/>
    <mergeCell ref="I147:J147"/>
    <mergeCell ref="L147:M147"/>
    <mergeCell ref="I73:K73"/>
    <mergeCell ref="R63:T63"/>
    <mergeCell ref="I64:K64"/>
    <mergeCell ref="O68:P68"/>
    <mergeCell ref="I71:L71"/>
    <mergeCell ref="N71:N72"/>
    <mergeCell ref="O71:P71"/>
    <mergeCell ref="R71:S71"/>
    <mergeCell ref="I72:L72"/>
    <mergeCell ref="O72:T72"/>
    <mergeCell ref="L130:Q130"/>
    <mergeCell ref="N133:O133"/>
    <mergeCell ref="L136:L137"/>
    <mergeCell ref="G88:H88"/>
    <mergeCell ref="E94:F94"/>
    <mergeCell ref="G94:H94"/>
    <mergeCell ref="G105:H105"/>
    <mergeCell ref="H33:H34"/>
    <mergeCell ref="Z12:AB12"/>
    <mergeCell ref="F12:G12"/>
    <mergeCell ref="J12:L12"/>
    <mergeCell ref="M12:O12"/>
    <mergeCell ref="T80:U80"/>
    <mergeCell ref="M180:N180"/>
    <mergeCell ref="S180:S181"/>
    <mergeCell ref="Q171:R171"/>
    <mergeCell ref="U171:W171"/>
    <mergeCell ref="F62:G62"/>
    <mergeCell ref="I62:L62"/>
    <mergeCell ref="N62:O62"/>
    <mergeCell ref="M59:N59"/>
    <mergeCell ref="F71:G72"/>
    <mergeCell ref="H71:H72"/>
    <mergeCell ref="I63:K63"/>
    <mergeCell ref="M63:O63"/>
    <mergeCell ref="F178:G178"/>
    <mergeCell ref="F177:G177"/>
    <mergeCell ref="H177:H178"/>
    <mergeCell ref="I178:J178"/>
    <mergeCell ref="M177:N177"/>
    <mergeCell ref="M178:N178"/>
    <mergeCell ref="W10:Y10"/>
    <mergeCell ref="Z10:AB10"/>
    <mergeCell ref="P6:U6"/>
    <mergeCell ref="W6:AB6"/>
    <mergeCell ref="H7:I7"/>
    <mergeCell ref="J7:O7"/>
    <mergeCell ref="P7:U7"/>
    <mergeCell ref="W7:AB7"/>
    <mergeCell ref="H8:I8"/>
    <mergeCell ref="J8:O8"/>
    <mergeCell ref="P8:U8"/>
    <mergeCell ref="W8:AB8"/>
    <mergeCell ref="H6:I6"/>
    <mergeCell ref="J6:O6"/>
    <mergeCell ref="C4:AI5"/>
    <mergeCell ref="D11:E12"/>
    <mergeCell ref="F11:G11"/>
    <mergeCell ref="H11:I12"/>
    <mergeCell ref="J11:L11"/>
    <mergeCell ref="M11:O11"/>
    <mergeCell ref="P11:R11"/>
    <mergeCell ref="S11:U11"/>
    <mergeCell ref="W11:Y11"/>
    <mergeCell ref="Z11:AB11"/>
    <mergeCell ref="D9:E10"/>
    <mergeCell ref="F9:G9"/>
    <mergeCell ref="H9:I10"/>
    <mergeCell ref="J9:L9"/>
    <mergeCell ref="M9:O9"/>
    <mergeCell ref="P9:R9"/>
    <mergeCell ref="S9:U9"/>
    <mergeCell ref="W9:Y9"/>
    <mergeCell ref="Z9:AB9"/>
    <mergeCell ref="F10:G10"/>
    <mergeCell ref="J10:L10"/>
    <mergeCell ref="M10:O10"/>
    <mergeCell ref="P10:R10"/>
    <mergeCell ref="S10:U10"/>
    <mergeCell ref="D13:E14"/>
    <mergeCell ref="F13:G13"/>
    <mergeCell ref="H13:I14"/>
    <mergeCell ref="J13:L13"/>
    <mergeCell ref="M13:O13"/>
    <mergeCell ref="P13:R13"/>
    <mergeCell ref="S13:U13"/>
    <mergeCell ref="W13:Y13"/>
    <mergeCell ref="Z13:AB13"/>
    <mergeCell ref="Z14:AB14"/>
    <mergeCell ref="F14:G14"/>
    <mergeCell ref="J14:L14"/>
    <mergeCell ref="M14:O14"/>
    <mergeCell ref="P14:R14"/>
    <mergeCell ref="S14:U14"/>
    <mergeCell ref="W14:Y14"/>
    <mergeCell ref="I34:L34"/>
    <mergeCell ref="I33:L33"/>
    <mergeCell ref="N33:N34"/>
    <mergeCell ref="P12:R12"/>
    <mergeCell ref="S12:U12"/>
    <mergeCell ref="W12:Y12"/>
    <mergeCell ref="J25:L25"/>
    <mergeCell ref="R33:S33"/>
    <mergeCell ref="G19:H19"/>
    <mergeCell ref="J19:K19"/>
    <mergeCell ref="F16:T16"/>
    <mergeCell ref="F17:T17"/>
    <mergeCell ref="F18:T18"/>
    <mergeCell ref="S19:T19"/>
    <mergeCell ref="G20:H20"/>
    <mergeCell ref="N20:O20"/>
    <mergeCell ref="S20:T20"/>
    <mergeCell ref="G21:H21"/>
    <mergeCell ref="N19:O19"/>
    <mergeCell ref="Y33:AA34"/>
    <mergeCell ref="O33:P33"/>
    <mergeCell ref="J20:K20"/>
    <mergeCell ref="G25:H25"/>
    <mergeCell ref="F33:G34"/>
    <mergeCell ref="Y37:AA38"/>
    <mergeCell ref="O34:T34"/>
    <mergeCell ref="M43:O43"/>
    <mergeCell ref="Q43:R43"/>
    <mergeCell ref="Q42:S42"/>
    <mergeCell ref="J21:K21"/>
    <mergeCell ref="N21:O21"/>
    <mergeCell ref="S21:T21"/>
    <mergeCell ref="S22:T22"/>
    <mergeCell ref="D30:AI31"/>
    <mergeCell ref="V33:X34"/>
    <mergeCell ref="U33:U34"/>
    <mergeCell ref="O37:P37"/>
    <mergeCell ref="R37:S37"/>
    <mergeCell ref="F37:G38"/>
    <mergeCell ref="H37:H38"/>
    <mergeCell ref="I37:L37"/>
    <mergeCell ref="N37:N38"/>
    <mergeCell ref="I38:L38"/>
    <mergeCell ref="O38:T38"/>
    <mergeCell ref="V39:X39"/>
    <mergeCell ref="F42:G43"/>
    <mergeCell ref="H42:H43"/>
    <mergeCell ref="V37:X38"/>
    <mergeCell ref="AA45:AC45"/>
    <mergeCell ref="P59:Q59"/>
    <mergeCell ref="S48:U48"/>
    <mergeCell ref="U89:U90"/>
    <mergeCell ref="V89:W90"/>
    <mergeCell ref="N113:O113"/>
    <mergeCell ref="N96:P96"/>
    <mergeCell ref="N97:P97"/>
    <mergeCell ref="R97:S97"/>
    <mergeCell ref="R96:T96"/>
    <mergeCell ref="N108:O108"/>
    <mergeCell ref="O48:Q48"/>
    <mergeCell ref="R89:S89"/>
    <mergeCell ref="R90:S90"/>
    <mergeCell ref="Q108:R108"/>
    <mergeCell ref="W108:X108"/>
    <mergeCell ref="AC84:AD85"/>
    <mergeCell ref="AB84:AB85"/>
    <mergeCell ref="W49:X49"/>
    <mergeCell ref="O106:P106"/>
    <mergeCell ref="F48:G49"/>
    <mergeCell ref="H48:H49"/>
    <mergeCell ref="I48:J48"/>
    <mergeCell ref="L48:L49"/>
    <mergeCell ref="I42:J42"/>
    <mergeCell ref="I43:J43"/>
    <mergeCell ref="L42:L43"/>
    <mergeCell ref="N49:O49"/>
    <mergeCell ref="S49:T49"/>
    <mergeCell ref="I45:K45"/>
    <mergeCell ref="Q45:R45"/>
    <mergeCell ref="M42:O42"/>
    <mergeCell ref="T45:V45"/>
    <mergeCell ref="I49:J49"/>
    <mergeCell ref="I51:K51"/>
    <mergeCell ref="Q51:R51"/>
    <mergeCell ref="T51:V51"/>
    <mergeCell ref="U188:V188"/>
    <mergeCell ref="T189:U189"/>
    <mergeCell ref="W189:X189"/>
    <mergeCell ref="Z188:Z189"/>
    <mergeCell ref="F194:G194"/>
    <mergeCell ref="I194:P194"/>
    <mergeCell ref="R194:Y194"/>
    <mergeCell ref="F180:G180"/>
    <mergeCell ref="H180:H181"/>
    <mergeCell ref="F183:G183"/>
    <mergeCell ref="I183:R183"/>
    <mergeCell ref="T183:AC183"/>
    <mergeCell ref="F185:G185"/>
    <mergeCell ref="AA191:AB192"/>
    <mergeCell ref="Z191:Z192"/>
    <mergeCell ref="T192:U192"/>
    <mergeCell ref="W192:X192"/>
    <mergeCell ref="AA181:AB181"/>
    <mergeCell ref="AA51:AC51"/>
    <mergeCell ref="L165:N165"/>
    <mergeCell ref="N171:O171"/>
    <mergeCell ref="F196:H196"/>
    <mergeCell ref="N196:P196"/>
    <mergeCell ref="Q196:S196"/>
    <mergeCell ref="K196:L196"/>
    <mergeCell ref="I94:AH94"/>
    <mergeCell ref="I95:AH95"/>
    <mergeCell ref="R162:R163"/>
    <mergeCell ref="S162:W162"/>
    <mergeCell ref="AC162:AC163"/>
    <mergeCell ref="AD162:AG162"/>
    <mergeCell ref="T163:V163"/>
    <mergeCell ref="X163:Y163"/>
    <mergeCell ref="AD163:AG163"/>
    <mergeCell ref="AE177:AE178"/>
    <mergeCell ref="F188:G189"/>
    <mergeCell ref="H188:H189"/>
    <mergeCell ref="L188:M188"/>
    <mergeCell ref="K189:L189"/>
    <mergeCell ref="N189:O189"/>
    <mergeCell ref="P178:Q178"/>
    <mergeCell ref="S177:S178"/>
    <mergeCell ref="AA178:AB178"/>
    <mergeCell ref="AD177:AD178"/>
    <mergeCell ref="Q188:Q189"/>
  </mergeCells>
  <phoneticPr fontId="3"/>
  <conditionalFormatting sqref="S19:S21">
    <cfRule type="cellIs" dxfId="0" priority="1" operator="greaterThan">
      <formula>#REF!</formula>
    </cfRule>
  </conditionalFormatting>
  <pageMargins left="0.70866141732283472" right="0.70866141732283472" top="0.74803149606299213" bottom="0.74803149606299213" header="0.31496062992125984" footer="0.31496062992125984"/>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E85EE-7343-4A74-AA82-1EB5C2575E85}">
  <dimension ref="A2:AH14"/>
  <sheetViews>
    <sheetView showGridLines="0" view="pageBreakPreview" zoomScale="80" zoomScaleNormal="115" zoomScaleSheetLayoutView="80" workbookViewId="0"/>
  </sheetViews>
  <sheetFormatPr defaultColWidth="9" defaultRowHeight="18"/>
  <cols>
    <col min="1" max="36" width="3" style="1" customWidth="1"/>
    <col min="37" max="16384" width="9" style="1"/>
  </cols>
  <sheetData>
    <row r="2" spans="1:34">
      <c r="A2" s="1" t="s">
        <v>116</v>
      </c>
    </row>
    <row r="3" spans="1:34">
      <c r="B3" s="9"/>
      <c r="C3" s="10" t="s">
        <v>400</v>
      </c>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1"/>
    </row>
    <row r="4" spans="1:34">
      <c r="B4" s="12"/>
      <c r="D4" s="13" t="s">
        <v>86</v>
      </c>
      <c r="E4" s="13"/>
      <c r="F4" s="13"/>
      <c r="G4" s="275" t="str">
        <f>'1.設計条件と鋼矢板・支保工の設定'!T29</f>
        <v>Ⅱ型</v>
      </c>
      <c r="H4" s="275"/>
      <c r="I4" s="13"/>
      <c r="J4" s="13"/>
      <c r="K4" s="13"/>
      <c r="L4" s="13" t="s">
        <v>112</v>
      </c>
      <c r="M4" s="13"/>
      <c r="N4" s="13"/>
      <c r="O4" s="13"/>
      <c r="P4" s="275">
        <f>'2.根入れ長の計算'!F175</f>
        <v>6</v>
      </c>
      <c r="Q4" s="275"/>
      <c r="R4" s="13" t="s">
        <v>3</v>
      </c>
      <c r="S4" s="13"/>
      <c r="T4" s="13"/>
      <c r="U4" s="13"/>
      <c r="V4" s="13" t="s">
        <v>111</v>
      </c>
      <c r="W4" s="13"/>
      <c r="X4" s="13"/>
      <c r="Y4" s="13"/>
      <c r="Z4" s="294">
        <f>'2.根入れ長の計算'!U167</f>
        <v>2.7100800857412328</v>
      </c>
      <c r="AA4" s="294"/>
      <c r="AB4" s="13" t="s">
        <v>3</v>
      </c>
      <c r="AC4" s="13"/>
      <c r="AD4" s="13"/>
      <c r="AE4" s="13"/>
      <c r="AF4" s="13"/>
      <c r="AG4" s="13"/>
      <c r="AH4" s="15"/>
    </row>
    <row r="5" spans="1:34">
      <c r="B5" s="12"/>
      <c r="D5" s="13" t="s">
        <v>113</v>
      </c>
      <c r="E5" s="13"/>
      <c r="F5" s="13"/>
      <c r="G5" s="13"/>
      <c r="H5" s="13"/>
      <c r="K5" s="13" t="str">
        <f>'2.根入れ長の計算'!N186</f>
        <v>OK</v>
      </c>
      <c r="L5" s="13"/>
      <c r="M5" s="13"/>
      <c r="N5" s="13"/>
      <c r="O5" s="13"/>
      <c r="P5" s="13"/>
      <c r="Q5" s="13"/>
      <c r="R5" s="13"/>
      <c r="S5" s="13"/>
      <c r="T5" s="13"/>
      <c r="U5" s="13"/>
      <c r="V5" s="13"/>
      <c r="W5" s="13"/>
      <c r="X5" s="13"/>
      <c r="Y5" s="13"/>
      <c r="Z5" s="13"/>
      <c r="AA5" s="13"/>
      <c r="AB5" s="13"/>
      <c r="AC5" s="13"/>
      <c r="AD5" s="13"/>
      <c r="AE5" s="13"/>
      <c r="AF5" s="13"/>
      <c r="AG5" s="13"/>
      <c r="AH5" s="15"/>
    </row>
    <row r="6" spans="1:34">
      <c r="B6" s="12"/>
      <c r="D6" s="13" t="s">
        <v>114</v>
      </c>
      <c r="E6" s="13"/>
      <c r="F6" s="13"/>
      <c r="G6" s="13"/>
      <c r="H6" s="13"/>
      <c r="K6" s="13" t="str">
        <f>'2.根入れ長の計算'!N188</f>
        <v>OK</v>
      </c>
      <c r="L6" s="13"/>
      <c r="M6" s="13"/>
      <c r="N6" s="13"/>
      <c r="O6" s="13"/>
      <c r="P6" s="13"/>
      <c r="Q6" s="13"/>
      <c r="R6" s="13"/>
      <c r="S6" s="13"/>
      <c r="T6" s="13"/>
      <c r="U6" s="13"/>
      <c r="V6" s="13"/>
      <c r="W6" s="13"/>
      <c r="X6" s="13"/>
      <c r="Y6" s="13"/>
      <c r="Z6" s="13"/>
      <c r="AA6" s="13"/>
      <c r="AB6" s="13"/>
      <c r="AC6" s="13"/>
      <c r="AD6" s="13"/>
      <c r="AE6" s="13"/>
      <c r="AF6" s="13"/>
      <c r="AG6" s="13"/>
      <c r="AH6" s="15"/>
    </row>
    <row r="7" spans="1:34">
      <c r="B7" s="12"/>
      <c r="D7" s="13" t="s">
        <v>115</v>
      </c>
      <c r="E7" s="13"/>
      <c r="F7" s="13"/>
      <c r="G7" s="13"/>
      <c r="H7" s="13"/>
      <c r="K7" s="13" t="str">
        <f>'3.土留め壁の断面計算'!X184</f>
        <v>OK</v>
      </c>
      <c r="L7" s="13"/>
      <c r="M7" s="13"/>
      <c r="N7" s="13"/>
      <c r="O7" s="13"/>
      <c r="P7" s="13"/>
      <c r="Q7" s="13"/>
      <c r="R7" s="13"/>
      <c r="S7" s="13"/>
      <c r="T7" s="13"/>
      <c r="U7" s="13"/>
      <c r="V7" s="13"/>
      <c r="W7" s="13"/>
      <c r="X7" s="13"/>
      <c r="Y7" s="13"/>
      <c r="Z7" s="13"/>
      <c r="AA7" s="13"/>
      <c r="AB7" s="13"/>
      <c r="AC7" s="13"/>
      <c r="AD7" s="13"/>
      <c r="AE7" s="13"/>
      <c r="AF7" s="13"/>
      <c r="AG7" s="13"/>
      <c r="AH7" s="15"/>
    </row>
    <row r="8" spans="1:34">
      <c r="B8" s="12"/>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5"/>
    </row>
    <row r="9" spans="1:34">
      <c r="B9" s="12"/>
      <c r="C9" s="1" t="s">
        <v>401</v>
      </c>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5"/>
    </row>
    <row r="10" spans="1:34">
      <c r="B10" s="12"/>
      <c r="D10" s="13" t="s">
        <v>402</v>
      </c>
      <c r="E10" s="13"/>
      <c r="F10" s="13"/>
      <c r="G10" s="13"/>
      <c r="H10" s="13"/>
      <c r="I10" s="13"/>
      <c r="J10" s="13"/>
      <c r="K10" s="13" t="str">
        <f>'4.支保工の設計'!AA45</f>
        <v>OK</v>
      </c>
      <c r="L10" s="13"/>
      <c r="M10" s="13"/>
      <c r="N10" s="13"/>
      <c r="O10" s="13"/>
      <c r="P10" s="13"/>
      <c r="Q10" s="13"/>
      <c r="R10" s="13"/>
      <c r="S10" s="13"/>
      <c r="T10" s="13"/>
      <c r="U10" s="13"/>
      <c r="V10" s="13"/>
      <c r="W10" s="13"/>
      <c r="X10" s="13"/>
      <c r="Y10" s="13"/>
      <c r="Z10" s="13"/>
      <c r="AA10" s="13"/>
      <c r="AB10" s="13"/>
      <c r="AC10" s="13"/>
      <c r="AD10" s="13"/>
      <c r="AE10" s="13"/>
      <c r="AF10" s="13"/>
      <c r="AG10" s="13"/>
      <c r="AH10" s="15"/>
    </row>
    <row r="11" spans="1:34">
      <c r="B11" s="12"/>
      <c r="D11" s="13" t="s">
        <v>403</v>
      </c>
      <c r="E11" s="13"/>
      <c r="F11" s="13"/>
      <c r="G11" s="13"/>
      <c r="H11" s="13"/>
      <c r="I11" s="13"/>
      <c r="J11" s="13"/>
      <c r="K11" s="13" t="str">
        <f>'4.支保工の設計'!AA51</f>
        <v>OK</v>
      </c>
      <c r="L11" s="13"/>
      <c r="M11" s="13"/>
      <c r="N11" s="13"/>
      <c r="O11" s="13"/>
      <c r="P11" s="13"/>
      <c r="Q11" s="13"/>
      <c r="R11" s="13"/>
      <c r="S11" s="13"/>
      <c r="T11" s="13"/>
      <c r="U11" s="13"/>
      <c r="V11" s="13"/>
      <c r="W11" s="13"/>
      <c r="X11" s="13"/>
      <c r="Y11" s="13"/>
      <c r="Z11" s="13"/>
      <c r="AA11" s="13"/>
      <c r="AB11" s="13"/>
      <c r="AC11" s="13"/>
      <c r="AD11" s="13"/>
      <c r="AE11" s="13"/>
      <c r="AF11" s="13"/>
      <c r="AG11" s="13"/>
      <c r="AH11" s="15"/>
    </row>
    <row r="12" spans="1:34">
      <c r="B12" s="12"/>
      <c r="D12" s="13" t="s">
        <v>404</v>
      </c>
      <c r="E12" s="13"/>
      <c r="F12" s="13"/>
      <c r="G12" s="13"/>
      <c r="H12" s="13"/>
      <c r="I12" s="13"/>
      <c r="J12" s="13"/>
      <c r="K12" s="13" t="str">
        <f>'4.支保工の設計'!L185</f>
        <v>OK</v>
      </c>
      <c r="L12" s="13"/>
      <c r="M12" s="13"/>
      <c r="N12" s="13"/>
      <c r="O12" s="13"/>
      <c r="P12" s="13"/>
      <c r="Q12" s="13"/>
      <c r="R12" s="13"/>
      <c r="S12" s="13"/>
      <c r="T12" s="13"/>
      <c r="U12" s="13"/>
      <c r="V12" s="13"/>
      <c r="W12" s="13"/>
      <c r="X12" s="13"/>
      <c r="Y12" s="13"/>
      <c r="Z12" s="13"/>
      <c r="AA12" s="13"/>
      <c r="AB12" s="13"/>
      <c r="AC12" s="13"/>
      <c r="AD12" s="13"/>
      <c r="AE12" s="13"/>
      <c r="AF12" s="13"/>
      <c r="AG12" s="13"/>
      <c r="AH12" s="15"/>
    </row>
    <row r="13" spans="1:34">
      <c r="B13" s="12"/>
      <c r="D13" s="13" t="s">
        <v>405</v>
      </c>
      <c r="E13" s="13"/>
      <c r="F13" s="13"/>
      <c r="G13" s="13"/>
      <c r="H13" s="13"/>
      <c r="I13" s="13"/>
      <c r="J13" s="13"/>
      <c r="K13" s="13" t="str">
        <f>'4.支保工の設計'!Q196</f>
        <v>OK</v>
      </c>
      <c r="L13" s="13"/>
      <c r="M13" s="13"/>
      <c r="N13" s="13"/>
      <c r="O13" s="13"/>
      <c r="P13" s="13"/>
      <c r="Q13" s="13"/>
      <c r="R13" s="13"/>
      <c r="S13" s="13"/>
      <c r="T13" s="13"/>
      <c r="U13" s="13"/>
      <c r="V13" s="13"/>
      <c r="W13" s="13"/>
      <c r="X13" s="13"/>
      <c r="Y13" s="13"/>
      <c r="Z13" s="13"/>
      <c r="AA13" s="13"/>
      <c r="AB13" s="13"/>
      <c r="AC13" s="13"/>
      <c r="AD13" s="13"/>
      <c r="AE13" s="13"/>
      <c r="AF13" s="13"/>
      <c r="AG13" s="13"/>
      <c r="AH13" s="15"/>
    </row>
    <row r="14" spans="1:34">
      <c r="B14" s="16"/>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9"/>
    </row>
  </sheetData>
  <sheetProtection sheet="1" objects="1" scenarios="1"/>
  <mergeCells count="3">
    <mergeCell ref="G4:H4"/>
    <mergeCell ref="P4:Q4"/>
    <mergeCell ref="Z4:AA4"/>
  </mergeCells>
  <phoneticPr fontId="3"/>
  <pageMargins left="0.70866141732283472" right="0.70866141732283472"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1.設計条件と鋼矢板・支保工の設定</vt:lpstr>
      <vt:lpstr>2.根入れ長の計算</vt:lpstr>
      <vt:lpstr>3.土留め壁の断面計算</vt:lpstr>
      <vt:lpstr>4.支保工の設計</vt:lpstr>
      <vt:lpstr>5.まとめ</vt:lpstr>
      <vt:lpstr>'1.設計条件と鋼矢板・支保工の設定'!Print_Area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2022-12-31T04:38:29Z</dcterms:created>
  <dcterms:modified xsi:type="dcterms:W3CDTF">2026-02-25T11:42:48Z</dcterms:modified>
</cp:coreProperties>
</file>