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xr:revisionPtr revIDLastSave="0" documentId="13_ncr:1_{7B54CE00-B749-4E9F-A03C-D1FFF317D0A2}" xr6:coauthVersionLast="47" xr6:coauthVersionMax="47" xr10:uidLastSave="{00000000-0000-0000-0000-000000000000}"/>
  <bookViews>
    <workbookView xWindow="-120" yWindow="-120" windowWidth="20730" windowHeight="11160" tabRatio="754" activeTab="4" xr2:uid="{23A1ED0D-0BC0-44C7-8A11-0856A46CADA8}"/>
  </bookViews>
  <sheets>
    <sheet name="1.設計条件" sheetId="1" r:id="rId1"/>
    <sheet name="2.根入れ長" sheetId="2" r:id="rId2"/>
    <sheet name="3.断面力1" sheetId="3" r:id="rId3"/>
    <sheet name="3.断面力2" sheetId="7" r:id="rId4"/>
    <sheet name="4.横矢板の計算" sheetId="13" r:id="rId5"/>
    <sheet name="5.腹起" sheetId="6" r:id="rId6"/>
    <sheet name="6.切ばり" sheetId="9" r:id="rId7"/>
    <sheet name="7.火打ち" sheetId="11" r:id="rId8"/>
    <sheet name="8.まとめ" sheetId="5" r:id="rId9"/>
    <sheet name="各種数値" sheetId="12" r:id="rId10"/>
  </sheets>
  <definedNames>
    <definedName name="_xlnm.Print_Area" localSheetId="0">'1.設計条件'!$A$1:$AJ$122</definedName>
    <definedName name="_xlnm.Print_Area" localSheetId="4">'4.横矢板の計算'!$A$1:$AK$58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6" l="1"/>
  <c r="Q55" i="6"/>
  <c r="V55" i="6"/>
  <c r="Q56" i="6"/>
  <c r="U206" i="2"/>
  <c r="U45" i="2"/>
  <c r="U43" i="2"/>
  <c r="T181" i="2"/>
  <c r="T187" i="2"/>
  <c r="T185" i="2"/>
  <c r="T183" i="2"/>
  <c r="T179" i="2"/>
  <c r="T16" i="2"/>
  <c r="T22" i="2"/>
  <c r="T20" i="2"/>
  <c r="T18" i="2"/>
  <c r="K10" i="6"/>
  <c r="K8" i="13" l="1"/>
  <c r="G11" i="13" l="1"/>
  <c r="G16" i="13"/>
  <c r="I54" i="13" s="1"/>
  <c r="L118" i="7" l="1"/>
  <c r="Q66" i="7"/>
  <c r="AA50" i="7"/>
  <c r="F27" i="6" s="1"/>
  <c r="Q77" i="3"/>
  <c r="K83" i="7" l="1"/>
  <c r="K100" i="7"/>
  <c r="J90" i="7"/>
  <c r="J89" i="7"/>
  <c r="J398" i="2"/>
  <c r="AF379" i="2"/>
  <c r="N356" i="2" l="1"/>
  <c r="N357" i="2"/>
  <c r="N355" i="2"/>
  <c r="L356" i="2"/>
  <c r="L357" i="2"/>
  <c r="L355" i="2"/>
  <c r="U349" i="2"/>
  <c r="M367" i="2"/>
  <c r="V357" i="2"/>
  <c r="AD357" i="2"/>
  <c r="V356" i="2"/>
  <c r="AD356" i="2"/>
  <c r="V355" i="2"/>
  <c r="I365" i="2"/>
  <c r="AD355" i="2" l="1"/>
  <c r="AD358" i="2" l="1"/>
  <c r="I364" i="2" s="1"/>
  <c r="I367" i="2" s="1"/>
  <c r="AA265" i="2"/>
  <c r="AA264" i="2"/>
  <c r="L216" i="2"/>
  <c r="Q210" i="2"/>
  <c r="Q199" i="2"/>
  <c r="L198" i="2"/>
  <c r="L196" i="2"/>
  <c r="L194" i="2"/>
  <c r="T197" i="2"/>
  <c r="T196" i="2"/>
  <c r="T195" i="2"/>
  <c r="T194" i="2"/>
  <c r="L183" i="2"/>
  <c r="V183" i="2" s="1"/>
  <c r="J185" i="2"/>
  <c r="J196" i="2" s="1"/>
  <c r="J183" i="2"/>
  <c r="J194" i="2" s="1"/>
  <c r="H185" i="2"/>
  <c r="H183" i="2"/>
  <c r="H179" i="2"/>
  <c r="J179" i="2"/>
  <c r="L179" i="2"/>
  <c r="V179" i="2" s="1"/>
  <c r="Q179" i="2"/>
  <c r="AA167" i="2"/>
  <c r="AA111" i="2"/>
  <c r="AA110" i="2"/>
  <c r="J22" i="2"/>
  <c r="L22" i="2"/>
  <c r="V22" i="2" s="1"/>
  <c r="L58" i="2"/>
  <c r="L56" i="2"/>
  <c r="L35" i="2"/>
  <c r="L33" i="2"/>
  <c r="L31" i="2"/>
  <c r="L29" i="2"/>
  <c r="T32" i="2"/>
  <c r="T31" i="2"/>
  <c r="T30" i="2"/>
  <c r="T29" i="2"/>
  <c r="L367" i="2" l="1"/>
  <c r="S367" i="2" s="1"/>
  <c r="P10" i="5"/>
  <c r="Q10" i="5" s="1"/>
  <c r="H265" i="2"/>
  <c r="H264" i="2"/>
  <c r="H196" i="2"/>
  <c r="K265" i="2"/>
  <c r="K264" i="2"/>
  <c r="H194" i="2"/>
  <c r="H259" i="2"/>
  <c r="AF259" i="2" s="1"/>
  <c r="H258" i="2"/>
  <c r="AF258" i="2" s="1"/>
  <c r="K246" i="2"/>
  <c r="K245" i="2"/>
  <c r="X179" i="2"/>
  <c r="AG179" i="2"/>
  <c r="H181" i="2"/>
  <c r="L43" i="2"/>
  <c r="W43" i="2" s="1"/>
  <c r="AF264" i="2" l="1"/>
  <c r="AF265" i="2"/>
  <c r="Z43" i="2"/>
  <c r="AF43" i="2" s="1"/>
  <c r="Q56" i="2" s="1"/>
  <c r="L45" i="2"/>
  <c r="L20" i="2"/>
  <c r="V20" i="2" s="1"/>
  <c r="J20" i="2"/>
  <c r="AC51" i="7"/>
  <c r="AC50" i="7"/>
  <c r="G49" i="2" l="1"/>
  <c r="W45" i="2"/>
  <c r="J33" i="2"/>
  <c r="V49" i="2"/>
  <c r="J43" i="2"/>
  <c r="T121" i="1"/>
  <c r="T120" i="1"/>
  <c r="T119" i="1"/>
  <c r="T118" i="1"/>
  <c r="T117" i="1"/>
  <c r="T116" i="1"/>
  <c r="T115" i="1"/>
  <c r="T114" i="1"/>
  <c r="T102" i="1"/>
  <c r="T101" i="1"/>
  <c r="T100" i="1"/>
  <c r="T99" i="1"/>
  <c r="T98" i="1"/>
  <c r="T97" i="1"/>
  <c r="T96" i="1"/>
  <c r="T95" i="1"/>
  <c r="Q95" i="1"/>
  <c r="Q102" i="1"/>
  <c r="Q101" i="1"/>
  <c r="Q100" i="1"/>
  <c r="Q99" i="1"/>
  <c r="Q98" i="1"/>
  <c r="Q97" i="1"/>
  <c r="Q96" i="1"/>
  <c r="N85" i="1"/>
  <c r="Q82" i="1"/>
  <c r="N82" i="1"/>
  <c r="Q81" i="1"/>
  <c r="N81" i="1"/>
  <c r="Q80" i="1"/>
  <c r="N80" i="1"/>
  <c r="Q79" i="1"/>
  <c r="N79" i="1"/>
  <c r="Q78" i="1"/>
  <c r="N78" i="1"/>
  <c r="Q77" i="1"/>
  <c r="N77" i="1"/>
  <c r="Q76" i="1"/>
  <c r="N76" i="1"/>
  <c r="Q75" i="1"/>
  <c r="N75" i="1"/>
  <c r="Q92" i="1" l="1"/>
  <c r="V48" i="11"/>
  <c r="T92" i="1"/>
  <c r="T64" i="1"/>
  <c r="T63" i="1"/>
  <c r="AA64" i="1"/>
  <c r="S56" i="13" s="1"/>
  <c r="AA63" i="1"/>
  <c r="K34" i="13" s="1"/>
  <c r="T45" i="1"/>
  <c r="T52" i="1"/>
  <c r="T53" i="1" s="1"/>
  <c r="T50" i="1"/>
  <c r="T49" i="1"/>
  <c r="AB56" i="13" l="1"/>
  <c r="O56" i="13"/>
  <c r="T48" i="1"/>
  <c r="T44" i="1"/>
  <c r="T41" i="1"/>
  <c r="T42" i="1" s="1"/>
  <c r="T36" i="1"/>
  <c r="T35" i="1"/>
  <c r="T34" i="1"/>
  <c r="T33" i="1"/>
  <c r="J11" i="13" l="1"/>
  <c r="G12" i="13" s="1"/>
  <c r="T217" i="2"/>
  <c r="G220" i="2" s="1"/>
  <c r="T216" i="2"/>
  <c r="T199" i="2"/>
  <c r="Z199" i="2" s="1"/>
  <c r="T198" i="2"/>
  <c r="T57" i="2"/>
  <c r="T56" i="2"/>
  <c r="Z56" i="2" s="1"/>
  <c r="T59" i="2"/>
  <c r="G62" i="2" s="1"/>
  <c r="T58" i="2"/>
  <c r="T34" i="2"/>
  <c r="T33" i="2"/>
  <c r="T36" i="2"/>
  <c r="T35" i="2"/>
  <c r="T38" i="1"/>
  <c r="T39" i="1" s="1"/>
  <c r="J70" i="3"/>
  <c r="T111" i="1"/>
  <c r="T110" i="1"/>
  <c r="AC18" i="5"/>
  <c r="AC13" i="5"/>
  <c r="P13" i="5"/>
  <c r="M13" i="5"/>
  <c r="N20" i="11"/>
  <c r="N16" i="11"/>
  <c r="V18" i="11"/>
  <c r="N17" i="11"/>
  <c r="V34" i="11"/>
  <c r="V26" i="11"/>
  <c r="S43" i="9"/>
  <c r="O49" i="9"/>
  <c r="K11" i="9"/>
  <c r="AC24" i="9"/>
  <c r="W21" i="9"/>
  <c r="V82" i="6"/>
  <c r="V68" i="6"/>
  <c r="T224" i="6"/>
  <c r="V142" i="6"/>
  <c r="N142" i="6"/>
  <c r="N111" i="6"/>
  <c r="Q82" i="6"/>
  <c r="Q68" i="6"/>
  <c r="N177" i="9"/>
  <c r="U172" i="9"/>
  <c r="T162" i="9"/>
  <c r="X161" i="9"/>
  <c r="AD142" i="9"/>
  <c r="AD137" i="9"/>
  <c r="O36" i="9"/>
  <c r="S30" i="9"/>
  <c r="R91" i="6"/>
  <c r="R87" i="6"/>
  <c r="O43" i="6"/>
  <c r="O40" i="6"/>
  <c r="O39" i="6"/>
  <c r="W41" i="6" s="1"/>
  <c r="N44" i="13" l="1"/>
  <c r="N24" i="13"/>
  <c r="K43" i="11"/>
  <c r="J54" i="11"/>
  <c r="S48" i="11"/>
  <c r="U49" i="11"/>
  <c r="S27" i="11"/>
  <c r="S35" i="11"/>
  <c r="P26" i="11"/>
  <c r="AA18" i="11"/>
  <c r="N19" i="11"/>
  <c r="P34" i="11"/>
  <c r="P43" i="9"/>
  <c r="M43" i="9"/>
  <c r="O35" i="9"/>
  <c r="O48" i="9"/>
  <c r="P30" i="9"/>
  <c r="M30" i="9"/>
  <c r="Z91" i="6"/>
  <c r="Z87" i="6"/>
  <c r="Z77" i="6"/>
  <c r="Z73" i="6"/>
  <c r="N191" i="6"/>
  <c r="N192" i="6"/>
  <c r="M138" i="6"/>
  <c r="V59" i="6"/>
  <c r="S59" i="6"/>
  <c r="J61" i="6" s="1"/>
  <c r="AB41" i="6"/>
  <c r="O42" i="6" s="1"/>
  <c r="R47" i="6"/>
  <c r="R163" i="3"/>
  <c r="V155" i="3"/>
  <c r="N159" i="3" s="1"/>
  <c r="L125" i="3"/>
  <c r="K72" i="7"/>
  <c r="K50" i="11" l="1"/>
  <c r="J53" i="11"/>
  <c r="M26" i="11"/>
  <c r="M34" i="11"/>
  <c r="R53" i="11"/>
  <c r="N58" i="11" s="1"/>
  <c r="G59" i="11" s="1"/>
  <c r="Q63" i="11" s="1"/>
  <c r="N68" i="6"/>
  <c r="N82" i="6"/>
  <c r="O47" i="6"/>
  <c r="O48" i="6"/>
  <c r="K83" i="3"/>
  <c r="K77" i="3"/>
  <c r="N134" i="6" l="1"/>
  <c r="N188" i="6"/>
  <c r="N153" i="6"/>
  <c r="V90" i="6"/>
  <c r="V86" i="6"/>
  <c r="V76" i="6"/>
  <c r="V72" i="6"/>
  <c r="K66" i="7"/>
  <c r="I66" i="7"/>
  <c r="AC48" i="7"/>
  <c r="AC49" i="7" s="1"/>
  <c r="AC47" i="7"/>
  <c r="AA47" i="7"/>
  <c r="J59" i="7"/>
  <c r="AA48" i="7" l="1"/>
  <c r="F16" i="6"/>
  <c r="AG47" i="7"/>
  <c r="AG48" i="7"/>
  <c r="K25" i="7"/>
  <c r="R155" i="7"/>
  <c r="V148" i="7"/>
  <c r="N151" i="7" s="1"/>
  <c r="Q318" i="2"/>
  <c r="L185" i="2"/>
  <c r="V185" i="2" s="1"/>
  <c r="L206" i="2"/>
  <c r="W206" i="2" s="1"/>
  <c r="J206" i="2"/>
  <c r="J216" i="2" s="1"/>
  <c r="L187" i="2"/>
  <c r="V187" i="2" s="1"/>
  <c r="L181" i="2"/>
  <c r="V181" i="2" s="1"/>
  <c r="J187" i="2"/>
  <c r="J198" i="2" s="1"/>
  <c r="J181" i="2"/>
  <c r="V10" i="2"/>
  <c r="AB10" i="2" s="1"/>
  <c r="N216" i="6"/>
  <c r="AD182" i="6"/>
  <c r="AD177" i="6"/>
  <c r="V201" i="6"/>
  <c r="M156" i="6"/>
  <c r="W211" i="6"/>
  <c r="Z200" i="6"/>
  <c r="M137" i="6"/>
  <c r="AA49" i="7" l="1"/>
  <c r="F17" i="6"/>
  <c r="G210" i="2"/>
  <c r="N129" i="6"/>
  <c r="O157" i="6"/>
  <c r="X149" i="6"/>
  <c r="W222" i="6"/>
  <c r="AD150" i="6"/>
  <c r="S222" i="6"/>
  <c r="AA150" i="6"/>
  <c r="AA149" i="6"/>
  <c r="N222" i="6"/>
  <c r="V150" i="6"/>
  <c r="Q129" i="6"/>
  <c r="M131" i="6"/>
  <c r="N118" i="6"/>
  <c r="T22" i="9"/>
  <c r="V109" i="9"/>
  <c r="O116" i="9"/>
  <c r="X108" i="9"/>
  <c r="N88" i="9"/>
  <c r="AD109" i="9"/>
  <c r="Q88" i="9"/>
  <c r="AA109" i="9"/>
  <c r="AA108" i="9"/>
  <c r="M90" i="9"/>
  <c r="N70" i="9"/>
  <c r="N77" i="9"/>
  <c r="U191" i="6"/>
  <c r="X178" i="6" s="1"/>
  <c r="N152" i="9"/>
  <c r="U152" i="9" s="1"/>
  <c r="X138" i="9" s="1"/>
  <c r="N153" i="9"/>
  <c r="U153" i="9" s="1"/>
  <c r="X143" i="9" s="1"/>
  <c r="M97" i="9"/>
  <c r="J171" i="2"/>
  <c r="K62" i="3"/>
  <c r="S64" i="3" s="1"/>
  <c r="I67" i="3" s="1"/>
  <c r="I77" i="3" s="1"/>
  <c r="U192" i="6"/>
  <c r="X183" i="6" s="1"/>
  <c r="AD149" i="6"/>
  <c r="AF150" i="6"/>
  <c r="U156" i="6"/>
  <c r="Q161" i="6" s="1"/>
  <c r="J162" i="6" s="1"/>
  <c r="U137" i="6"/>
  <c r="Q142" i="6" s="1"/>
  <c r="J143" i="6" s="1"/>
  <c r="O100" i="7" l="1"/>
  <c r="F26" i="6"/>
  <c r="AG49" i="7"/>
  <c r="K82" i="7"/>
  <c r="M89" i="7" s="1"/>
  <c r="Z206" i="2"/>
  <c r="AF206" i="2" s="1"/>
  <c r="Q216" i="2" s="1"/>
  <c r="Z216" i="2" s="1"/>
  <c r="H251" i="2" s="1"/>
  <c r="AA251" i="2" s="1"/>
  <c r="V210" i="2"/>
  <c r="L211" i="2"/>
  <c r="P220" i="2" s="1"/>
  <c r="L221" i="2" s="1"/>
  <c r="M252" i="2" s="1"/>
  <c r="AA252" i="2" s="1"/>
  <c r="T280" i="2" s="1"/>
  <c r="N112" i="9"/>
  <c r="M115" i="9" s="1"/>
  <c r="U115" i="9" s="1"/>
  <c r="Q120" i="9" s="1"/>
  <c r="J121" i="9" s="1"/>
  <c r="I162" i="9" s="1"/>
  <c r="N148" i="9"/>
  <c r="R48" i="9"/>
  <c r="I50" i="9" s="1"/>
  <c r="X24" i="9"/>
  <c r="R35" i="9"/>
  <c r="I37" i="9" s="1"/>
  <c r="I201" i="6"/>
  <c r="F201" i="6"/>
  <c r="W88" i="9"/>
  <c r="AD108" i="9"/>
  <c r="AF109" i="9"/>
  <c r="U148" i="9"/>
  <c r="N76" i="9"/>
  <c r="J78" i="9" s="1"/>
  <c r="U188" i="6"/>
  <c r="W129" i="6"/>
  <c r="R73" i="6"/>
  <c r="R77" i="6"/>
  <c r="T25" i="9" l="1"/>
  <c r="AA253" i="2"/>
  <c r="N11" i="7" s="1"/>
  <c r="N93" i="9"/>
  <c r="M96" i="9" s="1"/>
  <c r="U96" i="9" s="1"/>
  <c r="N149" i="9"/>
  <c r="U149" i="9" s="1"/>
  <c r="T143" i="9" s="1"/>
  <c r="Q101" i="9"/>
  <c r="J102" i="9" s="1"/>
  <c r="F162" i="9" s="1"/>
  <c r="T178" i="6"/>
  <c r="T183" i="6"/>
  <c r="AD183" i="6" s="1"/>
  <c r="L185" i="6" s="1"/>
  <c r="L172" i="9"/>
  <c r="M161" i="9"/>
  <c r="AD143" i="9"/>
  <c r="L145" i="9" s="1"/>
  <c r="T138" i="9"/>
  <c r="AD138" i="9" s="1"/>
  <c r="L140" i="9" s="1"/>
  <c r="AD178" i="6" l="1"/>
  <c r="L180" i="6" s="1"/>
  <c r="N173" i="9"/>
  <c r="P162" i="9"/>
  <c r="W173" i="9"/>
  <c r="AA162" i="9"/>
  <c r="Y212" i="6"/>
  <c r="AC201" i="6"/>
  <c r="P201" i="6"/>
  <c r="N212" i="6"/>
  <c r="L18" i="2" l="1"/>
  <c r="V18" i="2" s="1"/>
  <c r="J18" i="2"/>
  <c r="Q16" i="2"/>
  <c r="L16" i="2"/>
  <c r="V16" i="2" s="1"/>
  <c r="J16" i="2"/>
  <c r="H16" i="2"/>
  <c r="H29" i="2" s="1"/>
  <c r="G5" i="5"/>
  <c r="J399" i="2"/>
  <c r="J397" i="2"/>
  <c r="J396" i="2"/>
  <c r="J395" i="2"/>
  <c r="L27" i="1"/>
  <c r="F26" i="1"/>
  <c r="J29" i="2" l="1"/>
  <c r="J56" i="2" s="1"/>
  <c r="J31" i="2"/>
  <c r="J58" i="2" s="1"/>
  <c r="J35" i="2"/>
  <c r="J45" i="2"/>
  <c r="H18" i="2"/>
  <c r="V147" i="7"/>
  <c r="AC147" i="7" s="1"/>
  <c r="G151" i="7" s="1"/>
  <c r="V154" i="3"/>
  <c r="AC154" i="3" s="1"/>
  <c r="G159" i="3" s="1"/>
  <c r="AA58" i="3"/>
  <c r="AA59" i="3"/>
  <c r="X27" i="1"/>
  <c r="X16" i="2"/>
  <c r="AG16" i="2" s="1"/>
  <c r="F404" i="2"/>
  <c r="J402" i="2"/>
  <c r="F402" i="2"/>
  <c r="L25" i="1"/>
  <c r="P45" i="2" l="1"/>
  <c r="L49" i="2" s="1"/>
  <c r="O22" i="2"/>
  <c r="AC61" i="3" s="1"/>
  <c r="H31" i="2"/>
  <c r="R42" i="3"/>
  <c r="K93" i="3"/>
  <c r="H111" i="2"/>
  <c r="H110" i="2"/>
  <c r="H109" i="2"/>
  <c r="H104" i="2"/>
  <c r="H103" i="2"/>
  <c r="H102" i="2"/>
  <c r="AF102" i="2" s="1"/>
  <c r="H101" i="2"/>
  <c r="AF101" i="2" s="1"/>
  <c r="K86" i="2"/>
  <c r="K85" i="2"/>
  <c r="Q29" i="2"/>
  <c r="Z29" i="2" s="1"/>
  <c r="H20" i="2"/>
  <c r="G50" i="2"/>
  <c r="P206" i="2"/>
  <c r="O187" i="2"/>
  <c r="X25" i="1"/>
  <c r="R10" i="1"/>
  <c r="L167" i="2" l="1"/>
  <c r="S167" i="2" s="1"/>
  <c r="V44" i="3"/>
  <c r="AA60" i="3"/>
  <c r="L210" i="2"/>
  <c r="G211" i="2"/>
  <c r="L220" i="2" s="1"/>
  <c r="G221" i="2" s="1"/>
  <c r="I252" i="2" s="1"/>
  <c r="U252" i="2" s="1"/>
  <c r="U253" i="2" s="1"/>
  <c r="J11" i="7" s="1"/>
  <c r="L62" i="2"/>
  <c r="G63" i="2" s="1"/>
  <c r="I95" i="2" s="1"/>
  <c r="U95" i="2" s="1"/>
  <c r="U96" i="2" s="1"/>
  <c r="J17" i="3" s="1"/>
  <c r="H43" i="2"/>
  <c r="H56" i="2" s="1"/>
  <c r="K93" i="2" s="1"/>
  <c r="H33" i="2"/>
  <c r="K54" i="7"/>
  <c r="G25" i="7"/>
  <c r="H26" i="7" s="1"/>
  <c r="J322" i="2"/>
  <c r="AG50" i="7"/>
  <c r="O185" i="2"/>
  <c r="J21" i="3"/>
  <c r="K29" i="7"/>
  <c r="K107" i="3"/>
  <c r="AB380" i="2"/>
  <c r="L24" i="1"/>
  <c r="O183" i="2" s="1"/>
  <c r="L23" i="1"/>
  <c r="O179" i="2" s="1"/>
  <c r="Q180" i="2" l="1"/>
  <c r="X180" i="2" s="1"/>
  <c r="AG180" i="2" s="1"/>
  <c r="AA180" i="2"/>
  <c r="AA181" i="2" s="1"/>
  <c r="N280" i="2"/>
  <c r="H280" i="2"/>
  <c r="J16" i="7"/>
  <c r="H281" i="2"/>
  <c r="E287" i="2" s="1"/>
  <c r="H129" i="2"/>
  <c r="H130" i="2" s="1"/>
  <c r="K111" i="2"/>
  <c r="AF111" i="2" s="1"/>
  <c r="K110" i="2"/>
  <c r="AF110" i="2" s="1"/>
  <c r="K109" i="2"/>
  <c r="AF109" i="2" s="1"/>
  <c r="K104" i="2"/>
  <c r="AF104" i="2" s="1"/>
  <c r="K103" i="2"/>
  <c r="AF103" i="2" s="1"/>
  <c r="K88" i="2"/>
  <c r="K87" i="2"/>
  <c r="P43" i="2"/>
  <c r="R44" i="2" s="1"/>
  <c r="Z44" i="2" s="1"/>
  <c r="AF44" i="2" s="1"/>
  <c r="Q57" i="2" s="1"/>
  <c r="Z57" i="2" s="1"/>
  <c r="H93" i="2" s="1"/>
  <c r="AF93" i="2" s="1"/>
  <c r="O20" i="2"/>
  <c r="AC60" i="3" s="1"/>
  <c r="AG60" i="3"/>
  <c r="V43" i="3"/>
  <c r="J98" i="3"/>
  <c r="O181" i="2"/>
  <c r="O16" i="2"/>
  <c r="X24" i="1"/>
  <c r="O18" i="2"/>
  <c r="L26" i="1"/>
  <c r="X23" i="1"/>
  <c r="F388" i="2"/>
  <c r="Y127" i="2" l="1"/>
  <c r="AF96" i="2"/>
  <c r="V17" i="3" s="1"/>
  <c r="X21" i="3" s="1"/>
  <c r="J10" i="7"/>
  <c r="H15" i="7" s="1"/>
  <c r="AA182" i="2"/>
  <c r="AA183" i="2" s="1"/>
  <c r="AA184" i="2" s="1"/>
  <c r="E136" i="2"/>
  <c r="J16" i="3"/>
  <c r="H20" i="3" s="1"/>
  <c r="R45" i="2"/>
  <c r="AC59" i="3"/>
  <c r="AG59" i="3" s="1"/>
  <c r="Q17" i="2"/>
  <c r="Q18" i="2" s="1"/>
  <c r="AC58" i="3"/>
  <c r="AG58" i="3" s="1"/>
  <c r="X10" i="7"/>
  <c r="AA17" i="2"/>
  <c r="AA18" i="2" s="1"/>
  <c r="AA19" i="2" s="1"/>
  <c r="AA20" i="2" s="1"/>
  <c r="AA21" i="2" s="1"/>
  <c r="AA22" i="2" s="1"/>
  <c r="AA187" i="2" l="1"/>
  <c r="AA185" i="2"/>
  <c r="AA186" i="2" s="1"/>
  <c r="Q49" i="2"/>
  <c r="Z45" i="2"/>
  <c r="AF45" i="2" s="1"/>
  <c r="Q58" i="2" s="1"/>
  <c r="Z58" i="2" s="1"/>
  <c r="H94" i="2" s="1"/>
  <c r="X18" i="2"/>
  <c r="Q19" i="2"/>
  <c r="Q181" i="2"/>
  <c r="R16" i="7"/>
  <c r="N279" i="2"/>
  <c r="T279" i="2"/>
  <c r="T281" i="2"/>
  <c r="N281" i="2"/>
  <c r="X17" i="2"/>
  <c r="AG17" i="2" s="1"/>
  <c r="N10" i="7" l="1"/>
  <c r="O15" i="7" s="1"/>
  <c r="K287" i="2"/>
  <c r="S10" i="7"/>
  <c r="W15" i="7" s="1"/>
  <c r="Q287" i="2"/>
  <c r="X181" i="2"/>
  <c r="AG181" i="2" s="1"/>
  <c r="Q182" i="2"/>
  <c r="X182" i="2" s="1"/>
  <c r="AG182" i="2" s="1"/>
  <c r="Y130" i="2"/>
  <c r="AB16" i="3" s="1"/>
  <c r="AB20" i="3" s="1"/>
  <c r="AA94" i="2"/>
  <c r="Q30" i="2"/>
  <c r="Z30" i="2" s="1"/>
  <c r="AG18" i="2"/>
  <c r="Q31" i="2" s="1"/>
  <c r="Z31" i="2" s="1"/>
  <c r="Q20" i="2"/>
  <c r="X19" i="2"/>
  <c r="T128" i="2" l="1"/>
  <c r="N128" i="2"/>
  <c r="AG19" i="2"/>
  <c r="Q32" i="2" s="1"/>
  <c r="Z32" i="2" s="1"/>
  <c r="L50" i="2"/>
  <c r="P62" i="2" s="1"/>
  <c r="L63" i="2" s="1"/>
  <c r="X20" i="2"/>
  <c r="Q21" i="2"/>
  <c r="Q22" i="2" s="1"/>
  <c r="Q183" i="2"/>
  <c r="H85" i="2"/>
  <c r="M95" i="2" l="1"/>
  <c r="AA95" i="2" s="1"/>
  <c r="AA96" i="2" s="1"/>
  <c r="P17" i="3" s="1"/>
  <c r="Q21" i="3" s="1"/>
  <c r="X22" i="2"/>
  <c r="AG22" i="2"/>
  <c r="AF85" i="2"/>
  <c r="Y117" i="2" s="1"/>
  <c r="AG20" i="2"/>
  <c r="Q33" i="2" s="1"/>
  <c r="Z33" i="2" s="1"/>
  <c r="H87" i="2" s="1"/>
  <c r="X21" i="2"/>
  <c r="X183" i="2"/>
  <c r="AG183" i="2" s="1"/>
  <c r="Q194" i="2" s="1"/>
  <c r="Z194" i="2" s="1"/>
  <c r="H245" i="2" s="1"/>
  <c r="AF245" i="2" s="1"/>
  <c r="Q184" i="2"/>
  <c r="X184" i="2" s="1"/>
  <c r="AG184" i="2" s="1"/>
  <c r="Q195" i="2" s="1"/>
  <c r="Z195" i="2" s="1"/>
  <c r="H246" i="2" s="1"/>
  <c r="T129" i="2" l="1"/>
  <c r="T130" i="2" s="1"/>
  <c r="N129" i="2"/>
  <c r="N130" i="2" s="1"/>
  <c r="X23" i="2"/>
  <c r="AG23" i="2" s="1"/>
  <c r="K136" i="2"/>
  <c r="P16" i="3"/>
  <c r="N20" i="3" s="1"/>
  <c r="AG21" i="2"/>
  <c r="Q34" i="2" s="1"/>
  <c r="Z34" i="2" s="1"/>
  <c r="H88" i="2" s="1"/>
  <c r="Q185" i="2"/>
  <c r="X185" i="2" s="1"/>
  <c r="AG185" i="2" s="1"/>
  <c r="Q196" i="2" s="1"/>
  <c r="Z196" i="2" s="1"/>
  <c r="H86" i="2"/>
  <c r="AF86" i="2" s="1"/>
  <c r="Y118" i="2" s="1"/>
  <c r="Q136" i="2" l="1"/>
  <c r="V16" i="3"/>
  <c r="U20" i="3" s="1"/>
  <c r="Q36" i="2"/>
  <c r="Z36" i="2" s="1"/>
  <c r="Q35" i="2"/>
  <c r="Z35" i="2" s="1"/>
  <c r="Y271" i="2"/>
  <c r="Q186" i="2"/>
  <c r="X186" i="2" s="1"/>
  <c r="AG186" i="2" s="1"/>
  <c r="Q197" i="2" s="1"/>
  <c r="Z197" i="2" s="1"/>
  <c r="AF88" i="2"/>
  <c r="Y120" i="2" s="1"/>
  <c r="AF246" i="2" l="1"/>
  <c r="Y272" i="2" s="1"/>
  <c r="Q187" i="2"/>
  <c r="X187" i="2" l="1"/>
  <c r="AG187" i="2" s="1"/>
  <c r="Q198" i="2" s="1"/>
  <c r="Z198" i="2" s="1"/>
  <c r="AF87" i="2"/>
  <c r="Y119" i="2" s="1"/>
  <c r="Y121" i="2" s="1"/>
  <c r="V136" i="2" s="1"/>
  <c r="Y273" i="2" l="1"/>
  <c r="V287" i="2" s="1"/>
  <c r="I139" i="2" l="1"/>
  <c r="I290" i="2" l="1"/>
  <c r="I141" i="2"/>
  <c r="I142" i="2"/>
  <c r="I292" i="2" l="1"/>
  <c r="I293" i="2"/>
  <c r="Y292" i="2" s="1"/>
  <c r="Y141" i="2"/>
  <c r="I146" i="2" s="1"/>
  <c r="M297" i="2" l="1"/>
  <c r="I297" i="2"/>
  <c r="I296" i="2"/>
  <c r="M296" i="2"/>
  <c r="M145" i="2"/>
  <c r="I145" i="2"/>
  <c r="M146" i="2"/>
  <c r="Y146" i="2" s="1"/>
  <c r="AD296" i="2" l="1"/>
  <c r="Y296" i="2"/>
  <c r="Y297" i="2"/>
  <c r="AD297" i="2"/>
  <c r="AD145" i="2"/>
  <c r="Y145" i="2"/>
  <c r="AD146" i="2"/>
  <c r="I301" i="2" l="1"/>
  <c r="M301" i="2"/>
  <c r="M150" i="2"/>
  <c r="I150" i="2"/>
  <c r="AD301" i="2" l="1"/>
  <c r="I304" i="2"/>
  <c r="Y301" i="2"/>
  <c r="M307" i="2"/>
  <c r="M304" i="2"/>
  <c r="I307" i="2"/>
  <c r="Y150" i="2"/>
  <c r="M151" i="2" s="1"/>
  <c r="M159" i="2" s="1"/>
  <c r="I156" i="2"/>
  <c r="AD150" i="2"/>
  <c r="M156" i="2"/>
  <c r="I153" i="2"/>
  <c r="M153" i="2"/>
  <c r="Y307" i="2" l="1"/>
  <c r="AD307" i="2"/>
  <c r="M302" i="2"/>
  <c r="M310" i="2" s="1"/>
  <c r="I302" i="2"/>
  <c r="AD304" i="2"/>
  <c r="Y304" i="2"/>
  <c r="I151" i="2"/>
  <c r="AD151" i="2" s="1"/>
  <c r="AD153" i="2"/>
  <c r="AD156" i="2"/>
  <c r="Y156" i="2"/>
  <c r="Y153" i="2"/>
  <c r="AD302" i="2" l="1"/>
  <c r="I305" i="2"/>
  <c r="M308" i="2"/>
  <c r="M312" i="2" s="1"/>
  <c r="M305" i="2"/>
  <c r="M311" i="2" s="1"/>
  <c r="I308" i="2"/>
  <c r="Y302" i="2"/>
  <c r="I310" i="2"/>
  <c r="J315" i="2" s="1"/>
  <c r="I154" i="2"/>
  <c r="I160" i="2" s="1"/>
  <c r="Y151" i="2"/>
  <c r="I157" i="2"/>
  <c r="I161" i="2" s="1"/>
  <c r="M157" i="2"/>
  <c r="M161" i="2" s="1"/>
  <c r="I159" i="2"/>
  <c r="J164" i="2" s="1"/>
  <c r="M154" i="2"/>
  <c r="M160" i="2" s="1"/>
  <c r="O167" i="2" l="1"/>
  <c r="W167" i="2" s="1"/>
  <c r="J168" i="2" s="1"/>
  <c r="J18" i="3"/>
  <c r="J12" i="7"/>
  <c r="M318" i="2"/>
  <c r="J319" i="2" s="1"/>
  <c r="Y308" i="2"/>
  <c r="AD308" i="2"/>
  <c r="I312" i="2"/>
  <c r="AD305" i="2"/>
  <c r="Y305" i="2"/>
  <c r="I311" i="2"/>
  <c r="L328" i="2"/>
  <c r="N171" i="2"/>
  <c r="J172" i="2" s="1"/>
  <c r="P328" i="2" s="1"/>
  <c r="AD157" i="2"/>
  <c r="Y157" i="2"/>
  <c r="AD154" i="2"/>
  <c r="Y154" i="2"/>
  <c r="U21" i="3" l="1"/>
  <c r="Y20" i="3"/>
  <c r="N322" i="2"/>
  <c r="J323" i="2" s="1"/>
  <c r="P329" i="2" s="1"/>
  <c r="L329" i="2"/>
  <c r="J332" i="2" s="1"/>
  <c r="AB378" i="2" s="1"/>
  <c r="U382" i="2" s="1"/>
  <c r="Z5" i="5" s="1"/>
  <c r="AA15" i="7"/>
  <c r="V16" i="7"/>
  <c r="R20" i="3"/>
  <c r="S15" i="7"/>
  <c r="N16" i="7"/>
  <c r="H19" i="7" s="1"/>
  <c r="K15" i="7"/>
  <c r="H18" i="7" s="1"/>
  <c r="H21" i="7" s="1"/>
  <c r="J388" i="2"/>
  <c r="F389" i="2" s="1"/>
  <c r="F390" i="2" s="1"/>
  <c r="P5" i="5" s="1"/>
  <c r="K20" i="3"/>
  <c r="H22" i="3" s="1"/>
  <c r="N21" i="3"/>
  <c r="H23" i="3" s="1"/>
  <c r="G29" i="7" l="1"/>
  <c r="H30" i="7" s="1"/>
  <c r="I35" i="7" s="1"/>
  <c r="L35" i="7" s="1"/>
  <c r="N404" i="2"/>
  <c r="Q7" i="5" s="1"/>
  <c r="N402" i="2"/>
  <c r="Q6" i="5" s="1"/>
  <c r="H25" i="3"/>
  <c r="R43" i="3" s="1"/>
  <c r="Z43" i="3" s="1"/>
  <c r="R44" i="3" s="1"/>
  <c r="Z44" i="3" s="1"/>
  <c r="AA61" i="3" s="1"/>
  <c r="R36" i="7" l="1"/>
  <c r="G90" i="7" s="1"/>
  <c r="R90" i="7" s="1"/>
  <c r="G107" i="3"/>
  <c r="AA51" i="7" l="1"/>
  <c r="G100" i="7" s="1"/>
  <c r="G98" i="3"/>
  <c r="O98" i="3" s="1"/>
  <c r="G89" i="7"/>
  <c r="R89" i="7" s="1"/>
  <c r="AG61" i="3" l="1"/>
  <c r="AG62" i="3" s="1"/>
  <c r="M55" i="3" s="1"/>
  <c r="AA62" i="3"/>
  <c r="M56" i="3" s="1"/>
  <c r="AG51" i="7"/>
  <c r="AG52" i="7" s="1"/>
  <c r="N46" i="7" s="1"/>
  <c r="AA52" i="7"/>
  <c r="N47" i="7" s="1"/>
  <c r="H58" i="3" l="1"/>
  <c r="I49" i="7"/>
  <c r="M66" i="7" l="1"/>
  <c r="I67" i="7" s="1"/>
  <c r="K9" i="6" s="1"/>
  <c r="O9" i="6" s="1"/>
  <c r="N72" i="7"/>
  <c r="K73" i="7" s="1"/>
  <c r="F15" i="6" s="1"/>
  <c r="M77" i="3"/>
  <c r="I78" i="3" s="1"/>
  <c r="G120" i="3" s="1"/>
  <c r="N83" i="3"/>
  <c r="K84" i="3" s="1"/>
  <c r="I27" i="6" l="1"/>
  <c r="L27" i="6" s="1"/>
  <c r="I26" i="6"/>
  <c r="L26" i="6" s="1"/>
  <c r="L28" i="6" s="1"/>
  <c r="J31" i="6" s="1"/>
  <c r="I17" i="6"/>
  <c r="L17" i="6" s="1"/>
  <c r="I16" i="6"/>
  <c r="I15" i="6"/>
  <c r="G113" i="7"/>
  <c r="G123" i="7" s="1"/>
  <c r="N127" i="7" s="1"/>
  <c r="N128" i="7" s="1"/>
  <c r="K7" i="13"/>
  <c r="O7" i="13" s="1"/>
  <c r="N131" i="7"/>
  <c r="I134" i="7" s="1"/>
  <c r="R136" i="7"/>
  <c r="G83" i="7"/>
  <c r="Q83" i="7" s="1"/>
  <c r="G82" i="7"/>
  <c r="Q82" i="7" s="1"/>
  <c r="G93" i="3"/>
  <c r="N93" i="3" s="1"/>
  <c r="K44" i="13" l="1"/>
  <c r="H47" i="13" s="1"/>
  <c r="I53" i="13" s="1"/>
  <c r="K24" i="13"/>
  <c r="H27" i="13" s="1"/>
  <c r="K33" i="13" s="1"/>
  <c r="H36" i="13" s="1"/>
  <c r="L16" i="6"/>
  <c r="L15" i="6"/>
  <c r="L18" i="6" s="1"/>
  <c r="G103" i="3"/>
  <c r="K54" i="13" l="1"/>
  <c r="I56" i="13" s="1"/>
  <c r="O36" i="13"/>
  <c r="G95" i="7"/>
  <c r="G130" i="3"/>
  <c r="N134" i="3" s="1"/>
  <c r="N135" i="3" s="1"/>
  <c r="J95" i="7"/>
  <c r="M95" i="7" s="1"/>
  <c r="N138" i="3" l="1"/>
  <c r="I141" i="3" s="1"/>
  <c r="Q143" i="3"/>
  <c r="K6" i="11"/>
  <c r="I34" i="11" s="1"/>
  <c r="I36" i="11" s="1"/>
  <c r="J103" i="3"/>
  <c r="M103" i="3" s="1"/>
  <c r="S107" i="3" s="1"/>
  <c r="K6" i="9" l="1"/>
  <c r="I43" i="9" s="1"/>
  <c r="I45" i="9" s="1"/>
  <c r="R90" i="6"/>
  <c r="AC90" i="6" s="1"/>
  <c r="R86" i="6"/>
  <c r="AC86" i="6" s="1"/>
  <c r="J82" i="6"/>
  <c r="L110" i="3"/>
  <c r="I135" i="3" s="1"/>
  <c r="I138" i="3" l="1"/>
  <c r="I140" i="3" s="1"/>
  <c r="M140" i="3" s="1"/>
  <c r="I143" i="3"/>
  <c r="I83" i="6"/>
  <c r="J96" i="7"/>
  <c r="G96" i="7"/>
  <c r="G97" i="7" l="1"/>
  <c r="M96" i="7"/>
  <c r="M97" i="7" s="1"/>
  <c r="W100" i="7" s="1"/>
  <c r="L103" i="7" s="1"/>
  <c r="I128" i="7" l="1"/>
  <c r="I131" i="7" l="1"/>
  <c r="I133" i="7" s="1"/>
  <c r="M133" i="7" s="1"/>
  <c r="I136" i="7"/>
  <c r="M143" i="3"/>
  <c r="U143" i="3"/>
  <c r="I144" i="3" l="1"/>
  <c r="G158" i="3"/>
  <c r="G161" i="3" s="1"/>
  <c r="G163" i="3" s="1"/>
  <c r="N163" i="3" s="1"/>
  <c r="Y163" i="3" s="1"/>
  <c r="Q8" i="5" s="1"/>
  <c r="J21" i="6"/>
  <c r="K5" i="11" s="1"/>
  <c r="I26" i="11" s="1"/>
  <c r="I28" i="11" l="1"/>
  <c r="K42" i="11" s="1"/>
  <c r="S42" i="11" s="1"/>
  <c r="H63" i="11" s="1"/>
  <c r="L63" i="11" s="1"/>
  <c r="Y63" i="11" s="1"/>
  <c r="AG19" i="5" s="1"/>
  <c r="M136" i="7"/>
  <c r="V136" i="7"/>
  <c r="K5" i="9"/>
  <c r="I30" i="9" s="1"/>
  <c r="I32" i="9" s="1"/>
  <c r="N69" i="9" s="1"/>
  <c r="V69" i="9" s="1"/>
  <c r="J68" i="6"/>
  <c r="R76" i="6"/>
  <c r="AC76" i="6" s="1"/>
  <c r="R72" i="6"/>
  <c r="AC72" i="6" s="1"/>
  <c r="I137" i="7" l="1"/>
  <c r="G150" i="7"/>
  <c r="G153" i="7" s="1"/>
  <c r="G155" i="7" s="1"/>
  <c r="N155" i="7" s="1"/>
  <c r="Y155" i="7" s="1"/>
  <c r="Q9" i="5" s="1"/>
  <c r="T173" i="9"/>
  <c r="R175" i="9" s="1"/>
  <c r="K173" i="9"/>
  <c r="I175" i="9" s="1"/>
  <c r="F172" i="9"/>
  <c r="F175" i="9" s="1"/>
  <c r="F177" i="9" s="1"/>
  <c r="J177" i="9" s="1"/>
  <c r="Q177" i="9" s="1"/>
  <c r="AG15" i="5" s="1"/>
  <c r="X162" i="9"/>
  <c r="T164" i="9" s="1"/>
  <c r="M162" i="9"/>
  <c r="I164" i="9" s="1"/>
  <c r="F161" i="9"/>
  <c r="F164" i="9" s="1"/>
  <c r="F166" i="9" s="1"/>
  <c r="I166" i="9" s="1"/>
  <c r="L166" i="9" s="1"/>
  <c r="AG14" i="5" s="1"/>
  <c r="I69" i="6"/>
  <c r="N110" i="6" s="1"/>
  <c r="V110" i="6" s="1"/>
  <c r="O221" i="6"/>
  <c r="I224" i="6" s="1"/>
  <c r="P224" i="6" s="1"/>
  <c r="AA224" i="6" s="1"/>
  <c r="Q16" i="5" s="1"/>
  <c r="V212" i="6" l="1"/>
  <c r="R214" i="6" s="1"/>
  <c r="F211" i="6"/>
  <c r="F214" i="6" s="1"/>
  <c r="F200" i="6"/>
  <c r="F203" i="6" s="1"/>
  <c r="M201" i="6"/>
  <c r="Z201" i="6"/>
  <c r="T203" i="6" s="1"/>
  <c r="K212" i="6"/>
  <c r="N117" i="6"/>
  <c r="J119" i="6" s="1"/>
  <c r="L211" i="6" l="1"/>
  <c r="I214" i="6" s="1"/>
  <c r="F216" i="6" s="1"/>
  <c r="J216" i="6" s="1"/>
  <c r="Q216" i="6" s="1"/>
  <c r="Q15" i="5" s="1"/>
  <c r="M200" i="6"/>
  <c r="I203" i="6" s="1"/>
  <c r="F205" i="6" l="1"/>
  <c r="I205" i="6" s="1"/>
  <c r="L205" i="6" s="1"/>
  <c r="Q14" i="5" s="1"/>
</calcChain>
</file>

<file path=xl/sharedStrings.xml><?xml version="1.0" encoding="utf-8"?>
<sst xmlns="http://schemas.openxmlformats.org/spreadsheetml/2006/main" count="3293" uniqueCount="882">
  <si>
    <t>仮設土留め壁の設計計算例　ー切ばり式親杭横矢板、砂質地盤の場合ー</t>
    <rPh sb="0" eb="2">
      <t>カセツ</t>
    </rPh>
    <rPh sb="2" eb="4">
      <t>ドド</t>
    </rPh>
    <rPh sb="5" eb="6">
      <t>ヘキ</t>
    </rPh>
    <rPh sb="7" eb="9">
      <t>セッケイ</t>
    </rPh>
    <rPh sb="9" eb="11">
      <t>ケイサン</t>
    </rPh>
    <rPh sb="11" eb="12">
      <t>レイ</t>
    </rPh>
    <rPh sb="14" eb="15">
      <t>キリ</t>
    </rPh>
    <rPh sb="17" eb="18">
      <t>シキ</t>
    </rPh>
    <rPh sb="18" eb="19">
      <t>オヤ</t>
    </rPh>
    <rPh sb="19" eb="20">
      <t>クイ</t>
    </rPh>
    <rPh sb="20" eb="23">
      <t>ヨコヤイタ</t>
    </rPh>
    <rPh sb="24" eb="26">
      <t>サシツ</t>
    </rPh>
    <rPh sb="26" eb="28">
      <t>ジバン</t>
    </rPh>
    <rPh sb="29" eb="31">
      <t>バアイ</t>
    </rPh>
    <phoneticPr fontId="3"/>
  </si>
  <si>
    <t>© 2023 ce-note.com</t>
    <phoneticPr fontId="3"/>
  </si>
  <si>
    <t>下記に示す設計プロセスは「掘削深さH=3.0m超え10.0m以下、砂質地盤」が適用範囲です。（H11道仮p28）</t>
    <rPh sb="0" eb="2">
      <t>カキ</t>
    </rPh>
    <rPh sb="3" eb="4">
      <t>シメ</t>
    </rPh>
    <rPh sb="5" eb="7">
      <t>セッケイ</t>
    </rPh>
    <rPh sb="13" eb="15">
      <t>クッサク</t>
    </rPh>
    <rPh sb="15" eb="16">
      <t>フカ</t>
    </rPh>
    <rPh sb="23" eb="24">
      <t>コ</t>
    </rPh>
    <rPh sb="30" eb="32">
      <t>イカ</t>
    </rPh>
    <rPh sb="33" eb="35">
      <t>サシツ</t>
    </rPh>
    <rPh sb="35" eb="37">
      <t>ジバン</t>
    </rPh>
    <rPh sb="39" eb="43">
      <t>テキヨウハンイ</t>
    </rPh>
    <rPh sb="50" eb="51">
      <t>ミチ</t>
    </rPh>
    <rPh sb="51" eb="52">
      <t>カリ</t>
    </rPh>
    <phoneticPr fontId="3"/>
  </si>
  <si>
    <t>1.設計条件と親杭横矢板・支保工の設定</t>
    <rPh sb="2" eb="4">
      <t>セッケイ</t>
    </rPh>
    <rPh sb="4" eb="6">
      <t>ジョウケン</t>
    </rPh>
    <rPh sb="7" eb="9">
      <t>オヤクイ</t>
    </rPh>
    <rPh sb="9" eb="10">
      <t>ヨコ</t>
    </rPh>
    <rPh sb="10" eb="12">
      <t>ヤイタ</t>
    </rPh>
    <rPh sb="13" eb="16">
      <t>シホコウ</t>
    </rPh>
    <rPh sb="17" eb="19">
      <t>セッテイ</t>
    </rPh>
    <phoneticPr fontId="3"/>
  </si>
  <si>
    <t>1-1. 設計条件</t>
    <rPh sb="5" eb="7">
      <t>セッケイ</t>
    </rPh>
    <rPh sb="7" eb="9">
      <t>ジョウケン</t>
    </rPh>
    <phoneticPr fontId="3"/>
  </si>
  <si>
    <t>1-1-1. 掘削寸法・荷重・地下水位</t>
    <rPh sb="7" eb="9">
      <t>クッサク</t>
    </rPh>
    <rPh sb="9" eb="11">
      <t>スンポウ</t>
    </rPh>
    <rPh sb="12" eb="14">
      <t>カジュウ</t>
    </rPh>
    <phoneticPr fontId="3"/>
  </si>
  <si>
    <t>掘削深さ</t>
    <rPh sb="0" eb="2">
      <t>クッサク</t>
    </rPh>
    <rPh sb="2" eb="3">
      <t>フカ</t>
    </rPh>
    <phoneticPr fontId="3"/>
  </si>
  <si>
    <t>H</t>
    <phoneticPr fontId="3"/>
  </si>
  <si>
    <t>=</t>
    <phoneticPr fontId="3"/>
  </si>
  <si>
    <t>m</t>
    <phoneticPr fontId="3"/>
  </si>
  <si>
    <t>地下水</t>
    <rPh sb="0" eb="3">
      <t>チカスイ</t>
    </rPh>
    <phoneticPr fontId="3"/>
  </si>
  <si>
    <t>GL</t>
    <phoneticPr fontId="3"/>
  </si>
  <si>
    <t>-</t>
    <phoneticPr fontId="3"/>
  </si>
  <si>
    <t>親杭間隔</t>
    <rPh sb="0" eb="2">
      <t>オヤクイ</t>
    </rPh>
    <rPh sb="2" eb="4">
      <t>カンカク</t>
    </rPh>
    <phoneticPr fontId="3"/>
  </si>
  <si>
    <t>a</t>
    <phoneticPr fontId="3"/>
  </si>
  <si>
    <t>掘削長さ（長辺）</t>
    <rPh sb="0" eb="2">
      <t>クッサク</t>
    </rPh>
    <rPh sb="2" eb="3">
      <t>ナガ</t>
    </rPh>
    <rPh sb="5" eb="7">
      <t>チョウヘン</t>
    </rPh>
    <phoneticPr fontId="3"/>
  </si>
  <si>
    <r>
      <t>L</t>
    </r>
    <r>
      <rPr>
        <i/>
        <vertAlign val="subscript"/>
        <sz val="11"/>
        <color theme="1"/>
        <rFont val="Times New Roman"/>
        <family val="1"/>
      </rPr>
      <t>e</t>
    </r>
    <phoneticPr fontId="3"/>
  </si>
  <si>
    <t>掘削幅（短辺）</t>
    <rPh sb="0" eb="2">
      <t>クッサク</t>
    </rPh>
    <rPh sb="2" eb="3">
      <t>ハバ</t>
    </rPh>
    <rPh sb="4" eb="6">
      <t>タンペン</t>
    </rPh>
    <phoneticPr fontId="3"/>
  </si>
  <si>
    <r>
      <t>B</t>
    </r>
    <r>
      <rPr>
        <i/>
        <vertAlign val="subscript"/>
        <sz val="11"/>
        <color theme="1"/>
        <rFont val="Times New Roman"/>
        <family val="1"/>
      </rPr>
      <t>e</t>
    </r>
    <phoneticPr fontId="3"/>
  </si>
  <si>
    <t>上載荷重</t>
    <rPh sb="0" eb="1">
      <t>ウエ</t>
    </rPh>
    <rPh sb="1" eb="2">
      <t>ノ</t>
    </rPh>
    <rPh sb="2" eb="4">
      <t>カジュウ</t>
    </rPh>
    <phoneticPr fontId="3"/>
  </si>
  <si>
    <t>q</t>
    <phoneticPr fontId="3"/>
  </si>
  <si>
    <r>
      <t>kN/m</t>
    </r>
    <r>
      <rPr>
        <vertAlign val="superscript"/>
        <sz val="11"/>
        <color theme="1"/>
        <rFont val="游ゴシック"/>
        <family val="3"/>
        <charset val="128"/>
        <scheme val="minor"/>
      </rPr>
      <t>2</t>
    </r>
    <phoneticPr fontId="3"/>
  </si>
  <si>
    <t>H11道仮p34</t>
    <phoneticPr fontId="3"/>
  </si>
  <si>
    <t>1-1-2. 地盤物性値一覧</t>
    <rPh sb="7" eb="9">
      <t>ジバン</t>
    </rPh>
    <rPh sb="9" eb="11">
      <t>ブッセイ</t>
    </rPh>
    <rPh sb="11" eb="12">
      <t>アタイ</t>
    </rPh>
    <rPh sb="12" eb="14">
      <t>イチラン</t>
    </rPh>
    <phoneticPr fontId="3"/>
  </si>
  <si>
    <t>H11道仮p29</t>
    <phoneticPr fontId="3"/>
  </si>
  <si>
    <t>層厚</t>
    <phoneticPr fontId="3"/>
  </si>
  <si>
    <t>土質</t>
    <rPh sb="0" eb="2">
      <t>ドシツ</t>
    </rPh>
    <phoneticPr fontId="3"/>
  </si>
  <si>
    <t>地下水</t>
    <rPh sb="0" eb="2">
      <t>チカ</t>
    </rPh>
    <rPh sb="2" eb="3">
      <t>スイ</t>
    </rPh>
    <phoneticPr fontId="3"/>
  </si>
  <si>
    <t>N値</t>
    <rPh sb="1" eb="2">
      <t>アタイ</t>
    </rPh>
    <phoneticPr fontId="3"/>
  </si>
  <si>
    <t>単位体積重量</t>
    <rPh sb="0" eb="2">
      <t>タンイ</t>
    </rPh>
    <rPh sb="2" eb="4">
      <t>タイセキ</t>
    </rPh>
    <rPh sb="4" eb="6">
      <t>ジュウリョウ</t>
    </rPh>
    <phoneticPr fontId="3"/>
  </si>
  <si>
    <t>土圧計算用の水中</t>
    <rPh sb="0" eb="2">
      <t>ドアツ</t>
    </rPh>
    <rPh sb="2" eb="4">
      <t>ケイサン</t>
    </rPh>
    <rPh sb="4" eb="5">
      <t>ヨウ</t>
    </rPh>
    <phoneticPr fontId="3"/>
  </si>
  <si>
    <t>水中単位重量</t>
    <rPh sb="0" eb="2">
      <t>スイチュウ</t>
    </rPh>
    <rPh sb="2" eb="4">
      <t>タンイ</t>
    </rPh>
    <rPh sb="4" eb="6">
      <t>ジュウリョウ</t>
    </rPh>
    <phoneticPr fontId="3"/>
  </si>
  <si>
    <t>せん断抵抗角</t>
    <rPh sb="2" eb="3">
      <t>ダン</t>
    </rPh>
    <rPh sb="3" eb="5">
      <t>テイコウ</t>
    </rPh>
    <rPh sb="5" eb="6">
      <t>カク</t>
    </rPh>
    <phoneticPr fontId="3"/>
  </si>
  <si>
    <t>粘着力</t>
    <rPh sb="0" eb="3">
      <t>ネンチャクリョク</t>
    </rPh>
    <phoneticPr fontId="3"/>
  </si>
  <si>
    <t>h</t>
    <phoneticPr fontId="3"/>
  </si>
  <si>
    <t>γ</t>
    <phoneticPr fontId="3"/>
  </si>
  <si>
    <t>単位体積重量算出</t>
    <rPh sb="2" eb="4">
      <t>タイセキ</t>
    </rPh>
    <phoneticPr fontId="3"/>
  </si>
  <si>
    <t>γ’</t>
    <phoneticPr fontId="3"/>
  </si>
  <si>
    <t>φ</t>
    <phoneticPr fontId="3"/>
  </si>
  <si>
    <t>c</t>
    <phoneticPr fontId="3"/>
  </si>
  <si>
    <t>(m)</t>
    <phoneticPr fontId="3"/>
  </si>
  <si>
    <r>
      <t>(kN/m</t>
    </r>
    <r>
      <rPr>
        <vertAlign val="superscript"/>
        <sz val="11"/>
        <color theme="1"/>
        <rFont val="游ゴシック"/>
        <family val="3"/>
        <charset val="128"/>
        <scheme val="minor"/>
      </rPr>
      <t>3</t>
    </r>
    <r>
      <rPr>
        <sz val="11"/>
        <color theme="1"/>
        <rFont val="游ゴシック"/>
        <family val="2"/>
        <scheme val="minor"/>
      </rPr>
      <t>)</t>
    </r>
    <phoneticPr fontId="3"/>
  </si>
  <si>
    <t>のため差し引く値</t>
    <rPh sb="3" eb="4">
      <t>サ</t>
    </rPh>
    <rPh sb="5" eb="6">
      <t>ヒ</t>
    </rPh>
    <rPh sb="7" eb="8">
      <t>アタイ</t>
    </rPh>
    <phoneticPr fontId="3"/>
  </si>
  <si>
    <t>(度)</t>
    <rPh sb="1" eb="2">
      <t>ド</t>
    </rPh>
    <phoneticPr fontId="3"/>
  </si>
  <si>
    <r>
      <t>(kN/m</t>
    </r>
    <r>
      <rPr>
        <vertAlign val="superscript"/>
        <sz val="11"/>
        <color theme="1"/>
        <rFont val="游ゴシック"/>
        <family val="3"/>
        <charset val="128"/>
        <scheme val="minor"/>
      </rPr>
      <t>2</t>
    </r>
    <r>
      <rPr>
        <sz val="11"/>
        <color theme="1"/>
        <rFont val="游ゴシック"/>
        <family val="2"/>
        <scheme val="minor"/>
      </rPr>
      <t>)</t>
    </r>
    <phoneticPr fontId="3"/>
  </si>
  <si>
    <t>1層</t>
    <rPh sb="1" eb="2">
      <t>ソウ</t>
    </rPh>
    <phoneticPr fontId="3"/>
  </si>
  <si>
    <t>砂質</t>
  </si>
  <si>
    <t>なし</t>
  </si>
  <si>
    <t>2層</t>
    <rPh sb="1" eb="2">
      <t>ソウ</t>
    </rPh>
    <phoneticPr fontId="3"/>
  </si>
  <si>
    <t>3層</t>
    <rPh sb="1" eb="2">
      <t>ソウ</t>
    </rPh>
    <phoneticPr fontId="3"/>
  </si>
  <si>
    <t>砂質</t>
    <phoneticPr fontId="3"/>
  </si>
  <si>
    <t>掘削Σ</t>
    <rPh sb="0" eb="2">
      <t>クッサク</t>
    </rPh>
    <phoneticPr fontId="3"/>
  </si>
  <si>
    <t>4層</t>
    <rPh sb="1" eb="2">
      <t>ソウ</t>
    </rPh>
    <phoneticPr fontId="3"/>
  </si>
  <si>
    <t>1-2. 親杭の設定</t>
    <rPh sb="5" eb="7">
      <t>オヤクイ</t>
    </rPh>
    <rPh sb="8" eb="10">
      <t>セッテイ</t>
    </rPh>
    <phoneticPr fontId="3"/>
  </si>
  <si>
    <t>親杭断面寸法</t>
    <rPh sb="0" eb="2">
      <t>オヤクイ</t>
    </rPh>
    <rPh sb="2" eb="4">
      <t>ダンメン</t>
    </rPh>
    <rPh sb="4" eb="6">
      <t>スンポウ</t>
    </rPh>
    <phoneticPr fontId="3"/>
  </si>
  <si>
    <t>H-300</t>
  </si>
  <si>
    <t>高</t>
    <rPh sb="0" eb="1">
      <t>タカ</t>
    </rPh>
    <phoneticPr fontId="3"/>
  </si>
  <si>
    <t>mm</t>
    <phoneticPr fontId="3"/>
  </si>
  <si>
    <t>幅</t>
    <rPh sb="0" eb="1">
      <t>ハバ</t>
    </rPh>
    <phoneticPr fontId="3"/>
  </si>
  <si>
    <t>B</t>
    <phoneticPr fontId="3"/>
  </si>
  <si>
    <t>ウェブ厚</t>
    <rPh sb="3" eb="4">
      <t>アツ</t>
    </rPh>
    <phoneticPr fontId="3"/>
  </si>
  <si>
    <r>
      <t>t</t>
    </r>
    <r>
      <rPr>
        <vertAlign val="subscript"/>
        <sz val="11"/>
        <color theme="1"/>
        <rFont val="Times New Roman"/>
        <family val="1"/>
      </rPr>
      <t>1</t>
    </r>
    <phoneticPr fontId="3"/>
  </si>
  <si>
    <t>フランジ厚</t>
    <rPh sb="4" eb="5">
      <t>アツ</t>
    </rPh>
    <phoneticPr fontId="3"/>
  </si>
  <si>
    <r>
      <t>t</t>
    </r>
    <r>
      <rPr>
        <vertAlign val="subscript"/>
        <sz val="11"/>
        <color theme="1"/>
        <rFont val="Times New Roman"/>
        <family val="1"/>
      </rPr>
      <t>2</t>
    </r>
    <phoneticPr fontId="3"/>
  </si>
  <si>
    <t>断面二次モーメント</t>
    <rPh sb="0" eb="2">
      <t>ダンメン</t>
    </rPh>
    <rPh sb="2" eb="4">
      <t>ニジ</t>
    </rPh>
    <phoneticPr fontId="3"/>
  </si>
  <si>
    <t>I</t>
    <phoneticPr fontId="3"/>
  </si>
  <si>
    <r>
      <t>cm</t>
    </r>
    <r>
      <rPr>
        <vertAlign val="superscript"/>
        <sz val="11"/>
        <color theme="1"/>
        <rFont val="游ゴシック"/>
        <family val="3"/>
        <charset val="128"/>
        <scheme val="minor"/>
      </rPr>
      <t>4</t>
    </r>
    <phoneticPr fontId="3"/>
  </si>
  <si>
    <t>H11道仮p315</t>
    <phoneticPr fontId="3"/>
  </si>
  <si>
    <r>
      <t>m</t>
    </r>
    <r>
      <rPr>
        <vertAlign val="superscript"/>
        <sz val="11"/>
        <color theme="1"/>
        <rFont val="游ゴシック"/>
        <family val="3"/>
        <charset val="128"/>
        <scheme val="minor"/>
      </rPr>
      <t>4</t>
    </r>
    <phoneticPr fontId="3"/>
  </si>
  <si>
    <t>断面係数</t>
    <rPh sb="0" eb="4">
      <t>ダンメンケイスウ</t>
    </rPh>
    <phoneticPr fontId="3"/>
  </si>
  <si>
    <r>
      <t>Z</t>
    </r>
    <r>
      <rPr>
        <i/>
        <vertAlign val="subscript"/>
        <sz val="11"/>
        <color theme="1"/>
        <rFont val="Times New Roman"/>
        <family val="1"/>
      </rPr>
      <t>x</t>
    </r>
    <phoneticPr fontId="3"/>
  </si>
  <si>
    <r>
      <t>cm</t>
    </r>
    <r>
      <rPr>
        <vertAlign val="superscript"/>
        <sz val="11"/>
        <color theme="1"/>
        <rFont val="游ゴシック"/>
        <family val="3"/>
        <charset val="128"/>
        <scheme val="minor"/>
      </rPr>
      <t>3</t>
    </r>
    <phoneticPr fontId="3"/>
  </si>
  <si>
    <t>H11道仮p315</t>
  </si>
  <si>
    <r>
      <t>mm</t>
    </r>
    <r>
      <rPr>
        <vertAlign val="superscript"/>
        <sz val="11"/>
        <color theme="1"/>
        <rFont val="游ゴシック"/>
        <family val="3"/>
        <charset val="128"/>
        <scheme val="minor"/>
      </rPr>
      <t>3</t>
    </r>
    <phoneticPr fontId="3"/>
  </si>
  <si>
    <t>有効断面積</t>
    <rPh sb="0" eb="2">
      <t>ユウコウ</t>
    </rPh>
    <rPh sb="2" eb="5">
      <t>ダンメンセキ</t>
    </rPh>
    <phoneticPr fontId="3"/>
  </si>
  <si>
    <r>
      <t>A</t>
    </r>
    <r>
      <rPr>
        <i/>
        <vertAlign val="subscript"/>
        <sz val="11"/>
        <color theme="1"/>
        <rFont val="Times New Roman"/>
        <family val="1"/>
      </rPr>
      <t>s</t>
    </r>
    <phoneticPr fontId="3"/>
  </si>
  <si>
    <r>
      <t>cm</t>
    </r>
    <r>
      <rPr>
        <vertAlign val="superscript"/>
        <sz val="11"/>
        <color theme="1"/>
        <rFont val="游ゴシック"/>
        <family val="3"/>
        <charset val="128"/>
        <scheme val="minor"/>
      </rPr>
      <t>2</t>
    </r>
    <phoneticPr fontId="3"/>
  </si>
  <si>
    <r>
      <t>mm</t>
    </r>
    <r>
      <rPr>
        <vertAlign val="superscript"/>
        <sz val="11"/>
        <color theme="1"/>
        <rFont val="游ゴシック"/>
        <family val="3"/>
        <charset val="128"/>
        <scheme val="minor"/>
      </rPr>
      <t>2</t>
    </r>
    <phoneticPr fontId="3"/>
  </si>
  <si>
    <t>使用鋼材</t>
    <rPh sb="0" eb="2">
      <t>シヨウ</t>
    </rPh>
    <rPh sb="2" eb="4">
      <t>コウザイ</t>
    </rPh>
    <phoneticPr fontId="3"/>
  </si>
  <si>
    <t>SS400</t>
  </si>
  <si>
    <t>軸方向引張許容応力度</t>
    <rPh sb="0" eb="3">
      <t>ジクホウコウ</t>
    </rPh>
    <rPh sb="3" eb="5">
      <t>ヒッパリ</t>
    </rPh>
    <phoneticPr fontId="3"/>
  </si>
  <si>
    <r>
      <t>σ</t>
    </r>
    <r>
      <rPr>
        <vertAlign val="subscript"/>
        <sz val="11"/>
        <color theme="1"/>
        <rFont val="Times New Roman"/>
        <family val="1"/>
      </rPr>
      <t>s</t>
    </r>
    <r>
      <rPr>
        <vertAlign val="subscript"/>
        <sz val="11"/>
        <color theme="1"/>
        <rFont val="Yu Gothic"/>
        <family val="1"/>
        <charset val="128"/>
      </rPr>
      <t>a</t>
    </r>
    <phoneticPr fontId="3"/>
  </si>
  <si>
    <r>
      <t>N/mm</t>
    </r>
    <r>
      <rPr>
        <vertAlign val="superscript"/>
        <sz val="11"/>
        <color theme="1"/>
        <rFont val="游ゴシック"/>
        <family val="3"/>
        <charset val="128"/>
        <scheme val="minor"/>
      </rPr>
      <t>2</t>
    </r>
    <phoneticPr fontId="3"/>
  </si>
  <si>
    <t>H11道仮p47</t>
    <phoneticPr fontId="3"/>
  </si>
  <si>
    <t>せん断許容応力度</t>
    <rPh sb="2" eb="3">
      <t>ダン</t>
    </rPh>
    <rPh sb="3" eb="5">
      <t>キョヨウ</t>
    </rPh>
    <phoneticPr fontId="3"/>
  </si>
  <si>
    <r>
      <t>τ</t>
    </r>
    <r>
      <rPr>
        <i/>
        <vertAlign val="subscript"/>
        <sz val="11"/>
        <color theme="1"/>
        <rFont val="游ゴシック"/>
        <family val="1"/>
        <charset val="128"/>
      </rPr>
      <t>s</t>
    </r>
    <r>
      <rPr>
        <i/>
        <vertAlign val="subscript"/>
        <sz val="11"/>
        <color theme="1"/>
        <rFont val="Times New Roman"/>
        <family val="1"/>
      </rPr>
      <t>a</t>
    </r>
    <phoneticPr fontId="3"/>
  </si>
  <si>
    <t>支圧許容応力度</t>
    <rPh sb="0" eb="1">
      <t>ササ</t>
    </rPh>
    <rPh sb="1" eb="2">
      <t>アツ</t>
    </rPh>
    <rPh sb="2" eb="4">
      <t>キョヨウ</t>
    </rPh>
    <phoneticPr fontId="3"/>
  </si>
  <si>
    <t>ヤング係数</t>
    <rPh sb="3" eb="5">
      <t>ケイスウ</t>
    </rPh>
    <phoneticPr fontId="3"/>
  </si>
  <si>
    <t>E</t>
    <phoneticPr fontId="3"/>
  </si>
  <si>
    <t>H11道仮p46</t>
    <phoneticPr fontId="3"/>
  </si>
  <si>
    <t>断面二次モーメントの有効率（根入れ長の計算）</t>
    <rPh sb="0" eb="4">
      <t>ダンメンニジ</t>
    </rPh>
    <rPh sb="10" eb="12">
      <t>ユウコウ</t>
    </rPh>
    <rPh sb="12" eb="13">
      <t>リツ</t>
    </rPh>
    <rPh sb="14" eb="16">
      <t>ネイ</t>
    </rPh>
    <rPh sb="17" eb="18">
      <t>チョウ</t>
    </rPh>
    <rPh sb="19" eb="21">
      <t>ケイサン</t>
    </rPh>
    <phoneticPr fontId="3"/>
  </si>
  <si>
    <t>H11道仮p153</t>
    <phoneticPr fontId="3"/>
  </si>
  <si>
    <t>断面二次モーメントの有効率（断面力、変位の計算）</t>
    <rPh sb="0" eb="4">
      <t>ダンメンニジ</t>
    </rPh>
    <rPh sb="10" eb="13">
      <t>ユウコウリツ</t>
    </rPh>
    <rPh sb="14" eb="17">
      <t>ダンメンリョク</t>
    </rPh>
    <rPh sb="18" eb="20">
      <t>ヘンイ</t>
    </rPh>
    <rPh sb="21" eb="23">
      <t>ケイサン</t>
    </rPh>
    <phoneticPr fontId="3"/>
  </si>
  <si>
    <t>H11道仮p107</t>
    <phoneticPr fontId="3"/>
  </si>
  <si>
    <t>断面係数の有効率（応力度の計算）</t>
    <rPh sb="0" eb="2">
      <t>ダンメン</t>
    </rPh>
    <rPh sb="2" eb="4">
      <t>ケイスウ</t>
    </rPh>
    <rPh sb="5" eb="8">
      <t>ユウコウリツ</t>
    </rPh>
    <rPh sb="9" eb="12">
      <t>オウリョクド</t>
    </rPh>
    <rPh sb="13" eb="15">
      <t>ケイサン</t>
    </rPh>
    <phoneticPr fontId="3"/>
  </si>
  <si>
    <t>H11道仮p109</t>
    <phoneticPr fontId="3"/>
  </si>
  <si>
    <t>1-3. 横矢板の設定</t>
    <rPh sb="5" eb="6">
      <t>ヨコ</t>
    </rPh>
    <rPh sb="6" eb="8">
      <t>ヤイタ</t>
    </rPh>
    <rPh sb="9" eb="11">
      <t>セッテイ</t>
    </rPh>
    <phoneticPr fontId="3"/>
  </si>
  <si>
    <t>横矢板</t>
    <rPh sb="0" eb="1">
      <t>ヨコ</t>
    </rPh>
    <rPh sb="1" eb="3">
      <t>ヤイタ</t>
    </rPh>
    <phoneticPr fontId="3"/>
  </si>
  <si>
    <t>使用材</t>
    <rPh sb="0" eb="2">
      <t>シヨウ</t>
    </rPh>
    <rPh sb="2" eb="3">
      <t>ザイ</t>
    </rPh>
    <phoneticPr fontId="3"/>
  </si>
  <si>
    <t>米松</t>
    <rPh sb="0" eb="2">
      <t>ベイマツ</t>
    </rPh>
    <phoneticPr fontId="3"/>
  </si>
  <si>
    <t>H11道仮p54</t>
    <phoneticPr fontId="3"/>
  </si>
  <si>
    <t>許容曲げ応力度</t>
    <rPh sb="0" eb="2">
      <t>キョヨウ</t>
    </rPh>
    <rPh sb="2" eb="3">
      <t>マ</t>
    </rPh>
    <rPh sb="4" eb="7">
      <t>オウリョクド</t>
    </rPh>
    <phoneticPr fontId="3"/>
  </si>
  <si>
    <r>
      <t>σ</t>
    </r>
    <r>
      <rPr>
        <i/>
        <vertAlign val="subscript"/>
        <sz val="11"/>
        <color theme="1"/>
        <rFont val="Times New Roman"/>
        <family val="1"/>
      </rPr>
      <t>wa</t>
    </r>
    <phoneticPr fontId="3"/>
  </si>
  <si>
    <t>許容せん断応力度</t>
    <rPh sb="0" eb="2">
      <t>キョヨウ</t>
    </rPh>
    <rPh sb="4" eb="5">
      <t>ダン</t>
    </rPh>
    <rPh sb="5" eb="8">
      <t>オウリョクド</t>
    </rPh>
    <phoneticPr fontId="3"/>
  </si>
  <si>
    <r>
      <t>τ</t>
    </r>
    <r>
      <rPr>
        <i/>
        <vertAlign val="subscript"/>
        <sz val="11"/>
        <color theme="1"/>
        <rFont val="Times New Roman"/>
        <family val="1"/>
      </rPr>
      <t>wa</t>
    </r>
    <phoneticPr fontId="3"/>
  </si>
  <si>
    <t>1-4. 腹起し材の設定</t>
    <rPh sb="5" eb="7">
      <t>ハラオコ</t>
    </rPh>
    <rPh sb="8" eb="9">
      <t>ザイ</t>
    </rPh>
    <rPh sb="10" eb="12">
      <t>セッテイ</t>
    </rPh>
    <phoneticPr fontId="3"/>
  </si>
  <si>
    <t>上段の位置</t>
    <rPh sb="0" eb="1">
      <t>ウエ</t>
    </rPh>
    <rPh sb="3" eb="5">
      <t>イチ</t>
    </rPh>
    <phoneticPr fontId="3"/>
  </si>
  <si>
    <t>下段の位置</t>
    <rPh sb="0" eb="1">
      <t>シタ</t>
    </rPh>
    <rPh sb="1" eb="2">
      <t>ダン</t>
    </rPh>
    <rPh sb="3" eb="5">
      <t>イチ</t>
    </rPh>
    <phoneticPr fontId="3"/>
  </si>
  <si>
    <t>上段</t>
    <rPh sb="0" eb="2">
      <t>ジョウダン</t>
    </rPh>
    <phoneticPr fontId="3"/>
  </si>
  <si>
    <t>下段</t>
    <rPh sb="0" eb="2">
      <t>ゲダン</t>
    </rPh>
    <phoneticPr fontId="3"/>
  </si>
  <si>
    <t>本数</t>
    <rPh sb="0" eb="2">
      <t>ホンスウ</t>
    </rPh>
    <phoneticPr fontId="3"/>
  </si>
  <si>
    <t>型式（リース加工製品）</t>
    <rPh sb="0" eb="2">
      <t>カタシキ</t>
    </rPh>
    <rPh sb="6" eb="8">
      <t>カコウ</t>
    </rPh>
    <rPh sb="8" eb="10">
      <t>セイヒン</t>
    </rPh>
    <phoneticPr fontId="3"/>
  </si>
  <si>
    <t>H-350</t>
  </si>
  <si>
    <t>高さ</t>
    <rPh sb="0" eb="1">
      <t>タカ</t>
    </rPh>
    <phoneticPr fontId="3"/>
  </si>
  <si>
    <t>H11道仮p320</t>
    <phoneticPr fontId="3"/>
  </si>
  <si>
    <r>
      <t>t</t>
    </r>
    <r>
      <rPr>
        <i/>
        <vertAlign val="subscript"/>
        <sz val="11"/>
        <color theme="1"/>
        <rFont val="Times New Roman"/>
        <family val="1"/>
      </rPr>
      <t>1</t>
    </r>
    <phoneticPr fontId="3"/>
  </si>
  <si>
    <r>
      <t>t</t>
    </r>
    <r>
      <rPr>
        <i/>
        <vertAlign val="subscript"/>
        <sz val="11"/>
        <color theme="1"/>
        <rFont val="Times New Roman"/>
        <family val="1"/>
      </rPr>
      <t>2</t>
    </r>
    <phoneticPr fontId="3"/>
  </si>
  <si>
    <t>断面積</t>
    <rPh sb="0" eb="3">
      <t>ダンメンセキ</t>
    </rPh>
    <phoneticPr fontId="3"/>
  </si>
  <si>
    <t>A</t>
    <phoneticPr fontId="3"/>
  </si>
  <si>
    <t>断面二次半径</t>
    <rPh sb="0" eb="2">
      <t>ダンメン</t>
    </rPh>
    <rPh sb="2" eb="4">
      <t>ニジ</t>
    </rPh>
    <rPh sb="4" eb="6">
      <t>ハンケイ</t>
    </rPh>
    <phoneticPr fontId="3"/>
  </si>
  <si>
    <t>cm</t>
    <phoneticPr fontId="3"/>
  </si>
  <si>
    <r>
      <t>r</t>
    </r>
    <r>
      <rPr>
        <i/>
        <vertAlign val="subscript"/>
        <sz val="11"/>
        <color theme="1"/>
        <rFont val="Times New Roman"/>
        <family val="1"/>
      </rPr>
      <t>y</t>
    </r>
    <phoneticPr fontId="3"/>
  </si>
  <si>
    <r>
      <t>r</t>
    </r>
    <r>
      <rPr>
        <i/>
        <vertAlign val="subscript"/>
        <sz val="11"/>
        <color theme="1"/>
        <rFont val="Times New Roman"/>
        <family val="1"/>
      </rPr>
      <t>z</t>
    </r>
    <phoneticPr fontId="3"/>
  </si>
  <si>
    <t>Z</t>
    <phoneticPr fontId="3"/>
  </si>
  <si>
    <t>せん断の許容応力度</t>
    <rPh sb="2" eb="3">
      <t>ダン</t>
    </rPh>
    <phoneticPr fontId="3"/>
  </si>
  <si>
    <r>
      <rPr>
        <i/>
        <sz val="11"/>
        <color theme="1"/>
        <rFont val="Times New Roman"/>
        <family val="1"/>
        <charset val="161"/>
      </rPr>
      <t>τ</t>
    </r>
    <r>
      <rPr>
        <vertAlign val="subscript"/>
        <sz val="11"/>
        <color theme="1"/>
        <rFont val="Yu Gothic"/>
        <family val="1"/>
        <charset val="128"/>
      </rPr>
      <t>a</t>
    </r>
    <phoneticPr fontId="3"/>
  </si>
  <si>
    <t>1-5. 切ばり材の設定</t>
    <rPh sb="5" eb="6">
      <t>キリ</t>
    </rPh>
    <rPh sb="8" eb="9">
      <t>ザイ</t>
    </rPh>
    <rPh sb="10" eb="12">
      <t>セッテイ</t>
    </rPh>
    <phoneticPr fontId="3"/>
  </si>
  <si>
    <t>上段</t>
    <rPh sb="0" eb="2">
      <t>ウエダン</t>
    </rPh>
    <phoneticPr fontId="3"/>
  </si>
  <si>
    <t>水平間隔</t>
    <rPh sb="0" eb="2">
      <t>スイヘイ</t>
    </rPh>
    <rPh sb="2" eb="4">
      <t>カンカク</t>
    </rPh>
    <phoneticPr fontId="3"/>
  </si>
  <si>
    <t>ｍ</t>
    <phoneticPr fontId="3"/>
  </si>
  <si>
    <t>ただし、5m以下（H11道仮p122）</t>
    <rPh sb="6" eb="8">
      <t>イカ</t>
    </rPh>
    <rPh sb="12" eb="13">
      <t>ミチ</t>
    </rPh>
    <rPh sb="13" eb="14">
      <t>カリ</t>
    </rPh>
    <phoneticPr fontId="3"/>
  </si>
  <si>
    <t>長さ</t>
    <rPh sb="0" eb="1">
      <t>ナガ</t>
    </rPh>
    <phoneticPr fontId="3"/>
  </si>
  <si>
    <t>L</t>
    <phoneticPr fontId="3"/>
  </si>
  <si>
    <t>H-300を最小部材（H11道仮p122）</t>
    <rPh sb="6" eb="8">
      <t>サイショウ</t>
    </rPh>
    <rPh sb="8" eb="10">
      <t>ブザイ</t>
    </rPh>
    <rPh sb="14" eb="15">
      <t>ミチ</t>
    </rPh>
    <rPh sb="15" eb="16">
      <t>カリ</t>
    </rPh>
    <phoneticPr fontId="3"/>
  </si>
  <si>
    <t>厚1（ウェブ厚）</t>
    <rPh sb="0" eb="1">
      <t>アツ</t>
    </rPh>
    <rPh sb="6" eb="7">
      <t>アツ</t>
    </rPh>
    <phoneticPr fontId="3"/>
  </si>
  <si>
    <t>厚2（フランジ厚）</t>
    <rPh sb="0" eb="1">
      <t>アツ</t>
    </rPh>
    <rPh sb="7" eb="8">
      <t>アツ</t>
    </rPh>
    <phoneticPr fontId="3"/>
  </si>
  <si>
    <r>
      <t>t</t>
    </r>
    <r>
      <rPr>
        <i/>
        <vertAlign val="subscript"/>
        <sz val="11"/>
        <color theme="1"/>
        <rFont val="Times New Roman"/>
        <family val="1"/>
      </rPr>
      <t>2</t>
    </r>
    <r>
      <rPr>
        <sz val="11"/>
        <color theme="1"/>
        <rFont val="游ゴシック"/>
        <family val="2"/>
        <charset val="128"/>
        <scheme val="minor"/>
      </rPr>
      <t/>
    </r>
  </si>
  <si>
    <t>1-6. 火打ちの設定</t>
    <rPh sb="5" eb="7">
      <t>ヒウ</t>
    </rPh>
    <rPh sb="9" eb="11">
      <t>セッテイ</t>
    </rPh>
    <phoneticPr fontId="3"/>
  </si>
  <si>
    <t>腹起し方向の幅</t>
    <rPh sb="0" eb="2">
      <t>ハラオコ</t>
    </rPh>
    <rPh sb="3" eb="5">
      <t>ホウコウ</t>
    </rPh>
    <rPh sb="6" eb="7">
      <t>ハバ</t>
    </rPh>
    <phoneticPr fontId="3"/>
  </si>
  <si>
    <t>ℓ₂</t>
    <phoneticPr fontId="3"/>
  </si>
  <si>
    <t>角度</t>
    <rPh sb="0" eb="2">
      <t>カクド</t>
    </rPh>
    <phoneticPr fontId="3"/>
  </si>
  <si>
    <t>θ</t>
    <phoneticPr fontId="3"/>
  </si>
  <si>
    <t>度</t>
    <rPh sb="0" eb="1">
      <t>ド</t>
    </rPh>
    <phoneticPr fontId="3"/>
  </si>
  <si>
    <t>1段目</t>
    <rPh sb="1" eb="3">
      <t>ダンメ</t>
    </rPh>
    <phoneticPr fontId="3"/>
  </si>
  <si>
    <t>2段目</t>
    <rPh sb="1" eb="3">
      <t>ダンメ</t>
    </rPh>
    <phoneticPr fontId="3"/>
  </si>
  <si>
    <t>2.根入れ長の計算（親杭の長さの決定）</t>
    <rPh sb="2" eb="4">
      <t>ネイ</t>
    </rPh>
    <rPh sb="5" eb="6">
      <t>チョウ</t>
    </rPh>
    <rPh sb="7" eb="9">
      <t>ケイサン</t>
    </rPh>
    <rPh sb="10" eb="12">
      <t>オヤクイ</t>
    </rPh>
    <rPh sb="13" eb="14">
      <t>チョウ</t>
    </rPh>
    <rPh sb="16" eb="18">
      <t>ケッテイ</t>
    </rPh>
    <phoneticPr fontId="3"/>
  </si>
  <si>
    <t>2-1. 根入れ部の土圧および水圧に対する安定から必要となる根入れ長</t>
    <rPh sb="5" eb="7">
      <t>ネイ</t>
    </rPh>
    <rPh sb="8" eb="9">
      <t>ブ</t>
    </rPh>
    <rPh sb="10" eb="12">
      <t>ドアツ</t>
    </rPh>
    <rPh sb="15" eb="17">
      <t>スイアツ</t>
    </rPh>
    <rPh sb="18" eb="19">
      <t>タイ</t>
    </rPh>
    <rPh sb="21" eb="23">
      <t>アンテイ</t>
    </rPh>
    <rPh sb="25" eb="27">
      <t>ヒツヨウ</t>
    </rPh>
    <rPh sb="30" eb="32">
      <t>ネイ</t>
    </rPh>
    <rPh sb="33" eb="34">
      <t>ナガ</t>
    </rPh>
    <phoneticPr fontId="3"/>
  </si>
  <si>
    <t>H11道仮p87</t>
    <phoneticPr fontId="3"/>
  </si>
  <si>
    <t>根入れ長は、掘削完了時および最下段切ばり設置直前の両者において、それぞれつり合い深さの</t>
    <rPh sb="0" eb="2">
      <t>ネイ</t>
    </rPh>
    <rPh sb="3" eb="4">
      <t>チョウ</t>
    </rPh>
    <rPh sb="6" eb="8">
      <t>クッサク</t>
    </rPh>
    <rPh sb="8" eb="11">
      <t>カンリョウジ</t>
    </rPh>
    <rPh sb="14" eb="17">
      <t>サイゲダン</t>
    </rPh>
    <rPh sb="17" eb="18">
      <t>キリ</t>
    </rPh>
    <rPh sb="20" eb="22">
      <t>セッチ</t>
    </rPh>
    <rPh sb="22" eb="24">
      <t>チョクゼン</t>
    </rPh>
    <rPh sb="25" eb="27">
      <t>リョウシャ</t>
    </rPh>
    <rPh sb="38" eb="39">
      <t>ア</t>
    </rPh>
    <rPh sb="40" eb="41">
      <t>フカ</t>
    </rPh>
    <phoneticPr fontId="3"/>
  </si>
  <si>
    <t>倍とする。</t>
    <phoneticPr fontId="3"/>
  </si>
  <si>
    <t>つり合い深さ</t>
    <rPh sb="2" eb="3">
      <t>ア</t>
    </rPh>
    <rPh sb="4" eb="5">
      <t>フカ</t>
    </rPh>
    <phoneticPr fontId="3"/>
  </si>
  <si>
    <r>
      <t>ℓ</t>
    </r>
    <r>
      <rPr>
        <vertAlign val="subscript"/>
        <sz val="11"/>
        <color theme="1"/>
        <rFont val="游ゴシック"/>
        <family val="3"/>
        <charset val="128"/>
        <scheme val="minor"/>
      </rPr>
      <t>0</t>
    </r>
    <phoneticPr fontId="3"/>
  </si>
  <si>
    <t>は、極限平衡法を用いて計算する。</t>
    <phoneticPr fontId="3"/>
  </si>
  <si>
    <t>2-1-1. 最下段切ばり設置直前</t>
    <rPh sb="7" eb="10">
      <t>サイゲダン</t>
    </rPh>
    <rPh sb="10" eb="11">
      <t>キリ</t>
    </rPh>
    <rPh sb="13" eb="15">
      <t>セッチ</t>
    </rPh>
    <rPh sb="15" eb="17">
      <t>チョクゼン</t>
    </rPh>
    <phoneticPr fontId="3"/>
  </si>
  <si>
    <t>最下段設置時の余掘り量は「1m」とする。（H11道仮p.65）</t>
    <rPh sb="0" eb="3">
      <t>サイゲダン</t>
    </rPh>
    <rPh sb="3" eb="5">
      <t>セッチ</t>
    </rPh>
    <rPh sb="5" eb="6">
      <t>ジ</t>
    </rPh>
    <rPh sb="7" eb="8">
      <t>アマリ</t>
    </rPh>
    <rPh sb="8" eb="9">
      <t>ボ</t>
    </rPh>
    <rPh sb="10" eb="11">
      <t>リョウ</t>
    </rPh>
    <rPh sb="24" eb="25">
      <t>ミチ</t>
    </rPh>
    <rPh sb="25" eb="26">
      <t>カリ</t>
    </rPh>
    <phoneticPr fontId="3"/>
  </si>
  <si>
    <t>よって、最下段（２段目）切ばり設置直前の掘削深さは、GL=</t>
    <rPh sb="4" eb="7">
      <t>サイゲダン</t>
    </rPh>
    <rPh sb="9" eb="11">
      <t>ダンメ</t>
    </rPh>
    <rPh sb="12" eb="13">
      <t>キリ</t>
    </rPh>
    <rPh sb="15" eb="17">
      <t>セッチ</t>
    </rPh>
    <rPh sb="17" eb="19">
      <t>チョクゼン</t>
    </rPh>
    <rPh sb="20" eb="22">
      <t>クッサク</t>
    </rPh>
    <rPh sb="22" eb="23">
      <t>フカ</t>
    </rPh>
    <phoneticPr fontId="3"/>
  </si>
  <si>
    <t>となる。</t>
    <phoneticPr fontId="3"/>
  </si>
  <si>
    <t>(1) 主働土圧</t>
    <rPh sb="4" eb="6">
      <t>シュドウ</t>
    </rPh>
    <rPh sb="6" eb="8">
      <t>ドアツ</t>
    </rPh>
    <phoneticPr fontId="3"/>
  </si>
  <si>
    <t>H11道仮p35, 88</t>
    <phoneticPr fontId="3"/>
  </si>
  <si>
    <t>層厚</t>
    <rPh sb="0" eb="1">
      <t>ソウ</t>
    </rPh>
    <rPh sb="1" eb="2">
      <t>アツ</t>
    </rPh>
    <phoneticPr fontId="3"/>
  </si>
  <si>
    <t>主働土圧係数</t>
    <rPh sb="0" eb="2">
      <t>シュドウ</t>
    </rPh>
    <rPh sb="2" eb="4">
      <t>ドアツ</t>
    </rPh>
    <rPh sb="4" eb="6">
      <t>ケイスウ</t>
    </rPh>
    <phoneticPr fontId="3"/>
  </si>
  <si>
    <r>
      <t>K</t>
    </r>
    <r>
      <rPr>
        <i/>
        <vertAlign val="subscript"/>
        <sz val="11"/>
        <color theme="1"/>
        <rFont val="Times New Roman"/>
        <family val="1"/>
      </rPr>
      <t>a</t>
    </r>
    <r>
      <rPr>
        <sz val="11"/>
        <color theme="1"/>
        <rFont val="游ゴシック"/>
        <family val="3"/>
        <charset val="128"/>
        <scheme val="minor"/>
      </rPr>
      <t>(γ</t>
    </r>
    <r>
      <rPr>
        <i/>
        <sz val="11"/>
        <color theme="1"/>
        <rFont val="Times New Roman"/>
        <family val="1"/>
      </rPr>
      <t>h+q</t>
    </r>
    <r>
      <rPr>
        <sz val="11"/>
        <color theme="1"/>
        <rFont val="游ゴシック"/>
        <family val="3"/>
        <charset val="128"/>
        <scheme val="minor"/>
      </rPr>
      <t>)</t>
    </r>
    <phoneticPr fontId="3"/>
  </si>
  <si>
    <t>最小土圧</t>
    <rPh sb="0" eb="2">
      <t>サイショウ</t>
    </rPh>
    <rPh sb="2" eb="4">
      <t>ドアツ</t>
    </rPh>
    <phoneticPr fontId="3"/>
  </si>
  <si>
    <t>主働土圧</t>
    <rPh sb="0" eb="2">
      <t>シュドウ</t>
    </rPh>
    <rPh sb="2" eb="4">
      <t>ドアツ</t>
    </rPh>
    <phoneticPr fontId="3"/>
  </si>
  <si>
    <r>
      <t>K</t>
    </r>
    <r>
      <rPr>
        <vertAlign val="subscript"/>
        <sz val="11"/>
        <color theme="1"/>
        <rFont val="游ゴシック"/>
        <family val="3"/>
        <charset val="128"/>
        <scheme val="minor"/>
      </rPr>
      <t>a</t>
    </r>
    <phoneticPr fontId="3"/>
  </si>
  <si>
    <r>
      <rPr>
        <sz val="11"/>
        <color theme="1"/>
        <rFont val="游ゴシック"/>
        <family val="3"/>
        <charset val="128"/>
        <scheme val="minor"/>
      </rPr>
      <t>Σγ</t>
    </r>
    <r>
      <rPr>
        <i/>
        <sz val="11"/>
        <color theme="1"/>
        <rFont val="Times New Roman"/>
        <family val="1"/>
      </rPr>
      <t>h+q</t>
    </r>
    <phoneticPr fontId="3"/>
  </si>
  <si>
    <r>
      <t>2C√K</t>
    </r>
    <r>
      <rPr>
        <vertAlign val="subscript"/>
        <sz val="11"/>
        <color theme="1"/>
        <rFont val="游ゴシック"/>
        <family val="3"/>
        <charset val="128"/>
        <scheme val="minor"/>
      </rPr>
      <t>a</t>
    </r>
    <phoneticPr fontId="3"/>
  </si>
  <si>
    <r>
      <t>-2c√K</t>
    </r>
    <r>
      <rPr>
        <vertAlign val="subscript"/>
        <sz val="11"/>
        <color theme="1"/>
        <rFont val="游ゴシック"/>
        <family val="3"/>
        <charset val="128"/>
        <scheme val="minor"/>
      </rPr>
      <t>a</t>
    </r>
    <phoneticPr fontId="3"/>
  </si>
  <si>
    <r>
      <t>0.3</t>
    </r>
    <r>
      <rPr>
        <sz val="11"/>
        <color theme="1"/>
        <rFont val="游ゴシック"/>
        <family val="3"/>
        <charset val="128"/>
        <scheme val="minor"/>
      </rPr>
      <t>γ</t>
    </r>
    <r>
      <rPr>
        <i/>
        <sz val="11"/>
        <color theme="1"/>
        <rFont val="Times New Roman"/>
        <family val="1"/>
      </rPr>
      <t>h</t>
    </r>
    <phoneticPr fontId="3"/>
  </si>
  <si>
    <r>
      <t>p</t>
    </r>
    <r>
      <rPr>
        <i/>
        <vertAlign val="subscript"/>
        <sz val="11"/>
        <color theme="1"/>
        <rFont val="Times New Roman"/>
        <family val="1"/>
      </rPr>
      <t>a</t>
    </r>
    <phoneticPr fontId="3"/>
  </si>
  <si>
    <t>上面</t>
    <rPh sb="0" eb="2">
      <t>ウエメン</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</si>
  <si>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3"/>
  </si>
  <si>
    <t>下面</t>
    <rPh sb="0" eb="2">
      <t>シタメン</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</si>
  <si>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3"/>
  </si>
  <si>
    <t>2-1層</t>
    <rPh sb="3" eb="4">
      <t>ソウ</t>
    </rPh>
    <phoneticPr fontId="3"/>
  </si>
  <si>
    <r>
      <rPr>
        <i/>
        <sz val="11"/>
        <color theme="1"/>
        <rFont val="Times New Roman"/>
        <family val="1"/>
      </rPr>
      <t>p</t>
    </r>
    <r>
      <rPr>
        <i/>
        <vertAlign val="subscript"/>
        <sz val="11"/>
        <color theme="1"/>
        <rFont val="Times New Roman"/>
        <family val="1"/>
      </rPr>
      <t>a2-1</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</si>
  <si>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a2-1</t>
    </r>
    <r>
      <rPr>
        <i/>
        <vertAlign val="subscript"/>
        <sz val="11"/>
        <color theme="1"/>
        <rFont val="ＭＳ Ｐ明朝"/>
        <family val="1"/>
        <charset val="128"/>
      </rPr>
      <t>下</t>
    </r>
    <r>
      <rPr>
        <sz val="11"/>
        <color theme="1"/>
        <rFont val="Times New Roman"/>
        <family val="1"/>
      </rPr>
      <t>=</t>
    </r>
    <rPh sb="5" eb="6">
      <t>シタ</t>
    </rPh>
    <phoneticPr fontId="3"/>
  </si>
  <si>
    <t>2-2層</t>
    <rPh sb="3" eb="4">
      <t>ソウ</t>
    </rPh>
    <phoneticPr fontId="3"/>
  </si>
  <si>
    <r>
      <rPr>
        <i/>
        <sz val="11"/>
        <color theme="1"/>
        <rFont val="Times New Roman"/>
        <family val="1"/>
      </rPr>
      <t>p</t>
    </r>
    <r>
      <rPr>
        <i/>
        <vertAlign val="subscript"/>
        <sz val="11"/>
        <color theme="1"/>
        <rFont val="Times New Roman"/>
        <family val="1"/>
      </rPr>
      <t>a2-2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</si>
  <si>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a2-2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</si>
  <si>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</si>
  <si>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3"/>
  </si>
  <si>
    <t>作用幅</t>
    <rPh sb="0" eb="2">
      <t>サヨウ</t>
    </rPh>
    <rPh sb="2" eb="3">
      <t>ハバ</t>
    </rPh>
    <phoneticPr fontId="3"/>
  </si>
  <si>
    <t>土圧強度</t>
    <rPh sb="0" eb="2">
      <t>ドアツ</t>
    </rPh>
    <rPh sb="2" eb="4">
      <t>キョウド</t>
    </rPh>
    <phoneticPr fontId="3"/>
  </si>
  <si>
    <t>b</t>
    <phoneticPr fontId="3"/>
  </si>
  <si>
    <r>
      <t>P</t>
    </r>
    <r>
      <rPr>
        <i/>
        <vertAlign val="subscript"/>
        <sz val="11"/>
        <color theme="1"/>
        <rFont val="Times New Roman"/>
        <family val="1"/>
      </rPr>
      <t>a</t>
    </r>
    <phoneticPr fontId="3"/>
  </si>
  <si>
    <t>(kN/m)</t>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</si>
  <si>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</si>
  <si>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</si>
  <si>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a2-1</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</si>
  <si>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a2-1</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</si>
  <si>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a2-2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</si>
  <si>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a2-2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</si>
  <si>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</si>
  <si>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3"/>
  </si>
  <si>
    <t>(2) 受働土圧</t>
    <rPh sb="4" eb="6">
      <t>ジュドウ</t>
    </rPh>
    <rPh sb="6" eb="8">
      <t>ドアツ</t>
    </rPh>
    <phoneticPr fontId="3"/>
  </si>
  <si>
    <t>H11道仮p35</t>
    <phoneticPr fontId="3"/>
  </si>
  <si>
    <t>受働土圧係数</t>
    <rPh sb="0" eb="2">
      <t>ジュドウ</t>
    </rPh>
    <rPh sb="2" eb="4">
      <t>ドアツ</t>
    </rPh>
    <rPh sb="4" eb="6">
      <t>ケイスウ</t>
    </rPh>
    <phoneticPr fontId="3"/>
  </si>
  <si>
    <r>
      <t>K</t>
    </r>
    <r>
      <rPr>
        <i/>
        <vertAlign val="subscript"/>
        <sz val="11"/>
        <color theme="1"/>
        <rFont val="Times New Roman"/>
        <family val="1"/>
      </rPr>
      <t>p</t>
    </r>
    <r>
      <rPr>
        <sz val="11"/>
        <color theme="1"/>
        <rFont val="游ゴシック"/>
        <family val="3"/>
        <charset val="128"/>
        <scheme val="minor"/>
      </rPr>
      <t>γ</t>
    </r>
    <r>
      <rPr>
        <i/>
        <sz val="11"/>
        <color theme="1"/>
        <rFont val="Times New Roman"/>
        <family val="1"/>
      </rPr>
      <t>h'+</t>
    </r>
    <phoneticPr fontId="3"/>
  </si>
  <si>
    <t>受働土圧</t>
    <rPh sb="0" eb="2">
      <t>ジュドウ</t>
    </rPh>
    <rPh sb="2" eb="4">
      <t>ドアツ</t>
    </rPh>
    <phoneticPr fontId="3"/>
  </si>
  <si>
    <t>h'</t>
    <phoneticPr fontId="3"/>
  </si>
  <si>
    <r>
      <t>K</t>
    </r>
    <r>
      <rPr>
        <vertAlign val="subscript"/>
        <sz val="11"/>
        <color theme="1"/>
        <rFont val="游ゴシック"/>
        <family val="3"/>
        <charset val="128"/>
        <scheme val="minor"/>
      </rPr>
      <t>p</t>
    </r>
    <phoneticPr fontId="3"/>
  </si>
  <si>
    <r>
      <rPr>
        <sz val="11"/>
        <color theme="1"/>
        <rFont val="游ゴシック"/>
        <family val="3"/>
        <charset val="128"/>
        <scheme val="minor"/>
      </rPr>
      <t>Σγ</t>
    </r>
    <r>
      <rPr>
        <i/>
        <sz val="11"/>
        <color theme="1"/>
        <rFont val="Times New Roman"/>
        <family val="1"/>
      </rPr>
      <t>h</t>
    </r>
    <r>
      <rPr>
        <i/>
        <sz val="11"/>
        <color theme="1"/>
        <rFont val="Times New Roman"/>
        <family val="3"/>
        <charset val="128"/>
      </rPr>
      <t>'</t>
    </r>
    <phoneticPr fontId="3"/>
  </si>
  <si>
    <t>2C√Kp</t>
  </si>
  <si>
    <r>
      <t>p</t>
    </r>
    <r>
      <rPr>
        <i/>
        <vertAlign val="subscript"/>
        <sz val="11"/>
        <color theme="1"/>
        <rFont val="Times New Roman"/>
        <family val="1"/>
      </rPr>
      <t>p</t>
    </r>
    <phoneticPr fontId="3"/>
  </si>
  <si>
    <r>
      <rPr>
        <i/>
        <sz val="11"/>
        <color theme="1"/>
        <rFont val="Times New Roman"/>
        <family val="1"/>
      </rPr>
      <t>p</t>
    </r>
    <r>
      <rPr>
        <i/>
        <vertAlign val="subscript"/>
        <sz val="11"/>
        <color theme="1"/>
        <rFont val="Times New Roman"/>
        <family val="1"/>
      </rPr>
      <t>p2-2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</si>
  <si>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p2-2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</si>
  <si>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</si>
  <si>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下</t>
    </r>
    <r>
      <rPr>
        <sz val="11"/>
        <color theme="1"/>
        <rFont val="Times New Roman"/>
        <family val="1"/>
      </rPr>
      <t>=</t>
    </r>
    <rPh sb="3" eb="4">
      <t>シタ</t>
    </rPh>
    <phoneticPr fontId="3"/>
  </si>
  <si>
    <t>下式</t>
    <rPh sb="0" eb="1">
      <t>シタ</t>
    </rPh>
    <rPh sb="1" eb="2">
      <t>シキ</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</si>
  <si>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</si>
  <si>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t>Kp・∑(γ</t>
    <phoneticPr fontId="3"/>
  </si>
  <si>
    <r>
      <t>h'</t>
    </r>
    <r>
      <rPr>
        <sz val="11"/>
        <color theme="1"/>
        <rFont val="Times New Roman"/>
        <family val="1"/>
      </rPr>
      <t>)</t>
    </r>
    <phoneticPr fontId="3"/>
  </si>
  <si>
    <t>+</t>
    <phoneticPr fontId="3"/>
  </si>
  <si>
    <r>
      <t>2C</t>
    </r>
    <r>
      <rPr>
        <i/>
        <sz val="11"/>
        <color theme="1"/>
        <rFont val="游ゴシック"/>
        <family val="2"/>
      </rPr>
      <t>√</t>
    </r>
    <r>
      <rPr>
        <i/>
        <sz val="11"/>
        <color theme="1"/>
        <rFont val="Times New Roman"/>
        <family val="1"/>
      </rPr>
      <t>Kp</t>
    </r>
    <phoneticPr fontId="3"/>
  </si>
  <si>
    <t>×</t>
    <phoneticPr fontId="3"/>
  </si>
  <si>
    <t>(</t>
    <phoneticPr fontId="3"/>
  </si>
  <si>
    <t>ℓ₀</t>
    <phoneticPr fontId="3"/>
  </si>
  <si>
    <t>)</t>
    <phoneticPr fontId="3"/>
  </si>
  <si>
    <r>
      <t>ℓ</t>
    </r>
    <r>
      <rPr>
        <vertAlign val="subscript"/>
        <sz val="11"/>
        <color theme="1"/>
        <rFont val="游ゴシック"/>
        <family val="3"/>
        <charset val="128"/>
        <scheme val="minor"/>
      </rPr>
      <t>0</t>
    </r>
    <r>
      <rPr>
        <sz val="11"/>
        <color theme="1"/>
        <rFont val="游ゴシック"/>
        <family val="2"/>
        <scheme val="minor"/>
      </rPr>
      <t>+</t>
    </r>
    <phoneticPr fontId="3"/>
  </si>
  <si>
    <r>
      <t>P</t>
    </r>
    <r>
      <rPr>
        <i/>
        <vertAlign val="subscript"/>
        <sz val="11"/>
        <color theme="1"/>
        <rFont val="Times New Roman"/>
        <family val="1"/>
      </rPr>
      <t>p</t>
    </r>
    <phoneticPr fontId="3"/>
  </si>
  <si>
    <r>
      <rPr>
        <i/>
        <sz val="11"/>
        <color theme="1"/>
        <rFont val="Times New Roman"/>
        <family val="1"/>
      </rPr>
      <t>P</t>
    </r>
    <r>
      <rPr>
        <i/>
        <vertAlign val="subscript"/>
        <sz val="11"/>
        <color theme="1"/>
        <rFont val="Times New Roman"/>
        <family val="1"/>
      </rPr>
      <t>p2-2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</si>
  <si>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p2-2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</si>
  <si>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上</t>
    </r>
    <r>
      <rPr>
        <sz val="11"/>
        <color theme="1"/>
        <rFont val="Times New Roman"/>
        <family val="1"/>
      </rPr>
      <t>=</t>
    </r>
    <rPh sb="3" eb="4">
      <t>ウエ</t>
    </rPh>
    <phoneticPr fontId="3"/>
  </si>
  <si>
    <t>上式</t>
    <rPh sb="0" eb="2">
      <t>ウエシキ</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</si>
  <si>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下</t>
    </r>
    <r>
      <rPr>
        <sz val="11"/>
        <color theme="1"/>
        <rFont val="Times New Roman"/>
        <family val="1"/>
      </rPr>
      <t>=</t>
    </r>
    <rPh sb="3" eb="4">
      <t>シタ</t>
    </rPh>
    <phoneticPr fontId="3"/>
  </si>
  <si>
    <t>下式</t>
    <rPh sb="0" eb="2">
      <t>シタシキ</t>
    </rPh>
    <phoneticPr fontId="3"/>
  </si>
  <si>
    <r>
      <rPr>
        <i/>
        <sz val="11"/>
        <color theme="1"/>
        <rFont val="Times New Roman"/>
        <family val="1"/>
      </rPr>
      <t>P</t>
    </r>
    <r>
      <rPr>
        <i/>
        <vertAlign val="subscript"/>
        <sz val="11"/>
        <color theme="1"/>
        <rFont val="Times New Roman"/>
        <family val="1"/>
      </rPr>
      <t>p3</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</si>
  <si>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r>
      <t>p</t>
    </r>
    <r>
      <rPr>
        <i/>
        <vertAlign val="subscript"/>
        <sz val="11"/>
        <color theme="1"/>
        <rFont val="Times New Roman"/>
        <family val="1"/>
      </rPr>
      <t>p3</t>
    </r>
    <r>
      <rPr>
        <i/>
        <vertAlign val="subscript"/>
        <sz val="11"/>
        <color theme="1"/>
        <rFont val="ＭＳ Ｐ明朝"/>
        <family val="1"/>
        <charset val="128"/>
      </rPr>
      <t>下</t>
    </r>
    <rPh sb="3" eb="4">
      <t>シタ</t>
    </rPh>
    <phoneticPr fontId="3"/>
  </si>
  <si>
    <t>(3) 切ばり位置からのモーメントのつり合い深さ</t>
    <rPh sb="4" eb="5">
      <t>キリ</t>
    </rPh>
    <rPh sb="7" eb="9">
      <t>イチ</t>
    </rPh>
    <rPh sb="20" eb="21">
      <t>ア</t>
    </rPh>
    <rPh sb="22" eb="23">
      <t>フカ</t>
    </rPh>
    <phoneticPr fontId="3"/>
  </si>
  <si>
    <t>計算式</t>
    <rPh sb="0" eb="2">
      <t>ケイサン</t>
    </rPh>
    <rPh sb="2" eb="3">
      <t>シキ</t>
    </rPh>
    <phoneticPr fontId="3"/>
  </si>
  <si>
    <t>主働側の側圧</t>
    <rPh sb="0" eb="3">
      <t>シュドウガワ</t>
    </rPh>
    <rPh sb="4" eb="6">
      <t>ソクアツ</t>
    </rPh>
    <phoneticPr fontId="3"/>
  </si>
  <si>
    <t>底辺×高さ/2</t>
    <rPh sb="0" eb="2">
      <t>テイヘン</t>
    </rPh>
    <rPh sb="3" eb="4">
      <t>タカ</t>
    </rPh>
    <phoneticPr fontId="3"/>
  </si>
  <si>
    <t>P</t>
    <phoneticPr fontId="3"/>
  </si>
  <si>
    <t>(kN)</t>
    <phoneticPr fontId="3"/>
  </si>
  <si>
    <t>①</t>
    <phoneticPr fontId="3"/>
  </si>
  <si>
    <t>/</t>
    <phoneticPr fontId="3"/>
  </si>
  <si>
    <t>②</t>
    <phoneticPr fontId="3"/>
  </si>
  <si>
    <t>③</t>
    <phoneticPr fontId="3"/>
  </si>
  <si>
    <t>④</t>
    <phoneticPr fontId="3"/>
  </si>
  <si>
    <t>受働側の側圧</t>
    <rPh sb="0" eb="2">
      <t>ジュドウ</t>
    </rPh>
    <rPh sb="2" eb="3">
      <t>ガワ</t>
    </rPh>
    <rPh sb="4" eb="6">
      <t>ソクアツ</t>
    </rPh>
    <phoneticPr fontId="3"/>
  </si>
  <si>
    <t>⑤</t>
    <phoneticPr fontId="3"/>
  </si>
  <si>
    <t>⑥</t>
    <phoneticPr fontId="3"/>
  </si>
  <si>
    <t>⑦</t>
    <phoneticPr fontId="3"/>
  </si>
  <si>
    <t>)×</t>
    <phoneticPr fontId="3"/>
  </si>
  <si>
    <r>
      <t>ℓ</t>
    </r>
    <r>
      <rPr>
        <vertAlign val="subscript"/>
        <sz val="11"/>
        <color theme="1"/>
        <rFont val="游ゴシック"/>
        <family val="3"/>
        <charset val="128"/>
        <scheme val="minor"/>
      </rPr>
      <t>0</t>
    </r>
    <r>
      <rPr>
        <sz val="11"/>
        <color theme="1"/>
        <rFont val="游ゴシック"/>
        <family val="3"/>
        <charset val="128"/>
        <scheme val="minor"/>
      </rPr>
      <t>²</t>
    </r>
    <phoneticPr fontId="3"/>
  </si>
  <si>
    <t>∑Pp =</t>
    <phoneticPr fontId="3"/>
  </si>
  <si>
    <t>アーム長</t>
    <rPh sb="3" eb="4">
      <t>チョウ</t>
    </rPh>
    <phoneticPr fontId="3"/>
  </si>
  <si>
    <t>切ばり位置から三角形重心の鉛直距離</t>
    <rPh sb="0" eb="1">
      <t>キリ</t>
    </rPh>
    <rPh sb="3" eb="5">
      <t>イチ</t>
    </rPh>
    <rPh sb="7" eb="10">
      <t>サンカクケイ</t>
    </rPh>
    <rPh sb="10" eb="12">
      <t>ジュウシン</t>
    </rPh>
    <rPh sb="13" eb="15">
      <t>エンチョク</t>
    </rPh>
    <rPh sb="15" eb="17">
      <t>キョリ</t>
    </rPh>
    <phoneticPr fontId="3"/>
  </si>
  <si>
    <t>y</t>
    <phoneticPr fontId="3"/>
  </si>
  <si>
    <t>主働側による作用モーメント</t>
    <rPh sb="0" eb="2">
      <t>シュドウ</t>
    </rPh>
    <rPh sb="2" eb="3">
      <t>ガワ</t>
    </rPh>
    <rPh sb="6" eb="8">
      <t>サヨウ</t>
    </rPh>
    <phoneticPr fontId="3"/>
  </si>
  <si>
    <r>
      <t>M</t>
    </r>
    <r>
      <rPr>
        <i/>
        <vertAlign val="subscript"/>
        <sz val="11"/>
        <color theme="1"/>
        <rFont val="Times New Roman"/>
        <family val="1"/>
      </rPr>
      <t>a</t>
    </r>
    <phoneticPr fontId="3"/>
  </si>
  <si>
    <t>(kN・m)</t>
    <phoneticPr fontId="3"/>
  </si>
  <si>
    <t>∑Ma =</t>
    <phoneticPr fontId="3"/>
  </si>
  <si>
    <t>受働側の抵抗モーメント</t>
    <rPh sb="0" eb="2">
      <t>ジュドウ</t>
    </rPh>
    <rPh sb="2" eb="3">
      <t>ガワ</t>
    </rPh>
    <rPh sb="4" eb="6">
      <t>テイコウ</t>
    </rPh>
    <phoneticPr fontId="3"/>
  </si>
  <si>
    <r>
      <t>M</t>
    </r>
    <r>
      <rPr>
        <i/>
        <vertAlign val="subscript"/>
        <sz val="11"/>
        <color theme="1"/>
        <rFont val="Times New Roman"/>
        <family val="1"/>
      </rPr>
      <t>p</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</si>
  <si>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2</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</si>
  <si>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3</t>
    </r>
    <phoneticPr fontId="3"/>
  </si>
  <si>
    <t>∑Mp =</t>
    <phoneticPr fontId="3"/>
  </si>
  <si>
    <t>∑Ma=∑Mp</t>
    <phoneticPr fontId="3"/>
  </si>
  <si>
    <t>変形すると、</t>
    <rPh sb="0" eb="2">
      <t>ヘンケイ</t>
    </rPh>
    <phoneticPr fontId="3"/>
  </si>
  <si>
    <t>∑Mp-∑Ma=0</t>
    <phoneticPr fontId="3"/>
  </si>
  <si>
    <t>よって、</t>
    <phoneticPr fontId="3"/>
  </si>
  <si>
    <t>Cardanoの公式による3次方程式の解を求める。</t>
    <rPh sb="21" eb="22">
      <t>モト</t>
    </rPh>
    <phoneticPr fontId="3"/>
  </si>
  <si>
    <t>t</t>
    <phoneticPr fontId="3"/>
  </si>
  <si>
    <t>係数</t>
    <rPh sb="0" eb="2">
      <t>ケイスウ</t>
    </rPh>
    <phoneticPr fontId="3"/>
  </si>
  <si>
    <t>R</t>
    <phoneticPr fontId="3"/>
  </si>
  <si>
    <t>実数部</t>
    <rPh sb="0" eb="2">
      <t>ジッスウ</t>
    </rPh>
    <rPh sb="2" eb="3">
      <t>ブ</t>
    </rPh>
    <phoneticPr fontId="3"/>
  </si>
  <si>
    <t>虚数部</t>
    <rPh sb="0" eb="2">
      <t>キョスウ</t>
    </rPh>
    <rPh sb="2" eb="3">
      <t>ブ</t>
    </rPh>
    <phoneticPr fontId="3"/>
  </si>
  <si>
    <t>極座標表示</t>
    <rPh sb="0" eb="1">
      <t>キョク</t>
    </rPh>
    <rPh sb="1" eb="3">
      <t>ザヒョウ</t>
    </rPh>
    <rPh sb="3" eb="5">
      <t>ヒョウジ</t>
    </rPh>
    <phoneticPr fontId="3"/>
  </si>
  <si>
    <t>u</t>
    <phoneticPr fontId="3"/>
  </si>
  <si>
    <t>i</t>
    <phoneticPr fontId="3"/>
  </si>
  <si>
    <t>r</t>
    <phoneticPr fontId="3"/>
  </si>
  <si>
    <t>v</t>
    <phoneticPr fontId="3"/>
  </si>
  <si>
    <t>3乗根</t>
    <rPh sb="1" eb="2">
      <t>ジョウ</t>
    </rPh>
    <rPh sb="2" eb="3">
      <t>ネ</t>
    </rPh>
    <phoneticPr fontId="3"/>
  </si>
  <si>
    <t>実数部</t>
    <rPh sb="0" eb="3">
      <t>ジッスウブ</t>
    </rPh>
    <phoneticPr fontId="3"/>
  </si>
  <si>
    <t>p</t>
    <phoneticPr fontId="3"/>
  </si>
  <si>
    <t>wp</t>
    <phoneticPr fontId="3"/>
  </si>
  <si>
    <t>w^2q</t>
    <phoneticPr fontId="3"/>
  </si>
  <si>
    <t>w^2p</t>
    <phoneticPr fontId="3"/>
  </si>
  <si>
    <t>wq</t>
    <phoneticPr fontId="3"/>
  </si>
  <si>
    <t>x1</t>
    <phoneticPr fontId="3"/>
  </si>
  <si>
    <t>x2</t>
    <phoneticPr fontId="3"/>
  </si>
  <si>
    <t>x3</t>
    <phoneticPr fontId="3"/>
  </si>
  <si>
    <t>以上より、モーメントのつり合い深さ</t>
    <rPh sb="0" eb="2">
      <t>イジョウ</t>
    </rPh>
    <rPh sb="13" eb="14">
      <t>ア</t>
    </rPh>
    <rPh sb="15" eb="16">
      <t>フカ</t>
    </rPh>
    <phoneticPr fontId="3"/>
  </si>
  <si>
    <r>
      <t>ℓ</t>
    </r>
    <r>
      <rPr>
        <vertAlign val="subscript"/>
        <sz val="11"/>
        <rFont val="游ゴシック"/>
        <family val="3"/>
        <charset val="128"/>
        <scheme val="minor"/>
      </rPr>
      <t>0</t>
    </r>
    <r>
      <rPr>
        <sz val="11"/>
        <rFont val="游ゴシック"/>
        <family val="2"/>
        <scheme val="minor"/>
      </rPr>
      <t>＝</t>
    </r>
    <phoneticPr fontId="3"/>
  </si>
  <si>
    <t>(5) 根入れ長</t>
    <rPh sb="4" eb="6">
      <t>ネイ</t>
    </rPh>
    <rPh sb="7" eb="8">
      <t>チョウ</t>
    </rPh>
    <phoneticPr fontId="3"/>
  </si>
  <si>
    <r>
      <t>根入れ長は、ℓ</t>
    </r>
    <r>
      <rPr>
        <vertAlign val="subscript"/>
        <sz val="11"/>
        <color theme="1"/>
        <rFont val="游ゴシック"/>
        <family val="3"/>
        <charset val="128"/>
        <scheme val="minor"/>
      </rPr>
      <t>0</t>
    </r>
    <r>
      <rPr>
        <sz val="11"/>
        <color theme="1"/>
        <rFont val="游ゴシック"/>
        <family val="2"/>
        <scheme val="minor"/>
      </rPr>
      <t xml:space="preserve"> ＋</t>
    </r>
    <rPh sb="0" eb="2">
      <t>ネイ</t>
    </rPh>
    <rPh sb="3" eb="4">
      <t>チョウ</t>
    </rPh>
    <phoneticPr fontId="3"/>
  </si>
  <si>
    <t>の</t>
    <phoneticPr fontId="3"/>
  </si>
  <si>
    <t>倍とするため、</t>
    <rPh sb="0" eb="1">
      <t>バイ</t>
    </rPh>
    <phoneticPr fontId="3"/>
  </si>
  <si>
    <t>ℓ＝</t>
    <phoneticPr fontId="3"/>
  </si>
  <si>
    <t>参考までに、地表面からの距離は、「掘削深さ＋ℓ」なので、</t>
    <rPh sb="0" eb="2">
      <t>サンコウ</t>
    </rPh>
    <rPh sb="6" eb="9">
      <t>チヒョウメン</t>
    </rPh>
    <rPh sb="12" eb="14">
      <t>キョリ</t>
    </rPh>
    <rPh sb="17" eb="19">
      <t>クッサク</t>
    </rPh>
    <rPh sb="19" eb="20">
      <t>フカ</t>
    </rPh>
    <phoneticPr fontId="3"/>
  </si>
  <si>
    <t>2-1-2. 掘削完了時</t>
    <rPh sb="7" eb="9">
      <t>クッサク</t>
    </rPh>
    <rPh sb="9" eb="11">
      <t>カンリョウ</t>
    </rPh>
    <rPh sb="11" eb="12">
      <t>ジ</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</si>
  <si>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</si>
  <si>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</si>
  <si>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</si>
  <si>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3"/>
  </si>
  <si>
    <t>H11道仮p157</t>
    <phoneticPr fontId="3"/>
  </si>
  <si>
    <r>
      <rPr>
        <sz val="11"/>
        <color theme="1"/>
        <rFont val="游ゴシック"/>
        <family val="3"/>
        <charset val="128"/>
        <scheme val="minor"/>
      </rPr>
      <t>Σγ</t>
    </r>
    <r>
      <rPr>
        <i/>
        <sz val="11"/>
        <color theme="1"/>
        <rFont val="Times New Roman"/>
        <family val="1"/>
      </rPr>
      <t>h'</t>
    </r>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</si>
  <si>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</si>
  <si>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</si>
  <si>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p5</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</si>
  <si>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t>Kp・(∑γ・h')</t>
    <phoneticPr fontId="3"/>
  </si>
  <si>
    <t>+2c√Kp</t>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</si>
  <si>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</si>
  <si>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</si>
  <si>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</si>
  <si>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Ph sb="3" eb="4">
      <t>シタ</t>
    </rPh>
    <phoneticPr fontId="3"/>
  </si>
  <si>
    <r>
      <t>P</t>
    </r>
    <r>
      <rPr>
        <b/>
        <vertAlign val="subscript"/>
        <sz val="11"/>
        <color theme="1"/>
        <rFont val="Times New Roman"/>
        <family val="1"/>
      </rPr>
      <t>a</t>
    </r>
    <phoneticPr fontId="3"/>
  </si>
  <si>
    <r>
      <t>P</t>
    </r>
    <r>
      <rPr>
        <b/>
        <vertAlign val="subscript"/>
        <sz val="11"/>
        <color theme="1"/>
        <rFont val="Times New Roman"/>
        <family val="1"/>
      </rPr>
      <t>p</t>
    </r>
    <phoneticPr fontId="3"/>
  </si>
  <si>
    <r>
      <t>)×ℓ</t>
    </r>
    <r>
      <rPr>
        <vertAlign val="subscript"/>
        <sz val="11"/>
        <color theme="1"/>
        <rFont val="游ゴシック"/>
        <family val="3"/>
        <charset val="128"/>
        <scheme val="minor"/>
      </rPr>
      <t xml:space="preserve">0 </t>
    </r>
    <r>
      <rPr>
        <sz val="11"/>
        <color theme="1"/>
        <rFont val="游ゴシック"/>
        <family val="3"/>
        <charset val="128"/>
        <scheme val="minor"/>
      </rPr>
      <t>/</t>
    </r>
    <phoneticPr fontId="3"/>
  </si>
  <si>
    <r>
      <t>根入れ長は、ℓ</t>
    </r>
    <r>
      <rPr>
        <vertAlign val="subscript"/>
        <sz val="11"/>
        <color theme="1"/>
        <rFont val="游ゴシック"/>
        <family val="3"/>
        <charset val="128"/>
        <scheme val="minor"/>
      </rPr>
      <t>0</t>
    </r>
    <r>
      <rPr>
        <sz val="11"/>
        <color theme="1"/>
        <rFont val="游ゴシック"/>
        <family val="2"/>
        <scheme val="minor"/>
      </rPr>
      <t xml:space="preserve"> </t>
    </r>
    <rPh sb="0" eb="2">
      <t>ネイ</t>
    </rPh>
    <rPh sb="3" eb="4">
      <t>チョウ</t>
    </rPh>
    <phoneticPr fontId="3"/>
  </si>
  <si>
    <t>ℓ=</t>
    <phoneticPr fontId="3"/>
  </si>
  <si>
    <t>地表面からの距離は、「掘削深さ＋ℓ」なので、</t>
    <rPh sb="0" eb="3">
      <t>チヒョウメン</t>
    </rPh>
    <rPh sb="6" eb="8">
      <t>キョリ</t>
    </rPh>
    <rPh sb="11" eb="13">
      <t>クッサク</t>
    </rPh>
    <rPh sb="13" eb="14">
      <t>フカ</t>
    </rPh>
    <phoneticPr fontId="3"/>
  </si>
  <si>
    <t>2-1-3. 結果の比較</t>
    <rPh sb="7" eb="9">
      <t>ケッカ</t>
    </rPh>
    <rPh sb="10" eb="12">
      <t>ヒカク</t>
    </rPh>
    <phoneticPr fontId="3"/>
  </si>
  <si>
    <t>根入れ長</t>
    <rPh sb="0" eb="2">
      <t>ネイ</t>
    </rPh>
    <rPh sb="3" eb="4">
      <t>チョウ</t>
    </rPh>
    <phoneticPr fontId="3"/>
  </si>
  <si>
    <t>地表面からの距離</t>
    <phoneticPr fontId="3"/>
  </si>
  <si>
    <t>最下段切ばり設置直前</t>
    <phoneticPr fontId="3"/>
  </si>
  <si>
    <t>掘削完了時</t>
    <phoneticPr fontId="3"/>
  </si>
  <si>
    <t>以上より、土圧および水圧に対する安定から必要となる根入れ長は、</t>
    <rPh sb="0" eb="2">
      <t>イジョウ</t>
    </rPh>
    <phoneticPr fontId="3"/>
  </si>
  <si>
    <t>2-2. 土留め壁の許容鉛直支持力から定まる根入れ長</t>
    <rPh sb="5" eb="7">
      <t>ドド</t>
    </rPh>
    <rPh sb="8" eb="9">
      <t>ヘキ</t>
    </rPh>
    <rPh sb="10" eb="12">
      <t>キョヨウ</t>
    </rPh>
    <rPh sb="12" eb="14">
      <t>エンチョク</t>
    </rPh>
    <rPh sb="14" eb="17">
      <t>シジリョク</t>
    </rPh>
    <rPh sb="19" eb="20">
      <t>サダ</t>
    </rPh>
    <rPh sb="22" eb="24">
      <t>ネイ</t>
    </rPh>
    <rPh sb="25" eb="26">
      <t>チョウ</t>
    </rPh>
    <phoneticPr fontId="3"/>
  </si>
  <si>
    <t>路面覆工などからの鉛直荷重が作用しないので、検討を省略する。</t>
    <rPh sb="0" eb="2">
      <t>ロメン</t>
    </rPh>
    <rPh sb="2" eb="3">
      <t>オオ</t>
    </rPh>
    <rPh sb="3" eb="4">
      <t>コウ</t>
    </rPh>
    <rPh sb="9" eb="11">
      <t>エンチョク</t>
    </rPh>
    <rPh sb="11" eb="13">
      <t>カジュウ</t>
    </rPh>
    <rPh sb="14" eb="16">
      <t>サヨウ</t>
    </rPh>
    <rPh sb="22" eb="24">
      <t>ケントウ</t>
    </rPh>
    <rPh sb="25" eb="27">
      <t>ショウリャク</t>
    </rPh>
    <phoneticPr fontId="3"/>
  </si>
  <si>
    <t>2-3. 掘削底面の安定から定まる根入れ長</t>
    <rPh sb="5" eb="7">
      <t>クッサク</t>
    </rPh>
    <rPh sb="7" eb="9">
      <t>テイメン</t>
    </rPh>
    <rPh sb="10" eb="12">
      <t>アンテイ</t>
    </rPh>
    <rPh sb="14" eb="15">
      <t>サダ</t>
    </rPh>
    <rPh sb="17" eb="19">
      <t>ネイ</t>
    </rPh>
    <rPh sb="20" eb="21">
      <t>チョウ</t>
    </rPh>
    <phoneticPr fontId="3"/>
  </si>
  <si>
    <t>H11道仮p76</t>
    <phoneticPr fontId="3"/>
  </si>
  <si>
    <t>厚い粘性土地盤である場合、ヒービングについて検討する。</t>
    <rPh sb="0" eb="1">
      <t>アツ</t>
    </rPh>
    <phoneticPr fontId="3"/>
  </si>
  <si>
    <t>(1)ヒービングの検討</t>
    <rPh sb="9" eb="11">
      <t>ケントウ</t>
    </rPh>
    <phoneticPr fontId="3"/>
  </si>
  <si>
    <t>H11道仮p83,29</t>
    <phoneticPr fontId="3"/>
  </si>
  <si>
    <t>下式を満足できない場合は、ヒービングの検討を行う。</t>
    <phoneticPr fontId="3"/>
  </si>
  <si>
    <r>
      <t>N</t>
    </r>
    <r>
      <rPr>
        <i/>
        <vertAlign val="subscript"/>
        <sz val="11"/>
        <color theme="1"/>
        <rFont val="Times New Roman"/>
        <family val="1"/>
      </rPr>
      <t>b</t>
    </r>
    <phoneticPr fontId="3"/>
  </si>
  <si>
    <t>&lt;</t>
    <phoneticPr fontId="3"/>
  </si>
  <si>
    <t>ここに、</t>
    <phoneticPr fontId="3"/>
  </si>
  <si>
    <r>
      <rPr>
        <i/>
        <sz val="11"/>
        <color theme="1"/>
        <rFont val="Times New Roman"/>
        <family val="1"/>
      </rPr>
      <t>N</t>
    </r>
    <r>
      <rPr>
        <i/>
        <vertAlign val="subscript"/>
        <sz val="11"/>
        <color theme="1"/>
        <rFont val="Times New Roman"/>
        <family val="1"/>
      </rPr>
      <t>b</t>
    </r>
    <r>
      <rPr>
        <sz val="11"/>
        <color theme="1"/>
        <rFont val="游ゴシック"/>
        <family val="2"/>
        <scheme val="minor"/>
      </rPr>
      <t>：安定数</t>
    </r>
    <rPh sb="3" eb="5">
      <t>アンテイ</t>
    </rPh>
    <rPh sb="5" eb="6">
      <t>スウ</t>
    </rPh>
    <phoneticPr fontId="3"/>
  </si>
  <si>
    <r>
      <rPr>
        <sz val="11"/>
        <color theme="1"/>
        <rFont val="游ゴシック"/>
        <family val="3"/>
        <charset val="128"/>
        <scheme val="minor"/>
      </rPr>
      <t>γ：土の湿潤単位体積重量（kN/m</t>
    </r>
    <r>
      <rPr>
        <vertAlign val="superscript"/>
        <sz val="11"/>
        <color theme="1"/>
        <rFont val="游ゴシック"/>
        <family val="3"/>
        <charset val="128"/>
        <scheme val="minor"/>
      </rPr>
      <t>3</t>
    </r>
    <r>
      <rPr>
        <sz val="11"/>
        <color theme="1"/>
        <rFont val="游ゴシック"/>
        <family val="3"/>
        <charset val="128"/>
        <scheme val="minor"/>
      </rPr>
      <t>）</t>
    </r>
    <rPh sb="2" eb="3">
      <t>ツチ</t>
    </rPh>
    <rPh sb="4" eb="6">
      <t>シツジュン</t>
    </rPh>
    <rPh sb="6" eb="8">
      <t>タンイ</t>
    </rPh>
    <rPh sb="8" eb="10">
      <t>タイセキ</t>
    </rPh>
    <rPh sb="10" eb="12">
      <t>ジュウリョウ</t>
    </rPh>
    <phoneticPr fontId="3"/>
  </si>
  <si>
    <r>
      <rPr>
        <i/>
        <sz val="11"/>
        <color theme="1"/>
        <rFont val="Times New Roman"/>
        <family val="1"/>
      </rPr>
      <t>H</t>
    </r>
    <r>
      <rPr>
        <sz val="11"/>
        <color theme="1"/>
        <rFont val="游ゴシック"/>
        <family val="2"/>
        <scheme val="minor"/>
      </rPr>
      <t>：掘削深さ（m）</t>
    </r>
    <rPh sb="2" eb="4">
      <t>クッサク</t>
    </rPh>
    <rPh sb="4" eb="5">
      <t>フカ</t>
    </rPh>
    <phoneticPr fontId="3"/>
  </si>
  <si>
    <r>
      <rPr>
        <i/>
        <sz val="11"/>
        <color theme="1"/>
        <rFont val="Times New Roman"/>
        <family val="1"/>
      </rPr>
      <t>c</t>
    </r>
    <r>
      <rPr>
        <sz val="11"/>
        <color theme="1"/>
        <rFont val="游ゴシック"/>
        <family val="2"/>
        <scheme val="minor"/>
      </rPr>
      <t>：掘削底面付近の地盤の粘着力（kN/m</t>
    </r>
    <r>
      <rPr>
        <vertAlign val="superscript"/>
        <sz val="11"/>
        <color theme="1"/>
        <rFont val="游ゴシック"/>
        <family val="3"/>
        <charset val="128"/>
        <scheme val="minor"/>
      </rPr>
      <t>2</t>
    </r>
    <r>
      <rPr>
        <sz val="11"/>
        <color theme="1"/>
        <rFont val="游ゴシック"/>
        <family val="2"/>
        <scheme val="minor"/>
      </rPr>
      <t>）</t>
    </r>
    <rPh sb="2" eb="4">
      <t>クッサク</t>
    </rPh>
    <rPh sb="4" eb="6">
      <t>テイメン</t>
    </rPh>
    <rPh sb="6" eb="8">
      <t>フキン</t>
    </rPh>
    <rPh sb="9" eb="11">
      <t>ジバン</t>
    </rPh>
    <rPh sb="12" eb="15">
      <t>ネンチャクリョク</t>
    </rPh>
    <phoneticPr fontId="3"/>
  </si>
  <si>
    <t>c=</t>
    <phoneticPr fontId="3"/>
  </si>
  <si>
    <t>ここでの右辺は、掘削背面に係る鉛直荷重を示している。</t>
    <phoneticPr fontId="3"/>
  </si>
  <si>
    <t>水の単位重量</t>
    <rPh sb="0" eb="1">
      <t>ミズ</t>
    </rPh>
    <rPh sb="2" eb="4">
      <t>タンイ</t>
    </rPh>
    <rPh sb="4" eb="6">
      <t>ジュウリョウ</t>
    </rPh>
    <phoneticPr fontId="3"/>
  </si>
  <si>
    <t>水中単位重量算出</t>
    <rPh sb="4" eb="6">
      <t>ジュウリョウ</t>
    </rPh>
    <phoneticPr fontId="3"/>
  </si>
  <si>
    <r>
      <rPr>
        <sz val="11"/>
        <color theme="1"/>
        <rFont val="游ゴシック"/>
        <family val="3"/>
        <charset val="128"/>
        <scheme val="minor"/>
      </rPr>
      <t>γ</t>
    </r>
    <r>
      <rPr>
        <vertAlign val="subscript"/>
        <sz val="11"/>
        <color theme="1"/>
        <rFont val="游ゴシック"/>
        <family val="3"/>
        <charset val="128"/>
        <scheme val="minor"/>
      </rPr>
      <t>w</t>
    </r>
    <phoneticPr fontId="3"/>
  </si>
  <si>
    <r>
      <t>(γ'+γ</t>
    </r>
    <r>
      <rPr>
        <vertAlign val="subscript"/>
        <sz val="11"/>
        <color theme="1"/>
        <rFont val="游ゴシック"/>
        <family val="3"/>
        <charset val="128"/>
        <scheme val="minor"/>
      </rPr>
      <t>w</t>
    </r>
    <r>
      <rPr>
        <sz val="11"/>
        <color theme="1"/>
        <rFont val="游ゴシック"/>
        <family val="2"/>
        <scheme val="minor"/>
      </rPr>
      <t>)・</t>
    </r>
    <r>
      <rPr>
        <i/>
        <sz val="11"/>
        <color theme="1"/>
        <rFont val="Times New Roman"/>
        <family val="1"/>
      </rPr>
      <t>h</t>
    </r>
    <phoneticPr fontId="3"/>
  </si>
  <si>
    <r>
      <t>(kN/m</t>
    </r>
    <r>
      <rPr>
        <vertAlign val="superscript"/>
        <sz val="11"/>
        <color theme="1"/>
        <rFont val="游ゴシック"/>
        <family val="3"/>
        <charset val="128"/>
        <scheme val="minor"/>
      </rPr>
      <t>3)</t>
    </r>
    <phoneticPr fontId="3"/>
  </si>
  <si>
    <t>∑</t>
    <phoneticPr fontId="3"/>
  </si>
  <si>
    <r>
      <t>(γ' + γ</t>
    </r>
    <r>
      <rPr>
        <vertAlign val="subscript"/>
        <sz val="11"/>
        <color theme="1"/>
        <rFont val="游ゴシック"/>
        <family val="3"/>
        <charset val="128"/>
        <scheme val="minor"/>
      </rPr>
      <t>w</t>
    </r>
    <r>
      <rPr>
        <sz val="11"/>
        <color theme="1"/>
        <rFont val="游ゴシック"/>
        <family val="3"/>
        <charset val="128"/>
        <scheme val="minor"/>
      </rPr>
      <t>)</t>
    </r>
    <phoneticPr fontId="3"/>
  </si>
  <si>
    <t>・</t>
    <phoneticPr fontId="3"/>
  </si>
  <si>
    <t>2-4. 最小根入れ長</t>
    <rPh sb="5" eb="7">
      <t>サイショウ</t>
    </rPh>
    <rPh sb="7" eb="9">
      <t>ネイ</t>
    </rPh>
    <rPh sb="10" eb="11">
      <t>チョウ</t>
    </rPh>
    <phoneticPr fontId="3"/>
  </si>
  <si>
    <r>
      <t>ℓ</t>
    </r>
    <r>
      <rPr>
        <i/>
        <vertAlign val="subscript"/>
        <sz val="11"/>
        <color theme="1"/>
        <rFont val="Times New Roman"/>
        <family val="1"/>
      </rPr>
      <t>min</t>
    </r>
    <phoneticPr fontId="3"/>
  </si>
  <si>
    <t>2-5. 根入れ長の決定</t>
    <rPh sb="5" eb="7">
      <t>ネイ</t>
    </rPh>
    <rPh sb="8" eb="9">
      <t>チョウ</t>
    </rPh>
    <rPh sb="10" eb="12">
      <t>ケッテイ</t>
    </rPh>
    <phoneticPr fontId="3"/>
  </si>
  <si>
    <t>根入れ長は、それぞれの計算により求められる根入れ長のうち最も長いものとする。</t>
    <rPh sb="0" eb="2">
      <t>ネイ</t>
    </rPh>
    <rPh sb="3" eb="4">
      <t>チョウ</t>
    </rPh>
    <rPh sb="11" eb="13">
      <t>ケイサン</t>
    </rPh>
    <rPh sb="16" eb="17">
      <t>モト</t>
    </rPh>
    <rPh sb="21" eb="23">
      <t>ネイ</t>
    </rPh>
    <rPh sb="24" eb="25">
      <t>チョウ</t>
    </rPh>
    <rPh sb="28" eb="29">
      <t>モット</t>
    </rPh>
    <rPh sb="30" eb="31">
      <t>ナガ</t>
    </rPh>
    <phoneticPr fontId="3"/>
  </si>
  <si>
    <t>土圧および水圧に対する安定から必要となる根入れ長</t>
    <phoneticPr fontId="3"/>
  </si>
  <si>
    <t>ℓ</t>
    <phoneticPr fontId="3"/>
  </si>
  <si>
    <t>掘削底面の安定から定まる根入れ長</t>
    <phoneticPr fontId="3"/>
  </si>
  <si>
    <r>
      <t>ℓ</t>
    </r>
    <r>
      <rPr>
        <vertAlign val="subscript"/>
        <sz val="11"/>
        <color theme="1"/>
        <rFont val="游ゴシック"/>
        <family val="3"/>
        <charset val="128"/>
        <scheme val="minor"/>
      </rPr>
      <t>d</t>
    </r>
    <phoneticPr fontId="3"/>
  </si>
  <si>
    <t>最小根入れ長</t>
    <rPh sb="0" eb="2">
      <t>サイショウ</t>
    </rPh>
    <rPh sb="2" eb="4">
      <t>ネイ</t>
    </rPh>
    <rPh sb="5" eb="6">
      <t>チョウ</t>
    </rPh>
    <phoneticPr fontId="3"/>
  </si>
  <si>
    <t>D</t>
    <phoneticPr fontId="3"/>
  </si>
  <si>
    <t>2-6. 親杭の長さ</t>
    <rPh sb="5" eb="7">
      <t>オヤクイ</t>
    </rPh>
    <rPh sb="8" eb="9">
      <t>チョウ</t>
    </rPh>
    <phoneticPr fontId="3"/>
  </si>
  <si>
    <t>親杭の長さは、「掘削深さ」に「根入れ長」を加え、0.5m単位で切り上げる。</t>
    <rPh sb="0" eb="2">
      <t>オヤクイ</t>
    </rPh>
    <rPh sb="3" eb="4">
      <t>チョウ</t>
    </rPh>
    <rPh sb="8" eb="10">
      <t>クッサク</t>
    </rPh>
    <rPh sb="10" eb="11">
      <t>フカ</t>
    </rPh>
    <rPh sb="15" eb="17">
      <t>ネイ</t>
    </rPh>
    <rPh sb="18" eb="19">
      <t>ナガ</t>
    </rPh>
    <rPh sb="21" eb="22">
      <t>クワ</t>
    </rPh>
    <rPh sb="28" eb="30">
      <t>タンイ</t>
    </rPh>
    <rPh sb="31" eb="32">
      <t>キ</t>
    </rPh>
    <rPh sb="33" eb="34">
      <t>ア</t>
    </rPh>
    <phoneticPr fontId="3"/>
  </si>
  <si>
    <t>≒</t>
    <phoneticPr fontId="3"/>
  </si>
  <si>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3"/>
  </si>
  <si>
    <t>型式を見直すこと。（保有長さは地域により異なる。）</t>
    <rPh sb="0" eb="1">
      <t>カタ</t>
    </rPh>
    <rPh sb="10" eb="12">
      <t>ホユウ</t>
    </rPh>
    <rPh sb="12" eb="13">
      <t>ナガ</t>
    </rPh>
    <rPh sb="15" eb="17">
      <t>チイキ</t>
    </rPh>
    <rPh sb="20" eb="21">
      <t>コト</t>
    </rPh>
    <phoneticPr fontId="3"/>
  </si>
  <si>
    <t>リース材の標準保有長さ</t>
    <rPh sb="3" eb="4">
      <t>ザイ</t>
    </rPh>
    <rPh sb="5" eb="7">
      <t>ヒョウジュン</t>
    </rPh>
    <rPh sb="7" eb="9">
      <t>ホユウ</t>
    </rPh>
    <rPh sb="9" eb="10">
      <t>ナガ</t>
    </rPh>
    <phoneticPr fontId="3"/>
  </si>
  <si>
    <t>H11道仮p321</t>
    <phoneticPr fontId="3"/>
  </si>
  <si>
    <t>(単位：m)</t>
    <rPh sb="1" eb="3">
      <t>タンイ</t>
    </rPh>
    <phoneticPr fontId="3"/>
  </si>
  <si>
    <t>サイズ</t>
    <phoneticPr fontId="3"/>
  </si>
  <si>
    <t>標準保有長さ</t>
    <rPh sb="0" eb="2">
      <t>ヒョウジュン</t>
    </rPh>
    <rPh sb="2" eb="4">
      <t>ホユウ</t>
    </rPh>
    <rPh sb="4" eb="5">
      <t>ナガ</t>
    </rPh>
    <phoneticPr fontId="3"/>
  </si>
  <si>
    <t>最小長さ</t>
    <rPh sb="0" eb="2">
      <t>サイショウ</t>
    </rPh>
    <rPh sb="2" eb="3">
      <t>ナガ</t>
    </rPh>
    <phoneticPr fontId="3"/>
  </si>
  <si>
    <t>H-200</t>
    <phoneticPr fontId="3"/>
  </si>
  <si>
    <t>～</t>
    <phoneticPr fontId="3"/>
  </si>
  <si>
    <t>H-250</t>
    <phoneticPr fontId="3"/>
  </si>
  <si>
    <t>H-300</t>
    <phoneticPr fontId="3"/>
  </si>
  <si>
    <t>H-350</t>
    <phoneticPr fontId="3"/>
  </si>
  <si>
    <t>H-400</t>
    <phoneticPr fontId="3"/>
  </si>
  <si>
    <t>標準保有長さ</t>
  </si>
  <si>
    <t>3. 壁体の断面力算定</t>
    <rPh sb="3" eb="5">
      <t>ヘキタイ</t>
    </rPh>
    <rPh sb="6" eb="8">
      <t>ダンメン</t>
    </rPh>
    <rPh sb="8" eb="9">
      <t>リョク</t>
    </rPh>
    <rPh sb="9" eb="11">
      <t>サンテイ</t>
    </rPh>
    <phoneticPr fontId="3"/>
  </si>
  <si>
    <t>H11道仮p90</t>
    <phoneticPr fontId="3"/>
  </si>
  <si>
    <t>土留め壁の断面計算に用いる最大曲げモーメントは、掘削完了時における最下段切ばり、または、最下段切ばり設置直前における一段上の切ばりと、それぞれの場合の「仮想支持点」間をスパンとする単純ばりとし、この両方の場合について断面決定用土圧を作用させて計算する。断面決定用の土圧は、根入れ長の計算で用いた値を用いる。</t>
    <rPh sb="0" eb="2">
      <t>ドド</t>
    </rPh>
    <rPh sb="3" eb="4">
      <t>ヘキ</t>
    </rPh>
    <rPh sb="5" eb="7">
      <t>ダンメン</t>
    </rPh>
    <rPh sb="7" eb="9">
      <t>ケイサン</t>
    </rPh>
    <rPh sb="10" eb="11">
      <t>モチ</t>
    </rPh>
    <rPh sb="13" eb="15">
      <t>サイダイ</t>
    </rPh>
    <rPh sb="15" eb="16">
      <t>マ</t>
    </rPh>
    <rPh sb="76" eb="78">
      <t>カソウ</t>
    </rPh>
    <rPh sb="112" eb="113">
      <t>ヨウ</t>
    </rPh>
    <phoneticPr fontId="3"/>
  </si>
  <si>
    <t>3-1. 最下段切ばり設置直前</t>
    <rPh sb="5" eb="8">
      <t>サイゲダン</t>
    </rPh>
    <rPh sb="8" eb="9">
      <t>キリ</t>
    </rPh>
    <rPh sb="11" eb="13">
      <t>セッチ</t>
    </rPh>
    <rPh sb="13" eb="15">
      <t>チョクゼン</t>
    </rPh>
    <phoneticPr fontId="3"/>
  </si>
  <si>
    <t>3-1-1. 仮想支持点の計算</t>
    <rPh sb="7" eb="9">
      <t>カソウ</t>
    </rPh>
    <rPh sb="9" eb="11">
      <t>シジ</t>
    </rPh>
    <rPh sb="11" eb="12">
      <t>テン</t>
    </rPh>
    <rPh sb="13" eb="15">
      <t>ケイサン</t>
    </rPh>
    <phoneticPr fontId="3"/>
  </si>
  <si>
    <t>H11道仮p91</t>
    <phoneticPr fontId="3"/>
  </si>
  <si>
    <t>仮想支持点は、土留め壁の根入れ長決定のための安定計算で「つり合い深さ」を求めた際の受働抵抗の合力の作用点とする。</t>
    <rPh sb="0" eb="2">
      <t>カソウ</t>
    </rPh>
    <rPh sb="2" eb="4">
      <t>シジ</t>
    </rPh>
    <rPh sb="4" eb="5">
      <t>テン</t>
    </rPh>
    <rPh sb="7" eb="9">
      <t>ドド</t>
    </rPh>
    <rPh sb="10" eb="11">
      <t>ヘキ</t>
    </rPh>
    <rPh sb="12" eb="14">
      <t>ネイ</t>
    </rPh>
    <rPh sb="15" eb="16">
      <t>チョウ</t>
    </rPh>
    <rPh sb="16" eb="18">
      <t>ケッテイ</t>
    </rPh>
    <rPh sb="22" eb="24">
      <t>アンテイ</t>
    </rPh>
    <rPh sb="24" eb="26">
      <t>ケイサン</t>
    </rPh>
    <rPh sb="30" eb="31">
      <t>ア</t>
    </rPh>
    <rPh sb="32" eb="33">
      <t>フカ</t>
    </rPh>
    <rPh sb="36" eb="37">
      <t>モト</t>
    </rPh>
    <rPh sb="39" eb="40">
      <t>サイ</t>
    </rPh>
    <rPh sb="41" eb="43">
      <t>ジュドウ</t>
    </rPh>
    <rPh sb="43" eb="45">
      <t>テイコウ</t>
    </rPh>
    <rPh sb="46" eb="48">
      <t>ゴウリョク</t>
    </rPh>
    <rPh sb="49" eb="51">
      <t>サヨウ</t>
    </rPh>
    <rPh sb="51" eb="52">
      <t>テン</t>
    </rPh>
    <phoneticPr fontId="3"/>
  </si>
  <si>
    <t>切ばりから、下方向にある仮想支持点までの距離は、下式により算出する。</t>
    <rPh sb="0" eb="1">
      <t>キリ</t>
    </rPh>
    <rPh sb="6" eb="9">
      <t>シタホウコウ</t>
    </rPh>
    <rPh sb="12" eb="14">
      <t>カソウ</t>
    </rPh>
    <rPh sb="14" eb="16">
      <t>シジ</t>
    </rPh>
    <rPh sb="16" eb="17">
      <t>テン</t>
    </rPh>
    <rPh sb="20" eb="22">
      <t>キョリ</t>
    </rPh>
    <rPh sb="24" eb="25">
      <t>シタ</t>
    </rPh>
    <rPh sb="25" eb="26">
      <t>シキ</t>
    </rPh>
    <rPh sb="29" eb="31">
      <t>サンシュツ</t>
    </rPh>
    <phoneticPr fontId="3"/>
  </si>
  <si>
    <r>
      <t>y</t>
    </r>
    <r>
      <rPr>
        <vertAlign val="subscript"/>
        <sz val="11"/>
        <color theme="1"/>
        <rFont val="ＭＳ Ｐ明朝"/>
        <family val="1"/>
        <charset val="128"/>
      </rPr>
      <t>p</t>
    </r>
    <phoneticPr fontId="3"/>
  </si>
  <si>
    <r>
      <rPr>
        <i/>
        <sz val="11"/>
        <color theme="1"/>
        <rFont val="Times New Roman"/>
        <family val="1"/>
        <charset val="161"/>
      </rPr>
      <t>Σ</t>
    </r>
    <r>
      <rPr>
        <i/>
        <sz val="11"/>
        <color theme="1"/>
        <rFont val="Times New Roman"/>
        <family val="1"/>
      </rPr>
      <t>M</t>
    </r>
    <r>
      <rPr>
        <vertAlign val="subscript"/>
        <sz val="11"/>
        <color theme="1"/>
        <rFont val="Times New Roman"/>
        <family val="1"/>
      </rPr>
      <t>p</t>
    </r>
    <phoneticPr fontId="3"/>
  </si>
  <si>
    <r>
      <t>Σ</t>
    </r>
    <r>
      <rPr>
        <i/>
        <sz val="11"/>
        <color theme="1"/>
        <rFont val="ＭＳ Ｐ明朝"/>
        <family val="1"/>
        <charset val="128"/>
      </rPr>
      <t>P</t>
    </r>
    <r>
      <rPr>
        <vertAlign val="subscript"/>
        <sz val="11"/>
        <color theme="1"/>
        <rFont val="Times New Roman"/>
        <family val="1"/>
      </rPr>
      <t>p</t>
    </r>
    <phoneticPr fontId="3"/>
  </si>
  <si>
    <r>
      <t>ℓ</t>
    </r>
    <r>
      <rPr>
        <vertAlign val="subscript"/>
        <sz val="11"/>
        <rFont val="游ゴシック"/>
        <family val="3"/>
        <charset val="128"/>
        <scheme val="minor"/>
      </rPr>
      <t>0</t>
    </r>
    <phoneticPr fontId="3"/>
  </si>
  <si>
    <t>であるため、</t>
    <phoneticPr fontId="3"/>
  </si>
  <si>
    <t>³ +</t>
    <phoneticPr fontId="3"/>
  </si>
  <si>
    <t>² +</t>
    <phoneticPr fontId="3"/>
  </si>
  <si>
    <r>
      <t>Σ</t>
    </r>
    <r>
      <rPr>
        <i/>
        <sz val="11"/>
        <color rgb="FFFF0000"/>
        <rFont val="ＭＳ Ｐ明朝"/>
        <family val="1"/>
        <charset val="128"/>
      </rPr>
      <t>P</t>
    </r>
    <r>
      <rPr>
        <vertAlign val="subscript"/>
        <sz val="11"/>
        <color rgb="FFFF0000"/>
        <rFont val="Times New Roman"/>
        <family val="1"/>
      </rPr>
      <t>p</t>
    </r>
    <phoneticPr fontId="3"/>
  </si>
  <si>
    <t>なお、切ばりから掘削底面までの距離は、</t>
    <rPh sb="3" eb="4">
      <t>キリ</t>
    </rPh>
    <rPh sb="8" eb="10">
      <t>クッサク</t>
    </rPh>
    <rPh sb="10" eb="12">
      <t>テイメン</t>
    </rPh>
    <rPh sb="15" eb="17">
      <t>キョリ</t>
    </rPh>
    <phoneticPr fontId="3"/>
  </si>
  <si>
    <t>掘削底面から仮想支持点までの距離は、</t>
    <rPh sb="0" eb="2">
      <t>クッサク</t>
    </rPh>
    <rPh sb="2" eb="4">
      <t>テイメン</t>
    </rPh>
    <rPh sb="6" eb="8">
      <t>カソウ</t>
    </rPh>
    <rPh sb="8" eb="10">
      <t>シジ</t>
    </rPh>
    <rPh sb="10" eb="11">
      <t>テン</t>
    </rPh>
    <rPh sb="14" eb="16">
      <t>キョリ</t>
    </rPh>
    <phoneticPr fontId="3"/>
  </si>
  <si>
    <t>ー</t>
    <phoneticPr fontId="3"/>
  </si>
  <si>
    <t>また、３層の仮想支持点までの層厚は</t>
    <rPh sb="4" eb="5">
      <t>ソウ</t>
    </rPh>
    <rPh sb="6" eb="10">
      <t>カソウシジ</t>
    </rPh>
    <rPh sb="10" eb="11">
      <t>テン</t>
    </rPh>
    <rPh sb="14" eb="16">
      <t>ソウアツ</t>
    </rPh>
    <phoneticPr fontId="3"/>
  </si>
  <si>
    <t>3-1-2. 最大曲げモーメントの計算</t>
    <rPh sb="7" eb="9">
      <t>サイダイ</t>
    </rPh>
    <rPh sb="9" eb="10">
      <t>マ</t>
    </rPh>
    <rPh sb="17" eb="19">
      <t>ケイサン</t>
    </rPh>
    <phoneticPr fontId="3"/>
  </si>
  <si>
    <t>(1) 切ばり位置における反力</t>
    <rPh sb="4" eb="5">
      <t>キリ</t>
    </rPh>
    <rPh sb="7" eb="9">
      <t>イチ</t>
    </rPh>
    <rPh sb="13" eb="15">
      <t>ハンリョク</t>
    </rPh>
    <phoneticPr fontId="3"/>
  </si>
  <si>
    <t>切ばり位置をA点、仮想支持点をB点とする単純ばりを仮定し、A点における反力を計算する。</t>
    <rPh sb="0" eb="1">
      <t>キ</t>
    </rPh>
    <rPh sb="3" eb="5">
      <t>イチ</t>
    </rPh>
    <rPh sb="7" eb="8">
      <t>テン</t>
    </rPh>
    <rPh sb="9" eb="11">
      <t>カソウ</t>
    </rPh>
    <rPh sb="11" eb="13">
      <t>シジ</t>
    </rPh>
    <rPh sb="13" eb="14">
      <t>テン</t>
    </rPh>
    <rPh sb="16" eb="17">
      <t>テン</t>
    </rPh>
    <rPh sb="20" eb="22">
      <t>タンジュン</t>
    </rPh>
    <rPh sb="25" eb="27">
      <t>カテイ</t>
    </rPh>
    <rPh sb="30" eb="31">
      <t>テン</t>
    </rPh>
    <rPh sb="35" eb="37">
      <t>ハンリョク</t>
    </rPh>
    <rPh sb="38" eb="40">
      <t>ケイサン</t>
    </rPh>
    <phoneticPr fontId="3"/>
  </si>
  <si>
    <t>a. 土圧</t>
    <rPh sb="3" eb="5">
      <t>ドアツ</t>
    </rPh>
    <phoneticPr fontId="3"/>
  </si>
  <si>
    <t>まず、単純ばりに作用させる断面決定用土圧は、H11道仮p36～38に従って算出する。</t>
    <rPh sb="3" eb="5">
      <t>タンジュン</t>
    </rPh>
    <rPh sb="8" eb="10">
      <t>サヨウ</t>
    </rPh>
    <rPh sb="13" eb="15">
      <t>ダンメン</t>
    </rPh>
    <rPh sb="15" eb="17">
      <t>ケッテイ</t>
    </rPh>
    <rPh sb="17" eb="18">
      <t>ヨウ</t>
    </rPh>
    <rPh sb="18" eb="20">
      <t>ドアツ</t>
    </rPh>
    <rPh sb="25" eb="26">
      <t>ミチ</t>
    </rPh>
    <rPh sb="26" eb="27">
      <t>カリ</t>
    </rPh>
    <rPh sb="34" eb="35">
      <t>シタガ</t>
    </rPh>
    <rPh sb="37" eb="39">
      <t>サンシュツ</t>
    </rPh>
    <phoneticPr fontId="3"/>
  </si>
  <si>
    <t>土の平均単位体積重量は、地表面から仮想支持点までの間における各層の平均なので</t>
    <rPh sb="0" eb="1">
      <t>ツチ</t>
    </rPh>
    <rPh sb="2" eb="4">
      <t>ヘイキン</t>
    </rPh>
    <rPh sb="4" eb="6">
      <t>タンイ</t>
    </rPh>
    <rPh sb="6" eb="8">
      <t>タイセキ</t>
    </rPh>
    <rPh sb="8" eb="10">
      <t>ジュウリョウ</t>
    </rPh>
    <rPh sb="12" eb="15">
      <t>チヒョウメン</t>
    </rPh>
    <rPh sb="17" eb="19">
      <t>カソウ</t>
    </rPh>
    <rPh sb="19" eb="21">
      <t>シジ</t>
    </rPh>
    <rPh sb="21" eb="22">
      <t>テン</t>
    </rPh>
    <rPh sb="25" eb="26">
      <t>アイダ</t>
    </rPh>
    <rPh sb="30" eb="32">
      <t>カクソウ</t>
    </rPh>
    <rPh sb="33" eb="35">
      <t>ヘイキン</t>
    </rPh>
    <phoneticPr fontId="3"/>
  </si>
  <si>
    <t>∑h・γ</t>
    <phoneticPr fontId="3"/>
  </si>
  <si>
    <t>∑h</t>
    <phoneticPr fontId="3"/>
  </si>
  <si>
    <r>
      <t>h</t>
    </r>
    <r>
      <rPr>
        <i/>
        <sz val="11"/>
        <color theme="1"/>
        <rFont val="游ゴシック"/>
        <family val="3"/>
        <charset val="128"/>
      </rPr>
      <t>・</t>
    </r>
    <r>
      <rPr>
        <i/>
        <sz val="11"/>
        <color theme="1"/>
        <rFont val="Times New Roman"/>
        <family val="1"/>
      </rPr>
      <t>γ</t>
    </r>
    <phoneticPr fontId="3"/>
  </si>
  <si>
    <t>(kN/m²)</t>
    <phoneticPr fontId="3"/>
  </si>
  <si>
    <t>(kN/m³）</t>
    <phoneticPr fontId="3"/>
  </si>
  <si>
    <t>掘削深さHによる係数は、</t>
    <rPh sb="0" eb="2">
      <t>クッサク</t>
    </rPh>
    <rPh sb="2" eb="3">
      <t>フカ</t>
    </rPh>
    <rPh sb="8" eb="10">
      <t>ケイスウ</t>
    </rPh>
    <phoneticPr fontId="3"/>
  </si>
  <si>
    <t>掘削深さ：</t>
    <rPh sb="0" eb="2">
      <t>クッサク</t>
    </rPh>
    <rPh sb="2" eb="3">
      <t>フカ</t>
    </rPh>
    <phoneticPr fontId="3"/>
  </si>
  <si>
    <t>a=</t>
    <phoneticPr fontId="3"/>
  </si>
  <si>
    <t>地質による係数は、</t>
    <rPh sb="0" eb="2">
      <t>チシツ</t>
    </rPh>
    <rPh sb="5" eb="7">
      <t>ケイスウ</t>
    </rPh>
    <phoneticPr fontId="3"/>
  </si>
  <si>
    <t>土質：</t>
    <rPh sb="0" eb="2">
      <t>ドシツ</t>
    </rPh>
    <phoneticPr fontId="3"/>
  </si>
  <si>
    <t>b=</t>
    <phoneticPr fontId="3"/>
  </si>
  <si>
    <t>よって、親杭１本あたりの主働土圧は</t>
    <rPh sb="4" eb="6">
      <t>オヤクイ</t>
    </rPh>
    <rPh sb="7" eb="8">
      <t>ホン</t>
    </rPh>
    <rPh sb="12" eb="14">
      <t>シュドウ</t>
    </rPh>
    <rPh sb="14" eb="16">
      <t>ドアツ</t>
    </rPh>
    <phoneticPr fontId="3"/>
  </si>
  <si>
    <t>(親杭間隔)</t>
    <rPh sb="1" eb="3">
      <t>オヤクイ</t>
    </rPh>
    <rPh sb="3" eb="5">
      <t>カンカク</t>
    </rPh>
    <phoneticPr fontId="3"/>
  </si>
  <si>
    <t>(kN/m）</t>
    <phoneticPr fontId="3"/>
  </si>
  <si>
    <t>なお、地表面での上載荷重は、平均単位体積重量を用いて「厚さ」に換算する。</t>
    <rPh sb="3" eb="6">
      <t>チヒョウメン</t>
    </rPh>
    <rPh sb="8" eb="9">
      <t>ウエ</t>
    </rPh>
    <rPh sb="9" eb="10">
      <t>サイ</t>
    </rPh>
    <rPh sb="10" eb="12">
      <t>カジュウ</t>
    </rPh>
    <rPh sb="14" eb="16">
      <t>ヘイキン</t>
    </rPh>
    <rPh sb="16" eb="18">
      <t>タンイ</t>
    </rPh>
    <rPh sb="18" eb="20">
      <t>タイセキ</t>
    </rPh>
    <rPh sb="20" eb="22">
      <t>ジュウリョウ</t>
    </rPh>
    <rPh sb="23" eb="24">
      <t>モチ</t>
    </rPh>
    <rPh sb="27" eb="28">
      <t>アツ</t>
    </rPh>
    <rPh sb="31" eb="33">
      <t>カンサン</t>
    </rPh>
    <phoneticPr fontId="3"/>
  </si>
  <si>
    <t>換算土厚</t>
    <rPh sb="0" eb="2">
      <t>カンサン</t>
    </rPh>
    <rPh sb="2" eb="3">
      <t>ツチ</t>
    </rPh>
    <rPh sb="3" eb="4">
      <t>アツ</t>
    </rPh>
    <phoneticPr fontId="3"/>
  </si>
  <si>
    <t>b. A点における反力の計算</t>
    <rPh sb="4" eb="5">
      <t>テン</t>
    </rPh>
    <rPh sb="9" eb="11">
      <t>ハンリョク</t>
    </rPh>
    <rPh sb="12" eb="14">
      <t>ケイサン</t>
    </rPh>
    <phoneticPr fontId="3"/>
  </si>
  <si>
    <t>断面力の算定は、切ばりと仮想支持点を支点とする単純ばりとして計算する</t>
    <rPh sb="0" eb="3">
      <t>ダンメンリョク</t>
    </rPh>
    <rPh sb="4" eb="6">
      <t>サンテイ</t>
    </rPh>
    <rPh sb="8" eb="9">
      <t>キ</t>
    </rPh>
    <rPh sb="12" eb="14">
      <t>カソウ</t>
    </rPh>
    <rPh sb="14" eb="17">
      <t>シジテン</t>
    </rPh>
    <rPh sb="18" eb="20">
      <t>シテン</t>
    </rPh>
    <rPh sb="23" eb="25">
      <t>タンジュン</t>
    </rPh>
    <rPh sb="30" eb="32">
      <t>ケイサン</t>
    </rPh>
    <phoneticPr fontId="3"/>
  </si>
  <si>
    <t>また、pが負となる作用力は無視する。</t>
    <rPh sb="5" eb="6">
      <t>フ</t>
    </rPh>
    <rPh sb="9" eb="12">
      <t>サヨウリョク</t>
    </rPh>
    <rPh sb="13" eb="15">
      <t>ムシ</t>
    </rPh>
    <phoneticPr fontId="3"/>
  </si>
  <si>
    <t>側圧</t>
    <rPh sb="0" eb="2">
      <t>ソクアツ</t>
    </rPh>
    <phoneticPr fontId="3"/>
  </si>
  <si>
    <t>B点からのアーム長</t>
    <rPh sb="1" eb="2">
      <t>テン</t>
    </rPh>
    <rPh sb="8" eb="9">
      <t>チョウ</t>
    </rPh>
    <phoneticPr fontId="3"/>
  </si>
  <si>
    <r>
      <t>y</t>
    </r>
    <r>
      <rPr>
        <i/>
        <vertAlign val="subscript"/>
        <sz val="11"/>
        <color theme="1"/>
        <rFont val="Times New Roman"/>
        <family val="1"/>
      </rPr>
      <t>B</t>
    </r>
    <phoneticPr fontId="3"/>
  </si>
  <si>
    <t>モーメント</t>
    <phoneticPr fontId="3"/>
  </si>
  <si>
    <r>
      <t>M</t>
    </r>
    <r>
      <rPr>
        <i/>
        <vertAlign val="subscript"/>
        <sz val="11"/>
        <color theme="1"/>
        <rFont val="Times New Roman"/>
        <family val="1"/>
      </rPr>
      <t>B</t>
    </r>
    <phoneticPr fontId="3"/>
  </si>
  <si>
    <r>
      <t>よって、切ばり位置Aにおける反力R</t>
    </r>
    <r>
      <rPr>
        <vertAlign val="subscript"/>
        <sz val="11"/>
        <color theme="1"/>
        <rFont val="游ゴシック"/>
        <family val="3"/>
        <charset val="128"/>
        <scheme val="minor"/>
      </rPr>
      <t>A</t>
    </r>
    <r>
      <rPr>
        <sz val="11"/>
        <color theme="1"/>
        <rFont val="游ゴシック"/>
        <family val="2"/>
        <scheme val="minor"/>
      </rPr>
      <t>とすると、B点でのモーメントのつり合いより、</t>
    </r>
    <rPh sb="4" eb="5">
      <t>キ</t>
    </rPh>
    <rPh sb="7" eb="9">
      <t>イチ</t>
    </rPh>
    <rPh sb="14" eb="16">
      <t>ハンリョク</t>
    </rPh>
    <rPh sb="24" eb="25">
      <t>テン</t>
    </rPh>
    <rPh sb="35" eb="36">
      <t>ア</t>
    </rPh>
    <phoneticPr fontId="3"/>
  </si>
  <si>
    <r>
      <t>R</t>
    </r>
    <r>
      <rPr>
        <i/>
        <vertAlign val="subscript"/>
        <sz val="11"/>
        <color theme="1"/>
        <rFont val="Times New Roman"/>
        <family val="1"/>
      </rPr>
      <t>A</t>
    </r>
    <phoneticPr fontId="3"/>
  </si>
  <si>
    <r>
      <t>R</t>
    </r>
    <r>
      <rPr>
        <vertAlign val="subscript"/>
        <sz val="11"/>
        <color theme="1"/>
        <rFont val="游ゴシック"/>
        <family val="3"/>
        <charset val="128"/>
        <scheme val="minor"/>
      </rPr>
      <t>A</t>
    </r>
    <phoneticPr fontId="3"/>
  </si>
  <si>
    <t>kN</t>
    <phoneticPr fontId="3"/>
  </si>
  <si>
    <t>(2) 土圧による曲げモーメント</t>
    <rPh sb="4" eb="6">
      <t>ドアツ</t>
    </rPh>
    <rPh sb="9" eb="10">
      <t>マ</t>
    </rPh>
    <phoneticPr fontId="3"/>
  </si>
  <si>
    <t>　最大曲げモーメントは、「2-1層」で発生すると想定されるので、2-1層の上面から下方向に距離 「x」 を定義し、その「x」から上部方向における曲げモーメントを計算する。</t>
    <rPh sb="1" eb="3">
      <t>サイダイ</t>
    </rPh>
    <rPh sb="3" eb="4">
      <t>マ</t>
    </rPh>
    <rPh sb="16" eb="17">
      <t>ソウ</t>
    </rPh>
    <rPh sb="19" eb="21">
      <t>ハッセイ</t>
    </rPh>
    <rPh sb="24" eb="26">
      <t>ソウテイ</t>
    </rPh>
    <rPh sb="35" eb="36">
      <t>ソウ</t>
    </rPh>
    <rPh sb="37" eb="38">
      <t>ウエ</t>
    </rPh>
    <rPh sb="38" eb="39">
      <t>メン</t>
    </rPh>
    <rPh sb="41" eb="44">
      <t>シタホウコウ</t>
    </rPh>
    <rPh sb="45" eb="47">
      <t>キョリ</t>
    </rPh>
    <rPh sb="53" eb="55">
      <t>テイギ</t>
    </rPh>
    <rPh sb="64" eb="66">
      <t>ジョウブ</t>
    </rPh>
    <rPh sb="66" eb="68">
      <t>ホウコウ</t>
    </rPh>
    <rPh sb="72" eb="73">
      <t>マ</t>
    </rPh>
    <rPh sb="80" eb="82">
      <t>ケイサン</t>
    </rPh>
    <phoneticPr fontId="3"/>
  </si>
  <si>
    <t>x</t>
    <phoneticPr fontId="3"/>
  </si>
  <si>
    <t>計算式</t>
    <rPh sb="0" eb="3">
      <t>ケイサンシキ</t>
    </rPh>
    <phoneticPr fontId="3"/>
  </si>
  <si>
    <t>「x」から重心</t>
    <rPh sb="5" eb="7">
      <t>ジュウシン</t>
    </rPh>
    <phoneticPr fontId="3"/>
  </si>
  <si>
    <t>の鉛直距離</t>
    <phoneticPr fontId="3"/>
  </si>
  <si>
    <t>M</t>
    <phoneticPr fontId="3"/>
  </si>
  <si>
    <r>
      <t>x</t>
    </r>
    <r>
      <rPr>
        <i/>
        <vertAlign val="superscript"/>
        <sz val="11"/>
        <color theme="1"/>
        <rFont val="Times New Roman"/>
        <family val="1"/>
      </rPr>
      <t>2</t>
    </r>
    <phoneticPr fontId="3"/>
  </si>
  <si>
    <t>(3) 最大曲げモーメント</t>
    <rPh sb="4" eb="6">
      <t>サイダイ</t>
    </rPh>
    <rPh sb="6" eb="7">
      <t>マ</t>
    </rPh>
    <phoneticPr fontId="3"/>
  </si>
  <si>
    <t>(1),(2)より、任意点ｘでの曲げモーメントは、下式のとおりとなる。</t>
    <rPh sb="10" eb="12">
      <t>ニンイ</t>
    </rPh>
    <rPh sb="12" eb="13">
      <t>テン</t>
    </rPh>
    <rPh sb="16" eb="17">
      <t>マ</t>
    </rPh>
    <rPh sb="25" eb="27">
      <t>シタシキ</t>
    </rPh>
    <phoneticPr fontId="3"/>
  </si>
  <si>
    <r>
      <t>M</t>
    </r>
    <r>
      <rPr>
        <i/>
        <vertAlign val="subscript"/>
        <sz val="11"/>
        <color theme="1"/>
        <rFont val="Times New Roman"/>
        <family val="1"/>
      </rPr>
      <t>x</t>
    </r>
    <phoneticPr fontId="3"/>
  </si>
  <si>
    <t>－</t>
    <phoneticPr fontId="3"/>
  </si>
  <si>
    <t>微分すると、</t>
    <rPh sb="0" eb="2">
      <t>ビブン</t>
    </rPh>
    <phoneticPr fontId="3"/>
  </si>
  <si>
    <t>’</t>
    <phoneticPr fontId="3"/>
  </si>
  <si>
    <t>最大曲げモーメントの位置は、上式=0となるため、</t>
    <rPh sb="0" eb="2">
      <t>サイダイ</t>
    </rPh>
    <rPh sb="2" eb="3">
      <t>マ</t>
    </rPh>
    <rPh sb="10" eb="12">
      <t>イチ</t>
    </rPh>
    <rPh sb="14" eb="15">
      <t>ウエ</t>
    </rPh>
    <rPh sb="15" eb="16">
      <t>シキ</t>
    </rPh>
    <phoneticPr fontId="3"/>
  </si>
  <si>
    <t>よって、最大曲げモーメントの値は、</t>
    <rPh sb="4" eb="6">
      <t>サイダイ</t>
    </rPh>
    <rPh sb="6" eb="7">
      <t>マ</t>
    </rPh>
    <rPh sb="14" eb="15">
      <t>アタイ</t>
    </rPh>
    <phoneticPr fontId="3"/>
  </si>
  <si>
    <r>
      <t>M</t>
    </r>
    <r>
      <rPr>
        <i/>
        <vertAlign val="subscript"/>
        <sz val="11"/>
        <color theme="1"/>
        <rFont val="Times New Roman"/>
        <family val="1"/>
      </rPr>
      <t>max</t>
    </r>
    <phoneticPr fontId="3"/>
  </si>
  <si>
    <t>²</t>
    <phoneticPr fontId="3"/>
  </si>
  <si>
    <t>kN・m</t>
    <phoneticPr fontId="3"/>
  </si>
  <si>
    <t>3-1-3. 曲げ応力度の照査</t>
    <rPh sb="7" eb="8">
      <t>マ</t>
    </rPh>
    <rPh sb="9" eb="12">
      <t>オウリョクド</t>
    </rPh>
    <rPh sb="13" eb="15">
      <t>ショウサ</t>
    </rPh>
    <phoneticPr fontId="3"/>
  </si>
  <si>
    <t>親杭に発生する最大曲げ応力度が、許容応力度以下であれば「OK」と判定し、「3-2. 掘削完了時」に進む。</t>
    <rPh sb="0" eb="2">
      <t>オヤクイ</t>
    </rPh>
    <rPh sb="3" eb="5">
      <t>ハッセイ</t>
    </rPh>
    <rPh sb="7" eb="9">
      <t>サイダイ</t>
    </rPh>
    <rPh sb="9" eb="10">
      <t>マ</t>
    </rPh>
    <rPh sb="11" eb="13">
      <t>オウリョク</t>
    </rPh>
    <rPh sb="13" eb="14">
      <t>ド</t>
    </rPh>
    <rPh sb="16" eb="18">
      <t>キョヨウ</t>
    </rPh>
    <rPh sb="18" eb="20">
      <t>オウリョク</t>
    </rPh>
    <rPh sb="20" eb="21">
      <t>ド</t>
    </rPh>
    <rPh sb="21" eb="23">
      <t>イカ</t>
    </rPh>
    <rPh sb="32" eb="34">
      <t>ハンテイ</t>
    </rPh>
    <rPh sb="49" eb="50">
      <t>スス</t>
    </rPh>
    <phoneticPr fontId="3"/>
  </si>
  <si>
    <t>許容応力度をを超えた場合は「NG」と判定し、「1-2. 親杭の設定」に戻り、型式を上げる。</t>
    <rPh sb="28" eb="30">
      <t>オヤクイ</t>
    </rPh>
    <phoneticPr fontId="3"/>
  </si>
  <si>
    <r>
      <t>σ</t>
    </r>
    <r>
      <rPr>
        <vertAlign val="subscript"/>
        <sz val="11"/>
        <color theme="1"/>
        <rFont val="Times New Roman"/>
        <family val="1"/>
      </rPr>
      <t>max</t>
    </r>
    <phoneticPr fontId="3"/>
  </si>
  <si>
    <r>
      <t>M</t>
    </r>
    <r>
      <rPr>
        <vertAlign val="subscript"/>
        <sz val="11"/>
        <color theme="1"/>
        <rFont val="Times New Roman"/>
        <family val="1"/>
      </rPr>
      <t>max</t>
    </r>
    <phoneticPr fontId="3"/>
  </si>
  <si>
    <r>
      <t>Z</t>
    </r>
    <r>
      <rPr>
        <i/>
        <sz val="11"/>
        <color theme="1"/>
        <rFont val="游ゴシック"/>
        <family val="2"/>
      </rPr>
      <t>・</t>
    </r>
    <r>
      <rPr>
        <i/>
        <sz val="11"/>
        <color theme="1"/>
        <rFont val="Times New Roman"/>
        <family val="1"/>
      </rPr>
      <t>e</t>
    </r>
    <phoneticPr fontId="3"/>
  </si>
  <si>
    <r>
      <t>σ</t>
    </r>
    <r>
      <rPr>
        <vertAlign val="subscript"/>
        <sz val="11"/>
        <color theme="1"/>
        <rFont val="Times New Roman"/>
        <family val="1"/>
      </rPr>
      <t>max</t>
    </r>
    <r>
      <rPr>
        <sz val="11"/>
        <color theme="1"/>
        <rFont val="Yu Gothic"/>
        <family val="1"/>
        <charset val="128"/>
      </rPr>
      <t>：親杭に発生する最大曲げ応力度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7">
      <t>オヤクイ</t>
    </rPh>
    <rPh sb="8" eb="10">
      <t>ハッセイ</t>
    </rPh>
    <rPh sb="12" eb="14">
      <t>サイダイ</t>
    </rPh>
    <rPh sb="14" eb="15">
      <t>マ</t>
    </rPh>
    <rPh sb="16" eb="19">
      <t>オウリョクド</t>
    </rPh>
    <phoneticPr fontId="3"/>
  </si>
  <si>
    <r>
      <rPr>
        <i/>
        <sz val="11"/>
        <color theme="1"/>
        <rFont val="Times New Roman"/>
        <family val="1"/>
      </rPr>
      <t>Z</t>
    </r>
    <r>
      <rPr>
        <sz val="11"/>
        <color theme="1"/>
        <rFont val="游ゴシック"/>
        <family val="2"/>
        <scheme val="minor"/>
      </rPr>
      <t>：断面係数（m</t>
    </r>
    <r>
      <rPr>
        <vertAlign val="superscript"/>
        <sz val="11"/>
        <color theme="1"/>
        <rFont val="游ゴシック"/>
        <family val="3"/>
        <charset val="128"/>
        <scheme val="minor"/>
      </rPr>
      <t>3</t>
    </r>
    <r>
      <rPr>
        <sz val="11"/>
        <color theme="1"/>
        <rFont val="游ゴシック"/>
        <family val="2"/>
        <scheme val="minor"/>
      </rPr>
      <t>/m）</t>
    </r>
    <phoneticPr fontId="3"/>
  </si>
  <si>
    <r>
      <t>cm</t>
    </r>
    <r>
      <rPr>
        <vertAlign val="superscript"/>
        <sz val="11"/>
        <color theme="1"/>
        <rFont val="游ゴシック"/>
        <family val="3"/>
        <charset val="128"/>
        <scheme val="minor"/>
      </rPr>
      <t>3</t>
    </r>
    <r>
      <rPr>
        <sz val="11"/>
        <color theme="1"/>
        <rFont val="游ゴシック"/>
        <family val="2"/>
        <scheme val="minor"/>
      </rPr>
      <t>/m</t>
    </r>
    <phoneticPr fontId="3"/>
  </si>
  <si>
    <r>
      <t>m</t>
    </r>
    <r>
      <rPr>
        <vertAlign val="superscript"/>
        <sz val="11"/>
        <color theme="1"/>
        <rFont val="游ゴシック"/>
        <family val="3"/>
        <charset val="128"/>
        <scheme val="minor"/>
      </rPr>
      <t>3</t>
    </r>
    <r>
      <rPr>
        <sz val="11"/>
        <color theme="1"/>
        <rFont val="游ゴシック"/>
        <family val="2"/>
        <scheme val="minor"/>
      </rPr>
      <t>/m</t>
    </r>
    <phoneticPr fontId="3"/>
  </si>
  <si>
    <r>
      <rPr>
        <i/>
        <sz val="11"/>
        <color theme="1"/>
        <rFont val="Times New Roman"/>
        <family val="1"/>
      </rPr>
      <t>e</t>
    </r>
    <r>
      <rPr>
        <sz val="11"/>
        <color theme="1"/>
        <rFont val="游ゴシック"/>
        <family val="2"/>
        <scheme val="minor"/>
      </rPr>
      <t>：断面係数の有効率（応力度の計算）</t>
    </r>
    <phoneticPr fontId="3"/>
  </si>
  <si>
    <t>e</t>
    <phoneticPr fontId="3"/>
  </si>
  <si>
    <r>
      <t>σ</t>
    </r>
    <r>
      <rPr>
        <vertAlign val="subscript"/>
        <sz val="11"/>
        <color theme="1"/>
        <rFont val="Times New Roman"/>
        <family val="1"/>
      </rPr>
      <t>s</t>
    </r>
    <r>
      <rPr>
        <vertAlign val="subscript"/>
        <sz val="11"/>
        <color theme="1"/>
        <rFont val="游ゴシック"/>
        <family val="1"/>
        <charset val="128"/>
      </rPr>
      <t>a</t>
    </r>
    <phoneticPr fontId="3"/>
  </si>
  <si>
    <t>3-2. 掘削完了時</t>
    <rPh sb="5" eb="7">
      <t>クッサク</t>
    </rPh>
    <rPh sb="7" eb="9">
      <t>カンリョウ</t>
    </rPh>
    <rPh sb="9" eb="10">
      <t>ジ</t>
    </rPh>
    <phoneticPr fontId="3"/>
  </si>
  <si>
    <t>3-2-1. 仮想支持点の計算</t>
    <rPh sb="7" eb="9">
      <t>カソウ</t>
    </rPh>
    <rPh sb="9" eb="11">
      <t>シジ</t>
    </rPh>
    <rPh sb="11" eb="12">
      <t>テン</t>
    </rPh>
    <rPh sb="13" eb="15">
      <t>ケイサン</t>
    </rPh>
    <phoneticPr fontId="3"/>
  </si>
  <si>
    <t>最下段切ばりから、下方向にある仮想支持点までの距離は、下式により算出する。</t>
    <rPh sb="0" eb="3">
      <t>サイゲダン</t>
    </rPh>
    <rPh sb="3" eb="4">
      <t>キリ</t>
    </rPh>
    <rPh sb="9" eb="12">
      <t>シタホウコウ</t>
    </rPh>
    <rPh sb="15" eb="17">
      <t>カソウ</t>
    </rPh>
    <rPh sb="17" eb="19">
      <t>シジ</t>
    </rPh>
    <rPh sb="19" eb="20">
      <t>テン</t>
    </rPh>
    <rPh sb="23" eb="25">
      <t>キョリ</t>
    </rPh>
    <rPh sb="27" eb="28">
      <t>シタ</t>
    </rPh>
    <rPh sb="28" eb="29">
      <t>シキ</t>
    </rPh>
    <rPh sb="32" eb="34">
      <t>サンシュツ</t>
    </rPh>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</si>
  <si>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3</t>
    </r>
    <r>
      <rPr>
        <sz val="11"/>
        <color theme="1"/>
        <rFont val="游ゴシック"/>
        <family val="2"/>
        <scheme val="minor"/>
      </rPr>
      <t>+</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</si>
  <si>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2</t>
    </r>
    <r>
      <rPr>
        <sz val="11"/>
        <color theme="1"/>
        <rFont val="游ゴシック"/>
        <family val="2"/>
        <scheme val="minor"/>
      </rPr>
      <t>+</t>
    </r>
    <phoneticPr fontId="3"/>
  </si>
  <si>
    <t>^3</t>
    <phoneticPr fontId="3"/>
  </si>
  <si>
    <t>^2</t>
    <phoneticPr fontId="3"/>
  </si>
  <si>
    <r>
      <t>y</t>
    </r>
    <r>
      <rPr>
        <i/>
        <vertAlign val="subscript"/>
        <sz val="11"/>
        <color theme="1"/>
        <rFont val="Times New Roman"/>
        <family val="1"/>
      </rPr>
      <t>p</t>
    </r>
    <phoneticPr fontId="3"/>
  </si>
  <si>
    <t>仮想支持点の最小値は、「掘削底面以深75cm（H11道仮p91）」であるが、</t>
    <rPh sb="0" eb="2">
      <t>カソウ</t>
    </rPh>
    <rPh sb="2" eb="4">
      <t>シジ</t>
    </rPh>
    <rPh sb="4" eb="5">
      <t>テン</t>
    </rPh>
    <rPh sb="6" eb="9">
      <t>サイショウチ</t>
    </rPh>
    <rPh sb="12" eb="14">
      <t>クッサク</t>
    </rPh>
    <rPh sb="14" eb="15">
      <t>ソコ</t>
    </rPh>
    <rPh sb="15" eb="16">
      <t>メン</t>
    </rPh>
    <rPh sb="16" eb="18">
      <t>イシン</t>
    </rPh>
    <rPh sb="26" eb="27">
      <t>ミチ</t>
    </rPh>
    <rPh sb="27" eb="28">
      <t>カリ</t>
    </rPh>
    <phoneticPr fontId="3"/>
  </si>
  <si>
    <t>なので</t>
    <phoneticPr fontId="3"/>
  </si>
  <si>
    <t>3-2-2. 最大曲げモーメントの計算</t>
    <rPh sb="7" eb="9">
      <t>サイダイ</t>
    </rPh>
    <rPh sb="9" eb="10">
      <t>マ</t>
    </rPh>
    <rPh sb="17" eb="19">
      <t>ケイサン</t>
    </rPh>
    <phoneticPr fontId="3"/>
  </si>
  <si>
    <t>H11道仮p36</t>
    <phoneticPr fontId="3"/>
  </si>
  <si>
    <t>土の平均単位体積重量は、</t>
    <rPh sb="0" eb="1">
      <t>ツチ</t>
    </rPh>
    <rPh sb="2" eb="4">
      <t>ヘイキン</t>
    </rPh>
    <rPh sb="4" eb="6">
      <t>タンイ</t>
    </rPh>
    <rPh sb="6" eb="8">
      <t>タイセキ</t>
    </rPh>
    <rPh sb="8" eb="10">
      <t>ジュウリョウ</t>
    </rPh>
    <phoneticPr fontId="3"/>
  </si>
  <si>
    <t>地質による係数は、主たる土質が</t>
    <rPh sb="0" eb="2">
      <t>チシツ</t>
    </rPh>
    <rPh sb="5" eb="7">
      <t>ケイスウ</t>
    </rPh>
    <rPh sb="9" eb="10">
      <t>シュ</t>
    </rPh>
    <rPh sb="12" eb="14">
      <t>ドシツ</t>
    </rPh>
    <phoneticPr fontId="3"/>
  </si>
  <si>
    <t>よって、主働土圧は</t>
    <rPh sb="4" eb="6">
      <t>シュドウ</t>
    </rPh>
    <rPh sb="6" eb="8">
      <t>ドアツ</t>
    </rPh>
    <phoneticPr fontId="3"/>
  </si>
  <si>
    <t>なお、地表面での上載荷重は、平均単位体積重量を</t>
    <rPh sb="3" eb="6">
      <t>チヒョウメン</t>
    </rPh>
    <rPh sb="8" eb="9">
      <t>ウエ</t>
    </rPh>
    <rPh sb="9" eb="10">
      <t>サイ</t>
    </rPh>
    <rPh sb="10" eb="12">
      <t>カジュウ</t>
    </rPh>
    <rPh sb="14" eb="16">
      <t>ヘイキン</t>
    </rPh>
    <rPh sb="16" eb="18">
      <t>タンイ</t>
    </rPh>
    <rPh sb="18" eb="20">
      <t>タイセキ</t>
    </rPh>
    <rPh sb="20" eb="22">
      <t>ジュウリョウ</t>
    </rPh>
    <phoneticPr fontId="3"/>
  </si>
  <si>
    <t>用いて「厚さ」に換算する。</t>
    <phoneticPr fontId="3"/>
  </si>
  <si>
    <t>断面力の算定は、最下段の切ばりと仮想支持点を支点とする単純ばりとして計算する</t>
    <rPh sb="0" eb="3">
      <t>ダンメンリョク</t>
    </rPh>
    <rPh sb="4" eb="6">
      <t>サンテイ</t>
    </rPh>
    <rPh sb="8" eb="11">
      <t>サイゲダン</t>
    </rPh>
    <rPh sb="12" eb="13">
      <t>キ</t>
    </rPh>
    <rPh sb="16" eb="18">
      <t>カソウ</t>
    </rPh>
    <rPh sb="18" eb="21">
      <t>シジテン</t>
    </rPh>
    <rPh sb="22" eb="24">
      <t>シテン</t>
    </rPh>
    <rPh sb="27" eb="29">
      <t>タンジュン</t>
    </rPh>
    <rPh sb="34" eb="36">
      <t>ケイサン</t>
    </rPh>
    <phoneticPr fontId="3"/>
  </si>
  <si>
    <t>　最大曲げモーメントは、「2-2層」で発生すると想定されるので、A点から下方向に距離 「x」 を定義し、その「x」から上部方向における曲げモーメントを計算する。</t>
    <rPh sb="1" eb="3">
      <t>サイダイ</t>
    </rPh>
    <rPh sb="3" eb="4">
      <t>マ</t>
    </rPh>
    <rPh sb="16" eb="17">
      <t>ソウ</t>
    </rPh>
    <rPh sb="19" eb="21">
      <t>ハッセイ</t>
    </rPh>
    <rPh sb="24" eb="26">
      <t>ソウテイ</t>
    </rPh>
    <rPh sb="33" eb="34">
      <t>テン</t>
    </rPh>
    <rPh sb="36" eb="39">
      <t>シタホウコウ</t>
    </rPh>
    <rPh sb="40" eb="42">
      <t>キョリ</t>
    </rPh>
    <rPh sb="48" eb="50">
      <t>テイギ</t>
    </rPh>
    <rPh sb="59" eb="61">
      <t>ジョウブ</t>
    </rPh>
    <rPh sb="61" eb="63">
      <t>ホウコウ</t>
    </rPh>
    <rPh sb="67" eb="68">
      <t>マ</t>
    </rPh>
    <rPh sb="75" eb="77">
      <t>ケイサン</t>
    </rPh>
    <phoneticPr fontId="3"/>
  </si>
  <si>
    <t>3-2-3. 曲げ応力度の照査</t>
    <rPh sb="7" eb="8">
      <t>マ</t>
    </rPh>
    <rPh sb="9" eb="12">
      <t>オウリョクド</t>
    </rPh>
    <rPh sb="13" eb="15">
      <t>ショウサ</t>
    </rPh>
    <phoneticPr fontId="3"/>
  </si>
  <si>
    <t>親杭に発生する最大曲げ応力度が、許容応力度以下であれば「OK」と判定し、「4. 横矢板の計算」に進む。</t>
    <rPh sb="0" eb="2">
      <t>オヤクイ</t>
    </rPh>
    <rPh sb="3" eb="5">
      <t>ハッセイ</t>
    </rPh>
    <rPh sb="7" eb="9">
      <t>サイダイ</t>
    </rPh>
    <rPh sb="9" eb="10">
      <t>マ</t>
    </rPh>
    <rPh sb="11" eb="13">
      <t>オウリョク</t>
    </rPh>
    <rPh sb="13" eb="14">
      <t>ド</t>
    </rPh>
    <rPh sb="16" eb="18">
      <t>キョヨウ</t>
    </rPh>
    <rPh sb="18" eb="20">
      <t>オウリョク</t>
    </rPh>
    <rPh sb="20" eb="21">
      <t>ド</t>
    </rPh>
    <rPh sb="21" eb="23">
      <t>イカ</t>
    </rPh>
    <rPh sb="32" eb="34">
      <t>ハンテイ</t>
    </rPh>
    <rPh sb="40" eb="43">
      <t>ヨコヤイタ</t>
    </rPh>
    <rPh sb="44" eb="46">
      <t>ケイサン</t>
    </rPh>
    <rPh sb="48" eb="49">
      <t>スス</t>
    </rPh>
    <phoneticPr fontId="3"/>
  </si>
  <si>
    <r>
      <t>σ</t>
    </r>
    <r>
      <rPr>
        <vertAlign val="subscript"/>
        <sz val="11"/>
        <color theme="1"/>
        <rFont val="Times New Roman"/>
        <family val="1"/>
      </rPr>
      <t>max</t>
    </r>
    <r>
      <rPr>
        <sz val="11"/>
        <color theme="1"/>
        <rFont val="Yu Gothic"/>
        <family val="1"/>
        <charset val="128"/>
      </rPr>
      <t>：鋼矢板に発生する最大曲げ応力度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6">
      <t>ハガネ</t>
    </rPh>
    <rPh sb="6" eb="8">
      <t>ヤイタ</t>
    </rPh>
    <rPh sb="9" eb="11">
      <t>ハッセイ</t>
    </rPh>
    <rPh sb="13" eb="15">
      <t>サイダイ</t>
    </rPh>
    <rPh sb="15" eb="16">
      <t>マ</t>
    </rPh>
    <rPh sb="17" eb="20">
      <t>オウリョクド</t>
    </rPh>
    <phoneticPr fontId="3"/>
  </si>
  <si>
    <t>4.横矢板の計算</t>
    <rPh sb="2" eb="3">
      <t>ヨコ</t>
    </rPh>
    <rPh sb="3" eb="5">
      <t>ヤイタ</t>
    </rPh>
    <rPh sb="6" eb="8">
      <t>ケイサン</t>
    </rPh>
    <phoneticPr fontId="3"/>
  </si>
  <si>
    <t>H11道仮p110</t>
    <phoneticPr fontId="3"/>
  </si>
  <si>
    <t>横矢板は等分布荷重が作用する単純ばりとして計算を行う</t>
    <rPh sb="0" eb="2">
      <t>ヨコヤイタ</t>
    </rPh>
    <rPh sb="3" eb="6">
      <t>トウブンプ</t>
    </rPh>
    <rPh sb="6" eb="8">
      <t>カジュウ</t>
    </rPh>
    <rPh sb="9" eb="11">
      <t>サヨウ</t>
    </rPh>
    <rPh sb="13" eb="15">
      <t>タンジュン</t>
    </rPh>
    <rPh sb="15" eb="16">
      <t>ハリ</t>
    </rPh>
    <rPh sb="20" eb="22">
      <t>ケイサン</t>
    </rPh>
    <rPh sb="23" eb="24">
      <t>オコナ</t>
    </rPh>
    <phoneticPr fontId="3"/>
  </si>
  <si>
    <t>4-1. 土圧強度とスパン</t>
    <rPh sb="5" eb="7">
      <t>ドアツ</t>
    </rPh>
    <rPh sb="7" eb="9">
      <t>キョウド</t>
    </rPh>
    <phoneticPr fontId="3"/>
  </si>
  <si>
    <t>土圧強度 ω</t>
    <rPh sb="0" eb="2">
      <t>ドアツ</t>
    </rPh>
    <rPh sb="2" eb="4">
      <t>キョウド</t>
    </rPh>
    <phoneticPr fontId="3"/>
  </si>
  <si>
    <t>「3-2. 掘削完了時」の主働土圧より算出する。</t>
    <rPh sb="6" eb="8">
      <t>クッサク</t>
    </rPh>
    <rPh sb="8" eb="11">
      <t>カンリョウジ</t>
    </rPh>
    <rPh sb="13" eb="15">
      <t>シュドウ</t>
    </rPh>
    <rPh sb="15" eb="17">
      <t>ドアツ</t>
    </rPh>
    <rPh sb="19" eb="21">
      <t>サンシュツ</t>
    </rPh>
    <phoneticPr fontId="3"/>
  </si>
  <si>
    <t>ω</t>
    <phoneticPr fontId="3"/>
  </si>
  <si>
    <t>kN/m²</t>
    <phoneticPr fontId="3"/>
  </si>
  <si>
    <t>親杭間隔</t>
    <rPh sb="0" eb="4">
      <t>オヤクイカンカク</t>
    </rPh>
    <phoneticPr fontId="3"/>
  </si>
  <si>
    <r>
      <t xml:space="preserve">スパン ℓ₂：親杭間隔 </t>
    </r>
    <r>
      <rPr>
        <i/>
        <sz val="11"/>
        <rFont val="Times New Roman"/>
        <family val="1"/>
      </rPr>
      <t>a</t>
    </r>
    <r>
      <rPr>
        <sz val="11"/>
        <rFont val="游ゴシック"/>
        <family val="2"/>
        <scheme val="minor"/>
      </rPr>
      <t xml:space="preserve">より、両端それぞれ </t>
    </r>
    <r>
      <rPr>
        <i/>
        <sz val="11"/>
        <rFont val="Times New Roman"/>
        <family val="1"/>
      </rPr>
      <t>B</t>
    </r>
    <r>
      <rPr>
        <sz val="11"/>
        <rFont val="游ゴシック"/>
        <family val="2"/>
        <scheme val="minor"/>
      </rPr>
      <t>/2を差し引く長さとする。</t>
    </r>
    <rPh sb="7" eb="8">
      <t>オヤ</t>
    </rPh>
    <rPh sb="8" eb="9">
      <t>クイ</t>
    </rPh>
    <rPh sb="9" eb="11">
      <t>カンカク</t>
    </rPh>
    <rPh sb="16" eb="18">
      <t>リョウタン</t>
    </rPh>
    <rPh sb="27" eb="28">
      <t>サ</t>
    </rPh>
    <rPh sb="29" eb="30">
      <t>ヒ</t>
    </rPh>
    <rPh sb="31" eb="32">
      <t>ナガ</t>
    </rPh>
    <phoneticPr fontId="3"/>
  </si>
  <si>
    <r>
      <t xml:space="preserve">土留め板の深さ方向の単位幅 </t>
    </r>
    <r>
      <rPr>
        <i/>
        <sz val="11"/>
        <rFont val="Times New Roman"/>
        <family val="1"/>
      </rPr>
      <t>b</t>
    </r>
    <r>
      <rPr>
        <i/>
        <vertAlign val="subscript"/>
        <sz val="11"/>
        <rFont val="Times New Roman"/>
        <family val="1"/>
      </rPr>
      <t>w</t>
    </r>
    <r>
      <rPr>
        <sz val="11"/>
        <rFont val="游ゴシック"/>
        <family val="2"/>
        <scheme val="minor"/>
      </rPr>
      <t>は下記のとおりとする。</t>
    </r>
    <rPh sb="0" eb="2">
      <t>ドド</t>
    </rPh>
    <rPh sb="3" eb="4">
      <t>イタ</t>
    </rPh>
    <rPh sb="5" eb="6">
      <t>フカ</t>
    </rPh>
    <rPh sb="7" eb="9">
      <t>ホウコウ</t>
    </rPh>
    <rPh sb="10" eb="12">
      <t>タンイ</t>
    </rPh>
    <rPh sb="12" eb="13">
      <t>ハバ</t>
    </rPh>
    <rPh sb="17" eb="19">
      <t>カキ</t>
    </rPh>
    <phoneticPr fontId="3"/>
  </si>
  <si>
    <t>H11道仮p111</t>
    <phoneticPr fontId="3"/>
  </si>
  <si>
    <r>
      <t>b</t>
    </r>
    <r>
      <rPr>
        <i/>
        <vertAlign val="subscript"/>
        <sz val="11"/>
        <color theme="1"/>
        <rFont val="Times New Roman"/>
        <family val="1"/>
      </rPr>
      <t>w</t>
    </r>
    <phoneticPr fontId="3"/>
  </si>
  <si>
    <t>4-2. 必要板厚の計算</t>
    <rPh sb="5" eb="7">
      <t>ヒツヨウ</t>
    </rPh>
    <rPh sb="7" eb="9">
      <t>イタアツ</t>
    </rPh>
    <rPh sb="10" eb="12">
      <t>ケイサン</t>
    </rPh>
    <phoneticPr fontId="3"/>
  </si>
  <si>
    <r>
      <t>土留め板の作用モーメント　</t>
    </r>
    <r>
      <rPr>
        <i/>
        <sz val="11"/>
        <rFont val="Times New Roman"/>
        <family val="1"/>
      </rPr>
      <t>M</t>
    </r>
    <r>
      <rPr>
        <i/>
        <vertAlign val="subscript"/>
        <sz val="11"/>
        <rFont val="Times New Roman"/>
        <family val="1"/>
      </rPr>
      <t>w</t>
    </r>
    <r>
      <rPr>
        <sz val="11"/>
        <rFont val="游ゴシック"/>
        <family val="2"/>
        <scheme val="minor"/>
      </rPr>
      <t>　は単純張りに作用する分布荷重の公式より</t>
    </r>
    <rPh sb="0" eb="2">
      <t>ドド</t>
    </rPh>
    <rPh sb="3" eb="4">
      <t>イタ</t>
    </rPh>
    <rPh sb="5" eb="7">
      <t>サヨウ</t>
    </rPh>
    <phoneticPr fontId="3"/>
  </si>
  <si>
    <r>
      <t>M</t>
    </r>
    <r>
      <rPr>
        <i/>
        <vertAlign val="subscript"/>
        <sz val="11"/>
        <color theme="1"/>
        <rFont val="Times New Roman"/>
        <family val="1"/>
      </rPr>
      <t>w</t>
    </r>
    <phoneticPr fontId="3"/>
  </si>
  <si>
    <t>・ω・ℓ₂²</t>
    <phoneticPr fontId="3"/>
  </si>
  <si>
    <r>
      <t xml:space="preserve">必要板厚 </t>
    </r>
    <r>
      <rPr>
        <i/>
        <sz val="11"/>
        <rFont val="Times New Roman"/>
        <family val="1"/>
      </rPr>
      <t>t</t>
    </r>
    <r>
      <rPr>
        <sz val="11"/>
        <rFont val="游ゴシック"/>
        <family val="2"/>
        <scheme val="minor"/>
      </rPr>
      <t>は次式により求める。ただし、最小板厚は30mmとする。</t>
    </r>
    <rPh sb="0" eb="2">
      <t>ヒツヨウ</t>
    </rPh>
    <rPh sb="2" eb="4">
      <t>イタアツ</t>
    </rPh>
    <rPh sb="7" eb="9">
      <t>ジシキ</t>
    </rPh>
    <rPh sb="12" eb="13">
      <t>モト</t>
    </rPh>
    <rPh sb="20" eb="22">
      <t>サイショウ</t>
    </rPh>
    <rPh sb="22" eb="24">
      <t>イタアツ</t>
    </rPh>
    <phoneticPr fontId="3"/>
  </si>
  <si>
    <r>
      <t>6・</t>
    </r>
    <r>
      <rPr>
        <i/>
        <sz val="11"/>
        <rFont val="Times New Roman"/>
        <family val="1"/>
      </rPr>
      <t>M</t>
    </r>
    <r>
      <rPr>
        <i/>
        <vertAlign val="subscript"/>
        <sz val="11"/>
        <rFont val="Times New Roman"/>
        <family val="1"/>
      </rPr>
      <t>w</t>
    </r>
    <phoneticPr fontId="3"/>
  </si>
  <si>
    <r>
      <rPr>
        <i/>
        <sz val="11"/>
        <rFont val="Times New Roman"/>
        <family val="1"/>
      </rPr>
      <t>b</t>
    </r>
    <r>
      <rPr>
        <i/>
        <vertAlign val="subscript"/>
        <sz val="11"/>
        <rFont val="Times New Roman"/>
        <family val="1"/>
      </rPr>
      <t>w</t>
    </r>
    <r>
      <rPr>
        <sz val="11"/>
        <rFont val="游ゴシック"/>
        <family val="2"/>
        <scheme val="minor"/>
      </rPr>
      <t>・σ</t>
    </r>
    <r>
      <rPr>
        <i/>
        <vertAlign val="subscript"/>
        <sz val="11"/>
        <rFont val="Times New Roman"/>
        <family val="1"/>
      </rPr>
      <t>w</t>
    </r>
    <r>
      <rPr>
        <i/>
        <vertAlign val="subscript"/>
        <sz val="8"/>
        <rFont val="Times New Roman"/>
        <family val="1"/>
      </rPr>
      <t>a</t>
    </r>
    <phoneticPr fontId="3"/>
  </si>
  <si>
    <t>4-3. せん断応力度の照査</t>
    <rPh sb="8" eb="10">
      <t>オウリョク</t>
    </rPh>
    <rPh sb="10" eb="11">
      <t>ド</t>
    </rPh>
    <rPh sb="12" eb="14">
      <t>ショウサ</t>
    </rPh>
    <phoneticPr fontId="3"/>
  </si>
  <si>
    <r>
      <t>Q</t>
    </r>
    <r>
      <rPr>
        <i/>
        <vertAlign val="subscript"/>
        <sz val="11"/>
        <color theme="1"/>
        <rFont val="Times New Roman"/>
        <family val="1"/>
      </rPr>
      <t>w</t>
    </r>
    <phoneticPr fontId="3"/>
  </si>
  <si>
    <t>・ω・ℓ₂</t>
    <phoneticPr fontId="3"/>
  </si>
  <si>
    <t>照査</t>
    <rPh sb="0" eb="2">
      <t>ショウサ</t>
    </rPh>
    <phoneticPr fontId="3"/>
  </si>
  <si>
    <t>τ</t>
    <phoneticPr fontId="3"/>
  </si>
  <si>
    <r>
      <t>Q</t>
    </r>
    <r>
      <rPr>
        <i/>
        <vertAlign val="subscript"/>
        <sz val="11"/>
        <rFont val="Times New Roman"/>
        <family val="1"/>
      </rPr>
      <t>w</t>
    </r>
    <phoneticPr fontId="3"/>
  </si>
  <si>
    <r>
      <t>b</t>
    </r>
    <r>
      <rPr>
        <i/>
        <sz val="11"/>
        <rFont val="Yu Gothic"/>
        <family val="2"/>
      </rPr>
      <t>・</t>
    </r>
    <r>
      <rPr>
        <i/>
        <sz val="11"/>
        <rFont val="Times New Roman"/>
        <family val="1"/>
      </rPr>
      <t>t</t>
    </r>
    <phoneticPr fontId="3"/>
  </si>
  <si>
    <r>
      <t>τ</t>
    </r>
    <r>
      <rPr>
        <i/>
        <vertAlign val="subscript"/>
        <sz val="11"/>
        <rFont val="Times New Roman"/>
        <family val="1"/>
      </rPr>
      <t>wa</t>
    </r>
    <phoneticPr fontId="3"/>
  </si>
  <si>
    <t>5. 腹起しの設計</t>
    <rPh sb="3" eb="5">
      <t>ハラオコ</t>
    </rPh>
    <rPh sb="7" eb="9">
      <t>セッケイ</t>
    </rPh>
    <phoneticPr fontId="3"/>
  </si>
  <si>
    <t>H11道仮p116</t>
    <phoneticPr fontId="3"/>
  </si>
  <si>
    <t>5-1. 荷重の計算</t>
    <rPh sb="5" eb="7">
      <t>カジュウ</t>
    </rPh>
    <rPh sb="8" eb="10">
      <t>ケイサン</t>
    </rPh>
    <phoneticPr fontId="3"/>
  </si>
  <si>
    <t>　支保工の設計に用いる荷重は、断面決定用土圧と水圧とし、最終掘削状態において各段の支保工に下方分担法により作用させる。</t>
    <rPh sb="1" eb="4">
      <t>シホコウ</t>
    </rPh>
    <rPh sb="5" eb="7">
      <t>セッケイ</t>
    </rPh>
    <rPh sb="8" eb="9">
      <t>モチ</t>
    </rPh>
    <rPh sb="11" eb="13">
      <t>カジュウ</t>
    </rPh>
    <rPh sb="15" eb="17">
      <t>ダンメン</t>
    </rPh>
    <rPh sb="17" eb="19">
      <t>ケッテイ</t>
    </rPh>
    <rPh sb="19" eb="20">
      <t>ヨウ</t>
    </rPh>
    <rPh sb="20" eb="22">
      <t>ドアツ</t>
    </rPh>
    <rPh sb="23" eb="25">
      <t>スイアツ</t>
    </rPh>
    <rPh sb="28" eb="30">
      <t>サイシュウ</t>
    </rPh>
    <rPh sb="30" eb="32">
      <t>クッサク</t>
    </rPh>
    <rPh sb="32" eb="34">
      <t>ジョウタイ</t>
    </rPh>
    <rPh sb="38" eb="39">
      <t>カク</t>
    </rPh>
    <rPh sb="39" eb="40">
      <t>ダン</t>
    </rPh>
    <rPh sb="41" eb="44">
      <t>シホコウ</t>
    </rPh>
    <rPh sb="45" eb="47">
      <t>カホウ</t>
    </rPh>
    <rPh sb="47" eb="50">
      <t>ブンタンホウ</t>
    </rPh>
    <rPh sb="53" eb="55">
      <t>サヨウ</t>
    </rPh>
    <phoneticPr fontId="3"/>
  </si>
  <si>
    <t>0層</t>
    <rPh sb="1" eb="2">
      <t>ソウ</t>
    </rPh>
    <phoneticPr fontId="3"/>
  </si>
  <si>
    <t>Σ</t>
    <phoneticPr fontId="3"/>
  </si>
  <si>
    <t>よって、上段の「単位長さあたりの支保工反力」は</t>
    <rPh sb="4" eb="6">
      <t>ジョウダン</t>
    </rPh>
    <rPh sb="8" eb="10">
      <t>タンイ</t>
    </rPh>
    <rPh sb="10" eb="11">
      <t>ナガ</t>
    </rPh>
    <rPh sb="16" eb="19">
      <t>シホコウ</t>
    </rPh>
    <rPh sb="19" eb="21">
      <t>ハンリョク</t>
    </rPh>
    <phoneticPr fontId="3"/>
  </si>
  <si>
    <r>
      <t>R</t>
    </r>
    <r>
      <rPr>
        <vertAlign val="subscript"/>
        <sz val="11"/>
        <color theme="1"/>
        <rFont val="游ゴシック"/>
        <family val="3"/>
        <charset val="128"/>
        <scheme val="minor"/>
      </rPr>
      <t>1</t>
    </r>
    <phoneticPr fontId="3"/>
  </si>
  <si>
    <t>kN/m</t>
    <phoneticPr fontId="3"/>
  </si>
  <si>
    <t>よって、下段の「単位長さあたりの支保工反力」は</t>
    <rPh sb="4" eb="6">
      <t>カダン</t>
    </rPh>
    <rPh sb="8" eb="10">
      <t>タンイ</t>
    </rPh>
    <rPh sb="10" eb="11">
      <t>ナガ</t>
    </rPh>
    <rPh sb="16" eb="19">
      <t>シホコウ</t>
    </rPh>
    <rPh sb="19" eb="21">
      <t>ハンリョク</t>
    </rPh>
    <phoneticPr fontId="3"/>
  </si>
  <si>
    <r>
      <t>R</t>
    </r>
    <r>
      <rPr>
        <vertAlign val="subscript"/>
        <sz val="11"/>
        <color theme="1"/>
        <rFont val="游ゴシック"/>
        <family val="3"/>
        <charset val="128"/>
        <scheme val="minor"/>
      </rPr>
      <t>2</t>
    </r>
    <phoneticPr fontId="3"/>
  </si>
  <si>
    <t>5-2. 断面力の計算</t>
    <rPh sb="5" eb="8">
      <t>ダンメンリョク</t>
    </rPh>
    <rPh sb="9" eb="11">
      <t>ケイサン</t>
    </rPh>
    <phoneticPr fontId="3"/>
  </si>
  <si>
    <t>H11道仮p118,119</t>
    <phoneticPr fontId="3"/>
  </si>
  <si>
    <t>(1) 諸条件の計算</t>
    <rPh sb="4" eb="7">
      <t>ショジョウケン</t>
    </rPh>
    <rPh sb="8" eb="10">
      <t>ケイサン</t>
    </rPh>
    <phoneticPr fontId="3"/>
  </si>
  <si>
    <r>
      <t>　腹起しを設計する際の荷重の載荷方法は、単位長さ当りの支保工反力R</t>
    </r>
    <r>
      <rPr>
        <vertAlign val="subscript"/>
        <sz val="11"/>
        <color theme="1"/>
        <rFont val="游ゴシック"/>
        <family val="3"/>
        <charset val="128"/>
        <scheme val="minor"/>
      </rPr>
      <t>1</t>
    </r>
    <r>
      <rPr>
        <sz val="11"/>
        <color theme="1"/>
        <rFont val="游ゴシック"/>
        <family val="2"/>
        <scheme val="minor"/>
      </rPr>
      <t>を等分布荷重として載荷する。そして、切ばりの水平間隔Bから火打ちを差し引いた長さを支間（スパン）とする単純ばりとして断面力を計算する。</t>
    </r>
    <rPh sb="1" eb="3">
      <t>ハラオコ</t>
    </rPh>
    <rPh sb="5" eb="7">
      <t>セッケイ</t>
    </rPh>
    <rPh sb="9" eb="10">
      <t>サイ</t>
    </rPh>
    <rPh sb="11" eb="13">
      <t>カジュウ</t>
    </rPh>
    <rPh sb="14" eb="16">
      <t>サイカ</t>
    </rPh>
    <rPh sb="15" eb="16">
      <t>ニ</t>
    </rPh>
    <rPh sb="16" eb="18">
      <t>ホウホウ</t>
    </rPh>
    <rPh sb="20" eb="22">
      <t>タンイ</t>
    </rPh>
    <rPh sb="22" eb="23">
      <t>ナガ</t>
    </rPh>
    <rPh sb="24" eb="25">
      <t>アタ</t>
    </rPh>
    <rPh sb="27" eb="30">
      <t>シホコウ</t>
    </rPh>
    <rPh sb="30" eb="32">
      <t>ハンリョク</t>
    </rPh>
    <rPh sb="35" eb="38">
      <t>トウブンプ</t>
    </rPh>
    <rPh sb="38" eb="40">
      <t>カジュウ</t>
    </rPh>
    <rPh sb="43" eb="45">
      <t>サイカ</t>
    </rPh>
    <rPh sb="52" eb="53">
      <t>キリ</t>
    </rPh>
    <rPh sb="56" eb="58">
      <t>スイヘイ</t>
    </rPh>
    <rPh sb="58" eb="60">
      <t>カンカク</t>
    </rPh>
    <rPh sb="63" eb="65">
      <t>ヒウ</t>
    </rPh>
    <rPh sb="67" eb="68">
      <t>サ</t>
    </rPh>
    <rPh sb="69" eb="70">
      <t>ヒ</t>
    </rPh>
    <rPh sb="72" eb="73">
      <t>ナガ</t>
    </rPh>
    <rPh sb="75" eb="77">
      <t>シカン</t>
    </rPh>
    <rPh sb="85" eb="87">
      <t>タンジュン</t>
    </rPh>
    <rPh sb="92" eb="94">
      <t>ダンメン</t>
    </rPh>
    <rPh sb="94" eb="95">
      <t>リョク</t>
    </rPh>
    <rPh sb="96" eb="98">
      <t>ケイサン</t>
    </rPh>
    <phoneticPr fontId="3"/>
  </si>
  <si>
    <t>切ばりの水平間隔</t>
    <rPh sb="0" eb="1">
      <t>キ</t>
    </rPh>
    <rPh sb="4" eb="6">
      <t>スイヘイ</t>
    </rPh>
    <rPh sb="6" eb="8">
      <t>カンカク</t>
    </rPh>
    <phoneticPr fontId="3"/>
  </si>
  <si>
    <t>火打ちの腹起し方向の幅</t>
    <rPh sb="0" eb="2">
      <t>ヒウ</t>
    </rPh>
    <rPh sb="4" eb="6">
      <t>ハラオコ</t>
    </rPh>
    <rPh sb="7" eb="9">
      <t>ホウコウ</t>
    </rPh>
    <rPh sb="10" eb="11">
      <t>ハバ</t>
    </rPh>
    <phoneticPr fontId="3"/>
  </si>
  <si>
    <t>火打ち間の幅</t>
    <rPh sb="0" eb="2">
      <t>ヒウ</t>
    </rPh>
    <rPh sb="3" eb="4">
      <t>アイダ</t>
    </rPh>
    <rPh sb="5" eb="6">
      <t>ハバ</t>
    </rPh>
    <phoneticPr fontId="3"/>
  </si>
  <si>
    <t>ℓ₁</t>
    <phoneticPr fontId="3"/>
  </si>
  <si>
    <t>火打ちの角度</t>
    <rPh sb="0" eb="2">
      <t>ヒウ</t>
    </rPh>
    <rPh sb="4" eb="6">
      <t>カクド</t>
    </rPh>
    <phoneticPr fontId="3"/>
  </si>
  <si>
    <t>よって、H11道仮p118より、支間は</t>
    <rPh sb="7" eb="8">
      <t>ミチ</t>
    </rPh>
    <rPh sb="8" eb="9">
      <t>カリ</t>
    </rPh>
    <phoneticPr fontId="3"/>
  </si>
  <si>
    <t>火打ちの腹起し方向の幅（妻部）</t>
    <rPh sb="0" eb="2">
      <t>ヒウ</t>
    </rPh>
    <rPh sb="4" eb="6">
      <t>ハラオコ</t>
    </rPh>
    <rPh sb="7" eb="9">
      <t>ホウコウ</t>
    </rPh>
    <rPh sb="10" eb="11">
      <t>ハバ</t>
    </rPh>
    <rPh sb="12" eb="13">
      <t>ツマ</t>
    </rPh>
    <rPh sb="13" eb="14">
      <t>ブ</t>
    </rPh>
    <phoneticPr fontId="3"/>
  </si>
  <si>
    <t>ℓ₄</t>
    <phoneticPr fontId="3"/>
  </si>
  <si>
    <t>火打ち間の幅（妻部）</t>
    <rPh sb="0" eb="2">
      <t>ヒウ</t>
    </rPh>
    <rPh sb="3" eb="4">
      <t>アイダ</t>
    </rPh>
    <rPh sb="5" eb="6">
      <t>ハバ</t>
    </rPh>
    <rPh sb="7" eb="8">
      <t>ツマ</t>
    </rPh>
    <rPh sb="8" eb="9">
      <t>ブ</t>
    </rPh>
    <phoneticPr fontId="3"/>
  </si>
  <si>
    <t>ℓ₃</t>
    <phoneticPr fontId="3"/>
  </si>
  <si>
    <t>軸力を考慮する腹起しの軸力分担幅は、</t>
    <rPh sb="0" eb="2">
      <t>ジクリョク</t>
    </rPh>
    <rPh sb="3" eb="5">
      <t>コウリョ</t>
    </rPh>
    <rPh sb="7" eb="9">
      <t>ハラオコ</t>
    </rPh>
    <rPh sb="11" eb="13">
      <t>ジクリョク</t>
    </rPh>
    <rPh sb="13" eb="15">
      <t>ブンタン</t>
    </rPh>
    <rPh sb="15" eb="16">
      <t>ハバ</t>
    </rPh>
    <phoneticPr fontId="3"/>
  </si>
  <si>
    <t>温度変化に伴う軸力増加は</t>
    <rPh sb="0" eb="2">
      <t>オンド</t>
    </rPh>
    <rPh sb="2" eb="4">
      <t>ヘンカ</t>
    </rPh>
    <rPh sb="5" eb="6">
      <t>トモナ</t>
    </rPh>
    <rPh sb="7" eb="9">
      <t>ジクリョク</t>
    </rPh>
    <rPh sb="9" eb="11">
      <t>ゾウカ</t>
    </rPh>
    <phoneticPr fontId="3"/>
  </si>
  <si>
    <t>ΔN</t>
    <phoneticPr fontId="3"/>
  </si>
  <si>
    <t>とする。</t>
    <phoneticPr fontId="3"/>
  </si>
  <si>
    <t>(2)上段</t>
    <phoneticPr fontId="3"/>
  </si>
  <si>
    <t>＜軸力＞</t>
    <rPh sb="1" eb="3">
      <t>ジクリョク</t>
    </rPh>
    <phoneticPr fontId="3"/>
  </si>
  <si>
    <r>
      <t>N</t>
    </r>
    <r>
      <rPr>
        <vertAlign val="subscript"/>
        <sz val="11"/>
        <color theme="1"/>
        <rFont val="游ゴシック"/>
        <family val="3"/>
        <charset val="128"/>
        <scheme val="minor"/>
      </rPr>
      <t>1</t>
    </r>
    <phoneticPr fontId="3"/>
  </si>
  <si>
    <r>
      <t>R</t>
    </r>
    <r>
      <rPr>
        <vertAlign val="subscript"/>
        <sz val="11"/>
        <color theme="1"/>
        <rFont val="Times New Roman"/>
        <family val="3"/>
      </rPr>
      <t>1</t>
    </r>
    <phoneticPr fontId="3"/>
  </si>
  <si>
    <t>＜最大曲げモーメント＞</t>
    <rPh sb="1" eb="3">
      <t>サイダイ</t>
    </rPh>
    <rPh sb="3" eb="4">
      <t>マ</t>
    </rPh>
    <phoneticPr fontId="3"/>
  </si>
  <si>
    <r>
      <t>M</t>
    </r>
    <r>
      <rPr>
        <vertAlign val="subscript"/>
        <sz val="11"/>
        <color theme="1"/>
        <rFont val="Times New Roman"/>
        <family val="1"/>
      </rPr>
      <t>max1</t>
    </r>
    <phoneticPr fontId="3"/>
  </si>
  <si>
    <r>
      <t>R</t>
    </r>
    <r>
      <rPr>
        <i/>
        <vertAlign val="subscript"/>
        <sz val="11"/>
        <color theme="1"/>
        <rFont val="Times New Roman"/>
        <family val="1"/>
      </rPr>
      <t>1</t>
    </r>
    <phoneticPr fontId="3"/>
  </si>
  <si>
    <t>2</t>
    <phoneticPr fontId="3"/>
  </si>
  <si>
    <t>＜最大せん断力＞</t>
    <rPh sb="1" eb="3">
      <t>サイダイ</t>
    </rPh>
    <rPh sb="5" eb="6">
      <t>ダン</t>
    </rPh>
    <rPh sb="6" eb="7">
      <t>チカラ</t>
    </rPh>
    <phoneticPr fontId="3"/>
  </si>
  <si>
    <r>
      <t>S</t>
    </r>
    <r>
      <rPr>
        <i/>
        <vertAlign val="subscript"/>
        <sz val="11"/>
        <color theme="1"/>
        <rFont val="Times New Roman"/>
        <family val="1"/>
      </rPr>
      <t>max1</t>
    </r>
    <phoneticPr fontId="3"/>
  </si>
  <si>
    <t>(3)下段</t>
    <rPh sb="3" eb="4">
      <t>シタ</t>
    </rPh>
    <phoneticPr fontId="3"/>
  </si>
  <si>
    <t>N₂</t>
    <phoneticPr fontId="3"/>
  </si>
  <si>
    <t>R₂</t>
    <phoneticPr fontId="3"/>
  </si>
  <si>
    <r>
      <t>M</t>
    </r>
    <r>
      <rPr>
        <vertAlign val="subscript"/>
        <sz val="11"/>
        <color theme="1"/>
        <rFont val="Times New Roman"/>
        <family val="1"/>
      </rPr>
      <t>max2</t>
    </r>
    <phoneticPr fontId="3"/>
  </si>
  <si>
    <r>
      <t>R</t>
    </r>
    <r>
      <rPr>
        <i/>
        <vertAlign val="subscript"/>
        <sz val="11"/>
        <color theme="1"/>
        <rFont val="Times New Roman"/>
        <family val="1"/>
      </rPr>
      <t>2</t>
    </r>
    <phoneticPr fontId="3"/>
  </si>
  <si>
    <r>
      <t>S</t>
    </r>
    <r>
      <rPr>
        <i/>
        <vertAlign val="subscript"/>
        <sz val="11"/>
        <color theme="1"/>
        <rFont val="Times New Roman"/>
        <family val="1"/>
      </rPr>
      <t>max2</t>
    </r>
    <phoneticPr fontId="3"/>
  </si>
  <si>
    <t>5-3. 応力度の照査(上段）</t>
    <rPh sb="5" eb="8">
      <t>オウリョクド</t>
    </rPh>
    <rPh sb="9" eb="11">
      <t>ショウサ</t>
    </rPh>
    <rPh sb="12" eb="14">
      <t>ジョウダン</t>
    </rPh>
    <phoneticPr fontId="3"/>
  </si>
  <si>
    <t>H11道仮p121</t>
    <phoneticPr fontId="3"/>
  </si>
  <si>
    <t>(1) 安定の照査</t>
    <rPh sb="4" eb="6">
      <t>アンテイ</t>
    </rPh>
    <rPh sb="7" eb="9">
      <t>ショウサ</t>
    </rPh>
    <phoneticPr fontId="3"/>
  </si>
  <si>
    <t>H11道仮p122, 50</t>
    <phoneticPr fontId="3"/>
  </si>
  <si>
    <t>照査は、H11道仮p50に掲載されている２つの照査式で行う。</t>
    <rPh sb="0" eb="2">
      <t>ショウサ</t>
    </rPh>
    <rPh sb="7" eb="8">
      <t>ミチ</t>
    </rPh>
    <rPh sb="8" eb="9">
      <t>カリ</t>
    </rPh>
    <rPh sb="13" eb="15">
      <t>ケイサイ</t>
    </rPh>
    <rPh sb="23" eb="25">
      <t>ショウサ</t>
    </rPh>
    <rPh sb="25" eb="26">
      <t>シキ</t>
    </rPh>
    <rPh sb="27" eb="28">
      <t>オコナ</t>
    </rPh>
    <phoneticPr fontId="3"/>
  </si>
  <si>
    <t>照査式(2-6-1)</t>
    <rPh sb="0" eb="2">
      <t>ショウサ</t>
    </rPh>
    <rPh sb="2" eb="3">
      <t>シキ</t>
    </rPh>
    <phoneticPr fontId="3"/>
  </si>
  <si>
    <r>
      <t>σ</t>
    </r>
    <r>
      <rPr>
        <i/>
        <vertAlign val="subscript"/>
        <sz val="11"/>
        <color theme="1"/>
        <rFont val="Times New Roman"/>
        <family val="1"/>
      </rPr>
      <t>c</t>
    </r>
    <phoneticPr fontId="3"/>
  </si>
  <si>
    <r>
      <t>σ</t>
    </r>
    <r>
      <rPr>
        <i/>
        <vertAlign val="subscript"/>
        <sz val="11"/>
        <color theme="1"/>
        <rFont val="Times New Roman"/>
        <family val="1"/>
      </rPr>
      <t>bcy</t>
    </r>
    <phoneticPr fontId="3"/>
  </si>
  <si>
    <r>
      <t>σ</t>
    </r>
    <r>
      <rPr>
        <i/>
        <vertAlign val="subscript"/>
        <sz val="11"/>
        <color theme="1"/>
        <rFont val="Times New Roman"/>
        <family val="1"/>
      </rPr>
      <t>bcz</t>
    </r>
    <phoneticPr fontId="3"/>
  </si>
  <si>
    <t>≦</t>
    <phoneticPr fontId="3"/>
  </si>
  <si>
    <r>
      <t>σ</t>
    </r>
    <r>
      <rPr>
        <i/>
        <vertAlign val="subscript"/>
        <sz val="11"/>
        <color theme="1"/>
        <rFont val="Times New Roman"/>
        <family val="1"/>
      </rPr>
      <t>caz</t>
    </r>
    <phoneticPr fontId="3"/>
  </si>
  <si>
    <r>
      <t>σ</t>
    </r>
    <r>
      <rPr>
        <i/>
        <vertAlign val="subscript"/>
        <sz val="11"/>
        <color theme="1"/>
        <rFont val="Times New Roman"/>
        <family val="1"/>
      </rPr>
      <t>bagy</t>
    </r>
    <phoneticPr fontId="3"/>
  </si>
  <si>
    <t>(1</t>
    <phoneticPr fontId="3"/>
  </si>
  <si>
    <r>
      <t>σ</t>
    </r>
    <r>
      <rPr>
        <i/>
        <vertAlign val="subscript"/>
        <sz val="11"/>
        <color theme="1"/>
        <rFont val="Times New Roman"/>
        <family val="1"/>
      </rPr>
      <t>eay</t>
    </r>
    <phoneticPr fontId="3"/>
  </si>
  <si>
    <r>
      <t>σ</t>
    </r>
    <r>
      <rPr>
        <i/>
        <vertAlign val="subscript"/>
        <sz val="11"/>
        <color theme="1"/>
        <rFont val="Times New Roman"/>
        <family val="1"/>
      </rPr>
      <t>ba0</t>
    </r>
    <phoneticPr fontId="3"/>
  </si>
  <si>
    <r>
      <t>σ</t>
    </r>
    <r>
      <rPr>
        <i/>
        <vertAlign val="subscript"/>
        <sz val="11"/>
        <color theme="1"/>
        <rFont val="Times New Roman"/>
        <family val="1"/>
      </rPr>
      <t>eaz</t>
    </r>
    <phoneticPr fontId="3"/>
  </si>
  <si>
    <t>照査式(2-6-2)</t>
    <rPh sb="0" eb="2">
      <t>ショウサ</t>
    </rPh>
    <rPh sb="2" eb="3">
      <t>シキ</t>
    </rPh>
    <phoneticPr fontId="3"/>
  </si>
  <si>
    <r>
      <t>σ</t>
    </r>
    <r>
      <rPr>
        <i/>
        <vertAlign val="subscript"/>
        <sz val="11"/>
        <color theme="1"/>
        <rFont val="Times New Roman"/>
        <family val="1"/>
      </rPr>
      <t>ca</t>
    </r>
    <r>
      <rPr>
        <vertAlign val="subscript"/>
        <sz val="11"/>
        <color theme="1"/>
        <rFont val="游ゴシック"/>
        <family val="3"/>
        <charset val="128"/>
      </rPr>
      <t>ℓ</t>
    </r>
    <phoneticPr fontId="3"/>
  </si>
  <si>
    <r>
      <t>：照査する断面に作用する軸方向力による圧縮応力度（N/mm</t>
    </r>
    <r>
      <rPr>
        <vertAlign val="superscript"/>
        <sz val="11"/>
        <color theme="1"/>
        <rFont val="游ゴシック"/>
        <family val="3"/>
        <charset val="128"/>
        <scheme val="minor"/>
      </rPr>
      <t>2</t>
    </r>
    <r>
      <rPr>
        <sz val="11"/>
        <color theme="1"/>
        <rFont val="游ゴシック"/>
        <family val="2"/>
        <scheme val="minor"/>
      </rPr>
      <t>）</t>
    </r>
    <rPh sb="1" eb="3">
      <t>ショウサ</t>
    </rPh>
    <rPh sb="5" eb="7">
      <t>ダンメン</t>
    </rPh>
    <rPh sb="8" eb="10">
      <t>サヨウ</t>
    </rPh>
    <rPh sb="12" eb="13">
      <t>ジク</t>
    </rPh>
    <rPh sb="13" eb="15">
      <t>ホウコウ</t>
    </rPh>
    <rPh sb="15" eb="16">
      <t>チカラ</t>
    </rPh>
    <rPh sb="19" eb="21">
      <t>アッシュク</t>
    </rPh>
    <rPh sb="21" eb="24">
      <t>オウリョクド</t>
    </rPh>
    <phoneticPr fontId="3"/>
  </si>
  <si>
    <t>N</t>
    <phoneticPr fontId="3"/>
  </si>
  <si>
    <r>
      <t>, σ</t>
    </r>
    <r>
      <rPr>
        <i/>
        <vertAlign val="subscript"/>
        <sz val="11"/>
        <color theme="1"/>
        <rFont val="Times New Roman"/>
        <family val="1"/>
      </rPr>
      <t>bcz</t>
    </r>
    <phoneticPr fontId="3"/>
  </si>
  <si>
    <t>：それぞれ強軸および弱軸まわりに作用する曲げモーメントによる</t>
    <rPh sb="5" eb="6">
      <t>キョウ</t>
    </rPh>
    <rPh sb="6" eb="7">
      <t>ジク</t>
    </rPh>
    <rPh sb="10" eb="11">
      <t>ジャク</t>
    </rPh>
    <rPh sb="11" eb="12">
      <t>ジク</t>
    </rPh>
    <rPh sb="16" eb="18">
      <t>サヨウ</t>
    </rPh>
    <rPh sb="20" eb="21">
      <t>マ</t>
    </rPh>
    <phoneticPr fontId="3"/>
  </si>
  <si>
    <t xml:space="preserve">    曲げ圧縮応力度（N/mm²）</t>
    <phoneticPr fontId="3"/>
  </si>
  <si>
    <r>
      <t>：弱軸まわりの許容軸方向圧縮応力度（N/mm</t>
    </r>
    <r>
      <rPr>
        <vertAlign val="superscript"/>
        <sz val="11"/>
        <color theme="1"/>
        <rFont val="游ゴシック"/>
        <family val="3"/>
        <charset val="128"/>
        <scheme val="minor"/>
      </rPr>
      <t>2</t>
    </r>
    <r>
      <rPr>
        <sz val="11"/>
        <color theme="1"/>
        <rFont val="游ゴシック"/>
        <family val="2"/>
        <scheme val="minor"/>
      </rPr>
      <t>）</t>
    </r>
    <rPh sb="1" eb="2">
      <t>ジャク</t>
    </rPh>
    <rPh sb="2" eb="3">
      <t>ジク</t>
    </rPh>
    <rPh sb="7" eb="9">
      <t>キョヨウ</t>
    </rPh>
    <rPh sb="9" eb="10">
      <t>ジク</t>
    </rPh>
    <rPh sb="10" eb="12">
      <t>ホウコウ</t>
    </rPh>
    <rPh sb="12" eb="14">
      <t>アッシュク</t>
    </rPh>
    <rPh sb="14" eb="17">
      <t>オウリョクド</t>
    </rPh>
    <phoneticPr fontId="3"/>
  </si>
  <si>
    <t>ただし、</t>
    <phoneticPr fontId="3"/>
  </si>
  <si>
    <t>b'</t>
    <phoneticPr fontId="3"/>
  </si>
  <si>
    <t>t'</t>
    <phoneticPr fontId="3"/>
  </si>
  <si>
    <t>：フランジ片幅</t>
    <rPh sb="5" eb="6">
      <t>カタ</t>
    </rPh>
    <rPh sb="6" eb="7">
      <t>ハバ</t>
    </rPh>
    <phoneticPr fontId="3"/>
  </si>
  <si>
    <t>)/</t>
    <phoneticPr fontId="3"/>
  </si>
  <si>
    <t>：フランジ厚</t>
    <rPh sb="5" eb="6">
      <t>アツ</t>
    </rPh>
    <phoneticPr fontId="3"/>
  </si>
  <si>
    <r>
      <t>ℓ</t>
    </r>
    <r>
      <rPr>
        <i/>
        <vertAlign val="subscript"/>
        <sz val="11"/>
        <color theme="1"/>
        <rFont val="Times New Roman"/>
        <family val="1"/>
      </rPr>
      <t>z</t>
    </r>
    <phoneticPr fontId="3"/>
  </si>
  <si>
    <t>：弱軸まわりの座屈長（水平方向座屈長）</t>
    <rPh sb="1" eb="3">
      <t>ジャクジク</t>
    </rPh>
    <rPh sb="7" eb="10">
      <t>ザクツチョウ</t>
    </rPh>
    <rPh sb="11" eb="15">
      <t>スイヘイホウコウ</t>
    </rPh>
    <rPh sb="15" eb="17">
      <t>ザクツ</t>
    </rPh>
    <rPh sb="17" eb="18">
      <t>チョウ</t>
    </rPh>
    <phoneticPr fontId="3"/>
  </si>
  <si>
    <t>よって、弱軸の細長比は、</t>
    <rPh sb="4" eb="6">
      <t>ジャクジク</t>
    </rPh>
    <rPh sb="7" eb="9">
      <t>ホソナガ</t>
    </rPh>
    <rPh sb="9" eb="10">
      <t>ヒ</t>
    </rPh>
    <phoneticPr fontId="3"/>
  </si>
  <si>
    <t>よって、軸方向圧縮の計算式は、</t>
    <rPh sb="4" eb="7">
      <t>ジクホウコウ</t>
    </rPh>
    <rPh sb="7" eb="9">
      <t>アッシュク</t>
    </rPh>
    <rPh sb="10" eb="13">
      <t>ケイサンシキ</t>
    </rPh>
    <phoneticPr fontId="3"/>
  </si>
  <si>
    <t>ℓ/r</t>
    <phoneticPr fontId="3"/>
  </si>
  <si>
    <t>より</t>
    <phoneticPr fontId="3"/>
  </si>
  <si>
    <t>(H11道仮p47)</t>
    <phoneticPr fontId="3"/>
  </si>
  <si>
    <r>
      <t>σ</t>
    </r>
    <r>
      <rPr>
        <i/>
        <vertAlign val="subscript"/>
        <sz val="11"/>
        <color theme="1"/>
        <rFont val="Yu Gothic"/>
        <family val="1"/>
        <charset val="128"/>
      </rPr>
      <t>c</t>
    </r>
    <r>
      <rPr>
        <i/>
        <vertAlign val="subscript"/>
        <sz val="11"/>
        <color theme="1"/>
        <rFont val="Times New Roman"/>
        <family val="1"/>
      </rPr>
      <t>a</t>
    </r>
    <r>
      <rPr>
        <i/>
        <vertAlign val="subscript"/>
        <sz val="11"/>
        <color theme="1"/>
        <rFont val="Yu Gothic"/>
        <family val="1"/>
        <charset val="128"/>
      </rPr>
      <t>z</t>
    </r>
    <phoneticPr fontId="3"/>
  </si>
  <si>
    <t>{</t>
    <phoneticPr fontId="3"/>
  </si>
  <si>
    <t>)}</t>
    <phoneticPr fontId="3"/>
  </si>
  <si>
    <r>
      <t>：局部座屈を考慮しない強軸まわりの許容曲げ圧縮応力度（N/mm</t>
    </r>
    <r>
      <rPr>
        <vertAlign val="superscript"/>
        <sz val="11"/>
        <color theme="1"/>
        <rFont val="游ゴシック"/>
        <family val="3"/>
        <charset val="128"/>
        <scheme val="minor"/>
      </rPr>
      <t>2</t>
    </r>
    <r>
      <rPr>
        <sz val="11"/>
        <color theme="1"/>
        <rFont val="游ゴシック"/>
        <family val="2"/>
        <scheme val="minor"/>
      </rPr>
      <t>）</t>
    </r>
    <rPh sb="1" eb="3">
      <t>キョクブ</t>
    </rPh>
    <rPh sb="3" eb="5">
      <t>ザクツ</t>
    </rPh>
    <rPh sb="6" eb="8">
      <t>コウリョ</t>
    </rPh>
    <rPh sb="11" eb="12">
      <t>キョウ</t>
    </rPh>
    <rPh sb="12" eb="13">
      <t>ジク</t>
    </rPh>
    <rPh sb="17" eb="19">
      <t>キョヨウ</t>
    </rPh>
    <rPh sb="19" eb="20">
      <t>マ</t>
    </rPh>
    <rPh sb="21" eb="23">
      <t>アッシュク</t>
    </rPh>
    <rPh sb="23" eb="26">
      <t>オウリョクド</t>
    </rPh>
    <phoneticPr fontId="3"/>
  </si>
  <si>
    <r>
      <t>A</t>
    </r>
    <r>
      <rPr>
        <i/>
        <vertAlign val="subscript"/>
        <sz val="11"/>
        <color theme="1"/>
        <rFont val="Times New Roman"/>
        <family val="1"/>
      </rPr>
      <t>c</t>
    </r>
    <phoneticPr fontId="3"/>
  </si>
  <si>
    <t>≧</t>
    <phoneticPr fontId="3"/>
  </si>
  <si>
    <r>
      <t>A</t>
    </r>
    <r>
      <rPr>
        <i/>
        <vertAlign val="subscript"/>
        <sz val="11"/>
        <color theme="1"/>
        <rFont val="Times New Roman"/>
        <family val="1"/>
      </rPr>
      <t>w</t>
    </r>
    <phoneticPr fontId="3"/>
  </si>
  <si>
    <t>：圧縮フランジの総断面積</t>
    <rPh sb="1" eb="3">
      <t>アッシュク</t>
    </rPh>
    <rPh sb="8" eb="9">
      <t>ソウ</t>
    </rPh>
    <rPh sb="9" eb="12">
      <t>ダンメンセキ</t>
    </rPh>
    <phoneticPr fontId="3"/>
  </si>
  <si>
    <t>：ウェブの総断面積</t>
    <rPh sb="5" eb="6">
      <t>ソウ</t>
    </rPh>
    <rPh sb="6" eb="9">
      <t>ダンメンセキ</t>
    </rPh>
    <phoneticPr fontId="3"/>
  </si>
  <si>
    <r>
      <t>ℓ</t>
    </r>
    <r>
      <rPr>
        <i/>
        <vertAlign val="subscript"/>
        <sz val="11"/>
        <color theme="1"/>
        <rFont val="Times New Roman"/>
        <family val="1"/>
      </rPr>
      <t>y</t>
    </r>
    <phoneticPr fontId="3"/>
  </si>
  <si>
    <t>：フランジ間の固定間距離（鉛直方向座屈長）</t>
    <rPh sb="5" eb="6">
      <t>アイダ</t>
    </rPh>
    <rPh sb="7" eb="9">
      <t>コテイ</t>
    </rPh>
    <rPh sb="9" eb="10">
      <t>カン</t>
    </rPh>
    <rPh sb="10" eb="12">
      <t>キョリ</t>
    </rPh>
    <rPh sb="13" eb="15">
      <t>エンチョク</t>
    </rPh>
    <rPh sb="15" eb="17">
      <t>ホウコウ</t>
    </rPh>
    <rPh sb="17" eb="19">
      <t>ザクツ</t>
    </rPh>
    <rPh sb="19" eb="20">
      <t>チョウ</t>
    </rPh>
    <phoneticPr fontId="3"/>
  </si>
  <si>
    <t>（H11道仮p122より）</t>
    <phoneticPr fontId="3"/>
  </si>
  <si>
    <t>よって、ℓ/b は、</t>
    <phoneticPr fontId="3"/>
  </si>
  <si>
    <r>
      <t>ℓ</t>
    </r>
    <r>
      <rPr>
        <i/>
        <vertAlign val="subscript"/>
        <sz val="11"/>
        <color theme="1"/>
        <rFont val="游ゴシック"/>
        <family val="1"/>
        <charset val="128"/>
      </rPr>
      <t>y</t>
    </r>
    <phoneticPr fontId="3"/>
  </si>
  <si>
    <t>よって、曲げ圧縮縁の計算式は、</t>
    <rPh sb="4" eb="5">
      <t>マ</t>
    </rPh>
    <rPh sb="6" eb="8">
      <t>アッシュク</t>
    </rPh>
    <rPh sb="8" eb="9">
      <t>エン</t>
    </rPh>
    <rPh sb="10" eb="13">
      <t>ケイサンシキ</t>
    </rPh>
    <phoneticPr fontId="3"/>
  </si>
  <si>
    <t>ℓ/b</t>
    <phoneticPr fontId="3"/>
  </si>
  <si>
    <t>：局部座屈を考慮しない許容曲げ圧縮応力度の上限値</t>
    <rPh sb="1" eb="3">
      <t>キョクブ</t>
    </rPh>
    <rPh sb="3" eb="5">
      <t>ザクツ</t>
    </rPh>
    <rPh sb="6" eb="8">
      <t>コウリョ</t>
    </rPh>
    <rPh sb="11" eb="13">
      <t>キョヨウ</t>
    </rPh>
    <rPh sb="13" eb="14">
      <t>マ</t>
    </rPh>
    <rPh sb="15" eb="17">
      <t>アッシュク</t>
    </rPh>
    <rPh sb="17" eb="20">
      <t>オウリョクド</t>
    </rPh>
    <rPh sb="21" eb="24">
      <t>ジョウゲンチ</t>
    </rPh>
    <phoneticPr fontId="3"/>
  </si>
  <si>
    <t>（H11道仮p51）</t>
    <rPh sb="4" eb="5">
      <t>ミチ</t>
    </rPh>
    <rPh sb="5" eb="6">
      <t>カリ</t>
    </rPh>
    <phoneticPr fontId="3"/>
  </si>
  <si>
    <r>
      <t>σ</t>
    </r>
    <r>
      <rPr>
        <i/>
        <vertAlign val="subscript"/>
        <sz val="11"/>
        <color theme="1"/>
        <rFont val="Times New Roman"/>
        <family val="1"/>
      </rPr>
      <t>cal</t>
    </r>
    <phoneticPr fontId="3"/>
  </si>
  <si>
    <t>：圧縮応力を受ける自由突出板の局部座屈に対する許容応力度</t>
    <rPh sb="1" eb="3">
      <t>アッシュク</t>
    </rPh>
    <rPh sb="3" eb="5">
      <t>オウリョク</t>
    </rPh>
    <rPh sb="6" eb="7">
      <t>ウ</t>
    </rPh>
    <rPh sb="9" eb="11">
      <t>ジユウ</t>
    </rPh>
    <rPh sb="11" eb="13">
      <t>トッシュツ</t>
    </rPh>
    <rPh sb="13" eb="14">
      <t>イタ</t>
    </rPh>
    <rPh sb="15" eb="17">
      <t>キョクブ</t>
    </rPh>
    <rPh sb="17" eb="19">
      <t>ザクツ</t>
    </rPh>
    <rPh sb="20" eb="21">
      <t>タイ</t>
    </rPh>
    <rPh sb="23" eb="25">
      <t>キョヨウ</t>
    </rPh>
    <rPh sb="25" eb="27">
      <t>オウリョク</t>
    </rPh>
    <rPh sb="27" eb="28">
      <t>ド</t>
    </rPh>
    <phoneticPr fontId="3"/>
  </si>
  <si>
    <r>
      <t>, σ</t>
    </r>
    <r>
      <rPr>
        <i/>
        <vertAlign val="subscript"/>
        <sz val="11"/>
        <color theme="1"/>
        <rFont val="Times New Roman"/>
        <family val="1"/>
      </rPr>
      <t>eaz</t>
    </r>
    <phoneticPr fontId="3"/>
  </si>
  <si>
    <r>
      <t>：それぞれ強軸および弱軸まわりのオイラー座屈応力度（N/mm</t>
    </r>
    <r>
      <rPr>
        <vertAlign val="superscript"/>
        <sz val="11"/>
        <color theme="1"/>
        <rFont val="游ゴシック"/>
        <family val="3"/>
        <charset val="128"/>
        <scheme val="minor"/>
      </rPr>
      <t>2</t>
    </r>
    <r>
      <rPr>
        <sz val="11"/>
        <color theme="1"/>
        <rFont val="游ゴシック"/>
        <family val="2"/>
        <scheme val="minor"/>
      </rPr>
      <t>） (H11道仮p51)</t>
    </r>
    <rPh sb="5" eb="7">
      <t>キョウジク</t>
    </rPh>
    <rPh sb="10" eb="12">
      <t>ジャクジク</t>
    </rPh>
    <rPh sb="20" eb="22">
      <t>ザクツ</t>
    </rPh>
    <rPh sb="22" eb="24">
      <t>オウリョク</t>
    </rPh>
    <rPh sb="24" eb="25">
      <t>ド</t>
    </rPh>
    <phoneticPr fontId="3"/>
  </si>
  <si>
    <t>ℓ'</t>
    <phoneticPr fontId="3"/>
  </si>
  <si>
    <r>
      <t>)</t>
    </r>
    <r>
      <rPr>
        <vertAlign val="superscript"/>
        <sz val="11"/>
        <color theme="1"/>
        <rFont val="游ゴシック"/>
        <family val="3"/>
        <charset val="128"/>
        <scheme val="minor"/>
      </rPr>
      <t>2</t>
    </r>
    <phoneticPr fontId="3"/>
  </si>
  <si>
    <t>：材料両端の支点条件より定まる有効座屈長（mm）</t>
    <rPh sb="1" eb="3">
      <t>ザイリョウ</t>
    </rPh>
    <rPh sb="3" eb="5">
      <t>リョウタン</t>
    </rPh>
    <rPh sb="6" eb="8">
      <t>シテン</t>
    </rPh>
    <rPh sb="8" eb="10">
      <t>ジョウケン</t>
    </rPh>
    <rPh sb="12" eb="13">
      <t>サダ</t>
    </rPh>
    <rPh sb="15" eb="17">
      <t>ユウコウ</t>
    </rPh>
    <rPh sb="17" eb="19">
      <t>ザクツ</t>
    </rPh>
    <rPh sb="19" eb="20">
      <t>チョウ</t>
    </rPh>
    <phoneticPr fontId="3"/>
  </si>
  <si>
    <t>：それぞれ強軸および弱軸まわりの断面二次半径（mm）</t>
    <rPh sb="5" eb="7">
      <t>キョウジク</t>
    </rPh>
    <rPh sb="10" eb="12">
      <t>ジャクジク</t>
    </rPh>
    <rPh sb="16" eb="18">
      <t>ダンメン</t>
    </rPh>
    <rPh sb="18" eb="20">
      <t>ニジ</t>
    </rPh>
    <rPh sb="20" eb="22">
      <t>ハンケイ</t>
    </rPh>
    <phoneticPr fontId="3"/>
  </si>
  <si>
    <t>(2)せん断力の照査</t>
    <rPh sb="8" eb="10">
      <t>ショウサ</t>
    </rPh>
    <phoneticPr fontId="3"/>
  </si>
  <si>
    <t>最大せん断力をウェブの面積で除して求める。</t>
    <phoneticPr fontId="3"/>
  </si>
  <si>
    <r>
      <rPr>
        <i/>
        <sz val="11"/>
        <color theme="1"/>
        <rFont val="Times New Roman"/>
        <family val="1"/>
        <charset val="161"/>
      </rPr>
      <t>τ</t>
    </r>
    <r>
      <rPr>
        <vertAlign val="subscript"/>
        <sz val="11"/>
        <color theme="1"/>
        <rFont val="Times New Roman"/>
        <family val="1"/>
      </rPr>
      <t>a</t>
    </r>
    <phoneticPr fontId="3"/>
  </si>
  <si>
    <t>5-4. 応力度の照査(下段）</t>
    <rPh sb="5" eb="8">
      <t>オウリョクド</t>
    </rPh>
    <rPh sb="9" eb="11">
      <t>ショウサ</t>
    </rPh>
    <rPh sb="12" eb="14">
      <t>カダン</t>
    </rPh>
    <phoneticPr fontId="3"/>
  </si>
  <si>
    <t>鋼材が上段と下段で同じであること、および、軸力、最大曲げモーメント、最大せん段力がいずれも、</t>
    <rPh sb="0" eb="2">
      <t>コウザイ</t>
    </rPh>
    <rPh sb="3" eb="5">
      <t>ジョウダン</t>
    </rPh>
    <rPh sb="6" eb="8">
      <t>ゲダン</t>
    </rPh>
    <rPh sb="9" eb="10">
      <t>オナ</t>
    </rPh>
    <rPh sb="21" eb="22">
      <t>ジク</t>
    </rPh>
    <rPh sb="22" eb="23">
      <t>リョク</t>
    </rPh>
    <rPh sb="24" eb="26">
      <t>サイダイ</t>
    </rPh>
    <rPh sb="26" eb="27">
      <t>マ</t>
    </rPh>
    <rPh sb="34" eb="36">
      <t>サイダイ</t>
    </rPh>
    <rPh sb="38" eb="39">
      <t>ダン</t>
    </rPh>
    <rPh sb="39" eb="40">
      <t>リョク</t>
    </rPh>
    <phoneticPr fontId="3"/>
  </si>
  <si>
    <t>上段の方が大きいことから、下段の照査を省略する。</t>
  </si>
  <si>
    <t>6. 切ばりの設計</t>
    <rPh sb="3" eb="4">
      <t>キリ</t>
    </rPh>
    <rPh sb="7" eb="9">
      <t>セッケイ</t>
    </rPh>
    <phoneticPr fontId="3"/>
  </si>
  <si>
    <t>6-1. 荷重の計算</t>
    <rPh sb="5" eb="7">
      <t>カジュウ</t>
    </rPh>
    <rPh sb="8" eb="10">
      <t>ケイサン</t>
    </rPh>
    <phoneticPr fontId="3"/>
  </si>
  <si>
    <t>荷重は、腹起しの設計で算出した「単位長さあたりの支保工反力」なので、</t>
    <rPh sb="0" eb="2">
      <t>カジュウ</t>
    </rPh>
    <rPh sb="4" eb="6">
      <t>ハラオコ</t>
    </rPh>
    <rPh sb="8" eb="10">
      <t>セッケイ</t>
    </rPh>
    <rPh sb="11" eb="13">
      <t>サンシュツ</t>
    </rPh>
    <rPh sb="16" eb="18">
      <t>タンイ</t>
    </rPh>
    <rPh sb="18" eb="19">
      <t>ナガ</t>
    </rPh>
    <rPh sb="24" eb="27">
      <t>シホコウ</t>
    </rPh>
    <rPh sb="27" eb="29">
      <t>ハンリョク</t>
    </rPh>
    <phoneticPr fontId="3"/>
  </si>
  <si>
    <r>
      <t>w</t>
    </r>
    <r>
      <rPr>
        <vertAlign val="subscript"/>
        <sz val="11"/>
        <color theme="1"/>
        <rFont val="Times New Roman"/>
        <family val="1"/>
      </rPr>
      <t>x1</t>
    </r>
    <phoneticPr fontId="3"/>
  </si>
  <si>
    <r>
      <t>w</t>
    </r>
    <r>
      <rPr>
        <vertAlign val="subscript"/>
        <sz val="11"/>
        <color theme="1"/>
        <rFont val="Times New Roman"/>
        <family val="1"/>
      </rPr>
      <t>x2</t>
    </r>
    <phoneticPr fontId="3"/>
  </si>
  <si>
    <t>曲げモーメントは、鉛直方向座屈長（切ばり全長）をスパンとする単純ばりで計算する。</t>
    <rPh sb="0" eb="1">
      <t>マ</t>
    </rPh>
    <rPh sb="9" eb="11">
      <t>エンチョク</t>
    </rPh>
    <rPh sb="11" eb="13">
      <t>ホウコウ</t>
    </rPh>
    <rPh sb="13" eb="15">
      <t>ザクツ</t>
    </rPh>
    <rPh sb="15" eb="16">
      <t>チョウ</t>
    </rPh>
    <rPh sb="30" eb="32">
      <t>タンジュン</t>
    </rPh>
    <rPh sb="35" eb="37">
      <t>ケイサン</t>
    </rPh>
    <phoneticPr fontId="3"/>
  </si>
  <si>
    <t>曲げ荷重ｗは、切ばりの自重を含めて</t>
    <rPh sb="0" eb="1">
      <t>マ</t>
    </rPh>
    <rPh sb="2" eb="4">
      <t>カジュウ</t>
    </rPh>
    <rPh sb="7" eb="8">
      <t>キリ</t>
    </rPh>
    <rPh sb="11" eb="13">
      <t>ジジュウ</t>
    </rPh>
    <rPh sb="14" eb="15">
      <t>フク</t>
    </rPh>
    <phoneticPr fontId="3"/>
  </si>
  <si>
    <t>とする。（H11道仮p122）</t>
    <rPh sb="8" eb="10">
      <t>ミチカリ</t>
    </rPh>
    <phoneticPr fontId="3"/>
  </si>
  <si>
    <t>w</t>
    <phoneticPr fontId="3"/>
  </si>
  <si>
    <t>軸力は、「土圧」、「水圧」、および「温度変化に伴う軸力」を考慮する。</t>
    <rPh sb="0" eb="2">
      <t>ジクリョク</t>
    </rPh>
    <rPh sb="5" eb="7">
      <t>ドアツ</t>
    </rPh>
    <rPh sb="10" eb="12">
      <t>スイアツ</t>
    </rPh>
    <rPh sb="18" eb="20">
      <t>オンド</t>
    </rPh>
    <rPh sb="20" eb="22">
      <t>ヘンカ</t>
    </rPh>
    <rPh sb="23" eb="24">
      <t>トモナ</t>
    </rPh>
    <rPh sb="25" eb="27">
      <t>ジクリョク</t>
    </rPh>
    <rPh sb="29" eb="31">
      <t>コウリョ</t>
    </rPh>
    <phoneticPr fontId="3"/>
  </si>
  <si>
    <t>温度変化に伴う軸力増加を</t>
    <rPh sb="0" eb="2">
      <t>オンド</t>
    </rPh>
    <rPh sb="2" eb="4">
      <t>ヘンカ</t>
    </rPh>
    <rPh sb="5" eb="6">
      <t>トモナ</t>
    </rPh>
    <rPh sb="7" eb="9">
      <t>ジクリョク</t>
    </rPh>
    <rPh sb="9" eb="11">
      <t>ゾウカ</t>
    </rPh>
    <phoneticPr fontId="3"/>
  </si>
  <si>
    <t>6-2. 断面力の計算</t>
    <rPh sb="5" eb="8">
      <t>ダンメンリョク</t>
    </rPh>
    <rPh sb="9" eb="11">
      <t>ケイサン</t>
    </rPh>
    <phoneticPr fontId="3"/>
  </si>
  <si>
    <t>切ばりは、「軸力」と「モーメント」が作用する部材として設計する。</t>
    <rPh sb="0" eb="1">
      <t>キリ</t>
    </rPh>
    <rPh sb="6" eb="8">
      <t>ジクリョク</t>
    </rPh>
    <rPh sb="18" eb="20">
      <t>サヨウ</t>
    </rPh>
    <rPh sb="22" eb="24">
      <t>ブザイ</t>
    </rPh>
    <rPh sb="27" eb="29">
      <t>セッケイ</t>
    </rPh>
    <phoneticPr fontId="3"/>
  </si>
  <si>
    <t>軸力を考慮する荷重負担幅（水平間隔）</t>
    <rPh sb="0" eb="2">
      <t>ジクリョク</t>
    </rPh>
    <rPh sb="3" eb="5">
      <t>コウリョ</t>
    </rPh>
    <rPh sb="7" eb="9">
      <t>カジュウ</t>
    </rPh>
    <rPh sb="9" eb="11">
      <t>フタン</t>
    </rPh>
    <rPh sb="11" eb="12">
      <t>ハバ</t>
    </rPh>
    <rPh sb="13" eb="15">
      <t>スイヘイ</t>
    </rPh>
    <rPh sb="15" eb="17">
      <t>カンカク</t>
    </rPh>
    <phoneticPr fontId="3"/>
  </si>
  <si>
    <t>鉛直方向の座屈長（切ばり全長）</t>
    <rPh sb="0" eb="2">
      <t>エンチョク</t>
    </rPh>
    <rPh sb="2" eb="4">
      <t>ホウコウ</t>
    </rPh>
    <rPh sb="5" eb="7">
      <t>ザクツ</t>
    </rPh>
    <rPh sb="7" eb="8">
      <t>ナガ</t>
    </rPh>
    <rPh sb="9" eb="10">
      <t>キリ</t>
    </rPh>
    <rPh sb="12" eb="14">
      <t>ゼンチョウ</t>
    </rPh>
    <phoneticPr fontId="3"/>
  </si>
  <si>
    <t>L₁</t>
    <phoneticPr fontId="3"/>
  </si>
  <si>
    <t>水平方向の座屈長（火打ち-直交切ばり）</t>
    <rPh sb="0" eb="2">
      <t>スイヘイ</t>
    </rPh>
    <rPh sb="2" eb="4">
      <t>ホウコウ</t>
    </rPh>
    <rPh sb="5" eb="7">
      <t>ザクツ</t>
    </rPh>
    <rPh sb="7" eb="8">
      <t>ナガ</t>
    </rPh>
    <rPh sb="9" eb="11">
      <t>ヒウ</t>
    </rPh>
    <rPh sb="13" eb="15">
      <t>チョッコウ</t>
    </rPh>
    <rPh sb="15" eb="16">
      <t>キリ</t>
    </rPh>
    <phoneticPr fontId="3"/>
  </si>
  <si>
    <t>L₂</t>
    <phoneticPr fontId="3"/>
  </si>
  <si>
    <t>（H11道仮p123）</t>
    <phoneticPr fontId="3"/>
  </si>
  <si>
    <t>(1)上段</t>
    <rPh sb="3" eb="5">
      <t>ジョウダン</t>
    </rPh>
    <phoneticPr fontId="3"/>
  </si>
  <si>
    <r>
      <t>N</t>
    </r>
    <r>
      <rPr>
        <vertAlign val="subscript"/>
        <sz val="11"/>
        <color theme="1"/>
        <rFont val="Times New Roman"/>
        <family val="1"/>
      </rPr>
      <t>1</t>
    </r>
    <phoneticPr fontId="3"/>
  </si>
  <si>
    <t>＜最大曲げモーメント＞</t>
    <rPh sb="1" eb="3">
      <t>サイダイ</t>
    </rPh>
    <phoneticPr fontId="3"/>
  </si>
  <si>
    <r>
      <t>w</t>
    </r>
    <r>
      <rPr>
        <i/>
        <sz val="11"/>
        <color theme="1"/>
        <rFont val="ＭＳ Ｐ明朝"/>
        <family val="1"/>
        <charset val="128"/>
      </rPr>
      <t>・　</t>
    </r>
    <r>
      <rPr>
        <i/>
        <sz val="11"/>
        <color theme="1"/>
        <rFont val="Times New Roman"/>
        <family val="1"/>
      </rPr>
      <t>L₁</t>
    </r>
    <r>
      <rPr>
        <i/>
        <vertAlign val="superscript"/>
        <sz val="11"/>
        <color theme="1"/>
        <rFont val="Times New Roman"/>
        <family val="1"/>
      </rPr>
      <t>2</t>
    </r>
    <phoneticPr fontId="3"/>
  </si>
  <si>
    <t>(2)下段</t>
    <rPh sb="3" eb="5">
      <t>カダン</t>
    </rPh>
    <phoneticPr fontId="3"/>
  </si>
  <si>
    <r>
      <t>N</t>
    </r>
    <r>
      <rPr>
        <vertAlign val="subscript"/>
        <sz val="11"/>
        <color theme="1"/>
        <rFont val="Times New Roman"/>
        <family val="1"/>
      </rPr>
      <t>2</t>
    </r>
    <phoneticPr fontId="3"/>
  </si>
  <si>
    <t>6-3. 応力度の照査（上段）</t>
    <rPh sb="5" eb="8">
      <t>オウリョクド</t>
    </rPh>
    <rPh sb="9" eb="11">
      <t>ショウサ</t>
    </rPh>
    <rPh sb="12" eb="14">
      <t>ジョウダン</t>
    </rPh>
    <phoneticPr fontId="3"/>
  </si>
  <si>
    <t>：切ばりのフランジ片幅</t>
    <rPh sb="1" eb="2">
      <t>キリ</t>
    </rPh>
    <rPh sb="9" eb="10">
      <t>カタ</t>
    </rPh>
    <rPh sb="10" eb="11">
      <t>ハバ</t>
    </rPh>
    <phoneticPr fontId="3"/>
  </si>
  <si>
    <t>：切ばりのフランジ厚</t>
    <rPh sb="1" eb="2">
      <t>キリ</t>
    </rPh>
    <rPh sb="9" eb="10">
      <t>アツ</t>
    </rPh>
    <phoneticPr fontId="3"/>
  </si>
  <si>
    <t>：切ばりの弱軸まわりの座屈長（水平方向座屈長）</t>
    <rPh sb="1" eb="2">
      <t>キ</t>
    </rPh>
    <rPh sb="5" eb="7">
      <t>ジャクジク</t>
    </rPh>
    <rPh sb="11" eb="14">
      <t>ザクツチョウ</t>
    </rPh>
    <rPh sb="15" eb="19">
      <t>スイヘイホウコウ</t>
    </rPh>
    <rPh sb="19" eb="21">
      <t>ザクツ</t>
    </rPh>
    <rPh sb="21" eb="22">
      <t>チョウ</t>
    </rPh>
    <phoneticPr fontId="3"/>
  </si>
  <si>
    <r>
      <t>(ℓ</t>
    </r>
    <r>
      <rPr>
        <vertAlign val="subscript"/>
        <sz val="11"/>
        <color theme="1"/>
        <rFont val="游ゴシック"/>
        <family val="3"/>
        <charset val="128"/>
        <scheme val="minor"/>
      </rPr>
      <t>1</t>
    </r>
    <r>
      <rPr>
        <sz val="11"/>
        <color theme="1"/>
        <rFont val="游ゴシック"/>
        <family val="2"/>
        <scheme val="minor"/>
      </rPr>
      <t>'</t>
    </r>
    <phoneticPr fontId="3"/>
  </si>
  <si>
    <r>
      <t>(ℓ</t>
    </r>
    <r>
      <rPr>
        <vertAlign val="subscript"/>
        <sz val="11"/>
        <color theme="1"/>
        <rFont val="游ゴシック"/>
        <family val="3"/>
        <charset val="128"/>
        <scheme val="minor"/>
      </rPr>
      <t>2'</t>
    </r>
    <phoneticPr fontId="3"/>
  </si>
  <si>
    <r>
      <t>ℓ</t>
    </r>
    <r>
      <rPr>
        <vertAlign val="subscript"/>
        <sz val="11"/>
        <color theme="1"/>
        <rFont val="游ゴシック"/>
        <family val="3"/>
        <charset val="128"/>
        <scheme val="minor"/>
      </rPr>
      <t>1</t>
    </r>
    <r>
      <rPr>
        <sz val="11"/>
        <color theme="1"/>
        <rFont val="游ゴシック"/>
        <family val="2"/>
        <scheme val="minor"/>
      </rPr>
      <t>'</t>
    </r>
    <phoneticPr fontId="3"/>
  </si>
  <si>
    <r>
      <t>ℓ</t>
    </r>
    <r>
      <rPr>
        <vertAlign val="subscript"/>
        <sz val="11"/>
        <color theme="1"/>
        <rFont val="游ゴシック"/>
        <family val="3"/>
        <charset val="128"/>
        <scheme val="minor"/>
      </rPr>
      <t>2'</t>
    </r>
    <r>
      <rPr>
        <sz val="11"/>
        <color theme="1"/>
        <rFont val="游ゴシック"/>
        <family val="2"/>
        <scheme val="minor"/>
      </rPr>
      <t/>
    </r>
  </si>
  <si>
    <t>6-4. 応力度の照査（下段）</t>
    <rPh sb="5" eb="8">
      <t>オウリョクド</t>
    </rPh>
    <rPh sb="9" eb="11">
      <t>ショウサ</t>
    </rPh>
    <rPh sb="12" eb="14">
      <t>ゲダン</t>
    </rPh>
    <phoneticPr fontId="3"/>
  </si>
  <si>
    <t>鋼材が上段と下段で同じであること、および、軸力が上段の方が大きいことから、下段の照査を省略する。</t>
    <rPh sb="0" eb="2">
      <t>コウザイ</t>
    </rPh>
    <rPh sb="3" eb="5">
      <t>ジョウダン</t>
    </rPh>
    <rPh sb="6" eb="8">
      <t>ゲダン</t>
    </rPh>
    <rPh sb="9" eb="10">
      <t>オナ</t>
    </rPh>
    <rPh sb="21" eb="22">
      <t>ジク</t>
    </rPh>
    <rPh sb="22" eb="23">
      <t>リョク</t>
    </rPh>
    <rPh sb="24" eb="26">
      <t>ジョウダン</t>
    </rPh>
    <rPh sb="27" eb="28">
      <t>ホウ</t>
    </rPh>
    <rPh sb="29" eb="30">
      <t>オオ</t>
    </rPh>
    <rPh sb="37" eb="39">
      <t>ゲダン</t>
    </rPh>
    <rPh sb="40" eb="42">
      <t>ショウサ</t>
    </rPh>
    <rPh sb="43" eb="45">
      <t>ショウリャク</t>
    </rPh>
    <phoneticPr fontId="3"/>
  </si>
  <si>
    <t>7. 火打ちの設計</t>
    <rPh sb="3" eb="4">
      <t>ヒ</t>
    </rPh>
    <rPh sb="4" eb="5">
      <t>ウ</t>
    </rPh>
    <rPh sb="7" eb="9">
      <t>セッケイ</t>
    </rPh>
    <phoneticPr fontId="3"/>
  </si>
  <si>
    <t>H11道仮p124</t>
    <phoneticPr fontId="3"/>
  </si>
  <si>
    <t>7-1. 荷重の計算</t>
    <rPh sb="5" eb="7">
      <t>カジュウ</t>
    </rPh>
    <rPh sb="8" eb="10">
      <t>ケイサン</t>
    </rPh>
    <phoneticPr fontId="3"/>
  </si>
  <si>
    <t>曲げモーメントおよび自重は、スパンが短いため無視する。</t>
    <rPh sb="0" eb="1">
      <t>マ</t>
    </rPh>
    <rPh sb="10" eb="12">
      <t>ジジュウ</t>
    </rPh>
    <rPh sb="18" eb="19">
      <t>ミジカ</t>
    </rPh>
    <rPh sb="22" eb="24">
      <t>ムシ</t>
    </rPh>
    <phoneticPr fontId="3"/>
  </si>
  <si>
    <t>7-2. 断面力の計算</t>
    <rPh sb="5" eb="8">
      <t>ダンメンリョク</t>
    </rPh>
    <rPh sb="9" eb="11">
      <t>ケイサン</t>
    </rPh>
    <phoneticPr fontId="3"/>
  </si>
  <si>
    <t>cosθ</t>
    <phoneticPr fontId="3"/>
  </si>
  <si>
    <t>7-3. 応力度の照査（上段）</t>
    <rPh sb="5" eb="8">
      <t>オウリョクド</t>
    </rPh>
    <rPh sb="9" eb="11">
      <t>ショウサ</t>
    </rPh>
    <rPh sb="12" eb="14">
      <t>ジョウダン</t>
    </rPh>
    <phoneticPr fontId="3"/>
  </si>
  <si>
    <r>
      <t>σ</t>
    </r>
    <r>
      <rPr>
        <i/>
        <vertAlign val="subscript"/>
        <sz val="11"/>
        <color theme="1"/>
        <rFont val="Times New Roman"/>
        <family val="1"/>
      </rPr>
      <t>ca</t>
    </r>
    <phoneticPr fontId="3"/>
  </si>
  <si>
    <r>
      <t>：許容軸方向圧縮応力度（N/mm</t>
    </r>
    <r>
      <rPr>
        <vertAlign val="superscript"/>
        <sz val="11"/>
        <color theme="1"/>
        <rFont val="游ゴシック"/>
        <family val="3"/>
        <charset val="128"/>
        <scheme val="minor"/>
      </rPr>
      <t>2</t>
    </r>
    <r>
      <rPr>
        <sz val="11"/>
        <color theme="1"/>
        <rFont val="游ゴシック"/>
        <family val="2"/>
        <scheme val="minor"/>
      </rPr>
      <t>）</t>
    </r>
    <rPh sb="1" eb="3">
      <t>キョヨウ</t>
    </rPh>
    <rPh sb="3" eb="4">
      <t>ジク</t>
    </rPh>
    <rPh sb="4" eb="6">
      <t>ホウコウ</t>
    </rPh>
    <rPh sb="6" eb="8">
      <t>アッシュク</t>
    </rPh>
    <rPh sb="8" eb="11">
      <t>オウリョクド</t>
    </rPh>
    <phoneticPr fontId="3"/>
  </si>
  <si>
    <t>：座屈長</t>
    <rPh sb="1" eb="4">
      <t>ザクツチョウ</t>
    </rPh>
    <phoneticPr fontId="3"/>
  </si>
  <si>
    <r>
      <t>H</t>
    </r>
    <r>
      <rPr>
        <vertAlign val="subscript"/>
        <sz val="11"/>
        <color theme="1"/>
        <rFont val="Yu Gothic"/>
        <family val="3"/>
        <charset val="128"/>
      </rPr>
      <t>腹起</t>
    </r>
    <rPh sb="1" eb="3">
      <t>ハラオコ</t>
    </rPh>
    <phoneticPr fontId="3"/>
  </si>
  <si>
    <r>
      <t>σ</t>
    </r>
    <r>
      <rPr>
        <i/>
        <vertAlign val="subscript"/>
        <sz val="11"/>
        <color theme="1"/>
        <rFont val="Times New Roman"/>
        <family val="1"/>
        <charset val="161"/>
      </rPr>
      <t>c</t>
    </r>
    <r>
      <rPr>
        <i/>
        <vertAlign val="subscript"/>
        <sz val="11"/>
        <color theme="1"/>
        <rFont val="Times New Roman"/>
        <family val="1"/>
      </rPr>
      <t>a</t>
    </r>
    <phoneticPr fontId="3"/>
  </si>
  <si>
    <t>7-4. 応力度の照査（下段）</t>
    <rPh sb="5" eb="8">
      <t>オウリョクド</t>
    </rPh>
    <rPh sb="9" eb="11">
      <t>ショウサ</t>
    </rPh>
    <rPh sb="12" eb="14">
      <t>ゲダン</t>
    </rPh>
    <phoneticPr fontId="3"/>
  </si>
  <si>
    <t>鋼材が上段と下段で同じであること、および、軸力が上段の方が大きいことから、下段の照査を省略する。</t>
    <rPh sb="0" eb="2">
      <t>コウザイ</t>
    </rPh>
    <rPh sb="3" eb="5">
      <t>ジョウダン</t>
    </rPh>
    <rPh sb="6" eb="8">
      <t>ゲダン</t>
    </rPh>
    <rPh sb="9" eb="10">
      <t>オナ</t>
    </rPh>
    <rPh sb="21" eb="22">
      <t>ジク</t>
    </rPh>
    <rPh sb="22" eb="23">
      <t>チカラ</t>
    </rPh>
    <rPh sb="24" eb="26">
      <t>ジョウダン</t>
    </rPh>
    <rPh sb="27" eb="28">
      <t>ホウ</t>
    </rPh>
    <rPh sb="29" eb="30">
      <t>オオ</t>
    </rPh>
    <rPh sb="37" eb="39">
      <t>ゲダン</t>
    </rPh>
    <rPh sb="40" eb="42">
      <t>ショウサ</t>
    </rPh>
    <rPh sb="43" eb="45">
      <t>ショウリャク</t>
    </rPh>
    <phoneticPr fontId="3"/>
  </si>
  <si>
    <t>8. まとめ</t>
    <phoneticPr fontId="3"/>
  </si>
  <si>
    <t>土留壁</t>
    <rPh sb="0" eb="2">
      <t>ドドメ</t>
    </rPh>
    <rPh sb="2" eb="3">
      <t>ヘキ</t>
    </rPh>
    <phoneticPr fontId="3"/>
  </si>
  <si>
    <t>型式</t>
    <rPh sb="0" eb="2">
      <t>カタシキ</t>
    </rPh>
    <phoneticPr fontId="3"/>
  </si>
  <si>
    <t>鋼矢板の長さ</t>
    <rPh sb="0" eb="1">
      <t>コウ</t>
    </rPh>
    <rPh sb="1" eb="3">
      <t>ヤイタ</t>
    </rPh>
    <rPh sb="4" eb="5">
      <t>ナガ</t>
    </rPh>
    <phoneticPr fontId="3"/>
  </si>
  <si>
    <t>根入れ長さ</t>
    <rPh sb="0" eb="2">
      <t>ネイ</t>
    </rPh>
    <rPh sb="3" eb="4">
      <t>ナガ</t>
    </rPh>
    <phoneticPr fontId="3"/>
  </si>
  <si>
    <t>標準保有長さ</t>
    <rPh sb="0" eb="2">
      <t>ヒョウジュン</t>
    </rPh>
    <rPh sb="2" eb="5">
      <t>ホユウナガ</t>
    </rPh>
    <phoneticPr fontId="3"/>
  </si>
  <si>
    <t>最小長さ</t>
    <rPh sb="0" eb="3">
      <t>サイショウナガ</t>
    </rPh>
    <phoneticPr fontId="3"/>
  </si>
  <si>
    <t>曲げ応力度（最下段切ばり設置直前）</t>
    <rPh sb="0" eb="1">
      <t>マ</t>
    </rPh>
    <rPh sb="2" eb="5">
      <t>オウリョクド</t>
    </rPh>
    <rPh sb="6" eb="9">
      <t>サイゲダン</t>
    </rPh>
    <rPh sb="9" eb="10">
      <t>キ</t>
    </rPh>
    <rPh sb="12" eb="14">
      <t>セッチ</t>
    </rPh>
    <rPh sb="14" eb="16">
      <t>チョクゼン</t>
    </rPh>
    <phoneticPr fontId="3"/>
  </si>
  <si>
    <t>曲げ応力度（掘削完了時）</t>
    <rPh sb="0" eb="1">
      <t>マ</t>
    </rPh>
    <rPh sb="2" eb="5">
      <t>オウリョクド</t>
    </rPh>
    <rPh sb="6" eb="8">
      <t>クッサク</t>
    </rPh>
    <rPh sb="8" eb="10">
      <t>カンリョウ</t>
    </rPh>
    <rPh sb="10" eb="11">
      <t>ドキ</t>
    </rPh>
    <phoneticPr fontId="3"/>
  </si>
  <si>
    <t>ヒービングの検討</t>
    <rPh sb="6" eb="8">
      <t>ケントウ</t>
    </rPh>
    <phoneticPr fontId="3"/>
  </si>
  <si>
    <t>支保工</t>
    <rPh sb="0" eb="3">
      <t>シホコウ</t>
    </rPh>
    <phoneticPr fontId="3"/>
  </si>
  <si>
    <t>腹起し</t>
    <rPh sb="0" eb="2">
      <t>ハラオコ</t>
    </rPh>
    <phoneticPr fontId="3"/>
  </si>
  <si>
    <t>本</t>
    <rPh sb="0" eb="1">
      <t>ホン</t>
    </rPh>
    <phoneticPr fontId="3"/>
  </si>
  <si>
    <t>切ばり</t>
    <rPh sb="0" eb="1">
      <t>キ</t>
    </rPh>
    <phoneticPr fontId="3"/>
  </si>
  <si>
    <t>照査式(1)</t>
    <rPh sb="0" eb="2">
      <t>ショウサ</t>
    </rPh>
    <rPh sb="2" eb="3">
      <t>シキ</t>
    </rPh>
    <phoneticPr fontId="3"/>
  </si>
  <si>
    <t>照査式(2)</t>
    <rPh sb="0" eb="2">
      <t>ショウサ</t>
    </rPh>
    <rPh sb="2" eb="3">
      <t>シキ</t>
    </rPh>
    <phoneticPr fontId="3"/>
  </si>
  <si>
    <t>せん断力</t>
    <rPh sb="2" eb="4">
      <t>ダンリョク</t>
    </rPh>
    <phoneticPr fontId="3"/>
  </si>
  <si>
    <t>省略</t>
    <rPh sb="0" eb="2">
      <t>ショウリャク</t>
    </rPh>
    <phoneticPr fontId="3"/>
  </si>
  <si>
    <t>火打ち</t>
    <rPh sb="0" eb="2">
      <t>ヒウ</t>
    </rPh>
    <phoneticPr fontId="3"/>
  </si>
  <si>
    <t>軸圧縮力</t>
    <rPh sb="0" eb="3">
      <t>ジクアッシュク</t>
    </rPh>
    <rPh sb="3" eb="4">
      <t>リョク</t>
    </rPh>
    <phoneticPr fontId="3"/>
  </si>
  <si>
    <t>設計に用いる各種数値</t>
    <rPh sb="0" eb="2">
      <t>セッケイ</t>
    </rPh>
    <rPh sb="3" eb="4">
      <t>モチ</t>
    </rPh>
    <rPh sb="6" eb="8">
      <t>カクシュ</t>
    </rPh>
    <rPh sb="8" eb="10">
      <t>スウチ</t>
    </rPh>
    <phoneticPr fontId="3"/>
  </si>
  <si>
    <t>1.1 土留め工の設計手法の分類</t>
    <rPh sb="4" eb="6">
      <t>ドド</t>
    </rPh>
    <rPh sb="7" eb="8">
      <t>コウ</t>
    </rPh>
    <rPh sb="9" eb="11">
      <t>セッケイ</t>
    </rPh>
    <rPh sb="11" eb="13">
      <t>シュホウ</t>
    </rPh>
    <rPh sb="14" eb="16">
      <t>ブンルイ</t>
    </rPh>
    <phoneticPr fontId="3"/>
  </si>
  <si>
    <t>H11道仮p28</t>
    <rPh sb="3" eb="4">
      <t>ミチ</t>
    </rPh>
    <rPh sb="4" eb="5">
      <t>カリ</t>
    </rPh>
    <phoneticPr fontId="3"/>
  </si>
  <si>
    <t>支保工形式</t>
    <rPh sb="0" eb="3">
      <t>シホコウ</t>
    </rPh>
    <rPh sb="3" eb="5">
      <t>ケイシキ</t>
    </rPh>
    <phoneticPr fontId="3"/>
  </si>
  <si>
    <t>土留の応力・変形の計算</t>
    <rPh sb="0" eb="2">
      <t>ドドメ</t>
    </rPh>
    <rPh sb="3" eb="5">
      <t>オウリョク</t>
    </rPh>
    <rPh sb="6" eb="8">
      <t>ヘンケイ</t>
    </rPh>
    <rPh sb="9" eb="11">
      <t>ケイサン</t>
    </rPh>
    <phoneticPr fontId="3"/>
  </si>
  <si>
    <t>H11道仮</t>
    <phoneticPr fontId="3"/>
  </si>
  <si>
    <t>切梁式</t>
    <rPh sb="0" eb="2">
      <t>キリバリ</t>
    </rPh>
    <rPh sb="2" eb="3">
      <t>シキ</t>
    </rPh>
    <phoneticPr fontId="3"/>
  </si>
  <si>
    <t>H≦3.0m</t>
    <phoneticPr fontId="3"/>
  </si>
  <si>
    <t>小規模土留め設計法（慣用法）</t>
    <rPh sb="0" eb="3">
      <t>ショウキボ</t>
    </rPh>
    <rPh sb="3" eb="5">
      <t>ドド</t>
    </rPh>
    <rPh sb="6" eb="9">
      <t>セッケイホウ</t>
    </rPh>
    <rPh sb="10" eb="12">
      <t>カンヨウ</t>
    </rPh>
    <rPh sb="12" eb="13">
      <t>ホウ</t>
    </rPh>
    <phoneticPr fontId="3"/>
  </si>
  <si>
    <t>p156</t>
    <phoneticPr fontId="3"/>
  </si>
  <si>
    <t>アンカー式</t>
    <rPh sb="4" eb="5">
      <t>シキ</t>
    </rPh>
    <phoneticPr fontId="3"/>
  </si>
  <si>
    <t>3.0m&lt;H≦10.0m</t>
    <phoneticPr fontId="3"/>
  </si>
  <si>
    <t>慣用法</t>
    <rPh sb="0" eb="2">
      <t>カンヨウ</t>
    </rPh>
    <rPh sb="2" eb="3">
      <t>ホウ</t>
    </rPh>
    <phoneticPr fontId="3"/>
  </si>
  <si>
    <t>p87</t>
    <phoneticPr fontId="3"/>
  </si>
  <si>
    <t>H&gt;10.0m</t>
    <phoneticPr fontId="3"/>
  </si>
  <si>
    <t>弾塑性法</t>
    <rPh sb="0" eb="3">
      <t>ダンソセイ</t>
    </rPh>
    <rPh sb="3" eb="4">
      <t>ホウ</t>
    </rPh>
    <phoneticPr fontId="3"/>
  </si>
  <si>
    <t>p94</t>
    <phoneticPr fontId="3"/>
  </si>
  <si>
    <t>自立式</t>
    <rPh sb="0" eb="2">
      <t>ジリツ</t>
    </rPh>
    <rPh sb="2" eb="3">
      <t>シキ</t>
    </rPh>
    <phoneticPr fontId="3"/>
  </si>
  <si>
    <t>H≦13.0m</t>
    <phoneticPr fontId="3"/>
  </si>
  <si>
    <t>弾性床上の梁理論</t>
    <rPh sb="0" eb="2">
      <t>ダンセイ</t>
    </rPh>
    <rPh sb="2" eb="3">
      <t>ユカ</t>
    </rPh>
    <rPh sb="3" eb="4">
      <t>ウエ</t>
    </rPh>
    <rPh sb="5" eb="6">
      <t>ハリ</t>
    </rPh>
    <rPh sb="6" eb="8">
      <t>リロン</t>
    </rPh>
    <phoneticPr fontId="3"/>
  </si>
  <si>
    <t>p150</t>
    <phoneticPr fontId="3"/>
  </si>
  <si>
    <t>1.2 仮設構造物の設計に用いる荷重</t>
    <rPh sb="4" eb="6">
      <t>カセツ</t>
    </rPh>
    <rPh sb="6" eb="9">
      <t>コウゾウブツ</t>
    </rPh>
    <rPh sb="10" eb="12">
      <t>セッケイ</t>
    </rPh>
    <rPh sb="13" eb="14">
      <t>モチ</t>
    </rPh>
    <rPh sb="16" eb="18">
      <t>カジュウ</t>
    </rPh>
    <phoneticPr fontId="3"/>
  </si>
  <si>
    <t>死荷重</t>
    <rPh sb="0" eb="1">
      <t>シ</t>
    </rPh>
    <rPh sb="1" eb="3">
      <t>カジュウ</t>
    </rPh>
    <phoneticPr fontId="3"/>
  </si>
  <si>
    <t>kN/m³</t>
    <phoneticPr fontId="3"/>
  </si>
  <si>
    <t>材料</t>
    <rPh sb="0" eb="2">
      <t>ザイリョウ</t>
    </rPh>
    <phoneticPr fontId="3"/>
  </si>
  <si>
    <t>H11道仮p32</t>
    <rPh sb="3" eb="4">
      <t>ミチ</t>
    </rPh>
    <rPh sb="4" eb="5">
      <t>カリ</t>
    </rPh>
    <phoneticPr fontId="3"/>
  </si>
  <si>
    <t>鋼・鋳鋼・鍛鋼</t>
    <rPh sb="0" eb="1">
      <t>ハガネ</t>
    </rPh>
    <rPh sb="2" eb="4">
      <t>チュウコウ</t>
    </rPh>
    <rPh sb="5" eb="7">
      <t>タンコウ</t>
    </rPh>
    <phoneticPr fontId="3"/>
  </si>
  <si>
    <t>セメントモルタル</t>
    <phoneticPr fontId="3"/>
  </si>
  <si>
    <t>鋳鉄</t>
    <rPh sb="0" eb="2">
      <t>チュウテツ</t>
    </rPh>
    <phoneticPr fontId="3"/>
  </si>
  <si>
    <t>木材</t>
    <rPh sb="0" eb="2">
      <t>モクザイ</t>
    </rPh>
    <phoneticPr fontId="3"/>
  </si>
  <si>
    <t>鉄筋コンクリート</t>
    <rPh sb="0" eb="2">
      <t>テッキン</t>
    </rPh>
    <phoneticPr fontId="3"/>
  </si>
  <si>
    <t>アスファルトコンクリート舗装</t>
    <rPh sb="12" eb="14">
      <t>ホソウ</t>
    </rPh>
    <phoneticPr fontId="3"/>
  </si>
  <si>
    <t>コンクリート</t>
    <phoneticPr fontId="3"/>
  </si>
  <si>
    <t>活荷重</t>
    <rPh sb="0" eb="3">
      <t>カツカジュウ</t>
    </rPh>
    <phoneticPr fontId="3"/>
  </si>
  <si>
    <t>自動車荷重</t>
    <rPh sb="0" eb="3">
      <t>ジドウシャ</t>
    </rPh>
    <rPh sb="3" eb="5">
      <t>カジュウ</t>
    </rPh>
    <phoneticPr fontId="3"/>
  </si>
  <si>
    <t>H29道示I共P94による</t>
    <rPh sb="3" eb="5">
      <t>ドウシ</t>
    </rPh>
    <rPh sb="6" eb="7">
      <t>トモ</t>
    </rPh>
    <phoneticPr fontId="3"/>
  </si>
  <si>
    <t>設計に用いる係数</t>
    <rPh sb="0" eb="2">
      <t>セッケイ</t>
    </rPh>
    <rPh sb="3" eb="4">
      <t>モチ</t>
    </rPh>
    <rPh sb="6" eb="8">
      <t>ケイスウ</t>
    </rPh>
    <phoneticPr fontId="3"/>
  </si>
  <si>
    <t>H11道仮p34</t>
    <rPh sb="3" eb="4">
      <t>ミチ</t>
    </rPh>
    <rPh sb="4" eb="5">
      <t>カリ</t>
    </rPh>
    <phoneticPr fontId="3"/>
  </si>
  <si>
    <t>部材の支間長L（ｍ）</t>
    <rPh sb="0" eb="2">
      <t>ブザイ</t>
    </rPh>
    <rPh sb="3" eb="6">
      <t>シカンチョウ</t>
    </rPh>
    <phoneticPr fontId="3"/>
  </si>
  <si>
    <t>L≦４</t>
    <phoneticPr fontId="3"/>
  </si>
  <si>
    <t>L&gt;4</t>
    <phoneticPr fontId="3"/>
  </si>
  <si>
    <t>L/32 + 7/8</t>
    <phoneticPr fontId="3"/>
  </si>
  <si>
    <t>群衆荷重</t>
    <rPh sb="0" eb="2">
      <t>グンシュウ</t>
    </rPh>
    <rPh sb="2" eb="4">
      <t>カジュウ</t>
    </rPh>
    <phoneticPr fontId="3"/>
  </si>
  <si>
    <t>等分布荷重　q=</t>
    <rPh sb="0" eb="3">
      <t>トウブンプ</t>
    </rPh>
    <rPh sb="3" eb="5">
      <t>カジュウ</t>
    </rPh>
    <phoneticPr fontId="3"/>
  </si>
  <si>
    <t>建設用重機</t>
    <rPh sb="0" eb="3">
      <t>ケンセツヨウ</t>
    </rPh>
    <rPh sb="3" eb="5">
      <t>ジュウキ</t>
    </rPh>
    <phoneticPr fontId="3"/>
  </si>
  <si>
    <t>作業状況に応じて考慮</t>
    <rPh sb="0" eb="2">
      <t>サギョウ</t>
    </rPh>
    <rPh sb="2" eb="4">
      <t>ジョウキョウ</t>
    </rPh>
    <rPh sb="5" eb="6">
      <t>オウ</t>
    </rPh>
    <rPh sb="8" eb="10">
      <t>コウリョ</t>
    </rPh>
    <phoneticPr fontId="3"/>
  </si>
  <si>
    <t>地表面上載荷重</t>
    <rPh sb="0" eb="3">
      <t>チヒョウメン</t>
    </rPh>
    <rPh sb="3" eb="4">
      <t>ジョウ</t>
    </rPh>
    <rPh sb="4" eb="5">
      <t>サイ</t>
    </rPh>
    <rPh sb="5" eb="7">
      <t>カジュウ</t>
    </rPh>
    <phoneticPr fontId="3"/>
  </si>
  <si>
    <t>仮設構造物の範囲外に原則</t>
    <rPh sb="0" eb="2">
      <t>カセツ</t>
    </rPh>
    <rPh sb="2" eb="4">
      <t>コウゾウ</t>
    </rPh>
    <rPh sb="4" eb="5">
      <t>ブツ</t>
    </rPh>
    <rPh sb="6" eb="9">
      <t>ハンイガイ</t>
    </rPh>
    <rPh sb="10" eb="12">
      <t>ゲンソク</t>
    </rPh>
    <phoneticPr fontId="3"/>
  </si>
  <si>
    <t>水平荷重(仮桟橋等)</t>
    <rPh sb="0" eb="2">
      <t>スイヘイ</t>
    </rPh>
    <rPh sb="2" eb="4">
      <t>カジュウ</t>
    </rPh>
    <phoneticPr fontId="3"/>
  </si>
  <si>
    <t>自動車の制御には鉛直荷重の</t>
    <rPh sb="0" eb="3">
      <t>ジドウシャ</t>
    </rPh>
    <rPh sb="4" eb="6">
      <t>セイギョ</t>
    </rPh>
    <rPh sb="8" eb="10">
      <t>エンチョク</t>
    </rPh>
    <rPh sb="10" eb="12">
      <t>カジュウ</t>
    </rPh>
    <phoneticPr fontId="3"/>
  </si>
  <si>
    <t>%</t>
    <phoneticPr fontId="3"/>
  </si>
  <si>
    <t>建設機械制御には自重の</t>
    <rPh sb="0" eb="2">
      <t>ケンセツ</t>
    </rPh>
    <rPh sb="2" eb="4">
      <t>キカイ</t>
    </rPh>
    <rPh sb="4" eb="6">
      <t>セイギョ</t>
    </rPh>
    <rPh sb="8" eb="10">
      <t>ジジュウ</t>
    </rPh>
    <phoneticPr fontId="3"/>
  </si>
  <si>
    <t>衝撃</t>
    <rPh sb="0" eb="2">
      <t>ショウゲキ</t>
    </rPh>
    <phoneticPr fontId="3"/>
  </si>
  <si>
    <t>H11道仮p35</t>
    <rPh sb="3" eb="4">
      <t>ミチ</t>
    </rPh>
    <rPh sb="4" eb="5">
      <t>カリ</t>
    </rPh>
    <phoneticPr fontId="3"/>
  </si>
  <si>
    <t>支間長に関係なく</t>
    <rPh sb="0" eb="3">
      <t>シカンチョウ</t>
    </rPh>
    <rPh sb="4" eb="6">
      <t>カンケイ</t>
    </rPh>
    <phoneticPr fontId="3"/>
  </si>
  <si>
    <t>衝撃係数 i =</t>
    <rPh sb="0" eb="2">
      <t>ショウゲキ</t>
    </rPh>
    <rPh sb="2" eb="4">
      <t>ケイスウ</t>
    </rPh>
    <phoneticPr fontId="3"/>
  </si>
  <si>
    <t>但し覆工板は</t>
    <phoneticPr fontId="3"/>
  </si>
  <si>
    <t>温度変化</t>
    <rPh sb="0" eb="2">
      <t>オンド</t>
    </rPh>
    <rPh sb="2" eb="4">
      <t>ヘンカ</t>
    </rPh>
    <phoneticPr fontId="3"/>
  </si>
  <si>
    <t>H11道仮p43</t>
    <rPh sb="3" eb="4">
      <t>ミチ</t>
    </rPh>
    <rPh sb="4" eb="5">
      <t>カリ</t>
    </rPh>
    <phoneticPr fontId="3"/>
  </si>
  <si>
    <t>部材断面積長さに関係なく</t>
    <rPh sb="0" eb="2">
      <t>ブザイ</t>
    </rPh>
    <rPh sb="2" eb="5">
      <t>ダンメンセキ</t>
    </rPh>
    <rPh sb="5" eb="6">
      <t>ナガ</t>
    </rPh>
    <rPh sb="8" eb="10">
      <t>カンケイ</t>
    </rPh>
    <phoneticPr fontId="3"/>
  </si>
  <si>
    <t>1.3　許容応力度</t>
    <rPh sb="4" eb="6">
      <t>キョヨウ</t>
    </rPh>
    <rPh sb="6" eb="9">
      <t>オウリョクド</t>
    </rPh>
    <phoneticPr fontId="3"/>
  </si>
  <si>
    <t>鋼材</t>
    <rPh sb="0" eb="2">
      <t>コウザイ</t>
    </rPh>
    <phoneticPr fontId="3"/>
  </si>
  <si>
    <t>N/mm²</t>
    <phoneticPr fontId="3"/>
  </si>
  <si>
    <t>種類</t>
    <rPh sb="0" eb="2">
      <t>シュルイ</t>
    </rPh>
    <phoneticPr fontId="3"/>
  </si>
  <si>
    <t>SS400</t>
    <phoneticPr fontId="3"/>
  </si>
  <si>
    <t>SM490</t>
    <phoneticPr fontId="3"/>
  </si>
  <si>
    <t>軸方向引張</t>
    <rPh sb="0" eb="3">
      <t>ジクホウコウ</t>
    </rPh>
    <rPh sb="3" eb="5">
      <t>ヒッパリ</t>
    </rPh>
    <phoneticPr fontId="3"/>
  </si>
  <si>
    <t>（純断面）</t>
    <rPh sb="1" eb="2">
      <t>ジュン</t>
    </rPh>
    <rPh sb="2" eb="4">
      <t>ダンメン</t>
    </rPh>
    <phoneticPr fontId="3"/>
  </si>
  <si>
    <r>
      <t>ℓ/</t>
    </r>
    <r>
      <rPr>
        <i/>
        <sz val="11"/>
        <color theme="1"/>
        <rFont val="Times New Roman"/>
        <family val="1"/>
      </rPr>
      <t>r</t>
    </r>
    <r>
      <rPr>
        <sz val="11"/>
        <color theme="1"/>
        <rFont val="游ゴシック"/>
        <family val="3"/>
        <charset val="128"/>
        <scheme val="minor"/>
      </rPr>
      <t>≦</t>
    </r>
    <r>
      <rPr>
        <sz val="11"/>
        <color theme="1"/>
        <rFont val="游ゴシック"/>
        <family val="2"/>
        <scheme val="minor"/>
      </rPr>
      <t>18</t>
    </r>
    <phoneticPr fontId="3"/>
  </si>
  <si>
    <r>
      <t>ℓ/</t>
    </r>
    <r>
      <rPr>
        <i/>
        <sz val="11"/>
        <color theme="1"/>
        <rFont val="Times New Roman"/>
        <family val="1"/>
      </rPr>
      <t>r</t>
    </r>
    <r>
      <rPr>
        <sz val="11"/>
        <color theme="1"/>
        <rFont val="游ゴシック"/>
        <family val="3"/>
        <charset val="128"/>
        <scheme val="minor"/>
      </rPr>
      <t>≦</t>
    </r>
    <r>
      <rPr>
        <sz val="11"/>
        <color theme="1"/>
        <rFont val="游ゴシック"/>
        <family val="2"/>
        <scheme val="minor"/>
      </rPr>
      <t>16</t>
    </r>
    <phoneticPr fontId="3"/>
  </si>
  <si>
    <r>
      <t>18&lt;ℓ/</t>
    </r>
    <r>
      <rPr>
        <i/>
        <sz val="11"/>
        <color theme="1"/>
        <rFont val="Times New Roman"/>
        <family val="1"/>
      </rPr>
      <t>r</t>
    </r>
    <r>
      <rPr>
        <sz val="11"/>
        <color theme="1"/>
        <rFont val="游ゴシック"/>
        <family val="3"/>
        <charset val="128"/>
        <scheme val="minor"/>
      </rPr>
      <t>≦</t>
    </r>
    <r>
      <rPr>
        <sz val="11"/>
        <color theme="1"/>
        <rFont val="游ゴシック"/>
        <family val="2"/>
        <scheme val="minor"/>
      </rPr>
      <t>92</t>
    </r>
    <phoneticPr fontId="3"/>
  </si>
  <si>
    <r>
      <t>16&lt;ℓ/</t>
    </r>
    <r>
      <rPr>
        <i/>
        <sz val="11"/>
        <color theme="1"/>
        <rFont val="Times New Roman"/>
        <family val="1"/>
      </rPr>
      <t>r</t>
    </r>
    <r>
      <rPr>
        <sz val="11"/>
        <color theme="1"/>
        <rFont val="游ゴシック"/>
        <family val="3"/>
        <charset val="128"/>
        <scheme val="minor"/>
      </rPr>
      <t>≦</t>
    </r>
    <r>
      <rPr>
        <sz val="11"/>
        <color theme="1"/>
        <rFont val="游ゴシック"/>
        <family val="2"/>
        <scheme val="minor"/>
      </rPr>
      <t>79</t>
    </r>
    <phoneticPr fontId="3"/>
  </si>
  <si>
    <t>軸方向圧縮</t>
    <rPh sb="0" eb="3">
      <t>ジクホウコウ</t>
    </rPh>
    <rPh sb="3" eb="5">
      <t>アッシュク</t>
    </rPh>
    <phoneticPr fontId="3"/>
  </si>
  <si>
    <r>
      <t>[140 − 0.82(ℓ/</t>
    </r>
    <r>
      <rPr>
        <i/>
        <sz val="11"/>
        <color theme="1"/>
        <rFont val="Times New Roman"/>
        <family val="1"/>
      </rPr>
      <t>r</t>
    </r>
    <r>
      <rPr>
        <sz val="11"/>
        <color theme="1"/>
        <rFont val="游ゴシック"/>
        <family val="2"/>
        <scheme val="minor"/>
      </rPr>
      <t>-18)] × 1.5</t>
    </r>
    <phoneticPr fontId="3"/>
  </si>
  <si>
    <r>
      <t>[185 − 1.2(ℓ/</t>
    </r>
    <r>
      <rPr>
        <i/>
        <sz val="11"/>
        <color theme="1"/>
        <rFont val="Times New Roman"/>
        <family val="1"/>
      </rPr>
      <t>r</t>
    </r>
    <r>
      <rPr>
        <sz val="11"/>
        <color theme="1"/>
        <rFont val="游ゴシック"/>
        <family val="2"/>
        <scheme val="minor"/>
      </rPr>
      <t>-16)] × 1.5</t>
    </r>
    <phoneticPr fontId="3"/>
  </si>
  <si>
    <t>(総断面)</t>
    <rPh sb="1" eb="2">
      <t>ソウ</t>
    </rPh>
    <rPh sb="2" eb="4">
      <t>ダンメン</t>
    </rPh>
    <phoneticPr fontId="3"/>
  </si>
  <si>
    <r>
      <t>92 &lt; ℓ/</t>
    </r>
    <r>
      <rPr>
        <i/>
        <sz val="11"/>
        <color theme="1"/>
        <rFont val="Times New Roman"/>
        <family val="1"/>
      </rPr>
      <t>r</t>
    </r>
    <phoneticPr fontId="3"/>
  </si>
  <si>
    <r>
      <t>79 &lt; ℓ/</t>
    </r>
    <r>
      <rPr>
        <i/>
        <sz val="11"/>
        <color theme="1"/>
        <rFont val="Times New Roman"/>
        <family val="1"/>
      </rPr>
      <t>r</t>
    </r>
    <phoneticPr fontId="3"/>
  </si>
  <si>
    <r>
      <t>{1200000/(6700+(ℓ/</t>
    </r>
    <r>
      <rPr>
        <i/>
        <sz val="11"/>
        <color theme="1"/>
        <rFont val="Times New Roman"/>
        <family val="1"/>
      </rPr>
      <t>r</t>
    </r>
    <r>
      <rPr>
        <sz val="11"/>
        <color theme="1"/>
        <rFont val="游ゴシック"/>
        <family val="2"/>
        <scheme val="minor"/>
      </rPr>
      <t>)²)}× 1.5</t>
    </r>
    <phoneticPr fontId="3"/>
  </si>
  <si>
    <r>
      <t>{1200000/(5000+(ℓ/</t>
    </r>
    <r>
      <rPr>
        <i/>
        <sz val="11"/>
        <color theme="1"/>
        <rFont val="Times New Roman"/>
        <family val="1"/>
      </rPr>
      <t>r</t>
    </r>
    <r>
      <rPr>
        <sz val="11"/>
        <color theme="1"/>
        <rFont val="游ゴシック"/>
        <family val="2"/>
        <scheme val="minor"/>
      </rPr>
      <t>)²)}× 1.5</t>
    </r>
    <phoneticPr fontId="3"/>
  </si>
  <si>
    <t>ℓ： 部材の座屈長さ（mm）</t>
    <phoneticPr fontId="3"/>
  </si>
  <si>
    <r>
      <rPr>
        <i/>
        <sz val="11"/>
        <color theme="1"/>
        <rFont val="Times New Roman"/>
        <family val="1"/>
      </rPr>
      <t>r</t>
    </r>
    <r>
      <rPr>
        <sz val="11"/>
        <color theme="1"/>
        <rFont val="游ゴシック"/>
        <family val="2"/>
        <scheme val="minor"/>
      </rPr>
      <t>： 断面二次半径（mm）</t>
    </r>
    <phoneticPr fontId="3"/>
  </si>
  <si>
    <t>引張縁</t>
    <rPh sb="0" eb="2">
      <t>ヒッパリ</t>
    </rPh>
    <rPh sb="2" eb="3">
      <t>フチ</t>
    </rPh>
    <phoneticPr fontId="3"/>
  </si>
  <si>
    <t>（総断面）</t>
    <rPh sb="1" eb="4">
      <t>ソウダンメン</t>
    </rPh>
    <phoneticPr fontId="3"/>
  </si>
  <si>
    <r>
      <t>ℓ/</t>
    </r>
    <r>
      <rPr>
        <i/>
        <sz val="11"/>
        <color theme="1"/>
        <rFont val="Times New Roman"/>
        <family val="1"/>
      </rPr>
      <t>b</t>
    </r>
    <r>
      <rPr>
        <sz val="11"/>
        <color theme="1"/>
        <rFont val="游ゴシック"/>
        <family val="2"/>
        <scheme val="minor"/>
      </rPr>
      <t>≦4.5</t>
    </r>
    <phoneticPr fontId="3"/>
  </si>
  <si>
    <r>
      <t>ℓ/</t>
    </r>
    <r>
      <rPr>
        <i/>
        <sz val="11"/>
        <color theme="1"/>
        <rFont val="Times New Roman"/>
        <family val="1"/>
      </rPr>
      <t>b</t>
    </r>
    <r>
      <rPr>
        <sz val="11"/>
        <color theme="1"/>
        <rFont val="游ゴシック"/>
        <family val="2"/>
        <scheme val="minor"/>
      </rPr>
      <t>≦4.0</t>
    </r>
    <phoneticPr fontId="3"/>
  </si>
  <si>
    <t>曲げ</t>
    <rPh sb="0" eb="1">
      <t>マ</t>
    </rPh>
    <phoneticPr fontId="3"/>
  </si>
  <si>
    <t>圧縮縁</t>
    <rPh sb="0" eb="2">
      <t>アッシュク</t>
    </rPh>
    <rPh sb="2" eb="3">
      <t>フチ</t>
    </rPh>
    <phoneticPr fontId="3"/>
  </si>
  <si>
    <r>
      <t>4.5&lt;ℓ/</t>
    </r>
    <r>
      <rPr>
        <i/>
        <sz val="11"/>
        <color theme="1"/>
        <rFont val="Times New Roman"/>
        <family val="1"/>
      </rPr>
      <t>b</t>
    </r>
    <r>
      <rPr>
        <sz val="11"/>
        <color theme="1"/>
        <rFont val="游ゴシック"/>
        <family val="2"/>
        <scheme val="minor"/>
      </rPr>
      <t>≦30</t>
    </r>
    <phoneticPr fontId="3"/>
  </si>
  <si>
    <r>
      <t>{140-2.4(ℓ/</t>
    </r>
    <r>
      <rPr>
        <i/>
        <sz val="11"/>
        <color theme="1"/>
        <rFont val="Times New Roman"/>
        <family val="1"/>
      </rPr>
      <t>b</t>
    </r>
    <r>
      <rPr>
        <sz val="11"/>
        <color theme="1"/>
        <rFont val="游ゴシック"/>
        <family val="2"/>
        <scheme val="minor"/>
      </rPr>
      <t>-4.5)}×1.5</t>
    </r>
    <phoneticPr fontId="3"/>
  </si>
  <si>
    <r>
      <t>{185-3.8(ℓ/</t>
    </r>
    <r>
      <rPr>
        <i/>
        <sz val="11"/>
        <color theme="1"/>
        <rFont val="Times New Roman"/>
        <family val="1"/>
      </rPr>
      <t>b</t>
    </r>
    <r>
      <rPr>
        <sz val="11"/>
        <color theme="1"/>
        <rFont val="游ゴシック"/>
        <family val="2"/>
        <scheme val="minor"/>
      </rPr>
      <t>-4.0)}×1.5</t>
    </r>
    <phoneticPr fontId="3"/>
  </si>
  <si>
    <t>ℓ： フランジの固定点間距離（mm）</t>
    <phoneticPr fontId="3"/>
  </si>
  <si>
    <r>
      <rPr>
        <i/>
        <sz val="11"/>
        <color theme="1"/>
        <rFont val="Times New Roman"/>
        <family val="1"/>
      </rPr>
      <t>b</t>
    </r>
    <r>
      <rPr>
        <sz val="11"/>
        <color theme="1"/>
        <rFont val="游ゴシック"/>
        <family val="2"/>
        <scheme val="minor"/>
      </rPr>
      <t>： フランジ幅（mm）</t>
    </r>
    <phoneticPr fontId="3"/>
  </si>
  <si>
    <t>せん断</t>
    <rPh sb="2" eb="3">
      <t>ダン</t>
    </rPh>
    <phoneticPr fontId="3"/>
  </si>
  <si>
    <t>支圧</t>
    <rPh sb="0" eb="2">
      <t>シアツ</t>
    </rPh>
    <phoneticPr fontId="3"/>
  </si>
  <si>
    <t>工場溶接部は母材と同じ値を用い、現場溶接部は施工条件を考慮して80%とする。</t>
    <phoneticPr fontId="3"/>
  </si>
  <si>
    <t>純断面：欠損部を考慮する</t>
    <phoneticPr fontId="3"/>
  </si>
  <si>
    <t>総断面：欠損部は考慮しない</t>
    <phoneticPr fontId="3"/>
  </si>
  <si>
    <t>鋼矢板の許容応力度</t>
    <rPh sb="0" eb="1">
      <t>ハガネ</t>
    </rPh>
    <rPh sb="1" eb="3">
      <t>ヤイタ</t>
    </rPh>
    <rPh sb="4" eb="9">
      <t>キョヨウオウリョクド</t>
    </rPh>
    <phoneticPr fontId="3"/>
  </si>
  <si>
    <t>H11道仮p48</t>
    <phoneticPr fontId="3"/>
  </si>
  <si>
    <t>SY295</t>
    <phoneticPr fontId="3"/>
  </si>
  <si>
    <t>SY390</t>
    <phoneticPr fontId="3"/>
  </si>
  <si>
    <t>軽量鋼矢板</t>
    <rPh sb="0" eb="2">
      <t>ケイリョウ</t>
    </rPh>
    <rPh sb="2" eb="5">
      <t>コウヤイタ</t>
    </rPh>
    <phoneticPr fontId="3"/>
  </si>
  <si>
    <t>母材部</t>
    <rPh sb="0" eb="2">
      <t>ボザイ</t>
    </rPh>
    <rPh sb="2" eb="3">
      <t>ブ</t>
    </rPh>
    <phoneticPr fontId="3"/>
  </si>
  <si>
    <t>曲げ引張り</t>
    <rPh sb="0" eb="1">
      <t>マ</t>
    </rPh>
    <rPh sb="2" eb="4">
      <t>ヒッパリ</t>
    </rPh>
    <phoneticPr fontId="3"/>
  </si>
  <si>
    <t>曲げ圧縮</t>
    <rPh sb="0" eb="1">
      <t>マ</t>
    </rPh>
    <rPh sb="2" eb="4">
      <t>アッシュク</t>
    </rPh>
    <phoneticPr fontId="3"/>
  </si>
  <si>
    <t>溶接部</t>
    <rPh sb="0" eb="3">
      <t>ヨウセツブ</t>
    </rPh>
    <phoneticPr fontId="3"/>
  </si>
  <si>
    <t>良好な施工条件での溶接</t>
    <rPh sb="0" eb="2">
      <t>リョウコウ</t>
    </rPh>
    <rPh sb="3" eb="5">
      <t>セコウ</t>
    </rPh>
    <rPh sb="5" eb="7">
      <t>ジョウケン</t>
    </rPh>
    <rPh sb="9" eb="11">
      <t>ヨウセツ</t>
    </rPh>
    <phoneticPr fontId="3"/>
  </si>
  <si>
    <t>突合せ溶接</t>
    <rPh sb="0" eb="2">
      <t>ツキアワ</t>
    </rPh>
    <rPh sb="3" eb="5">
      <t>ヨウセツ</t>
    </rPh>
    <phoneticPr fontId="3"/>
  </si>
  <si>
    <t>引張</t>
    <rPh sb="0" eb="2">
      <t>ヒッパリ</t>
    </rPh>
    <phoneticPr fontId="3"/>
  </si>
  <si>
    <t>圧縮</t>
    <rPh sb="0" eb="2">
      <t>アッシュク</t>
    </rPh>
    <phoneticPr fontId="3"/>
  </si>
  <si>
    <t>すみ肉溶接</t>
    <rPh sb="2" eb="3">
      <t>ニク</t>
    </rPh>
    <rPh sb="3" eb="5">
      <t>ヨウセツ</t>
    </rPh>
    <phoneticPr fontId="3"/>
  </si>
  <si>
    <t>現場建込み溶接</t>
    <rPh sb="0" eb="2">
      <t>ゲンバ</t>
    </rPh>
    <rPh sb="2" eb="4">
      <t>タテコ</t>
    </rPh>
    <rPh sb="5" eb="7">
      <t>ヨウセツ</t>
    </rPh>
    <phoneticPr fontId="3"/>
  </si>
  <si>
    <t>鋼管矢板の許容応力度</t>
    <rPh sb="0" eb="2">
      <t>コウカン</t>
    </rPh>
    <rPh sb="2" eb="4">
      <t>ヤイタ</t>
    </rPh>
    <rPh sb="5" eb="7">
      <t>キョヨウ</t>
    </rPh>
    <rPh sb="7" eb="10">
      <t>オウリョクド</t>
    </rPh>
    <phoneticPr fontId="3"/>
  </si>
  <si>
    <t>H11道仮p49</t>
    <phoneticPr fontId="3"/>
  </si>
  <si>
    <t>SKY400</t>
    <phoneticPr fontId="3"/>
  </si>
  <si>
    <t>SKY490</t>
    <phoneticPr fontId="3"/>
  </si>
  <si>
    <t>母材部</t>
    <rPh sb="0" eb="3">
      <t>ボザイブ</t>
    </rPh>
    <phoneticPr fontId="3"/>
  </si>
  <si>
    <t>工場溶接は母材と同じ値を用い，現場溶接部は</t>
    <phoneticPr fontId="3"/>
  </si>
  <si>
    <t>施工条件を考慮してその80% とする.</t>
    <phoneticPr fontId="3"/>
  </si>
  <si>
    <t>鉄筋の許容応力度</t>
    <rPh sb="0" eb="2">
      <t>テッキン</t>
    </rPh>
    <rPh sb="3" eb="5">
      <t>キョヨウ</t>
    </rPh>
    <rPh sb="5" eb="8">
      <t>オウリョクド</t>
    </rPh>
    <phoneticPr fontId="3"/>
  </si>
  <si>
    <t>SR235</t>
    <phoneticPr fontId="3"/>
  </si>
  <si>
    <t>SD295A</t>
    <phoneticPr fontId="3"/>
  </si>
  <si>
    <t>SD345</t>
    <phoneticPr fontId="3"/>
  </si>
  <si>
    <t>SD295B</t>
    <phoneticPr fontId="3"/>
  </si>
  <si>
    <t>ボルトの許容応力度</t>
    <rPh sb="4" eb="9">
      <t>キョヨウオウリョクド</t>
    </rPh>
    <phoneticPr fontId="3"/>
  </si>
  <si>
    <t>H11道仮p50</t>
    <phoneticPr fontId="3"/>
  </si>
  <si>
    <t>応力の種類</t>
    <rPh sb="0" eb="2">
      <t>オウリョク</t>
    </rPh>
    <rPh sb="3" eb="5">
      <t>シュルイ</t>
    </rPh>
    <phoneticPr fontId="3"/>
  </si>
  <si>
    <t>許容応力度</t>
    <rPh sb="0" eb="2">
      <t>キョヨウ</t>
    </rPh>
    <rPh sb="2" eb="5">
      <t>オウリョクド</t>
    </rPh>
    <phoneticPr fontId="3"/>
  </si>
  <si>
    <t>備考</t>
    <rPh sb="0" eb="2">
      <t>ビコウ</t>
    </rPh>
    <phoneticPr fontId="3"/>
  </si>
  <si>
    <t>普通ボルト</t>
    <rPh sb="0" eb="2">
      <t>フツウ</t>
    </rPh>
    <phoneticPr fontId="3"/>
  </si>
  <si>
    <t>SS400相当</t>
    <rPh sb="5" eb="7">
      <t>ソウトウ</t>
    </rPh>
    <phoneticPr fontId="3"/>
  </si>
  <si>
    <t>高力ボルト</t>
    <rPh sb="0" eb="2">
      <t>コウリョク</t>
    </rPh>
    <phoneticPr fontId="3"/>
  </si>
  <si>
    <t>母材がSS400の場合</t>
    <rPh sb="0" eb="2">
      <t>ボザイ</t>
    </rPh>
    <rPh sb="9" eb="11">
      <t>バアイ</t>
    </rPh>
    <phoneticPr fontId="3"/>
  </si>
  <si>
    <t>(F10T)</t>
    <phoneticPr fontId="3"/>
  </si>
  <si>
    <t>大気中コンクリートの許容応力度</t>
    <rPh sb="0" eb="3">
      <t>タイキチュウ</t>
    </rPh>
    <rPh sb="10" eb="15">
      <t>キョヨウオウリョクド</t>
    </rPh>
    <phoneticPr fontId="3"/>
  </si>
  <si>
    <t>H11道仮p52</t>
    <phoneticPr fontId="3"/>
  </si>
  <si>
    <r>
      <t>コンクリートの設計基準強度　σ</t>
    </r>
    <r>
      <rPr>
        <i/>
        <vertAlign val="subscript"/>
        <sz val="11"/>
        <color theme="1"/>
        <rFont val="Times New Roman"/>
        <family val="1"/>
      </rPr>
      <t>ck</t>
    </r>
    <rPh sb="7" eb="9">
      <t>セッケイ</t>
    </rPh>
    <rPh sb="9" eb="11">
      <t>キジュン</t>
    </rPh>
    <rPh sb="11" eb="13">
      <t>キョウド</t>
    </rPh>
    <phoneticPr fontId="3"/>
  </si>
  <si>
    <t>許容圧縮応力度</t>
    <rPh sb="0" eb="2">
      <t>キョヨウ</t>
    </rPh>
    <rPh sb="2" eb="4">
      <t>アッシュク</t>
    </rPh>
    <rPh sb="4" eb="7">
      <t>オウリョクド</t>
    </rPh>
    <phoneticPr fontId="3"/>
  </si>
  <si>
    <t>曲げ圧縮応力度</t>
    <rPh sb="0" eb="1">
      <t>マ</t>
    </rPh>
    <rPh sb="2" eb="4">
      <t>アッシュク</t>
    </rPh>
    <rPh sb="4" eb="7">
      <t>オウリョクド</t>
    </rPh>
    <phoneticPr fontId="3"/>
  </si>
  <si>
    <t>軸圧縮応力度</t>
    <rPh sb="0" eb="1">
      <t>ジク</t>
    </rPh>
    <rPh sb="1" eb="3">
      <t>アッシュク</t>
    </rPh>
    <rPh sb="3" eb="6">
      <t>オウリョクド</t>
    </rPh>
    <phoneticPr fontId="3"/>
  </si>
  <si>
    <r>
      <t>コンクリートのみでせん断を負担する場合　τ</t>
    </r>
    <r>
      <rPr>
        <i/>
        <vertAlign val="subscript"/>
        <sz val="11"/>
        <color theme="1"/>
        <rFont val="Times New Roman"/>
        <family val="1"/>
      </rPr>
      <t>a</t>
    </r>
    <r>
      <rPr>
        <vertAlign val="subscript"/>
        <sz val="11"/>
        <color theme="1"/>
        <rFont val="Times New Roman"/>
        <family val="1"/>
      </rPr>
      <t>1</t>
    </r>
    <rPh sb="11" eb="12">
      <t>ダン</t>
    </rPh>
    <rPh sb="13" eb="15">
      <t>フタン</t>
    </rPh>
    <rPh sb="17" eb="19">
      <t>バアイ</t>
    </rPh>
    <phoneticPr fontId="3"/>
  </si>
  <si>
    <r>
      <t>斜引張鉄筋と共同してせん断力を負担する場合　τ</t>
    </r>
    <r>
      <rPr>
        <i/>
        <vertAlign val="subscript"/>
        <sz val="11"/>
        <color theme="1"/>
        <rFont val="Times New Roman"/>
        <family val="1"/>
      </rPr>
      <t>a</t>
    </r>
    <r>
      <rPr>
        <vertAlign val="subscript"/>
        <sz val="11"/>
        <color theme="1"/>
        <rFont val="Times New Roman"/>
        <family val="1"/>
      </rPr>
      <t>2</t>
    </r>
    <rPh sb="0" eb="1">
      <t>ナナ</t>
    </rPh>
    <rPh sb="1" eb="3">
      <t>ヒッパリ</t>
    </rPh>
    <rPh sb="3" eb="5">
      <t>テッキン</t>
    </rPh>
    <rPh sb="6" eb="8">
      <t>キョウドウ</t>
    </rPh>
    <rPh sb="12" eb="13">
      <t>ダン</t>
    </rPh>
    <rPh sb="13" eb="14">
      <t>リョク</t>
    </rPh>
    <rPh sb="15" eb="17">
      <t>フタン</t>
    </rPh>
    <rPh sb="19" eb="21">
      <t>バアイ</t>
    </rPh>
    <phoneticPr fontId="3"/>
  </si>
  <si>
    <t>許容付着応力度</t>
    <rPh sb="0" eb="2">
      <t>キョヨウ</t>
    </rPh>
    <rPh sb="2" eb="4">
      <t>フチャク</t>
    </rPh>
    <rPh sb="4" eb="7">
      <t>オウリョクド</t>
    </rPh>
    <phoneticPr fontId="3"/>
  </si>
  <si>
    <t>丸鋼</t>
    <rPh sb="0" eb="1">
      <t>マル</t>
    </rPh>
    <rPh sb="1" eb="2">
      <t>ハガネ</t>
    </rPh>
    <phoneticPr fontId="3"/>
  </si>
  <si>
    <t>異形棒鋼</t>
    <rPh sb="0" eb="4">
      <t>イケイボウコウ</t>
    </rPh>
    <phoneticPr fontId="3"/>
  </si>
  <si>
    <t>水中コンクリートの許容応力度</t>
    <rPh sb="0" eb="2">
      <t>スイチュウ</t>
    </rPh>
    <rPh sb="9" eb="11">
      <t>キョヨウ</t>
    </rPh>
    <rPh sb="11" eb="14">
      <t>オウリョクド</t>
    </rPh>
    <phoneticPr fontId="3"/>
  </si>
  <si>
    <t>H11道仮p53</t>
    <phoneticPr fontId="3"/>
  </si>
  <si>
    <t>コンクリートの呼び強度</t>
    <rPh sb="7" eb="8">
      <t>ヨ</t>
    </rPh>
    <rPh sb="9" eb="11">
      <t>キョウド</t>
    </rPh>
    <phoneticPr fontId="3"/>
  </si>
  <si>
    <r>
      <t>水中コンクリートの設計基準強度　σ</t>
    </r>
    <r>
      <rPr>
        <i/>
        <vertAlign val="subscript"/>
        <sz val="11"/>
        <color theme="1"/>
        <rFont val="Times New Roman"/>
        <family val="1"/>
      </rPr>
      <t>ck</t>
    </r>
    <rPh sb="0" eb="2">
      <t>スイチュウ</t>
    </rPh>
    <rPh sb="9" eb="11">
      <t>セッケイ</t>
    </rPh>
    <rPh sb="11" eb="13">
      <t>キジュン</t>
    </rPh>
    <rPh sb="13" eb="15">
      <t>キョウド</t>
    </rPh>
    <phoneticPr fontId="3"/>
  </si>
  <si>
    <t>圧縮応力度</t>
    <rPh sb="0" eb="2">
      <t>アッシュク</t>
    </rPh>
    <rPh sb="2" eb="5">
      <t>オウリョクド</t>
    </rPh>
    <phoneticPr fontId="3"/>
  </si>
  <si>
    <t>軸圧縮応力度</t>
    <rPh sb="0" eb="1">
      <t>ジク</t>
    </rPh>
    <rPh sb="1" eb="3">
      <t>アッシュク</t>
    </rPh>
    <rPh sb="3" eb="5">
      <t>オウリョク</t>
    </rPh>
    <rPh sb="5" eb="6">
      <t>ド</t>
    </rPh>
    <phoneticPr fontId="3"/>
  </si>
  <si>
    <t>せん断応力度</t>
    <rPh sb="2" eb="3">
      <t>ダン</t>
    </rPh>
    <rPh sb="3" eb="6">
      <t>オウリョクド</t>
    </rPh>
    <phoneticPr fontId="3"/>
  </si>
  <si>
    <r>
      <t>コンクリートのみでせん断を負担する場合　τ</t>
    </r>
    <r>
      <rPr>
        <i/>
        <vertAlign val="subscript"/>
        <sz val="11"/>
        <color theme="1"/>
        <rFont val="Times New Roman"/>
        <family val="1"/>
      </rPr>
      <t>a</t>
    </r>
    <r>
      <rPr>
        <vertAlign val="subscript"/>
        <sz val="11"/>
        <color theme="1"/>
        <rFont val="游ゴシック"/>
        <family val="3"/>
        <charset val="128"/>
        <scheme val="minor"/>
      </rPr>
      <t>1</t>
    </r>
    <rPh sb="11" eb="12">
      <t>ダン</t>
    </rPh>
    <rPh sb="13" eb="15">
      <t>フタン</t>
    </rPh>
    <rPh sb="17" eb="19">
      <t>バアイ</t>
    </rPh>
    <phoneticPr fontId="3"/>
  </si>
  <si>
    <r>
      <t>斜引張鉄筋と共同してせん断力を負担する場合　τ</t>
    </r>
    <r>
      <rPr>
        <i/>
        <vertAlign val="subscript"/>
        <sz val="11"/>
        <color theme="1"/>
        <rFont val="Times New Roman"/>
        <family val="1"/>
      </rPr>
      <t>a</t>
    </r>
    <r>
      <rPr>
        <vertAlign val="subscript"/>
        <sz val="11"/>
        <color theme="1"/>
        <rFont val="游ゴシック"/>
        <family val="3"/>
        <charset val="128"/>
        <scheme val="minor"/>
      </rPr>
      <t>2</t>
    </r>
    <rPh sb="0" eb="1">
      <t>ナナ</t>
    </rPh>
    <rPh sb="1" eb="3">
      <t>ヒッパリ</t>
    </rPh>
    <rPh sb="3" eb="5">
      <t>テッキン</t>
    </rPh>
    <rPh sb="6" eb="8">
      <t>キョウドウ</t>
    </rPh>
    <rPh sb="12" eb="13">
      <t>ダン</t>
    </rPh>
    <rPh sb="13" eb="14">
      <t>リョク</t>
    </rPh>
    <rPh sb="15" eb="17">
      <t>フタン</t>
    </rPh>
    <rPh sb="19" eb="21">
      <t>バアイ</t>
    </rPh>
    <phoneticPr fontId="3"/>
  </si>
  <si>
    <t>付着応力度（異形鉄筋）</t>
    <rPh sb="0" eb="2">
      <t>フチャク</t>
    </rPh>
    <rPh sb="2" eb="5">
      <t>オウリョクド</t>
    </rPh>
    <rPh sb="6" eb="8">
      <t>イケイ</t>
    </rPh>
    <rPh sb="8" eb="10">
      <t>テッキン</t>
    </rPh>
    <phoneticPr fontId="3"/>
  </si>
  <si>
    <t>ソイルセメントの許容応力度</t>
    <rPh sb="8" eb="10">
      <t>キョヨウ</t>
    </rPh>
    <rPh sb="10" eb="12">
      <t>オウリョク</t>
    </rPh>
    <rPh sb="12" eb="13">
      <t>ド</t>
    </rPh>
    <phoneticPr fontId="3"/>
  </si>
  <si>
    <r>
      <t>圧縮σ</t>
    </r>
    <r>
      <rPr>
        <i/>
        <vertAlign val="subscript"/>
        <sz val="11"/>
        <color theme="1"/>
        <rFont val="Times New Roman"/>
        <family val="1"/>
      </rPr>
      <t>a</t>
    </r>
    <rPh sb="0" eb="2">
      <t>アッシュク</t>
    </rPh>
    <phoneticPr fontId="3"/>
  </si>
  <si>
    <r>
      <t>せん断τ</t>
    </r>
    <r>
      <rPr>
        <i/>
        <vertAlign val="subscript"/>
        <sz val="11"/>
        <color theme="1"/>
        <rFont val="Times New Roman"/>
        <family val="1"/>
      </rPr>
      <t>a</t>
    </r>
    <rPh sb="2" eb="3">
      <t>ダン</t>
    </rPh>
    <phoneticPr fontId="3"/>
  </si>
  <si>
    <r>
      <rPr>
        <i/>
        <sz val="11"/>
        <color theme="1"/>
        <rFont val="Times New Roman"/>
        <family val="1"/>
      </rPr>
      <t>F</t>
    </r>
    <r>
      <rPr>
        <i/>
        <vertAlign val="subscript"/>
        <sz val="11"/>
        <color theme="1"/>
        <rFont val="Times New Roman"/>
        <family val="1"/>
      </rPr>
      <t>c</t>
    </r>
    <r>
      <rPr>
        <sz val="11"/>
        <color theme="1"/>
        <rFont val="游ゴシック"/>
        <family val="2"/>
        <scheme val="minor"/>
      </rPr>
      <t>/2</t>
    </r>
    <phoneticPr fontId="3"/>
  </si>
  <si>
    <r>
      <rPr>
        <i/>
        <sz val="11"/>
        <color theme="1"/>
        <rFont val="Times New Roman"/>
        <family val="1"/>
      </rPr>
      <t>F</t>
    </r>
    <r>
      <rPr>
        <i/>
        <vertAlign val="subscript"/>
        <sz val="11"/>
        <color theme="1"/>
        <rFont val="Times New Roman"/>
        <family val="1"/>
      </rPr>
      <t>c</t>
    </r>
    <r>
      <rPr>
        <sz val="11"/>
        <color theme="1"/>
        <rFont val="游ゴシック"/>
        <family val="2"/>
        <scheme val="minor"/>
      </rPr>
      <t>/6</t>
    </r>
    <phoneticPr fontId="3"/>
  </si>
  <si>
    <t>応力度</t>
    <rPh sb="0" eb="3">
      <t>オウリョクド</t>
    </rPh>
    <phoneticPr fontId="3"/>
  </si>
  <si>
    <t>引張、曲げ</t>
    <rPh sb="0" eb="2">
      <t>ヒッパリ</t>
    </rPh>
    <rPh sb="3" eb="4">
      <t>マ</t>
    </rPh>
    <phoneticPr fontId="3"/>
  </si>
  <si>
    <t>針葉樹</t>
    <rPh sb="0" eb="3">
      <t>シンヨウジュ</t>
    </rPh>
    <phoneticPr fontId="3"/>
  </si>
  <si>
    <t>あかまつ、くろまつ、からまつ、ひば、ひのき、つが、べいまつ、べいひ</t>
    <phoneticPr fontId="3"/>
  </si>
  <si>
    <t>すず、もみ、えぞまつ、とどまつ、べいすぎ、べいつが</t>
    <phoneticPr fontId="3"/>
  </si>
  <si>
    <t>広葉樹</t>
    <rPh sb="0" eb="3">
      <t>コウヨウジュ</t>
    </rPh>
    <phoneticPr fontId="3"/>
  </si>
  <si>
    <t>かし</t>
    <phoneticPr fontId="3"/>
  </si>
  <si>
    <t>くり、なら、ぶな、けやき</t>
    <phoneticPr fontId="3"/>
  </si>
  <si>
    <t>ラワン</t>
    <phoneticPr fontId="3"/>
  </si>
  <si>
    <t>1.4　設計計算に用いる物理定数</t>
    <rPh sb="4" eb="6">
      <t>セッケイ</t>
    </rPh>
    <rPh sb="6" eb="8">
      <t>ケイサン</t>
    </rPh>
    <rPh sb="9" eb="10">
      <t>モチ</t>
    </rPh>
    <rPh sb="12" eb="14">
      <t>ブツリ</t>
    </rPh>
    <rPh sb="14" eb="16">
      <t>テイスウ</t>
    </rPh>
    <phoneticPr fontId="3"/>
  </si>
  <si>
    <t>鋼および鋳鋼</t>
    <rPh sb="0" eb="1">
      <t>ハガネ</t>
    </rPh>
    <rPh sb="4" eb="6">
      <t>チュウコウ</t>
    </rPh>
    <phoneticPr fontId="3"/>
  </si>
  <si>
    <t>PC鋼線、PC鋼より線、PC鋼棒</t>
    <rPh sb="2" eb="3">
      <t>ハガネ</t>
    </rPh>
    <rPh sb="3" eb="4">
      <t>セン</t>
    </rPh>
    <rPh sb="7" eb="8">
      <t>ハガネ</t>
    </rPh>
    <rPh sb="10" eb="11">
      <t>セン</t>
    </rPh>
    <rPh sb="14" eb="15">
      <t>ハガネ</t>
    </rPh>
    <rPh sb="15" eb="16">
      <t>ボウ</t>
    </rPh>
    <phoneticPr fontId="3"/>
  </si>
  <si>
    <t>コンクリ</t>
    <phoneticPr fontId="3"/>
  </si>
  <si>
    <t>設計基準強度(kN/mm²)</t>
    <rPh sb="0" eb="2">
      <t>セッケイ</t>
    </rPh>
    <rPh sb="2" eb="6">
      <t>キジュンキョウド</t>
    </rPh>
    <phoneticPr fontId="3"/>
  </si>
  <si>
    <t>ヤング係数(kN/mm²)</t>
    <rPh sb="3" eb="5">
      <t>ケイスウ</t>
    </rPh>
    <phoneticPr fontId="3"/>
  </si>
  <si>
    <t>1.5 鋼材の形状</t>
    <rPh sb="4" eb="6">
      <t>コウザイ</t>
    </rPh>
    <rPh sb="7" eb="9">
      <t>ケイジョウ</t>
    </rPh>
    <phoneticPr fontId="3"/>
  </si>
  <si>
    <t>断面二次半径</t>
    <rPh sb="0" eb="2">
      <t>ダンメン</t>
    </rPh>
    <rPh sb="2" eb="6">
      <t>ニジハンケイ</t>
    </rPh>
    <phoneticPr fontId="3"/>
  </si>
  <si>
    <t>断面係数</t>
    <rPh sb="0" eb="2">
      <t>ダンメン</t>
    </rPh>
    <rPh sb="2" eb="4">
      <t>ケイスウ</t>
    </rPh>
    <phoneticPr fontId="3"/>
  </si>
  <si>
    <r>
      <t>t</t>
    </r>
    <r>
      <rPr>
        <sz val="11"/>
        <color theme="1"/>
        <rFont val="Times New Roman"/>
        <family val="1"/>
      </rPr>
      <t>₁</t>
    </r>
    <phoneticPr fontId="3"/>
  </si>
  <si>
    <r>
      <t>t</t>
    </r>
    <r>
      <rPr>
        <sz val="11"/>
        <color theme="1"/>
        <rFont val="Times New Roman"/>
        <family val="1"/>
      </rPr>
      <t>₂</t>
    </r>
    <phoneticPr fontId="3"/>
  </si>
  <si>
    <r>
      <t>I</t>
    </r>
    <r>
      <rPr>
        <i/>
        <vertAlign val="subscript"/>
        <sz val="11"/>
        <color theme="1"/>
        <rFont val="Times New Roman"/>
        <family val="1"/>
      </rPr>
      <t>y</t>
    </r>
    <phoneticPr fontId="3"/>
  </si>
  <si>
    <r>
      <t>Z</t>
    </r>
    <r>
      <rPr>
        <i/>
        <vertAlign val="subscript"/>
        <sz val="11"/>
        <color theme="1"/>
        <rFont val="Times New Roman"/>
        <family val="1"/>
      </rPr>
      <t>y</t>
    </r>
    <phoneticPr fontId="3"/>
  </si>
  <si>
    <t>(mm)</t>
    <phoneticPr fontId="3"/>
  </si>
  <si>
    <t>cm²</t>
    <phoneticPr fontId="3"/>
  </si>
  <si>
    <t>cm⁴</t>
    <phoneticPr fontId="3"/>
  </si>
  <si>
    <t>cm³</t>
    <phoneticPr fontId="3"/>
  </si>
  <si>
    <t>加工製品</t>
    <rPh sb="0" eb="2">
      <t>カコウ</t>
    </rPh>
    <rPh sb="2" eb="4">
      <t>セイヒン</t>
    </rPh>
    <phoneticPr fontId="3"/>
  </si>
  <si>
    <t>軸力が作用する腹起し材であるため、曲げと圧縮を受ける部材として設計する。</t>
    <rPh sb="0" eb="2">
      <t>ジクリョク</t>
    </rPh>
    <rPh sb="3" eb="5">
      <t>サヨウ</t>
    </rPh>
    <rPh sb="7" eb="9">
      <t>ハラオコ</t>
    </rPh>
    <rPh sb="10" eb="11">
      <t>ザイ</t>
    </rPh>
    <rPh sb="17" eb="18">
      <t>マ</t>
    </rPh>
    <rPh sb="20" eb="22">
      <t>アッシュク</t>
    </rPh>
    <rPh sb="23" eb="24">
      <t>ウ</t>
    </rPh>
    <rPh sb="26" eb="28">
      <t>ブザイ</t>
    </rPh>
    <rPh sb="31" eb="33">
      <t>セッケイ</t>
    </rPh>
    <phoneticPr fontId="3"/>
  </si>
  <si>
    <r>
      <t>作用せん断力　</t>
    </r>
    <r>
      <rPr>
        <i/>
        <sz val="11"/>
        <rFont val="Times New Roman"/>
        <family val="1"/>
      </rPr>
      <t>Q</t>
    </r>
    <r>
      <rPr>
        <i/>
        <vertAlign val="subscript"/>
        <sz val="11"/>
        <rFont val="Times New Roman"/>
        <family val="1"/>
      </rPr>
      <t>w</t>
    </r>
    <r>
      <rPr>
        <sz val="11"/>
        <rFont val="游ゴシック"/>
        <family val="2"/>
        <scheme val="minor"/>
      </rPr>
      <t>　は単純ばりに作用する分布荷重の公式より</t>
    </r>
    <rPh sb="0" eb="2">
      <t>サヨウ</t>
    </rPh>
    <rPh sb="4" eb="5">
      <t>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</si>
</sst>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00_ "/>
    <numFmt numFmtId="179" formatCode="#,##0.000;[Red]\-#,##0.000"/>
    <numFmt numFmtId="180" formatCode="0.0000000"/>
    <numFmt numFmtId="181" formatCode="#,##0.0"/>
    <numFmt numFmtId="182" formatCode="0.0000"/>
    <numFmt numFmtId="183" formatCode="0_ "/>
    <numFmt numFmtId="184" formatCode="0.0_ "/>
  </numFmts>
  <fonts count="50">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11"/>
      <color theme="1"/>
      <name val="Times New Roman"/>
      <family val="1"/>
    </font>
    <font>
      <i/>
      <sz val="11"/>
      <color theme="1"/>
      <name val="Times New Roman"/>
      <family val="1"/>
    </font>
    <font>
      <sz val="11"/>
      <color theme="1"/>
      <name val="游ゴシック"/>
      <family val="3"/>
      <charset val="128"/>
      <scheme val="minor"/>
    </font>
    <font>
      <vertAlign val="subscript"/>
      <sz val="11"/>
      <color theme="1"/>
      <name val="Times New Roman"/>
      <family val="1"/>
    </font>
    <font>
      <i/>
      <vertAlign val="subscript"/>
      <sz val="11"/>
      <color theme="1"/>
      <name val="Times New Roman"/>
      <family val="1"/>
    </font>
    <font>
      <i/>
      <sz val="11"/>
      <color theme="1"/>
      <name val="游ゴシック"/>
      <family val="2"/>
    </font>
    <font>
      <i/>
      <sz val="11"/>
      <color theme="1"/>
      <name val="ＭＳ Ｐ明朝"/>
      <family val="1"/>
      <charset val="128"/>
    </font>
    <font>
      <sz val="11"/>
      <color theme="1"/>
      <name val="游ゴシック"/>
      <family val="1"/>
      <scheme val="minor"/>
    </font>
    <font>
      <i/>
      <sz val="11"/>
      <color theme="1"/>
      <name val="Times New Roman"/>
      <family val="3"/>
      <charset val="128"/>
    </font>
    <font>
      <sz val="11"/>
      <color theme="1"/>
      <name val="Yu Gothic"/>
      <family val="1"/>
      <charset val="128"/>
    </font>
    <font>
      <vertAlign val="subscript"/>
      <sz val="11"/>
      <color theme="1"/>
      <name val="游ゴシック"/>
      <family val="1"/>
      <charset val="128"/>
    </font>
    <font>
      <vertAlign val="subscript"/>
      <sz val="11"/>
      <color theme="1"/>
      <name val="Yu Gothic"/>
      <family val="1"/>
      <charset val="128"/>
    </font>
    <font>
      <i/>
      <vertAlign val="subscript"/>
      <sz val="11"/>
      <color theme="1"/>
      <name val="ＭＳ Ｐ明朝"/>
      <family val="1"/>
      <charset val="128"/>
    </font>
    <font>
      <vertAlign val="subscript"/>
      <sz val="11"/>
      <color theme="1"/>
      <name val="ＭＳ Ｐ明朝"/>
      <family val="1"/>
      <charset val="128"/>
    </font>
    <font>
      <sz val="11"/>
      <color theme="0"/>
      <name val="游ゴシック"/>
      <family val="3"/>
      <charset val="128"/>
      <scheme val="minor"/>
    </font>
    <font>
      <sz val="11"/>
      <color rgb="FFFF0000"/>
      <name val="游ゴシック"/>
      <family val="3"/>
      <charset val="128"/>
      <scheme val="minor"/>
    </font>
    <font>
      <sz val="11"/>
      <name val="游ゴシック"/>
      <family val="2"/>
      <scheme val="minor"/>
    </font>
    <font>
      <b/>
      <vertAlign val="subscript"/>
      <sz val="11"/>
      <color theme="1"/>
      <name val="Times New Roman"/>
      <family val="1"/>
    </font>
    <font>
      <vertAlign val="subscript"/>
      <sz val="11"/>
      <name val="游ゴシック"/>
      <family val="3"/>
      <charset val="128"/>
      <scheme val="minor"/>
    </font>
    <font>
      <i/>
      <sz val="11"/>
      <color theme="1"/>
      <name val="Times New Roman"/>
      <family val="1"/>
      <charset val="161"/>
    </font>
    <font>
      <i/>
      <sz val="11"/>
      <color rgb="FFFF0000"/>
      <name val="Times New Roman"/>
      <family val="1"/>
      <charset val="161"/>
    </font>
    <font>
      <i/>
      <sz val="11"/>
      <color rgb="FFFF0000"/>
      <name val="ＭＳ Ｐ明朝"/>
      <family val="1"/>
      <charset val="128"/>
    </font>
    <font>
      <vertAlign val="subscript"/>
      <sz val="11"/>
      <color rgb="FFFF0000"/>
      <name val="Times New Roman"/>
      <family val="1"/>
    </font>
    <font>
      <i/>
      <sz val="11"/>
      <color rgb="FFFF0000"/>
      <name val="Times New Roman"/>
      <family val="1"/>
    </font>
    <font>
      <sz val="11"/>
      <color rgb="FFFF0000"/>
      <name val="游ゴシック"/>
      <family val="2"/>
      <scheme val="minor"/>
    </font>
    <font>
      <i/>
      <vertAlign val="superscript"/>
      <sz val="11"/>
      <color theme="1"/>
      <name val="Times New Roman"/>
      <family val="1"/>
    </font>
    <font>
      <vertAlign val="superscript"/>
      <sz val="11"/>
      <color theme="1"/>
      <name val="游ゴシック"/>
      <family val="2"/>
      <scheme val="minor"/>
    </font>
    <font>
      <sz val="11"/>
      <name val="游ゴシック"/>
      <family val="3"/>
      <charset val="128"/>
      <scheme val="minor"/>
    </font>
    <font>
      <i/>
      <vertAlign val="subscript"/>
      <sz val="11"/>
      <color theme="1"/>
      <name val="游ゴシック"/>
      <family val="1"/>
      <charset val="128"/>
    </font>
    <font>
      <vertAlign val="subscript"/>
      <sz val="11"/>
      <color theme="1"/>
      <name val="游ゴシック"/>
      <family val="3"/>
      <charset val="128"/>
    </font>
    <font>
      <i/>
      <sz val="11"/>
      <color theme="1"/>
      <name val="游ゴシック"/>
      <family val="3"/>
      <charset val="128"/>
      <scheme val="minor"/>
    </font>
    <font>
      <sz val="11"/>
      <color theme="1"/>
      <name val="游ゴシック"/>
      <family val="1"/>
      <charset val="128"/>
      <scheme val="minor"/>
    </font>
    <font>
      <i/>
      <sz val="11"/>
      <color theme="1"/>
      <name val="游ゴシック"/>
      <family val="3"/>
      <charset val="128"/>
    </font>
    <font>
      <vertAlign val="subscript"/>
      <sz val="11"/>
      <color theme="1"/>
      <name val="Times New Roman"/>
      <family val="3"/>
    </font>
    <font>
      <i/>
      <vertAlign val="subscript"/>
      <sz val="11"/>
      <color theme="1"/>
      <name val="Yu Gothic"/>
      <family val="1"/>
      <charset val="128"/>
    </font>
    <font>
      <i/>
      <vertAlign val="subscript"/>
      <sz val="11"/>
      <color theme="1"/>
      <name val="Times New Roman"/>
      <family val="1"/>
      <charset val="161"/>
    </font>
    <font>
      <sz val="6"/>
      <color theme="0"/>
      <name val="游ゴシック"/>
      <family val="2"/>
      <scheme val="minor"/>
    </font>
    <font>
      <u/>
      <sz val="11"/>
      <color theme="10"/>
      <name val="游ゴシック"/>
      <family val="2"/>
      <scheme val="minor"/>
    </font>
    <font>
      <i/>
      <sz val="11"/>
      <name val="Times New Roman"/>
      <family val="1"/>
    </font>
    <font>
      <i/>
      <vertAlign val="subscript"/>
      <sz val="11"/>
      <name val="Times New Roman"/>
      <family val="1"/>
    </font>
    <font>
      <sz val="11"/>
      <name val="游ゴシック"/>
      <family val="1"/>
      <scheme val="minor"/>
    </font>
    <font>
      <i/>
      <vertAlign val="subscript"/>
      <sz val="8"/>
      <name val="Times New Roman"/>
      <family val="1"/>
    </font>
    <font>
      <i/>
      <sz val="11"/>
      <name val="Yu Gothic"/>
      <family val="2"/>
    </font>
    <font>
      <vertAlign val="subscript"/>
      <sz val="11"/>
      <color theme="1"/>
      <name val="Yu Gothic"/>
      <family val="3"/>
      <charset val="128"/>
    </font>
  </fonts>
  <fills count="4">
    <fill>
      <patternFill patternType="none"/>
    </fill>
    <fill>
      <patternFill patternType="gray125"/>
    </fill>
    <fill>
      <patternFill patternType="solid">
        <fgColor rgb="FFFFCCFF"/>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3" fillId="0" borderId="0" applyNumberFormat="0" applyFill="0" applyBorder="0" applyAlignment="0" applyProtection="0"/>
  </cellStyleXfs>
  <cellXfs count="966">
    <xf numFmtId="0" fontId="0" fillId="0" borderId="0" xfId="0"/>
    <xf numFmtId="177" fontId="0" fillId="0" borderId="0" xfId="1" applyNumberFormat="1" applyFont="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center"/>
    </xf>
    <xf numFmtId="177" fontId="0" fillId="0" borderId="1" xfId="1" applyNumberFormat="1" applyFont="1" applyBorder="1" applyAlignment="1"/>
    <xf numFmtId="177" fontId="0" fillId="0" borderId="2" xfId="1" applyNumberFormat="1" applyFont="1" applyBorder="1" applyAlignment="1"/>
    <xf numFmtId="177" fontId="0" fillId="0" borderId="3" xfId="1" applyNumberFormat="1" applyFont="1" applyBorder="1" applyAlignment="1"/>
    <xf numFmtId="177" fontId="0" fillId="0" borderId="4" xfId="1" applyNumberFormat="1" applyFont="1" applyBorder="1" applyAlignment="1"/>
    <xf numFmtId="177" fontId="0" fillId="0" borderId="0" xfId="1" applyNumberFormat="1" applyFont="1" applyBorder="1" applyAlignment="1"/>
    <xf numFmtId="177" fontId="0" fillId="0" borderId="0" xfId="1" applyNumberFormat="1" applyFont="1" applyBorder="1" applyAlignment="1">
      <alignment horizontal="center"/>
    </xf>
    <xf numFmtId="177" fontId="0" fillId="0" borderId="5" xfId="1" applyNumberFormat="1" applyFont="1" applyBorder="1" applyAlignment="1"/>
    <xf numFmtId="177" fontId="0" fillId="0" borderId="6" xfId="1" applyNumberFormat="1" applyFont="1" applyBorder="1" applyAlignment="1"/>
    <xf numFmtId="177" fontId="0" fillId="0" borderId="7" xfId="1" applyNumberFormat="1" applyFont="1" applyBorder="1" applyAlignment="1"/>
    <xf numFmtId="177" fontId="0" fillId="0" borderId="7" xfId="1" applyNumberFormat="1" applyFont="1" applyBorder="1" applyAlignment="1">
      <alignment horizontal="center"/>
    </xf>
    <xf numFmtId="177" fontId="0" fillId="0" borderId="8" xfId="1" applyNumberFormat="1" applyFont="1" applyBorder="1" applyAlignment="1"/>
    <xf numFmtId="0" fontId="0" fillId="0" borderId="7" xfId="0" applyBorder="1" applyAlignment="1">
      <alignment horizontal="center"/>
    </xf>
    <xf numFmtId="0" fontId="0" fillId="0" borderId="7" xfId="0" applyBorder="1" applyAlignment="1">
      <alignment horizontal="center" vertical="center"/>
    </xf>
    <xf numFmtId="2" fontId="0" fillId="0" borderId="7" xfId="0" applyNumberFormat="1" applyBorder="1" applyAlignment="1">
      <alignment horizontal="center"/>
    </xf>
    <xf numFmtId="2" fontId="0" fillId="0" borderId="7" xfId="0" applyNumberFormat="1" applyBorder="1" applyAlignment="1">
      <alignment horizontal="left"/>
    </xf>
    <xf numFmtId="40" fontId="0" fillId="0" borderId="0" xfId="1" applyNumberFormat="1" applyFont="1" applyBorder="1" applyAlignment="1">
      <alignment horizontal="center"/>
    </xf>
    <xf numFmtId="0" fontId="0" fillId="0" borderId="7" xfId="0" applyBorder="1"/>
    <xf numFmtId="0" fontId="0" fillId="0" borderId="7" xfId="0" applyBorder="1" applyAlignment="1">
      <alignment horizontal="left"/>
    </xf>
    <xf numFmtId="38" fontId="0" fillId="0" borderId="0" xfId="1" applyFont="1" applyBorder="1" applyAlignment="1">
      <alignment horizontal="center"/>
    </xf>
    <xf numFmtId="177" fontId="0" fillId="0" borderId="0" xfId="1" applyNumberFormat="1" applyFont="1" applyBorder="1" applyAlignment="1">
      <alignment horizontal="center" vertical="center"/>
    </xf>
    <xf numFmtId="38" fontId="0" fillId="0" borderId="7" xfId="1" applyFont="1" applyBorder="1" applyAlignment="1"/>
    <xf numFmtId="177" fontId="0" fillId="0" borderId="11" xfId="1" applyNumberFormat="1" applyFont="1" applyBorder="1" applyAlignment="1"/>
    <xf numFmtId="38" fontId="0" fillId="0" borderId="0" xfId="1" applyFont="1" applyBorder="1" applyAlignment="1"/>
    <xf numFmtId="177" fontId="0" fillId="0" borderId="0" xfId="1" applyNumberFormat="1" applyFont="1" applyBorder="1" applyAlignment="1">
      <alignment vertical="center"/>
    </xf>
    <xf numFmtId="177" fontId="0" fillId="0" borderId="0" xfId="1" applyNumberFormat="1" applyFont="1" applyBorder="1" applyAlignment="1">
      <alignment horizontal="left" vertical="center"/>
    </xf>
    <xf numFmtId="177" fontId="7" fillId="0" borderId="0" xfId="1" applyNumberFormat="1" applyFont="1" applyBorder="1" applyAlignment="1"/>
    <xf numFmtId="177" fontId="7" fillId="0" borderId="0" xfId="1" applyNumberFormat="1" applyFont="1" applyBorder="1" applyAlignment="1">
      <alignment horizontal="center"/>
    </xf>
    <xf numFmtId="177" fontId="7" fillId="0" borderId="0" xfId="1" applyNumberFormat="1" applyFont="1" applyBorder="1" applyAlignment="1">
      <alignment horizontal="center" vertical="center"/>
    </xf>
    <xf numFmtId="177" fontId="8" fillId="0" borderId="0" xfId="1" applyNumberFormat="1" applyFont="1" applyBorder="1" applyAlignment="1"/>
    <xf numFmtId="177" fontId="13" fillId="0" borderId="0" xfId="1" applyNumberFormat="1" applyFont="1" applyBorder="1" applyAlignment="1"/>
    <xf numFmtId="179" fontId="8" fillId="0" borderId="0" xfId="1" applyNumberFormat="1" applyFont="1" applyBorder="1" applyAlignment="1"/>
    <xf numFmtId="177" fontId="0" fillId="0" borderId="0" xfId="1" applyNumberFormat="1" applyFont="1" applyFill="1" applyBorder="1" applyAlignment="1">
      <alignment horizontal="center"/>
    </xf>
    <xf numFmtId="177" fontId="0" fillId="0" borderId="0" xfId="1" quotePrefix="1" applyNumberFormat="1" applyFont="1" applyBorder="1" applyAlignment="1"/>
    <xf numFmtId="177" fontId="0" fillId="0" borderId="0" xfId="1" applyNumberFormat="1" applyFont="1" applyBorder="1" applyAlignment="1">
      <alignment horizontal="center" shrinkToFit="1"/>
    </xf>
    <xf numFmtId="177" fontId="0" fillId="0" borderId="2" xfId="1" applyNumberFormat="1" applyFont="1" applyBorder="1" applyAlignment="1">
      <alignment horizontal="center"/>
    </xf>
    <xf numFmtId="38" fontId="0" fillId="0" borderId="2" xfId="1" applyFont="1" applyBorder="1" applyAlignment="1">
      <alignment horizontal="center"/>
    </xf>
    <xf numFmtId="38" fontId="0" fillId="0" borderId="5" xfId="1" applyFont="1" applyBorder="1" applyAlignment="1"/>
    <xf numFmtId="38" fontId="0" fillId="0" borderId="11" xfId="1" applyFont="1" applyBorder="1" applyAlignment="1"/>
    <xf numFmtId="2" fontId="0" fillId="0" borderId="7" xfId="0" applyNumberFormat="1" applyBorder="1"/>
    <xf numFmtId="1" fontId="0" fillId="0" borderId="2" xfId="0" applyNumberFormat="1" applyBorder="1" applyAlignment="1">
      <alignment horizontal="center"/>
    </xf>
    <xf numFmtId="1" fontId="0" fillId="0" borderId="7" xfId="0" applyNumberFormat="1" applyBorder="1" applyAlignment="1">
      <alignment horizontal="center"/>
    </xf>
    <xf numFmtId="0" fontId="0" fillId="0" borderId="2" xfId="0"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vertical="center"/>
    </xf>
    <xf numFmtId="177" fontId="21" fillId="0" borderId="0" xfId="1" applyNumberFormat="1" applyFont="1" applyBorder="1" applyAlignment="1">
      <alignment shrinkToFit="1"/>
    </xf>
    <xf numFmtId="177" fontId="21" fillId="0" borderId="5" xfId="1" applyNumberFormat="1" applyFont="1" applyBorder="1" applyAlignment="1">
      <alignment shrinkToFit="1"/>
    </xf>
    <xf numFmtId="177" fontId="21" fillId="0" borderId="0" xfId="1" applyNumberFormat="1" applyFont="1" applyAlignment="1">
      <alignment shrinkToFit="1"/>
    </xf>
    <xf numFmtId="177" fontId="0" fillId="0" borderId="0" xfId="1" applyNumberFormat="1" applyFont="1" applyBorder="1" applyAlignment="1">
      <alignment horizontal="left" shrinkToFit="1"/>
    </xf>
    <xf numFmtId="177" fontId="7" fillId="0" borderId="5" xfId="1" applyNumberFormat="1" applyFont="1" applyBorder="1" applyAlignment="1"/>
    <xf numFmtId="0" fontId="0" fillId="0" borderId="2" xfId="0" applyBorder="1" applyAlignment="1">
      <alignment horizontal="left"/>
    </xf>
    <xf numFmtId="2" fontId="0" fillId="0" borderId="2" xfId="0" applyNumberFormat="1" applyBorder="1" applyAlignment="1">
      <alignment horizontal="left"/>
    </xf>
    <xf numFmtId="40" fontId="0" fillId="0" borderId="2" xfId="1" applyNumberFormat="1" applyFont="1" applyBorder="1" applyAlignment="1">
      <alignment horizontal="center" shrinkToFit="1"/>
    </xf>
    <xf numFmtId="40" fontId="0" fillId="0" borderId="7" xfId="1" applyNumberFormat="1" applyFont="1" applyBorder="1" applyAlignment="1">
      <alignment horizontal="center" shrinkToFit="1"/>
    </xf>
    <xf numFmtId="40" fontId="0" fillId="0" borderId="11" xfId="1" applyNumberFormat="1" applyFont="1" applyBorder="1" applyAlignment="1">
      <alignment horizontal="center" shrinkToFit="1"/>
    </xf>
    <xf numFmtId="1" fontId="0" fillId="0" borderId="11" xfId="0" applyNumberFormat="1" applyBorder="1" applyAlignment="1">
      <alignment horizontal="center"/>
    </xf>
    <xf numFmtId="0" fontId="0" fillId="0" borderId="11" xfId="0" applyBorder="1" applyAlignment="1">
      <alignment horizontal="center" vertical="center"/>
    </xf>
    <xf numFmtId="2" fontId="0" fillId="0" borderId="11" xfId="0" applyNumberFormat="1" applyBorder="1" applyAlignment="1">
      <alignment horizontal="center"/>
    </xf>
    <xf numFmtId="0" fontId="0" fillId="0" borderId="11" xfId="0" applyBorder="1" applyAlignment="1">
      <alignment horizontal="left"/>
    </xf>
    <xf numFmtId="2" fontId="0" fillId="0" borderId="11" xfId="0" applyNumberFormat="1" applyBorder="1" applyAlignment="1">
      <alignment horizontal="left"/>
    </xf>
    <xf numFmtId="2" fontId="0" fillId="0" borderId="11" xfId="0" applyNumberFormat="1" applyBorder="1"/>
    <xf numFmtId="0" fontId="0" fillId="0" borderId="11" xfId="0" applyBorder="1"/>
    <xf numFmtId="40" fontId="0" fillId="0" borderId="22" xfId="1" applyNumberFormat="1" applyFont="1" applyBorder="1" applyAlignment="1">
      <alignment horizontal="center" shrinkToFit="1"/>
    </xf>
    <xf numFmtId="177" fontId="0" fillId="0" borderId="22" xfId="1" applyNumberFormat="1" applyFont="1" applyBorder="1" applyAlignment="1"/>
    <xf numFmtId="0" fontId="0" fillId="0" borderId="22" xfId="0" applyBorder="1" applyAlignment="1">
      <alignment horizontal="left"/>
    </xf>
    <xf numFmtId="2" fontId="0" fillId="0" borderId="22" xfId="0" applyNumberFormat="1" applyBorder="1" applyAlignment="1">
      <alignment horizontal="left"/>
    </xf>
    <xf numFmtId="2" fontId="0" fillId="0" borderId="22" xfId="0" applyNumberFormat="1" applyBorder="1" applyAlignment="1">
      <alignment horizontal="center"/>
    </xf>
    <xf numFmtId="177" fontId="0" fillId="0" borderId="24" xfId="1" applyNumberFormat="1" applyFont="1" applyBorder="1" applyAlignment="1"/>
    <xf numFmtId="2" fontId="0" fillId="0" borderId="24" xfId="0" applyNumberFormat="1" applyBorder="1" applyAlignment="1">
      <alignment horizontal="center"/>
    </xf>
    <xf numFmtId="2" fontId="0" fillId="0" borderId="24" xfId="0" applyNumberFormat="1" applyBorder="1" applyAlignment="1">
      <alignment horizontal="left"/>
    </xf>
    <xf numFmtId="177" fontId="0" fillId="0" borderId="12" xfId="1" applyNumberFormat="1" applyFont="1" applyBorder="1" applyAlignment="1"/>
    <xf numFmtId="0" fontId="0" fillId="0" borderId="0" xfId="0" applyAlignment="1">
      <alignment horizontal="center"/>
    </xf>
    <xf numFmtId="0" fontId="22" fillId="0" borderId="0" xfId="0" applyFont="1"/>
    <xf numFmtId="0" fontId="22" fillId="0" borderId="7" xfId="0" applyFont="1" applyBorder="1"/>
    <xf numFmtId="40" fontId="0" fillId="0" borderId="0" xfId="1" applyNumberFormat="1" applyFont="1" applyBorder="1" applyAlignment="1"/>
    <xf numFmtId="0" fontId="22" fillId="0" borderId="1" xfId="0" applyFont="1" applyBorder="1"/>
    <xf numFmtId="0" fontId="22" fillId="0" borderId="2" xfId="0" applyFont="1" applyBorder="1"/>
    <xf numFmtId="0" fontId="22" fillId="0" borderId="3" xfId="0" applyFont="1" applyBorder="1"/>
    <xf numFmtId="0" fontId="22" fillId="0" borderId="4" xfId="0" applyFont="1" applyBorder="1"/>
    <xf numFmtId="0" fontId="22" fillId="0" borderId="5" xfId="0" applyFont="1" applyBorder="1"/>
    <xf numFmtId="0" fontId="22" fillId="0" borderId="0" xfId="0" applyFont="1" applyAlignment="1">
      <alignment horizontal="right"/>
    </xf>
    <xf numFmtId="0" fontId="22" fillId="0" borderId="6" xfId="0" applyFont="1" applyBorder="1"/>
    <xf numFmtId="0" fontId="22" fillId="0" borderId="8" xfId="0" applyFont="1" applyBorder="1"/>
    <xf numFmtId="177" fontId="0" fillId="0" borderId="29" xfId="1" applyNumberFormat="1" applyFont="1" applyBorder="1" applyAlignment="1"/>
    <xf numFmtId="0" fontId="0" fillId="0" borderId="0" xfId="0" applyAlignment="1">
      <alignment horizontal="center" vertical="center"/>
    </xf>
    <xf numFmtId="2" fontId="0" fillId="0" borderId="0" xfId="0" applyNumberFormat="1" applyAlignment="1">
      <alignment horizontal="center" shrinkToFit="1"/>
    </xf>
    <xf numFmtId="2" fontId="0" fillId="0" borderId="0" xfId="0" applyNumberFormat="1" applyAlignment="1">
      <alignment horizontal="center"/>
    </xf>
    <xf numFmtId="0" fontId="0" fillId="0" borderId="0" xfId="0" applyAlignment="1">
      <alignment horizontal="left" shrinkToFit="1"/>
    </xf>
    <xf numFmtId="0" fontId="0" fillId="0" borderId="0" xfId="0" applyAlignment="1">
      <alignment horizontal="left"/>
    </xf>
    <xf numFmtId="2" fontId="0" fillId="0" borderId="0" xfId="0" applyNumberFormat="1" applyAlignment="1">
      <alignment horizontal="left"/>
    </xf>
    <xf numFmtId="0" fontId="0" fillId="0" borderId="0" xfId="0" applyAlignment="1">
      <alignment horizontal="left" vertical="center"/>
    </xf>
    <xf numFmtId="2" fontId="0" fillId="0" borderId="0" xfId="0" applyNumberFormat="1" applyAlignment="1">
      <alignment shrinkToFit="1"/>
    </xf>
    <xf numFmtId="40" fontId="0" fillId="0" borderId="5" xfId="1" applyNumberFormat="1" applyFont="1" applyBorder="1" applyAlignment="1"/>
    <xf numFmtId="1" fontId="0" fillId="0" borderId="0" xfId="0" applyNumberFormat="1" applyAlignment="1">
      <alignment horizontal="center"/>
    </xf>
    <xf numFmtId="177" fontId="0" fillId="0" borderId="6" xfId="1" applyNumberFormat="1" applyFont="1" applyBorder="1" applyAlignment="1">
      <alignment horizontal="left" shrinkToFit="1"/>
    </xf>
    <xf numFmtId="177" fontId="0" fillId="0" borderId="7" xfId="1" applyNumberFormat="1" applyFont="1" applyBorder="1" applyAlignment="1">
      <alignment horizontal="left" shrinkToFit="1"/>
    </xf>
    <xf numFmtId="177" fontId="0" fillId="0" borderId="7" xfId="1" applyNumberFormat="1" applyFont="1" applyFill="1" applyBorder="1" applyAlignment="1">
      <alignment horizontal="center"/>
    </xf>
    <xf numFmtId="177" fontId="0" fillId="0" borderId="7" xfId="1" applyNumberFormat="1" applyFont="1" applyBorder="1" applyAlignment="1">
      <alignment horizontal="center" shrinkToFit="1"/>
    </xf>
    <xf numFmtId="177" fontId="0" fillId="0" borderId="8" xfId="1" applyNumberFormat="1" applyFont="1" applyBorder="1" applyAlignment="1">
      <alignment horizontal="center" shrinkToFit="1"/>
    </xf>
    <xf numFmtId="177" fontId="0" fillId="0" borderId="0"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0" fillId="0" borderId="0" xfId="1" applyNumberFormat="1" applyFont="1" applyBorder="1" applyAlignment="1">
      <alignment horizontal="left"/>
    </xf>
    <xf numFmtId="177" fontId="0" fillId="0" borderId="5" xfId="1" applyNumberFormat="1" applyFont="1" applyBorder="1" applyAlignment="1">
      <alignment vertical="center"/>
    </xf>
    <xf numFmtId="40" fontId="0" fillId="0" borderId="0" xfId="1" applyNumberFormat="1" applyFont="1" applyBorder="1" applyAlignment="1">
      <alignment vertical="center"/>
    </xf>
    <xf numFmtId="40" fontId="0" fillId="0" borderId="2" xfId="1" applyNumberFormat="1" applyFont="1" applyBorder="1" applyAlignment="1"/>
    <xf numFmtId="177" fontId="0" fillId="0" borderId="0" xfId="1" applyNumberFormat="1" applyFont="1" applyBorder="1" applyAlignment="1">
      <alignment vertical="top" wrapText="1"/>
    </xf>
    <xf numFmtId="177" fontId="0" fillId="0" borderId="0" xfId="1" applyNumberFormat="1" applyFont="1" applyFill="1" applyBorder="1" applyAlignment="1"/>
    <xf numFmtId="40" fontId="30" fillId="0" borderId="0" xfId="1" applyNumberFormat="1" applyFont="1" applyBorder="1" applyAlignment="1">
      <alignment horizontal="center"/>
    </xf>
    <xf numFmtId="177" fontId="0" fillId="0" borderId="0" xfId="1" applyNumberFormat="1" applyFont="1" applyBorder="1" applyAlignment="1">
      <alignment horizontal="center" vertical="center" wrapText="1"/>
    </xf>
    <xf numFmtId="177" fontId="0" fillId="0" borderId="25" xfId="1" applyNumberFormat="1" applyFont="1" applyBorder="1" applyAlignment="1"/>
    <xf numFmtId="2" fontId="0" fillId="0" borderId="5" xfId="0" applyNumberFormat="1" applyBorder="1" applyAlignment="1">
      <alignment horizontal="center"/>
    </xf>
    <xf numFmtId="177" fontId="0" fillId="0" borderId="0" xfId="1" applyNumberFormat="1" applyFont="1" applyFill="1" applyAlignment="1">
      <alignment horizontal="left" wrapText="1"/>
    </xf>
    <xf numFmtId="177" fontId="7" fillId="0" borderId="7" xfId="1" applyNumberFormat="1" applyFont="1" applyBorder="1" applyAlignment="1"/>
    <xf numFmtId="40" fontId="7" fillId="0" borderId="0" xfId="1" applyNumberFormat="1" applyFont="1" applyBorder="1" applyAlignment="1">
      <alignment shrinkToFit="1"/>
    </xf>
    <xf numFmtId="40" fontId="7" fillId="0" borderId="12" xfId="1" applyNumberFormat="1" applyFont="1" applyBorder="1" applyAlignment="1">
      <alignment shrinkToFit="1"/>
    </xf>
    <xf numFmtId="40" fontId="6" fillId="0" borderId="0" xfId="1" applyNumberFormat="1" applyFont="1" applyBorder="1" applyAlignment="1">
      <alignment shrinkToFit="1"/>
    </xf>
    <xf numFmtId="0" fontId="6" fillId="0" borderId="0" xfId="0" applyFont="1" applyAlignment="1">
      <alignment horizontal="center" shrinkToFit="1"/>
    </xf>
    <xf numFmtId="177" fontId="0" fillId="0" borderId="0" xfId="1" applyNumberFormat="1" applyFont="1" applyFill="1" applyBorder="1" applyAlignment="1">
      <alignment horizontal="left" wrapText="1"/>
    </xf>
    <xf numFmtId="177" fontId="0" fillId="0" borderId="5" xfId="1" applyNumberFormat="1" applyFont="1" applyFill="1" applyBorder="1" applyAlignment="1">
      <alignment horizontal="left" wrapText="1"/>
    </xf>
    <xf numFmtId="177" fontId="0" fillId="0" borderId="0" xfId="1" quotePrefix="1" applyNumberFormat="1" applyFont="1" applyBorder="1" applyAlignment="1">
      <alignment vertical="top"/>
    </xf>
    <xf numFmtId="38" fontId="32" fillId="0" borderId="0" xfId="1" applyFont="1" applyBorder="1" applyAlignment="1">
      <alignment horizontal="left"/>
    </xf>
    <xf numFmtId="177" fontId="0" fillId="0" borderId="10" xfId="1" applyNumberFormat="1" applyFont="1" applyBorder="1" applyAlignment="1"/>
    <xf numFmtId="177" fontId="8" fillId="0" borderId="7" xfId="1" applyNumberFormat="1" applyFont="1" applyBorder="1" applyAlignment="1"/>
    <xf numFmtId="177" fontId="32" fillId="0" borderId="7" xfId="1" quotePrefix="1" applyNumberFormat="1" applyFont="1" applyBorder="1" applyAlignment="1"/>
    <xf numFmtId="177" fontId="0" fillId="0" borderId="4" xfId="1" applyNumberFormat="1" applyFont="1" applyBorder="1" applyAlignment="1">
      <alignment vertical="top" wrapText="1"/>
    </xf>
    <xf numFmtId="177" fontId="25" fillId="0" borderId="0" xfId="1" applyNumberFormat="1" applyFont="1" applyBorder="1" applyAlignment="1"/>
    <xf numFmtId="38" fontId="8" fillId="0" borderId="0" xfId="1" applyFont="1" applyBorder="1" applyAlignment="1"/>
    <xf numFmtId="38" fontId="0" fillId="0" borderId="0" xfId="1" applyFont="1" applyFill="1" applyBorder="1" applyAlignment="1">
      <alignment horizontal="center"/>
    </xf>
    <xf numFmtId="177" fontId="8" fillId="0" borderId="0" xfId="1" applyNumberFormat="1" applyFont="1" applyBorder="1" applyAlignment="1">
      <alignment horizontal="center"/>
    </xf>
    <xf numFmtId="177" fontId="8" fillId="0" borderId="0" xfId="1" applyNumberFormat="1" applyFont="1" applyBorder="1" applyAlignment="1">
      <alignment horizontal="center" shrinkToFit="1"/>
    </xf>
    <xf numFmtId="38" fontId="0" fillId="0" borderId="0" xfId="1" applyFont="1" applyBorder="1" applyAlignment="1">
      <alignment horizontal="center" vertical="center"/>
    </xf>
    <xf numFmtId="40" fontId="0" fillId="0" borderId="7" xfId="1" applyNumberFormat="1" applyFont="1" applyBorder="1" applyAlignment="1">
      <alignment horizontal="center"/>
    </xf>
    <xf numFmtId="177" fontId="7" fillId="0" borderId="7" xfId="1" applyNumberFormat="1" applyFont="1" applyBorder="1" applyAlignment="1">
      <alignment horizontal="center"/>
    </xf>
    <xf numFmtId="38" fontId="0" fillId="0" borderId="7" xfId="1" applyFont="1" applyBorder="1" applyAlignment="1">
      <alignment horizontal="center"/>
    </xf>
    <xf numFmtId="177" fontId="7" fillId="0" borderId="0" xfId="1" applyNumberFormat="1" applyFont="1" applyBorder="1" applyAlignment="1">
      <alignment horizontal="right"/>
    </xf>
    <xf numFmtId="177" fontId="0" fillId="0" borderId="5" xfId="1" applyNumberFormat="1" applyFont="1" applyBorder="1" applyAlignment="1">
      <alignment horizontal="left" shrinkToFit="1"/>
    </xf>
    <xf numFmtId="177" fontId="7" fillId="0" borderId="0" xfId="1" applyNumberFormat="1" applyFont="1" applyBorder="1" applyAlignment="1">
      <alignment horizontal="left"/>
    </xf>
    <xf numFmtId="177" fontId="7" fillId="0" borderId="0" xfId="1" applyNumberFormat="1" applyFont="1" applyBorder="1" applyAlignment="1">
      <alignment horizontal="right" shrinkToFit="1"/>
    </xf>
    <xf numFmtId="38" fontId="8" fillId="0" borderId="0" xfId="1" applyFont="1" applyBorder="1" applyAlignment="1">
      <alignment horizontal="center"/>
    </xf>
    <xf numFmtId="38" fontId="0" fillId="0" borderId="0" xfId="1" applyFont="1" applyBorder="1" applyAlignment="1">
      <alignment horizontal="center" shrinkToFit="1"/>
    </xf>
    <xf numFmtId="38" fontId="0" fillId="0" borderId="7" xfId="1" applyFont="1" applyBorder="1" applyAlignment="1">
      <alignment horizontal="center" shrinkToFit="1"/>
    </xf>
    <xf numFmtId="177" fontId="7" fillId="0" borderId="0" xfId="1" applyNumberFormat="1" applyFont="1" applyBorder="1" applyAlignment="1">
      <alignment horizontal="right" vertical="center"/>
    </xf>
    <xf numFmtId="177" fontId="7" fillId="0" borderId="7" xfId="1" applyNumberFormat="1" applyFont="1" applyBorder="1" applyAlignment="1">
      <alignment horizontal="center" vertical="center"/>
    </xf>
    <xf numFmtId="177" fontId="8" fillId="0" borderId="7" xfId="1" applyNumberFormat="1" applyFont="1" applyBorder="1" applyAlignment="1">
      <alignment horizontal="center"/>
    </xf>
    <xf numFmtId="177" fontId="8" fillId="0" borderId="0" xfId="1" applyNumberFormat="1" applyFont="1" applyBorder="1" applyAlignment="1">
      <alignment horizontal="left"/>
    </xf>
    <xf numFmtId="177" fontId="7" fillId="0" borderId="0" xfId="1" applyNumberFormat="1" applyFont="1" applyBorder="1" applyAlignment="1">
      <alignment vertical="center"/>
    </xf>
    <xf numFmtId="40" fontId="8" fillId="0" borderId="0" xfId="1" applyNumberFormat="1" applyFont="1" applyBorder="1" applyAlignment="1">
      <alignment horizontal="center"/>
    </xf>
    <xf numFmtId="0" fontId="0" fillId="0" borderId="0" xfId="0" applyAlignment="1">
      <alignment horizontal="center" shrinkToFit="1"/>
    </xf>
    <xf numFmtId="2" fontId="22" fillId="0" borderId="0" xfId="0" applyNumberFormat="1" applyFont="1" applyAlignment="1">
      <alignment horizontal="left" vertical="center"/>
    </xf>
    <xf numFmtId="177" fontId="7" fillId="0" borderId="7" xfId="1" applyNumberFormat="1" applyFont="1" applyBorder="1" applyAlignment="1">
      <alignment horizontal="right" vertical="center"/>
    </xf>
    <xf numFmtId="177" fontId="0" fillId="0" borderId="7" xfId="1" applyNumberFormat="1" applyFont="1" applyBorder="1" applyAlignment="1">
      <alignment horizontal="center" vertical="center"/>
    </xf>
    <xf numFmtId="177" fontId="0" fillId="0" borderId="5" xfId="1" applyNumberFormat="1" applyFont="1" applyBorder="1" applyAlignment="1">
      <alignment shrinkToFit="1"/>
    </xf>
    <xf numFmtId="177" fontId="7" fillId="0" borderId="4" xfId="1" applyNumberFormat="1" applyFont="1" applyBorder="1" applyAlignment="1">
      <alignment horizontal="right"/>
    </xf>
    <xf numFmtId="177" fontId="7" fillId="0" borderId="6" xfId="1" applyNumberFormat="1" applyFont="1" applyBorder="1" applyAlignment="1">
      <alignment horizontal="right"/>
    </xf>
    <xf numFmtId="177" fontId="7" fillId="0" borderId="7" xfId="1" applyNumberFormat="1" applyFont="1" applyBorder="1" applyAlignment="1">
      <alignment horizontal="right"/>
    </xf>
    <xf numFmtId="177" fontId="7" fillId="0" borderId="7" xfId="1" applyNumberFormat="1" applyFont="1" applyBorder="1" applyAlignment="1">
      <alignment horizontal="left"/>
    </xf>
    <xf numFmtId="177" fontId="0" fillId="0" borderId="8" xfId="1" applyNumberFormat="1" applyFont="1" applyBorder="1" applyAlignment="1">
      <alignment horizontal="left" shrinkToFit="1"/>
    </xf>
    <xf numFmtId="177" fontId="8" fillId="0" borderId="7" xfId="1" applyNumberFormat="1" applyFont="1" applyBorder="1" applyAlignment="1">
      <alignment horizontal="left"/>
    </xf>
    <xf numFmtId="38" fontId="0" fillId="0" borderId="5" xfId="1" applyFont="1" applyBorder="1" applyAlignment="1">
      <alignment horizontal="center"/>
    </xf>
    <xf numFmtId="177" fontId="8" fillId="0" borderId="7" xfId="1" applyNumberFormat="1" applyFont="1" applyBorder="1" applyAlignment="1">
      <alignment horizontal="center" shrinkToFit="1"/>
    </xf>
    <xf numFmtId="177" fontId="0" fillId="0" borderId="7" xfId="1" applyNumberFormat="1" applyFont="1" applyBorder="1" applyAlignment="1">
      <alignment vertical="center"/>
    </xf>
    <xf numFmtId="177" fontId="0" fillId="0" borderId="7" xfId="1" applyNumberFormat="1" applyFont="1" applyBorder="1" applyAlignment="1">
      <alignment horizontal="left" vertical="center"/>
    </xf>
    <xf numFmtId="38" fontId="0" fillId="0" borderId="8" xfId="1" applyFont="1" applyBorder="1" applyAlignment="1">
      <alignment horizontal="center"/>
    </xf>
    <xf numFmtId="38" fontId="0" fillId="0" borderId="7" xfId="1" applyFont="1" applyFill="1" applyBorder="1" applyAlignment="1">
      <alignment horizontal="center"/>
    </xf>
    <xf numFmtId="2" fontId="22" fillId="0" borderId="0" xfId="0" applyNumberFormat="1" applyFont="1" applyAlignment="1">
      <alignment horizontal="center"/>
    </xf>
    <xf numFmtId="0" fontId="0" fillId="0" borderId="8" xfId="0" applyBorder="1" applyAlignment="1">
      <alignment horizontal="center" vertical="center"/>
    </xf>
    <xf numFmtId="177" fontId="20" fillId="0" borderId="0" xfId="1" applyNumberFormat="1" applyFont="1" applyFill="1" applyBorder="1" applyAlignment="1">
      <alignment shrinkToFit="1"/>
    </xf>
    <xf numFmtId="177" fontId="20" fillId="0" borderId="5" xfId="1" applyNumberFormat="1" applyFont="1" applyFill="1" applyBorder="1" applyAlignment="1">
      <alignment shrinkToFit="1"/>
    </xf>
    <xf numFmtId="0" fontId="0" fillId="0" borderId="6" xfId="0" applyBorder="1"/>
    <xf numFmtId="40" fontId="0" fillId="0" borderId="0" xfId="1" applyNumberFormat="1" applyFont="1" applyFill="1" applyBorder="1" applyAlignment="1">
      <alignment horizontal="center"/>
    </xf>
    <xf numFmtId="177" fontId="0" fillId="0" borderId="0" xfId="1" applyNumberFormat="1" applyFont="1" applyFill="1" applyBorder="1" applyAlignment="1">
      <alignment horizontal="left"/>
    </xf>
    <xf numFmtId="40" fontId="0" fillId="0" borderId="0" xfId="1" applyNumberFormat="1" applyFont="1" applyBorder="1" applyAlignment="1">
      <alignment horizontal="center" shrinkToFit="1"/>
    </xf>
    <xf numFmtId="40" fontId="0" fillId="0" borderId="2" xfId="1" applyNumberFormat="1" applyFont="1" applyBorder="1" applyAlignment="1">
      <alignment horizontal="center"/>
    </xf>
    <xf numFmtId="177" fontId="8" fillId="0" borderId="0" xfId="1" applyNumberFormat="1" applyFont="1" applyBorder="1" applyAlignment="1">
      <alignment horizontal="center" vertical="center"/>
    </xf>
    <xf numFmtId="177" fontId="0" fillId="0" borderId="2" xfId="1" applyNumberFormat="1" applyFont="1" applyBorder="1" applyAlignment="1">
      <alignment horizontal="left" shrinkToFit="1"/>
    </xf>
    <xf numFmtId="177" fontId="0" fillId="0" borderId="4" xfId="1" applyNumberFormat="1" applyFont="1" applyBorder="1" applyAlignment="1">
      <alignment horizontal="left" shrinkToFit="1"/>
    </xf>
    <xf numFmtId="40" fontId="0" fillId="0" borderId="11" xfId="1" applyNumberFormat="1" applyFont="1" applyFill="1" applyBorder="1" applyAlignment="1">
      <alignment horizontal="center" shrinkToFit="1"/>
    </xf>
    <xf numFmtId="177" fontId="0" fillId="0" borderId="11" xfId="1" applyNumberFormat="1" applyFont="1" applyFill="1" applyBorder="1" applyAlignment="1"/>
    <xf numFmtId="177" fontId="0" fillId="0" borderId="7" xfId="1" applyNumberFormat="1" applyFont="1" applyFill="1" applyBorder="1" applyAlignment="1"/>
    <xf numFmtId="38" fontId="0" fillId="0" borderId="11" xfId="1" applyFont="1" applyFill="1" applyBorder="1" applyAlignment="1"/>
    <xf numFmtId="0" fontId="0" fillId="0" borderId="15" xfId="0" applyBorder="1" applyAlignment="1">
      <alignment horizontal="left"/>
    </xf>
    <xf numFmtId="177" fontId="0" fillId="0" borderId="2" xfId="1" applyNumberFormat="1" applyFont="1" applyFill="1" applyBorder="1" applyAlignment="1">
      <alignment horizontal="center"/>
    </xf>
    <xf numFmtId="177" fontId="0" fillId="0" borderId="6" xfId="1" applyNumberFormat="1" applyFont="1" applyFill="1" applyBorder="1" applyAlignment="1"/>
    <xf numFmtId="2" fontId="0" fillId="0" borderId="0" xfId="0" applyNumberFormat="1"/>
    <xf numFmtId="177" fontId="0" fillId="0" borderId="0" xfId="1" applyNumberFormat="1" applyFont="1" applyFill="1" applyBorder="1" applyAlignment="1">
      <alignment horizontal="center" vertical="center"/>
    </xf>
    <xf numFmtId="178" fontId="0" fillId="0" borderId="0" xfId="0" applyNumberFormat="1" applyAlignment="1">
      <alignment horizontal="center" shrinkToFit="1"/>
    </xf>
    <xf numFmtId="2" fontId="0" fillId="0" borderId="0" xfId="0" quotePrefix="1" applyNumberFormat="1"/>
    <xf numFmtId="177" fontId="0" fillId="0" borderId="2" xfId="1" applyNumberFormat="1" applyFont="1" applyFill="1" applyBorder="1" applyAlignment="1"/>
    <xf numFmtId="177" fontId="25" fillId="0" borderId="0" xfId="1" applyNumberFormat="1" applyFont="1" applyBorder="1" applyAlignment="1">
      <alignment horizontal="center"/>
    </xf>
    <xf numFmtId="177" fontId="0" fillId="0" borderId="5" xfId="1" applyNumberFormat="1" applyFont="1" applyBorder="1" applyAlignment="1">
      <alignment horizontal="center" shrinkToFit="1"/>
    </xf>
    <xf numFmtId="177" fontId="0" fillId="0" borderId="1" xfId="1" applyNumberFormat="1" applyFont="1" applyBorder="1" applyAlignment="1">
      <alignment horizontal="left" shrinkToFit="1"/>
    </xf>
    <xf numFmtId="177" fontId="0" fillId="0" borderId="2" xfId="1" applyNumberFormat="1" applyFont="1" applyBorder="1" applyAlignment="1">
      <alignment horizontal="center" shrinkToFit="1"/>
    </xf>
    <xf numFmtId="177" fontId="0" fillId="0" borderId="3" xfId="1" applyNumberFormat="1" applyFont="1" applyBorder="1" applyAlignment="1">
      <alignment horizontal="center" shrinkToFit="1"/>
    </xf>
    <xf numFmtId="177" fontId="0" fillId="0" borderId="7" xfId="1" applyNumberFormat="1" applyFont="1" applyBorder="1" applyAlignment="1">
      <alignment horizontal="left" vertical="top" wrapText="1"/>
    </xf>
    <xf numFmtId="2" fontId="0" fillId="0" borderId="0" xfId="0" applyNumberFormat="1"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2" fontId="0" fillId="0" borderId="0" xfId="0" applyNumberFormat="1" applyProtection="1">
      <protection locked="0"/>
    </xf>
    <xf numFmtId="177" fontId="0" fillId="0" borderId="0" xfId="1" applyNumberFormat="1" applyFont="1" applyFill="1" applyAlignment="1"/>
    <xf numFmtId="2" fontId="33" fillId="0" borderId="0" xfId="0" applyNumberFormat="1" applyFont="1" applyAlignment="1">
      <alignment horizontal="center" vertical="center"/>
    </xf>
    <xf numFmtId="2" fontId="0" fillId="0" borderId="0" xfId="0" applyNumberFormat="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center" vertical="center" shrinkToFit="1"/>
    </xf>
    <xf numFmtId="40" fontId="0" fillId="0" borderId="0" xfId="1" applyNumberFormat="1" applyFont="1" applyBorder="1" applyAlignment="1">
      <alignment horizontal="center" vertical="center" shrinkToFit="1"/>
    </xf>
    <xf numFmtId="177" fontId="0" fillId="0" borderId="0" xfId="1" applyNumberFormat="1" applyFont="1" applyFill="1" applyBorder="1" applyAlignment="1">
      <alignment vertical="center"/>
    </xf>
    <xf numFmtId="0" fontId="0" fillId="0" borderId="0" xfId="0" applyAlignment="1">
      <alignment shrinkToFit="1"/>
    </xf>
    <xf numFmtId="0" fontId="6" fillId="0" borderId="0" xfId="0" applyFont="1" applyAlignment="1">
      <alignment shrinkToFit="1"/>
    </xf>
    <xf numFmtId="177" fontId="0" fillId="0" borderId="0" xfId="1" applyNumberFormat="1" applyFont="1" applyFill="1" applyBorder="1" applyAlignment="1">
      <alignment wrapText="1"/>
    </xf>
    <xf numFmtId="177" fontId="0" fillId="0" borderId="5" xfId="1" applyNumberFormat="1" applyFont="1" applyFill="1" applyBorder="1" applyAlignment="1">
      <alignment wrapText="1"/>
    </xf>
    <xf numFmtId="0" fontId="0" fillId="0" borderId="12" xfId="0" applyBorder="1"/>
    <xf numFmtId="0" fontId="0" fillId="0" borderId="8" xfId="0" applyBorder="1"/>
    <xf numFmtId="0" fontId="0" fillId="0" borderId="0" xfId="0" applyAlignment="1">
      <alignment horizontal="right"/>
    </xf>
    <xf numFmtId="38" fontId="0" fillId="0" borderId="0" xfId="1" applyFont="1" applyFill="1" applyBorder="1" applyAlignment="1" applyProtection="1">
      <protection locked="0"/>
    </xf>
    <xf numFmtId="0" fontId="6" fillId="0" borderId="7" xfId="0" applyFont="1" applyBorder="1" applyAlignment="1">
      <alignment horizontal="center" shrinkToFit="1"/>
    </xf>
    <xf numFmtId="38" fontId="8" fillId="0" borderId="7" xfId="1" applyFont="1" applyBorder="1" applyAlignment="1">
      <alignment horizontal="center"/>
    </xf>
    <xf numFmtId="177" fontId="0" fillId="0" borderId="10" xfId="1" applyNumberFormat="1" applyFont="1" applyFill="1" applyBorder="1" applyAlignment="1">
      <alignment vertical="center"/>
    </xf>
    <xf numFmtId="177" fontId="0" fillId="0" borderId="11" xfId="1" applyNumberFormat="1" applyFont="1" applyFill="1" applyBorder="1" applyAlignment="1">
      <alignment vertical="center"/>
    </xf>
    <xf numFmtId="177" fontId="0" fillId="0" borderId="12" xfId="1" applyNumberFormat="1" applyFont="1" applyFill="1" applyBorder="1" applyAlignment="1"/>
    <xf numFmtId="177" fontId="0" fillId="0" borderId="6" xfId="1" applyNumberFormat="1" applyFont="1" applyFill="1" applyBorder="1" applyAlignment="1">
      <alignment horizontal="center" vertical="center" wrapText="1"/>
    </xf>
    <xf numFmtId="2" fontId="30" fillId="0" borderId="7" xfId="0" applyNumberFormat="1" applyFont="1" applyBorder="1" applyAlignment="1">
      <alignment horizontal="center" vertical="center"/>
    </xf>
    <xf numFmtId="38" fontId="0" fillId="0" borderId="0" xfId="1" applyFont="1" applyBorder="1" applyAlignment="1">
      <alignment horizontal="center" vertical="top" wrapText="1"/>
    </xf>
    <xf numFmtId="40" fontId="0" fillId="0" borderId="0" xfId="1" applyNumberFormat="1" applyFont="1" applyBorder="1" applyAlignment="1">
      <alignment horizontal="center" vertical="top" wrapText="1"/>
    </xf>
    <xf numFmtId="40" fontId="0" fillId="0" borderId="0" xfId="1" applyNumberFormat="1" applyFont="1" applyBorder="1" applyAlignment="1">
      <alignment vertical="top" wrapText="1"/>
    </xf>
    <xf numFmtId="38" fontId="0" fillId="0" borderId="0" xfId="1" applyFont="1" applyBorder="1" applyAlignment="1">
      <alignment horizontal="left" vertical="top" wrapText="1"/>
    </xf>
    <xf numFmtId="177" fontId="25" fillId="0" borderId="7" xfId="1" applyNumberFormat="1" applyFont="1" applyBorder="1" applyAlignment="1"/>
    <xf numFmtId="177" fontId="12" fillId="0" borderId="7" xfId="1" applyNumberFormat="1" applyFont="1" applyBorder="1" applyAlignment="1"/>
    <xf numFmtId="177" fontId="0" fillId="0" borderId="5" xfId="1" applyNumberFormat="1" applyFont="1" applyBorder="1" applyAlignment="1">
      <alignment vertical="top" wrapText="1"/>
    </xf>
    <xf numFmtId="38" fontId="0" fillId="0" borderId="7" xfId="1" applyFont="1" applyBorder="1" applyAlignment="1">
      <alignment horizontal="center" vertical="top" wrapText="1"/>
    </xf>
    <xf numFmtId="40" fontId="0" fillId="0" borderId="0" xfId="1" applyNumberFormat="1" applyFont="1" applyBorder="1" applyAlignment="1">
      <alignment horizontal="center" vertical="center" wrapText="1"/>
    </xf>
    <xf numFmtId="177" fontId="0" fillId="0" borderId="4" xfId="1" applyNumberFormat="1" applyFont="1" applyBorder="1" applyAlignment="1">
      <alignment vertical="top"/>
    </xf>
    <xf numFmtId="38" fontId="0" fillId="0" borderId="0" xfId="1" applyFont="1" applyBorder="1" applyAlignment="1">
      <alignment vertical="top" wrapText="1"/>
    </xf>
    <xf numFmtId="38" fontId="0" fillId="0" borderId="0" xfId="1" applyFont="1" applyBorder="1" applyAlignment="1">
      <alignment vertical="center"/>
    </xf>
    <xf numFmtId="177" fontId="0" fillId="0" borderId="4" xfId="1" applyNumberFormat="1" applyFont="1" applyFill="1" applyBorder="1" applyAlignment="1"/>
    <xf numFmtId="177" fontId="0" fillId="0" borderId="5" xfId="1" applyNumberFormat="1" applyFont="1" applyFill="1" applyBorder="1" applyAlignment="1"/>
    <xf numFmtId="40" fontId="8" fillId="0" borderId="0" xfId="1" applyNumberFormat="1" applyFont="1" applyBorder="1" applyAlignment="1"/>
    <xf numFmtId="38" fontId="0" fillId="0" borderId="0" xfId="1" applyFont="1" applyFill="1" applyBorder="1" applyAlignment="1"/>
    <xf numFmtId="177" fontId="0" fillId="0" borderId="0" xfId="1" applyNumberFormat="1" applyFont="1" applyFill="1" applyBorder="1" applyAlignment="1">
      <alignment horizontal="left" vertical="top" wrapText="1"/>
    </xf>
    <xf numFmtId="177" fontId="7" fillId="0" borderId="2" xfId="1" applyNumberFormat="1" applyFont="1" applyBorder="1" applyAlignment="1">
      <alignment horizontal="center"/>
    </xf>
    <xf numFmtId="38" fontId="0" fillId="0" borderId="0" xfId="1" applyFont="1" applyFill="1" applyBorder="1" applyAlignment="1" applyProtection="1">
      <alignment horizontal="center"/>
      <protection locked="0"/>
    </xf>
    <xf numFmtId="38" fontId="8" fillId="0" borderId="0" xfId="1" applyFont="1" applyFill="1" applyBorder="1" applyAlignment="1">
      <alignment horizontal="center"/>
    </xf>
    <xf numFmtId="177" fontId="0" fillId="0" borderId="0" xfId="1" applyNumberFormat="1" applyFont="1" applyBorder="1" applyAlignment="1">
      <alignment horizontal="left" vertical="top"/>
    </xf>
    <xf numFmtId="38" fontId="0" fillId="0" borderId="0" xfId="1" applyFont="1" applyAlignment="1">
      <alignment horizontal="center"/>
    </xf>
    <xf numFmtId="177" fontId="7" fillId="0" borderId="0" xfId="1" applyNumberFormat="1" applyFont="1" applyBorder="1" applyAlignment="1">
      <alignment horizontal="center" vertical="top" wrapText="1"/>
    </xf>
    <xf numFmtId="177" fontId="0" fillId="0" borderId="0" xfId="1" applyNumberFormat="1" applyFont="1" applyFill="1" applyBorder="1" applyAlignment="1">
      <alignment vertical="top" wrapText="1"/>
    </xf>
    <xf numFmtId="177" fontId="0" fillId="0" borderId="2" xfId="1" applyNumberFormat="1" applyFont="1" applyBorder="1" applyAlignment="1">
      <alignment vertical="center"/>
    </xf>
    <xf numFmtId="38" fontId="0" fillId="0" borderId="2" xfId="1" applyFont="1" applyFill="1" applyBorder="1" applyAlignment="1" applyProtection="1">
      <alignment horizontal="center"/>
      <protection locked="0"/>
    </xf>
    <xf numFmtId="38" fontId="0" fillId="0" borderId="7" xfId="1" applyFont="1" applyFill="1" applyBorder="1" applyAlignment="1" applyProtection="1">
      <alignment horizontal="center"/>
      <protection locked="0"/>
    </xf>
    <xf numFmtId="177" fontId="0" fillId="0" borderId="2" xfId="1" applyNumberFormat="1" applyFont="1" applyBorder="1" applyAlignment="1">
      <alignment vertical="top" wrapText="1"/>
    </xf>
    <xf numFmtId="177" fontId="0" fillId="0" borderId="3" xfId="1" applyNumberFormat="1" applyFont="1" applyBorder="1" applyAlignment="1">
      <alignment vertical="top" wrapText="1"/>
    </xf>
    <xf numFmtId="38" fontId="0" fillId="0" borderId="0" xfId="1" applyFont="1" applyFill="1" applyAlignment="1"/>
    <xf numFmtId="177" fontId="0" fillId="0" borderId="0" xfId="1" applyNumberFormat="1" applyFont="1" applyFill="1" applyBorder="1" applyAlignment="1">
      <alignment horizontal="left" vertical="center"/>
    </xf>
    <xf numFmtId="177" fontId="0" fillId="0" borderId="4" xfId="1" applyNumberFormat="1" applyFont="1" applyBorder="1" applyAlignment="1">
      <alignment horizontal="left" vertical="top" wrapText="1"/>
    </xf>
    <xf numFmtId="38" fontId="0" fillId="0" borderId="10" xfId="1" applyFont="1" applyBorder="1" applyAlignment="1"/>
    <xf numFmtId="177" fontId="0" fillId="0" borderId="7" xfId="1" applyNumberFormat="1" applyFont="1" applyBorder="1" applyAlignment="1">
      <alignment horizontal="left"/>
    </xf>
    <xf numFmtId="38" fontId="42" fillId="0" borderId="7" xfId="1" applyFont="1" applyBorder="1" applyAlignment="1"/>
    <xf numFmtId="177" fontId="0" fillId="0" borderId="1" xfId="1" applyNumberFormat="1" applyFont="1" applyFill="1" applyBorder="1" applyAlignment="1"/>
    <xf numFmtId="177" fontId="0" fillId="0" borderId="3" xfId="1" applyNumberFormat="1" applyFont="1" applyFill="1" applyBorder="1" applyAlignment="1"/>
    <xf numFmtId="177" fontId="0" fillId="0" borderId="0" xfId="1" quotePrefix="1" applyNumberFormat="1" applyFont="1" applyAlignment="1"/>
    <xf numFmtId="177" fontId="0" fillId="0" borderId="5" xfId="1" applyNumberFormat="1" applyFont="1" applyFill="1" applyBorder="1" applyAlignment="1">
      <alignment horizontal="left" vertical="top" wrapText="1"/>
    </xf>
    <xf numFmtId="177" fontId="0" fillId="0" borderId="4" xfId="1" applyNumberFormat="1" applyFont="1" applyFill="1" applyBorder="1" applyAlignment="1">
      <alignment vertical="top" wrapText="1"/>
    </xf>
    <xf numFmtId="2" fontId="0" fillId="0" borderId="9"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3" fillId="0" borderId="0" xfId="3"/>
    <xf numFmtId="0" fontId="0" fillId="3" borderId="10" xfId="0" applyFill="1" applyBorder="1"/>
    <xf numFmtId="0" fontId="0" fillId="3" borderId="12" xfId="0" applyFill="1" applyBorder="1"/>
    <xf numFmtId="0" fontId="0" fillId="3" borderId="11" xfId="0" applyFill="1" applyBorder="1"/>
    <xf numFmtId="0" fontId="0" fillId="0" borderId="10" xfId="0" applyBorder="1"/>
    <xf numFmtId="0" fontId="0" fillId="3" borderId="10" xfId="0" applyFill="1" applyBorder="1" applyAlignment="1">
      <alignment horizontal="left"/>
    </xf>
    <xf numFmtId="0" fontId="0" fillId="3" borderId="11" xfId="0" applyFill="1" applyBorder="1" applyAlignment="1">
      <alignment horizontal="center"/>
    </xf>
    <xf numFmtId="0" fontId="0" fillId="3" borderId="9" xfId="0" applyFill="1" applyBorder="1" applyAlignment="1">
      <alignment horizontal="center"/>
    </xf>
    <xf numFmtId="176" fontId="0" fillId="0" borderId="9" xfId="0" applyNumberFormat="1" applyBorder="1" applyAlignment="1">
      <alignment horizontal="center"/>
    </xf>
    <xf numFmtId="0" fontId="0" fillId="3" borderId="12" xfId="0" applyFill="1" applyBorder="1" applyAlignment="1">
      <alignment horizontal="center"/>
    </xf>
    <xf numFmtId="0" fontId="0" fillId="3" borderId="29" xfId="0" applyFill="1" applyBorder="1" applyAlignment="1">
      <alignment horizontal="center"/>
    </xf>
    <xf numFmtId="0" fontId="0" fillId="3" borderId="29" xfId="0" applyFill="1" applyBorder="1"/>
    <xf numFmtId="0" fontId="0" fillId="3" borderId="19" xfId="0" applyFill="1" applyBorder="1"/>
    <xf numFmtId="0" fontId="0" fillId="3" borderId="1" xfId="0" applyFill="1" applyBorder="1"/>
    <xf numFmtId="0" fontId="0" fillId="3" borderId="2" xfId="0" applyFill="1" applyBorder="1"/>
    <xf numFmtId="0" fontId="0" fillId="3" borderId="6" xfId="0" applyFill="1" applyBorder="1"/>
    <xf numFmtId="0" fontId="0" fillId="3" borderId="0" xfId="0" applyFill="1"/>
    <xf numFmtId="0" fontId="0" fillId="3" borderId="31" xfId="0" applyFill="1" applyBorder="1"/>
    <xf numFmtId="0" fontId="0" fillId="3" borderId="4" xfId="0" applyFill="1" applyBorder="1"/>
    <xf numFmtId="0" fontId="0" fillId="0" borderId="31" xfId="0" applyBorder="1" applyAlignment="1">
      <alignment horizontal="center"/>
    </xf>
    <xf numFmtId="0" fontId="0" fillId="3" borderId="31" xfId="0" applyFill="1" applyBorder="1" applyAlignment="1">
      <alignment horizontal="center"/>
    </xf>
    <xf numFmtId="0" fontId="0" fillId="3" borderId="19" xfId="0" applyFill="1" applyBorder="1" applyAlignment="1">
      <alignment horizontal="center"/>
    </xf>
    <xf numFmtId="0" fontId="0" fillId="3" borderId="9" xfId="0" applyFill="1" applyBorder="1"/>
    <xf numFmtId="0" fontId="0" fillId="3" borderId="31" xfId="0" applyFill="1" applyBorder="1" applyAlignment="1">
      <alignment wrapText="1"/>
    </xf>
    <xf numFmtId="0" fontId="0" fillId="0" borderId="9" xfId="0" applyBorder="1"/>
    <xf numFmtId="0" fontId="0" fillId="0" borderId="19" xfId="0" applyBorder="1"/>
    <xf numFmtId="0" fontId="13" fillId="0" borderId="9" xfId="0" applyFont="1" applyBorder="1"/>
    <xf numFmtId="176" fontId="0" fillId="0" borderId="9" xfId="0" applyNumberFormat="1" applyBorder="1" applyAlignment="1">
      <alignment horizontal="center" vertical="center"/>
    </xf>
    <xf numFmtId="2" fontId="0" fillId="0" borderId="9" xfId="0" applyNumberFormat="1" applyBorder="1" applyAlignment="1">
      <alignment horizontal="center" vertical="center"/>
    </xf>
    <xf numFmtId="38" fontId="0" fillId="0" borderId="9" xfId="1" applyFont="1" applyBorder="1" applyAlignment="1"/>
    <xf numFmtId="0" fontId="7" fillId="3" borderId="29" xfId="0" applyFont="1" applyFill="1" applyBorder="1" applyAlignment="1">
      <alignment horizontal="center"/>
    </xf>
    <xf numFmtId="184" fontId="0" fillId="0" borderId="11" xfId="1" applyNumberFormat="1" applyFont="1" applyFill="1" applyBorder="1" applyAlignment="1">
      <alignment horizontal="center"/>
    </xf>
    <xf numFmtId="11" fontId="0" fillId="0" borderId="0" xfId="0" applyNumberFormat="1" applyAlignment="1">
      <alignment horizontal="center"/>
    </xf>
    <xf numFmtId="9" fontId="0" fillId="0" borderId="0" xfId="1" applyNumberFormat="1" applyFont="1" applyFill="1" applyBorder="1" applyAlignment="1" applyProtection="1">
      <alignment horizontal="center"/>
      <protection locked="0"/>
    </xf>
    <xf numFmtId="177" fontId="21" fillId="0" borderId="0" xfId="1" applyNumberFormat="1" applyFont="1" applyFill="1" applyAlignment="1">
      <alignment shrinkToFit="1"/>
    </xf>
    <xf numFmtId="177" fontId="21" fillId="0" borderId="5" xfId="1" applyNumberFormat="1" applyFont="1" applyFill="1" applyBorder="1" applyAlignment="1">
      <alignment shrinkToFit="1"/>
    </xf>
    <xf numFmtId="2" fontId="0" fillId="0" borderId="4" xfId="0" applyNumberFormat="1" applyBorder="1" applyAlignment="1">
      <alignment horizontal="center"/>
    </xf>
    <xf numFmtId="177" fontId="7" fillId="0" borderId="4" xfId="1" applyNumberFormat="1" applyFont="1" applyBorder="1" applyAlignment="1">
      <alignment horizontal="center" vertical="top"/>
    </xf>
    <xf numFmtId="2" fontId="22" fillId="0" borderId="0" xfId="0" applyNumberFormat="1" applyFont="1" applyAlignment="1">
      <alignment shrinkToFit="1"/>
    </xf>
    <xf numFmtId="0" fontId="7" fillId="0" borderId="4" xfId="0" applyFont="1" applyBorder="1" applyAlignment="1">
      <alignment horizontal="center"/>
    </xf>
    <xf numFmtId="0" fontId="7" fillId="0" borderId="0" xfId="0" applyFont="1" applyAlignment="1">
      <alignment horizontal="center"/>
    </xf>
    <xf numFmtId="40" fontId="0" fillId="0" borderId="4" xfId="1" applyNumberFormat="1" applyFont="1" applyBorder="1" applyAlignment="1">
      <alignment horizontal="center"/>
    </xf>
    <xf numFmtId="177" fontId="0" fillId="0" borderId="24" xfId="1" applyNumberFormat="1" applyFont="1" applyFill="1" applyBorder="1" applyAlignment="1"/>
    <xf numFmtId="0" fontId="6" fillId="0" borderId="0" xfId="0" applyFont="1" applyAlignment="1">
      <alignment horizontal="right" shrinkToFit="1"/>
    </xf>
    <xf numFmtId="177" fontId="0" fillId="0" borderId="0" xfId="1" applyNumberFormat="1" applyFont="1" applyAlignment="1">
      <alignment horizontal="center" vertical="center"/>
    </xf>
    <xf numFmtId="0" fontId="0" fillId="0" borderId="0" xfId="0" applyAlignment="1">
      <alignment vertical="center"/>
    </xf>
    <xf numFmtId="0" fontId="0" fillId="0" borderId="0" xfId="0" applyAlignment="1">
      <alignment vertical="center" shrinkToFit="1"/>
    </xf>
    <xf numFmtId="2" fontId="8" fillId="0" borderId="0" xfId="0" applyNumberFormat="1" applyFont="1" applyAlignment="1">
      <alignment vertical="center"/>
    </xf>
    <xf numFmtId="2" fontId="0" fillId="0" borderId="0" xfId="0" applyNumberFormat="1" applyAlignment="1">
      <alignment vertical="center"/>
    </xf>
    <xf numFmtId="40" fontId="0" fillId="0" borderId="0" xfId="1" applyNumberFormat="1" applyFont="1" applyAlignment="1"/>
    <xf numFmtId="2" fontId="22" fillId="0" borderId="0" xfId="0" applyNumberFormat="1" applyFont="1" applyAlignment="1">
      <alignment horizontal="center" vertical="center" shrinkToFit="1"/>
    </xf>
    <xf numFmtId="2" fontId="22" fillId="0" borderId="2" xfId="0" applyNumberFormat="1" applyFont="1" applyBorder="1" applyAlignment="1">
      <alignment horizontal="center" vertical="center" shrinkToFit="1"/>
    </xf>
    <xf numFmtId="2" fontId="22" fillId="0" borderId="2" xfId="0" applyNumberFormat="1" applyFont="1" applyBorder="1" applyAlignment="1">
      <alignment horizontal="center" shrinkToFit="1"/>
    </xf>
    <xf numFmtId="177" fontId="36" fillId="0" borderId="0" xfId="1" applyNumberFormat="1" applyFont="1" applyBorder="1" applyAlignment="1"/>
    <xf numFmtId="177" fontId="0" fillId="0" borderId="0" xfId="1" applyNumberFormat="1" applyFont="1" applyAlignment="1">
      <alignment vertical="center"/>
    </xf>
    <xf numFmtId="40" fontId="0" fillId="0" borderId="0" xfId="1" applyNumberFormat="1" applyFont="1" applyBorder="1" applyAlignment="1">
      <alignment horizontal="center" vertical="center"/>
    </xf>
    <xf numFmtId="2" fontId="0" fillId="0" borderId="7" xfId="0" applyNumberFormat="1" applyBorder="1" applyAlignment="1">
      <alignment horizontal="center" shrinkToFit="1"/>
    </xf>
    <xf numFmtId="40" fontId="0" fillId="0" borderId="20" xfId="1" applyNumberFormat="1" applyFont="1" applyFill="1" applyBorder="1" applyAlignment="1">
      <alignment shrinkToFit="1"/>
    </xf>
    <xf numFmtId="177" fontId="0" fillId="0" borderId="22" xfId="1" applyNumberFormat="1" applyFont="1" applyFill="1" applyBorder="1" applyAlignment="1">
      <alignment shrinkToFit="1"/>
    </xf>
    <xf numFmtId="177" fontId="0" fillId="0" borderId="22" xfId="1" applyNumberFormat="1" applyFont="1" applyFill="1" applyBorder="1" applyAlignment="1"/>
    <xf numFmtId="0" fontId="0" fillId="0" borderId="22" xfId="0" applyBorder="1" applyAlignment="1">
      <alignment horizontal="center" vertical="center"/>
    </xf>
    <xf numFmtId="177" fontId="0" fillId="0" borderId="7" xfId="1" applyNumberFormat="1" applyFont="1" applyBorder="1" applyAlignment="1">
      <alignment shrinkToFit="1"/>
    </xf>
    <xf numFmtId="177" fontId="0" fillId="0" borderId="0" xfId="1" applyNumberFormat="1" applyFont="1" applyBorder="1" applyAlignment="1">
      <alignment shrinkToFit="1"/>
    </xf>
    <xf numFmtId="2" fontId="0" fillId="0" borderId="0" xfId="0" applyNumberFormat="1" applyAlignment="1" applyProtection="1">
      <alignment horizontal="left"/>
      <protection locked="0"/>
    </xf>
    <xf numFmtId="40" fontId="0" fillId="0" borderId="0" xfId="1" applyNumberFormat="1" applyFont="1" applyFill="1" applyBorder="1" applyAlignment="1">
      <alignment wrapText="1"/>
    </xf>
    <xf numFmtId="0" fontId="7" fillId="0" borderId="0" xfId="0" applyFont="1"/>
    <xf numFmtId="4" fontId="33" fillId="0" borderId="0" xfId="1" applyNumberFormat="1" applyFont="1" applyBorder="1" applyAlignment="1">
      <alignment shrinkToFit="1"/>
    </xf>
    <xf numFmtId="40" fontId="8" fillId="0" borderId="0" xfId="1" applyNumberFormat="1" applyFont="1" applyBorder="1" applyAlignment="1">
      <alignment shrinkToFit="1"/>
    </xf>
    <xf numFmtId="177" fontId="0" fillId="0" borderId="20" xfId="1" applyNumberFormat="1" applyFont="1" applyBorder="1" applyAlignment="1"/>
    <xf numFmtId="1" fontId="0" fillId="0" borderId="22" xfId="0" applyNumberFormat="1" applyBorder="1" applyAlignment="1">
      <alignment horizontal="center"/>
    </xf>
    <xf numFmtId="40" fontId="0" fillId="0" borderId="0" xfId="1" applyNumberFormat="1" applyFont="1" applyFill="1" applyBorder="1" applyAlignment="1">
      <alignment vertical="center"/>
    </xf>
    <xf numFmtId="0" fontId="0" fillId="0" borderId="6" xfId="0" applyBorder="1" applyAlignment="1">
      <alignment horizontal="center" shrinkToFit="1"/>
    </xf>
    <xf numFmtId="0" fontId="22" fillId="0" borderId="0" xfId="0" applyFont="1" applyAlignment="1">
      <alignment horizontal="center"/>
    </xf>
    <xf numFmtId="40" fontId="0" fillId="0" borderId="0" xfId="1" applyNumberFormat="1" applyFont="1" applyBorder="1" applyAlignment="1">
      <alignment vertical="center" shrinkToFit="1"/>
    </xf>
    <xf numFmtId="0" fontId="7" fillId="0" borderId="0" xfId="0" applyFont="1" applyAlignment="1">
      <alignment shrinkToFit="1"/>
    </xf>
    <xf numFmtId="1" fontId="0" fillId="0" borderId="0" xfId="0" applyNumberFormat="1" applyAlignment="1">
      <alignment shrinkToFit="1"/>
    </xf>
    <xf numFmtId="2" fontId="7" fillId="0" borderId="0" xfId="0" applyNumberFormat="1" applyFont="1"/>
    <xf numFmtId="0" fontId="7" fillId="0" borderId="0" xfId="0" applyFont="1" applyAlignment="1">
      <alignment vertical="center" shrinkToFit="1"/>
    </xf>
    <xf numFmtId="0" fontId="8" fillId="0" borderId="0" xfId="0" applyFont="1" applyAlignment="1">
      <alignment vertical="center" shrinkToFit="1"/>
    </xf>
    <xf numFmtId="40" fontId="8" fillId="0" borderId="0" xfId="0" applyNumberFormat="1" applyFont="1" applyAlignment="1">
      <alignment vertical="center" shrinkToFit="1"/>
    </xf>
    <xf numFmtId="177" fontId="7" fillId="0" borderId="12" xfId="1" applyNumberFormat="1" applyFont="1" applyBorder="1" applyAlignment="1"/>
    <xf numFmtId="2" fontId="22" fillId="0" borderId="0" xfId="0" applyNumberFormat="1" applyFont="1" applyAlignment="1">
      <alignment horizontal="center" shrinkToFit="1"/>
    </xf>
    <xf numFmtId="0" fontId="22" fillId="0" borderId="0" xfId="0" quotePrefix="1" applyFont="1"/>
    <xf numFmtId="2" fontId="7" fillId="0" borderId="0" xfId="0" applyNumberFormat="1" applyFont="1" applyAlignment="1">
      <alignment shrinkToFit="1"/>
    </xf>
    <xf numFmtId="0" fontId="44" fillId="0" borderId="0" xfId="0" applyFont="1"/>
    <xf numFmtId="0" fontId="22" fillId="0" borderId="0" xfId="0" applyFont="1" applyAlignment="1">
      <alignment horizontal="left" vertical="center"/>
    </xf>
    <xf numFmtId="0" fontId="0" fillId="0" borderId="0" xfId="0" applyAlignment="1">
      <alignment horizontal="right" vertical="center"/>
    </xf>
    <xf numFmtId="0" fontId="22" fillId="0" borderId="0" xfId="0" applyFont="1" applyAlignment="1">
      <alignment horizontal="left"/>
    </xf>
    <xf numFmtId="0" fontId="22" fillId="0" borderId="2" xfId="0" applyFont="1" applyBorder="1" applyAlignment="1">
      <alignment vertical="center"/>
    </xf>
    <xf numFmtId="0" fontId="22" fillId="0" borderId="11" xfId="0" applyFont="1" applyBorder="1" applyAlignment="1">
      <alignment vertical="center"/>
    </xf>
    <xf numFmtId="1" fontId="22" fillId="0" borderId="2" xfId="0" applyNumberFormat="1" applyFont="1" applyBorder="1" applyAlignment="1">
      <alignment vertical="center"/>
    </xf>
    <xf numFmtId="40" fontId="30" fillId="0" borderId="0" xfId="1" applyNumberFormat="1" applyFont="1" applyFill="1" applyBorder="1" applyAlignment="1">
      <alignment horizontal="center"/>
    </xf>
    <xf numFmtId="177" fontId="0" fillId="0" borderId="7" xfId="1" applyNumberFormat="1" applyFont="1" applyFill="1" applyBorder="1" applyAlignment="1">
      <alignment horizontal="center" vertical="center" wrapText="1"/>
    </xf>
    <xf numFmtId="177" fontId="0" fillId="0" borderId="20" xfId="1" applyNumberFormat="1" applyFont="1" applyFill="1" applyBorder="1" applyAlignment="1">
      <alignment vertical="center"/>
    </xf>
    <xf numFmtId="177" fontId="0" fillId="0" borderId="22" xfId="1" applyNumberFormat="1" applyFont="1" applyFill="1" applyBorder="1" applyAlignment="1">
      <alignment vertical="center"/>
    </xf>
    <xf numFmtId="177" fontId="0" fillId="0" borderId="21" xfId="1" applyNumberFormat="1" applyFont="1" applyFill="1" applyBorder="1" applyAlignment="1"/>
    <xf numFmtId="40" fontId="0" fillId="0" borderId="0" xfId="1" applyNumberFormat="1" applyFont="1" applyFill="1" applyBorder="1" applyAlignment="1">
      <alignment shrinkToFit="1"/>
    </xf>
    <xf numFmtId="177" fontId="0" fillId="0" borderId="0" xfId="1" applyNumberFormat="1" applyFont="1" applyFill="1" applyBorder="1" applyAlignment="1">
      <alignment horizontal="center" vertical="center" wrapText="1"/>
    </xf>
    <xf numFmtId="2" fontId="30" fillId="0" borderId="0" xfId="0" applyNumberFormat="1" applyFont="1" applyAlignment="1">
      <alignment horizontal="center" vertical="center"/>
    </xf>
    <xf numFmtId="38" fontId="0" fillId="0" borderId="7" xfId="1" applyFont="1" applyBorder="1" applyAlignment="1">
      <alignment horizontal="left"/>
    </xf>
    <xf numFmtId="177" fontId="7" fillId="0" borderId="0" xfId="1" applyNumberFormat="1" applyFont="1" applyBorder="1" applyAlignment="1">
      <alignment horizontal="center"/>
    </xf>
    <xf numFmtId="38" fontId="0" fillId="0" borderId="10" xfId="1" applyFont="1" applyFill="1" applyBorder="1" applyAlignment="1" applyProtection="1">
      <alignment horizontal="center"/>
    </xf>
    <xf numFmtId="38" fontId="0" fillId="0" borderId="11" xfId="1" applyFont="1" applyFill="1" applyBorder="1" applyAlignment="1" applyProtection="1">
      <alignment horizontal="center"/>
    </xf>
    <xf numFmtId="38" fontId="0" fillId="0" borderId="12" xfId="1" applyFont="1" applyFill="1" applyBorder="1" applyAlignment="1" applyProtection="1">
      <alignment horizontal="center"/>
    </xf>
    <xf numFmtId="177" fontId="25" fillId="0" borderId="0" xfId="1" applyNumberFormat="1" applyFont="1" applyBorder="1" applyAlignment="1">
      <alignment horizontal="center"/>
    </xf>
    <xf numFmtId="40" fontId="0" fillId="0" borderId="10" xfId="1" applyNumberFormat="1" applyFont="1" applyFill="1" applyBorder="1" applyAlignment="1" applyProtection="1">
      <alignment horizontal="center"/>
    </xf>
    <xf numFmtId="40" fontId="0" fillId="0" borderId="11" xfId="1" applyNumberFormat="1" applyFont="1" applyFill="1" applyBorder="1" applyAlignment="1" applyProtection="1">
      <alignment horizontal="center"/>
    </xf>
    <xf numFmtId="40" fontId="0" fillId="0" borderId="12" xfId="1" applyNumberFormat="1" applyFont="1" applyFill="1" applyBorder="1" applyAlignment="1" applyProtection="1">
      <alignment horizontal="center"/>
    </xf>
    <xf numFmtId="38" fontId="0" fillId="0" borderId="0" xfId="1" applyFont="1" applyFill="1" applyBorder="1" applyAlignment="1" applyProtection="1">
      <alignment horizontal="center"/>
      <protection locked="0"/>
    </xf>
    <xf numFmtId="38" fontId="0" fillId="0" borderId="4" xfId="1" applyFont="1" applyFill="1" applyBorder="1" applyAlignment="1" applyProtection="1">
      <alignment horizontal="center"/>
    </xf>
    <xf numFmtId="38" fontId="0" fillId="0" borderId="0" xfId="1" applyFont="1" applyFill="1" applyBorder="1" applyAlignment="1" applyProtection="1">
      <alignment horizontal="center"/>
    </xf>
    <xf numFmtId="176" fontId="0" fillId="2" borderId="10" xfId="0" applyNumberFormat="1" applyFill="1" applyBorder="1" applyAlignment="1">
      <alignment horizontal="center"/>
    </xf>
    <xf numFmtId="176" fontId="0" fillId="2" borderId="11" xfId="0" applyNumberFormat="1" applyFill="1" applyBorder="1" applyAlignment="1">
      <alignment horizontal="center"/>
    </xf>
    <xf numFmtId="176" fontId="0" fillId="2" borderId="12" xfId="0" applyNumberFormat="1" applyFill="1" applyBorder="1" applyAlignment="1">
      <alignment horizontal="center"/>
    </xf>
    <xf numFmtId="177" fontId="0" fillId="0" borderId="0" xfId="1" applyNumberFormat="1" applyFont="1" applyFill="1" applyBorder="1" applyAlignment="1">
      <alignment horizontal="center"/>
    </xf>
    <xf numFmtId="177" fontId="0" fillId="0" borderId="36" xfId="1" applyNumberFormat="1" applyFont="1" applyBorder="1" applyAlignment="1">
      <alignment horizontal="center"/>
    </xf>
    <xf numFmtId="177" fontId="0" fillId="0" borderId="13" xfId="1" applyNumberFormat="1" applyFont="1" applyBorder="1" applyAlignment="1">
      <alignment horizontal="center"/>
    </xf>
    <xf numFmtId="177" fontId="0" fillId="0" borderId="4" xfId="1" applyNumberFormat="1" applyFont="1" applyFill="1" applyBorder="1" applyAlignment="1">
      <alignment horizontal="center"/>
    </xf>
    <xf numFmtId="177" fontId="0" fillId="0" borderId="30" xfId="1" applyNumberFormat="1" applyFont="1" applyFill="1" applyBorder="1" applyAlignment="1">
      <alignment horizontal="center"/>
    </xf>
    <xf numFmtId="11" fontId="0" fillId="0" borderId="10" xfId="0" applyNumberFormat="1" applyBorder="1" applyAlignment="1">
      <alignment horizontal="center"/>
    </xf>
    <xf numFmtId="11" fontId="0" fillId="0" borderId="11" xfId="0" applyNumberFormat="1" applyBorder="1" applyAlignment="1">
      <alignment horizontal="center"/>
    </xf>
    <xf numFmtId="11" fontId="0" fillId="0" borderId="12" xfId="0" applyNumberFormat="1" applyBorder="1" applyAlignment="1">
      <alignment horizontal="center"/>
    </xf>
    <xf numFmtId="11" fontId="0" fillId="0" borderId="10" xfId="0" applyNumberFormat="1" applyBorder="1" applyAlignment="1">
      <alignment horizontal="center" shrinkToFit="1"/>
    </xf>
    <xf numFmtId="11" fontId="0" fillId="0" borderId="11" xfId="0" applyNumberFormat="1" applyBorder="1" applyAlignment="1">
      <alignment horizontal="center" shrinkToFit="1"/>
    </xf>
    <xf numFmtId="11" fontId="0" fillId="0" borderId="12" xfId="0" applyNumberFormat="1" applyBorder="1" applyAlignment="1">
      <alignment horizontal="center" shrinkToFit="1"/>
    </xf>
    <xf numFmtId="38" fontId="0" fillId="2" borderId="6" xfId="1" applyFont="1" applyFill="1" applyBorder="1" applyAlignment="1">
      <alignment horizontal="center"/>
    </xf>
    <xf numFmtId="38" fontId="0" fillId="2" borderId="7" xfId="1" applyFont="1" applyFill="1" applyBorder="1" applyAlignment="1">
      <alignment horizontal="center"/>
    </xf>
    <xf numFmtId="38" fontId="0" fillId="2" borderId="8" xfId="1" applyFont="1" applyFill="1" applyBorder="1" applyAlignment="1">
      <alignment horizontal="center"/>
    </xf>
    <xf numFmtId="9" fontId="0" fillId="0" borderId="10" xfId="1" applyNumberFormat="1" applyFont="1" applyFill="1" applyBorder="1" applyAlignment="1" applyProtection="1">
      <alignment horizontal="center"/>
      <protection locked="0"/>
    </xf>
    <xf numFmtId="9" fontId="0" fillId="0" borderId="11" xfId="1" applyNumberFormat="1" applyFont="1" applyFill="1" applyBorder="1" applyAlignment="1" applyProtection="1">
      <alignment horizontal="center"/>
      <protection locked="0"/>
    </xf>
    <xf numFmtId="9" fontId="0" fillId="0" borderId="12" xfId="1" applyNumberFormat="1" applyFont="1" applyFill="1" applyBorder="1" applyAlignment="1" applyProtection="1">
      <alignment horizontal="center"/>
      <protection locked="0"/>
    </xf>
    <xf numFmtId="38" fontId="0" fillId="0" borderId="4" xfId="1" applyFont="1" applyFill="1" applyBorder="1" applyAlignment="1" applyProtection="1">
      <alignment horizontal="center"/>
      <protection locked="0"/>
    </xf>
    <xf numFmtId="176" fontId="0" fillId="2" borderId="10" xfId="0" applyNumberFormat="1" applyFill="1" applyBorder="1" applyAlignment="1" applyProtection="1">
      <alignment horizontal="center"/>
      <protection locked="0"/>
    </xf>
    <xf numFmtId="176" fontId="0" fillId="2" borderId="11" xfId="0" applyNumberFormat="1" applyFill="1" applyBorder="1" applyAlignment="1" applyProtection="1">
      <alignment horizontal="center"/>
      <protection locked="0"/>
    </xf>
    <xf numFmtId="176" fontId="0" fillId="2" borderId="12" xfId="0" applyNumberFormat="1" applyFill="1" applyBorder="1" applyAlignment="1" applyProtection="1">
      <alignment horizontal="center"/>
      <protection locked="0"/>
    </xf>
    <xf numFmtId="38" fontId="0" fillId="2" borderId="9" xfId="1" applyFont="1" applyFill="1" applyBorder="1" applyAlignment="1" applyProtection="1">
      <alignment horizontal="center"/>
      <protection locked="0"/>
    </xf>
    <xf numFmtId="38" fontId="0" fillId="2" borderId="10" xfId="1" applyFont="1" applyFill="1" applyBorder="1" applyAlignment="1" applyProtection="1">
      <alignment horizontal="center"/>
      <protection locked="0"/>
    </xf>
    <xf numFmtId="38" fontId="0" fillId="0" borderId="9" xfId="1" applyFont="1" applyFill="1" applyBorder="1" applyAlignment="1" applyProtection="1">
      <alignment horizontal="center"/>
      <protection locked="0"/>
    </xf>
    <xf numFmtId="40" fontId="0" fillId="2" borderId="6" xfId="1" applyNumberFormat="1" applyFont="1" applyFill="1" applyBorder="1" applyAlignment="1">
      <alignment horizontal="center"/>
    </xf>
    <xf numFmtId="40" fontId="0" fillId="2" borderId="7" xfId="1" applyNumberFormat="1" applyFont="1" applyFill="1" applyBorder="1" applyAlignment="1">
      <alignment horizontal="center"/>
    </xf>
    <xf numFmtId="40" fontId="0" fillId="2" borderId="8" xfId="1" applyNumberFormat="1" applyFont="1" applyFill="1" applyBorder="1" applyAlignment="1">
      <alignment horizontal="center"/>
    </xf>
    <xf numFmtId="40" fontId="0" fillId="0" borderId="10" xfId="1" applyNumberFormat="1" applyFont="1" applyFill="1" applyBorder="1" applyAlignment="1">
      <alignment horizontal="center"/>
    </xf>
    <xf numFmtId="40" fontId="0" fillId="0" borderId="11" xfId="1" applyNumberFormat="1" applyFont="1" applyFill="1" applyBorder="1" applyAlignment="1">
      <alignment horizontal="center"/>
    </xf>
    <xf numFmtId="40" fontId="0" fillId="0" borderId="12" xfId="1" applyNumberFormat="1" applyFont="1" applyFill="1" applyBorder="1" applyAlignment="1">
      <alignment horizontal="center"/>
    </xf>
    <xf numFmtId="38" fontId="0" fillId="0" borderId="10" xfId="1" applyFont="1" applyBorder="1" applyAlignment="1">
      <alignment horizontal="center"/>
    </xf>
    <xf numFmtId="38" fontId="0" fillId="0" borderId="11" xfId="1" applyFont="1" applyBorder="1" applyAlignment="1">
      <alignment horizontal="center"/>
    </xf>
    <xf numFmtId="38" fontId="0" fillId="0" borderId="12" xfId="1" applyFont="1" applyBorder="1" applyAlignment="1">
      <alignment horizontal="center"/>
    </xf>
    <xf numFmtId="40" fontId="0" fillId="0" borderId="0" xfId="1" applyNumberFormat="1" applyFont="1" applyFill="1" applyBorder="1" applyAlignment="1" applyProtection="1">
      <alignment horizont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2" fontId="0" fillId="2" borderId="10" xfId="0" applyNumberFormat="1" applyFill="1" applyBorder="1" applyAlignment="1" applyProtection="1">
      <alignment horizontal="center"/>
      <protection locked="0"/>
    </xf>
    <xf numFmtId="38" fontId="0" fillId="0" borderId="0" xfId="1" applyFont="1" applyFill="1" applyBorder="1" applyAlignment="1">
      <alignment horizontal="center"/>
    </xf>
    <xf numFmtId="38" fontId="0" fillId="0" borderId="10" xfId="1" applyFont="1" applyFill="1" applyBorder="1" applyAlignment="1" applyProtection="1">
      <alignment horizontal="center"/>
      <protection locked="0"/>
    </xf>
    <xf numFmtId="38" fontId="0" fillId="0" borderId="11" xfId="1" applyFont="1" applyFill="1" applyBorder="1" applyAlignment="1" applyProtection="1">
      <alignment horizontal="center"/>
      <protection locked="0"/>
    </xf>
    <xf numFmtId="38" fontId="0" fillId="0" borderId="12" xfId="1" applyFont="1" applyFill="1" applyBorder="1" applyAlignment="1" applyProtection="1">
      <alignment horizontal="center"/>
      <protection locked="0"/>
    </xf>
    <xf numFmtId="177" fontId="7" fillId="0" borderId="0" xfId="1" applyNumberFormat="1" applyFont="1" applyFill="1" applyBorder="1" applyAlignment="1">
      <alignment horizontal="center"/>
    </xf>
    <xf numFmtId="184" fontId="0" fillId="0" borderId="10" xfId="1" applyNumberFormat="1" applyFont="1" applyFill="1" applyBorder="1" applyAlignment="1">
      <alignment horizontal="center"/>
    </xf>
    <xf numFmtId="184" fontId="0" fillId="0" borderId="11" xfId="1" applyNumberFormat="1" applyFont="1" applyFill="1" applyBorder="1" applyAlignment="1">
      <alignment horizontal="center"/>
    </xf>
    <xf numFmtId="184" fontId="0" fillId="0" borderId="12" xfId="1" applyNumberFormat="1" applyFont="1" applyFill="1" applyBorder="1" applyAlignment="1">
      <alignment horizontal="center"/>
    </xf>
    <xf numFmtId="0" fontId="0" fillId="2" borderId="9" xfId="0" applyFill="1" applyBorder="1" applyAlignment="1" applyProtection="1">
      <alignment horizontal="center"/>
      <protection locked="0"/>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177" fontId="8" fillId="0" borderId="4" xfId="1" applyNumberFormat="1" applyFont="1" applyBorder="1" applyAlignment="1">
      <alignment horizontal="center"/>
    </xf>
    <xf numFmtId="177" fontId="8" fillId="0" borderId="0" xfId="1" applyNumberFormat="1" applyFont="1" applyBorder="1" applyAlignment="1">
      <alignment horizontal="center"/>
    </xf>
    <xf numFmtId="177" fontId="8" fillId="0" borderId="5" xfId="1" applyNumberFormat="1" applyFont="1" applyBorder="1" applyAlignment="1">
      <alignment horizontal="center"/>
    </xf>
    <xf numFmtId="177" fontId="7" fillId="0" borderId="4" xfId="1" applyNumberFormat="1" applyFont="1" applyBorder="1" applyAlignment="1">
      <alignment horizontal="center"/>
    </xf>
    <xf numFmtId="177" fontId="7" fillId="0" borderId="5" xfId="1" applyNumberFormat="1" applyFont="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177" fontId="0" fillId="0" borderId="0" xfId="1" applyNumberFormat="1" applyFont="1" applyAlignment="1">
      <alignment horizontal="left" shrinkToFit="1"/>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177" fontId="0" fillId="2" borderId="10" xfId="1" applyNumberFormat="1" applyFont="1" applyFill="1" applyBorder="1" applyAlignment="1">
      <alignment horizontal="center"/>
    </xf>
    <xf numFmtId="177" fontId="0" fillId="2" borderId="11" xfId="1" applyNumberFormat="1" applyFont="1" applyFill="1" applyBorder="1" applyAlignment="1">
      <alignment horizontal="center"/>
    </xf>
    <xf numFmtId="177" fontId="0" fillId="2" borderId="12" xfId="1" applyNumberFormat="1" applyFont="1" applyFill="1"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77" fontId="8" fillId="0" borderId="4" xfId="1" applyNumberFormat="1" applyFont="1" applyBorder="1" applyAlignment="1">
      <alignment horizontal="center" shrinkToFit="1"/>
    </xf>
    <xf numFmtId="177" fontId="8" fillId="0" borderId="0" xfId="1" applyNumberFormat="1" applyFont="1" applyBorder="1" applyAlignment="1">
      <alignment horizontal="center" shrinkToFit="1"/>
    </xf>
    <xf numFmtId="177" fontId="8" fillId="0" borderId="5" xfId="1" applyNumberFormat="1" applyFont="1" applyBorder="1" applyAlignment="1">
      <alignment horizontal="center" shrinkToFit="1"/>
    </xf>
    <xf numFmtId="2" fontId="0" fillId="2" borderId="9" xfId="0" applyNumberFormat="1" applyFill="1" applyBorder="1" applyAlignment="1" applyProtection="1">
      <alignment horizontal="center"/>
      <protection locked="0"/>
    </xf>
    <xf numFmtId="2" fontId="0" fillId="0" borderId="9" xfId="0" applyNumberFormat="1" applyBorder="1" applyAlignment="1">
      <alignment horizontal="center"/>
    </xf>
    <xf numFmtId="0" fontId="0" fillId="0" borderId="5" xfId="0" applyBorder="1" applyAlignment="1">
      <alignment horizontal="center"/>
    </xf>
    <xf numFmtId="0" fontId="0" fillId="0" borderId="9" xfId="0" applyBorder="1" applyAlignment="1">
      <alignment horizontal="center" shrinkToFit="1"/>
    </xf>
    <xf numFmtId="40" fontId="0" fillId="0" borderId="4" xfId="1" applyNumberFormat="1" applyFont="1" applyFill="1" applyBorder="1" applyAlignment="1" applyProtection="1">
      <alignment horizontal="center"/>
    </xf>
    <xf numFmtId="38" fontId="0" fillId="0" borderId="4" xfId="1" applyFont="1" applyFill="1" applyBorder="1" applyAlignment="1">
      <alignment horizontal="center"/>
    </xf>
    <xf numFmtId="40" fontId="0" fillId="2" borderId="10" xfId="1" applyNumberFormat="1" applyFont="1" applyFill="1" applyBorder="1" applyAlignment="1" applyProtection="1">
      <alignment horizontal="center"/>
      <protection locked="0"/>
    </xf>
    <xf numFmtId="40" fontId="0" fillId="2" borderId="11" xfId="1" applyNumberFormat="1" applyFont="1" applyFill="1" applyBorder="1" applyAlignment="1" applyProtection="1">
      <alignment horizontal="center"/>
      <protection locked="0"/>
    </xf>
    <xf numFmtId="40" fontId="0" fillId="2" borderId="12" xfId="1" applyNumberFormat="1" applyFont="1" applyFill="1" applyBorder="1" applyAlignment="1" applyProtection="1">
      <alignment horizontal="center"/>
      <protection locked="0"/>
    </xf>
    <xf numFmtId="38" fontId="0" fillId="2" borderId="11" xfId="1" applyFont="1" applyFill="1" applyBorder="1" applyAlignment="1" applyProtection="1">
      <alignment horizontal="center"/>
      <protection locked="0"/>
    </xf>
    <xf numFmtId="38" fontId="0" fillId="2" borderId="12" xfId="1" applyFont="1" applyFill="1" applyBorder="1" applyAlignment="1" applyProtection="1">
      <alignment horizontal="center"/>
      <protection locked="0"/>
    </xf>
    <xf numFmtId="177" fontId="25" fillId="0" borderId="0" xfId="1" applyNumberFormat="1" applyFont="1" applyFill="1" applyBorder="1" applyAlignment="1">
      <alignment horizontal="center"/>
    </xf>
    <xf numFmtId="183" fontId="0" fillId="0" borderId="10" xfId="1" applyNumberFormat="1" applyFont="1" applyFill="1" applyBorder="1" applyAlignment="1">
      <alignment horizontal="center"/>
    </xf>
    <xf numFmtId="183" fontId="0" fillId="0" borderId="11" xfId="1" applyNumberFormat="1" applyFont="1" applyFill="1" applyBorder="1" applyAlignment="1">
      <alignment horizontal="center"/>
    </xf>
    <xf numFmtId="183" fontId="0" fillId="0" borderId="12" xfId="1" applyNumberFormat="1" applyFont="1" applyFill="1" applyBorder="1" applyAlignment="1">
      <alignment horizontal="center"/>
    </xf>
    <xf numFmtId="38" fontId="8" fillId="2" borderId="16" xfId="1" applyFont="1" applyFill="1" applyBorder="1" applyAlignment="1" applyProtection="1">
      <alignment horizontal="center"/>
      <protection locked="0"/>
    </xf>
    <xf numFmtId="38" fontId="8" fillId="2" borderId="17" xfId="1" applyFont="1" applyFill="1" applyBorder="1" applyAlignment="1" applyProtection="1">
      <alignment horizontal="center"/>
      <protection locked="0"/>
    </xf>
    <xf numFmtId="38" fontId="8" fillId="2" borderId="18" xfId="1" applyFont="1" applyFill="1" applyBorder="1" applyAlignment="1" applyProtection="1">
      <alignment horizontal="center"/>
      <protection locked="0"/>
    </xf>
    <xf numFmtId="0" fontId="0" fillId="0" borderId="11" xfId="0" applyBorder="1" applyAlignment="1">
      <alignment horizontal="center"/>
    </xf>
    <xf numFmtId="38" fontId="0" fillId="0" borderId="10" xfId="1" applyFont="1" applyFill="1" applyBorder="1" applyAlignment="1">
      <alignment horizontal="center"/>
    </xf>
    <xf numFmtId="38" fontId="0" fillId="0" borderId="11" xfId="1" applyFont="1" applyFill="1" applyBorder="1" applyAlignment="1">
      <alignment horizontal="center"/>
    </xf>
    <xf numFmtId="38" fontId="0" fillId="0" borderId="12" xfId="1" applyFont="1" applyFill="1" applyBorder="1" applyAlignment="1">
      <alignment horizontal="center"/>
    </xf>
    <xf numFmtId="1" fontId="0" fillId="0" borderId="1" xfId="0" applyNumberFormat="1" applyBorder="1" applyAlignment="1">
      <alignment horizontal="center" vertical="center" shrinkToFit="1"/>
    </xf>
    <xf numFmtId="1" fontId="0" fillId="0" borderId="3" xfId="0" applyNumberFormat="1" applyBorder="1" applyAlignment="1">
      <alignment horizontal="center" vertical="center" shrinkToFit="1"/>
    </xf>
    <xf numFmtId="1" fontId="0" fillId="0" borderId="6" xfId="0" applyNumberFormat="1" applyBorder="1" applyAlignment="1">
      <alignment horizontal="center" vertical="center" shrinkToFit="1"/>
    </xf>
    <xf numFmtId="1" fontId="0" fillId="0" borderId="8" xfId="0" applyNumberFormat="1" applyBorder="1" applyAlignment="1">
      <alignment horizontal="center" vertical="center" shrinkToFit="1"/>
    </xf>
    <xf numFmtId="1" fontId="0" fillId="0" borderId="13" xfId="0" applyNumberFormat="1" applyBorder="1" applyAlignment="1">
      <alignment horizontal="center" vertical="center" shrinkToFit="1"/>
    </xf>
    <xf numFmtId="1" fontId="0" fillId="0" borderId="14" xfId="0" applyNumberFormat="1" applyBorder="1" applyAlignment="1">
      <alignment horizontal="center" vertical="center" shrinkToFit="1"/>
    </xf>
    <xf numFmtId="1" fontId="0" fillId="0" borderId="32" xfId="0" applyNumberFormat="1" applyBorder="1" applyAlignment="1">
      <alignment horizontal="center" vertical="center" shrinkToFit="1"/>
    </xf>
    <xf numFmtId="1" fontId="0" fillId="0" borderId="34" xfId="0" applyNumberForma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7" fontId="14" fillId="0" borderId="4" xfId="1" applyNumberFormat="1" applyFont="1" applyBorder="1" applyAlignment="1">
      <alignment horizontal="center" shrinkToFit="1"/>
    </xf>
    <xf numFmtId="177" fontId="14" fillId="0" borderId="0" xfId="1" applyNumberFormat="1" applyFont="1" applyBorder="1" applyAlignment="1">
      <alignment horizontal="center" shrinkToFi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2" fontId="0" fillId="0" borderId="1" xfId="0" applyNumberFormat="1" applyBorder="1" applyAlignment="1">
      <alignment horizontal="center" shrinkToFit="1"/>
    </xf>
    <xf numFmtId="2" fontId="0" fillId="0" borderId="2" xfId="0" applyNumberFormat="1" applyBorder="1" applyAlignment="1">
      <alignment horizontal="center" shrinkToFit="1"/>
    </xf>
    <xf numFmtId="2" fontId="0" fillId="0" borderId="6" xfId="0" applyNumberFormat="1" applyBorder="1" applyAlignment="1">
      <alignment horizontal="center" shrinkToFit="1"/>
    </xf>
    <xf numFmtId="2" fontId="0" fillId="0" borderId="7" xfId="0" applyNumberFormat="1" applyBorder="1" applyAlignment="1">
      <alignment horizontal="center" shrinkToFit="1"/>
    </xf>
    <xf numFmtId="2" fontId="0" fillId="0" borderId="13" xfId="0" applyNumberFormat="1" applyBorder="1" applyAlignment="1">
      <alignment horizontal="center" shrinkToFit="1"/>
    </xf>
    <xf numFmtId="2" fontId="0" fillId="0" borderId="15" xfId="0" applyNumberFormat="1" applyBorder="1" applyAlignment="1">
      <alignment horizontal="center" shrinkToFit="1"/>
    </xf>
    <xf numFmtId="2" fontId="0" fillId="0" borderId="32" xfId="0" applyNumberFormat="1" applyBorder="1" applyAlignment="1">
      <alignment horizontal="center" shrinkToFit="1"/>
    </xf>
    <xf numFmtId="2" fontId="0" fillId="0" borderId="33" xfId="0" applyNumberFormat="1" applyBorder="1" applyAlignment="1">
      <alignment horizontal="center" shrinkToFit="1"/>
    </xf>
    <xf numFmtId="177" fontId="7" fillId="0" borderId="4" xfId="1" applyNumberFormat="1" applyFont="1" applyBorder="1" applyAlignment="1">
      <alignment horizontal="center" shrinkToFit="1"/>
    </xf>
    <xf numFmtId="177" fontId="7" fillId="0" borderId="0" xfId="1" applyNumberFormat="1" applyFont="1" applyBorder="1" applyAlignment="1">
      <alignment horizontal="center" shrinkToFi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40" fontId="0" fillId="0" borderId="9" xfId="1" applyNumberFormat="1" applyFont="1" applyBorder="1" applyAlignment="1">
      <alignment horizontal="center" shrinkToFit="1"/>
    </xf>
    <xf numFmtId="177" fontId="0" fillId="0" borderId="8" xfId="1" applyNumberFormat="1" applyFont="1" applyBorder="1" applyAlignment="1">
      <alignment horizontal="center" shrinkToFit="1"/>
    </xf>
    <xf numFmtId="177" fontId="0" fillId="0" borderId="19" xfId="1" applyNumberFormat="1" applyFont="1" applyBorder="1" applyAlignment="1">
      <alignment horizontal="center" shrinkToFit="1"/>
    </xf>
    <xf numFmtId="2" fontId="22" fillId="0" borderId="10" xfId="0" applyNumberFormat="1" applyFont="1" applyBorder="1" applyAlignment="1">
      <alignment horizontal="center"/>
    </xf>
    <xf numFmtId="2" fontId="22" fillId="0" borderId="11" xfId="0" applyNumberFormat="1" applyFont="1" applyBorder="1" applyAlignment="1">
      <alignment horizontal="center"/>
    </xf>
    <xf numFmtId="2" fontId="22" fillId="0" borderId="12" xfId="0" applyNumberFormat="1" applyFont="1" applyBorder="1" applyAlignment="1">
      <alignment horizontal="center"/>
    </xf>
    <xf numFmtId="0" fontId="22" fillId="0" borderId="0" xfId="0" applyFont="1" applyAlignment="1">
      <alignment horizontal="center"/>
    </xf>
    <xf numFmtId="177" fontId="0" fillId="0" borderId="10" xfId="1" applyNumberFormat="1" applyFont="1" applyBorder="1" applyAlignment="1">
      <alignment horizontal="center"/>
    </xf>
    <xf numFmtId="177" fontId="0" fillId="0" borderId="11" xfId="1" applyNumberFormat="1" applyFont="1" applyBorder="1" applyAlignment="1">
      <alignment horizontal="center"/>
    </xf>
    <xf numFmtId="177" fontId="0" fillId="0" borderId="12" xfId="1" applyNumberFormat="1" applyFont="1" applyBorder="1" applyAlignment="1">
      <alignment horizontal="center"/>
    </xf>
    <xf numFmtId="177" fontId="0" fillId="0" borderId="6" xfId="1" applyNumberFormat="1" applyFont="1" applyBorder="1" applyAlignment="1">
      <alignment horizontal="center"/>
    </xf>
    <xf numFmtId="177" fontId="0" fillId="0" borderId="7" xfId="1" applyNumberFormat="1" applyFont="1" applyBorder="1" applyAlignment="1">
      <alignment horizontal="center"/>
    </xf>
    <xf numFmtId="177" fontId="0" fillId="0" borderId="8" xfId="1" applyNumberFormat="1" applyFont="1" applyBorder="1" applyAlignment="1">
      <alignment horizontal="center"/>
    </xf>
    <xf numFmtId="181" fontId="0" fillId="2" borderId="10" xfId="1" applyNumberFormat="1" applyFont="1" applyFill="1" applyBorder="1" applyAlignment="1" applyProtection="1">
      <alignment horizontal="center"/>
      <protection locked="0"/>
    </xf>
    <xf numFmtId="181" fontId="0" fillId="2" borderId="11" xfId="1" applyNumberFormat="1" applyFont="1" applyFill="1" applyBorder="1" applyAlignment="1" applyProtection="1">
      <alignment horizontal="center"/>
      <protection locked="0"/>
    </xf>
    <xf numFmtId="181" fontId="0" fillId="2" borderId="12" xfId="1" applyNumberFormat="1" applyFont="1" applyFill="1" applyBorder="1" applyAlignment="1" applyProtection="1">
      <alignment horizontal="center"/>
      <protection locked="0"/>
    </xf>
    <xf numFmtId="177" fontId="0" fillId="0" borderId="9" xfId="1" applyNumberFormat="1" applyFont="1" applyBorder="1" applyAlignment="1">
      <alignment horizontal="center"/>
    </xf>
    <xf numFmtId="177" fontId="0" fillId="2" borderId="10" xfId="1" applyNumberFormat="1" applyFont="1" applyFill="1" applyBorder="1" applyAlignment="1" applyProtection="1">
      <alignment horizontal="center"/>
      <protection locked="0"/>
    </xf>
    <xf numFmtId="177" fontId="0" fillId="2" borderId="11" xfId="1" applyNumberFormat="1" applyFont="1" applyFill="1" applyBorder="1" applyAlignment="1" applyProtection="1">
      <alignment horizontal="center"/>
      <protection locked="0"/>
    </xf>
    <xf numFmtId="177" fontId="0" fillId="2" borderId="12" xfId="1" applyNumberFormat="1" applyFont="1" applyFill="1" applyBorder="1" applyAlignment="1" applyProtection="1">
      <alignment horizontal="center"/>
      <protection locked="0"/>
    </xf>
    <xf numFmtId="177" fontId="0" fillId="0" borderId="4" xfId="1" applyNumberFormat="1" applyFont="1" applyBorder="1" applyAlignment="1">
      <alignment horizontal="center"/>
    </xf>
    <xf numFmtId="177" fontId="0" fillId="0" borderId="0" xfId="1" applyNumberFormat="1" applyFont="1" applyBorder="1" applyAlignment="1">
      <alignment horizontal="center"/>
    </xf>
    <xf numFmtId="177" fontId="0" fillId="0" borderId="5" xfId="1" applyNumberFormat="1" applyFont="1" applyBorder="1" applyAlignment="1">
      <alignment horizontal="center"/>
    </xf>
    <xf numFmtId="177" fontId="0" fillId="0" borderId="0" xfId="1" applyNumberFormat="1" applyFont="1" applyBorder="1" applyAlignment="1">
      <alignment horizontal="center" vertical="center"/>
    </xf>
    <xf numFmtId="2" fontId="0" fillId="0" borderId="8" xfId="0" applyNumberFormat="1" applyBorder="1" applyAlignment="1">
      <alignment horizontal="center" shrinkToFit="1"/>
    </xf>
    <xf numFmtId="0" fontId="0" fillId="0" borderId="23" xfId="0" applyBorder="1" applyAlignment="1">
      <alignment horizontal="center" shrinkToFit="1"/>
    </xf>
    <xf numFmtId="0" fontId="0" fillId="0" borderId="24" xfId="0" applyBorder="1" applyAlignment="1">
      <alignment horizontal="center" shrinkToFit="1"/>
    </xf>
    <xf numFmtId="0" fontId="0" fillId="0" borderId="25" xfId="0" applyBorder="1" applyAlignment="1">
      <alignment horizontal="center" shrinkToFit="1"/>
    </xf>
    <xf numFmtId="40" fontId="0" fillId="0" borderId="11" xfId="1" applyNumberFormat="1" applyFont="1" applyBorder="1" applyAlignment="1">
      <alignment horizontal="center"/>
    </xf>
    <xf numFmtId="40" fontId="0" fillId="0" borderId="12" xfId="1" applyNumberFormat="1" applyFont="1" applyBorder="1" applyAlignment="1">
      <alignment horizontal="center"/>
    </xf>
    <xf numFmtId="2" fontId="0" fillId="0" borderId="0" xfId="0" applyNumberFormat="1" applyAlignment="1">
      <alignment horizontal="center" shrinkToFit="1"/>
    </xf>
    <xf numFmtId="2" fontId="0" fillId="0" borderId="5" xfId="0" applyNumberFormat="1" applyBorder="1" applyAlignment="1">
      <alignment horizontal="center" shrinkToFit="1"/>
    </xf>
    <xf numFmtId="2" fontId="0" fillId="0" borderId="3" xfId="0" applyNumberFormat="1" applyBorder="1" applyAlignment="1">
      <alignment horizontal="center" shrinkToFit="1"/>
    </xf>
    <xf numFmtId="40" fontId="0" fillId="0" borderId="10" xfId="1" applyNumberFormat="1" applyFont="1" applyBorder="1" applyAlignment="1">
      <alignment horizontal="center"/>
    </xf>
    <xf numFmtId="0" fontId="6" fillId="0" borderId="1" xfId="0" applyFont="1" applyBorder="1" applyAlignment="1">
      <alignment horizontal="center" shrinkToFit="1"/>
    </xf>
    <xf numFmtId="0" fontId="6" fillId="0" borderId="2" xfId="0" applyFont="1" applyBorder="1" applyAlignment="1">
      <alignment horizontal="center" shrinkToFit="1"/>
    </xf>
    <xf numFmtId="40" fontId="0" fillId="0" borderId="4" xfId="1" applyNumberFormat="1" applyFont="1" applyBorder="1" applyAlignment="1">
      <alignment horizontal="center"/>
    </xf>
    <xf numFmtId="40" fontId="0" fillId="0" borderId="0" xfId="1" applyNumberFormat="1" applyFont="1" applyBorder="1" applyAlignment="1">
      <alignment horizontal="center"/>
    </xf>
    <xf numFmtId="40" fontId="0" fillId="0" borderId="7" xfId="1" applyNumberFormat="1" applyFont="1" applyBorder="1" applyAlignment="1">
      <alignment horizontal="center"/>
    </xf>
    <xf numFmtId="177" fontId="7" fillId="0" borderId="0" xfId="1" applyNumberFormat="1" applyFont="1" applyBorder="1" applyAlignment="1">
      <alignment horizontal="center" vertical="center"/>
    </xf>
    <xf numFmtId="177" fontId="8" fillId="0" borderId="7" xfId="1" applyNumberFormat="1" applyFont="1" applyBorder="1" applyAlignment="1">
      <alignment horizontal="center"/>
    </xf>
    <xf numFmtId="177" fontId="8" fillId="0" borderId="2" xfId="1" applyNumberFormat="1" applyFont="1" applyBorder="1" applyAlignment="1">
      <alignment horizontal="center"/>
    </xf>
    <xf numFmtId="40" fontId="0" fillId="0" borderId="7" xfId="1" applyNumberFormat="1" applyFont="1" applyFill="1" applyBorder="1" applyAlignment="1">
      <alignment horizontal="center"/>
    </xf>
    <xf numFmtId="40" fontId="0" fillId="0" borderId="8" xfId="1" applyNumberFormat="1" applyFont="1" applyFill="1" applyBorder="1" applyAlignment="1">
      <alignment horizontal="center"/>
    </xf>
    <xf numFmtId="40" fontId="0" fillId="0" borderId="7" xfId="1" applyNumberFormat="1" applyFont="1" applyBorder="1" applyAlignment="1">
      <alignment horizontal="center" shrinkToFit="1"/>
    </xf>
    <xf numFmtId="2" fontId="22" fillId="0" borderId="26" xfId="0" applyNumberFormat="1" applyFont="1" applyBorder="1" applyAlignment="1">
      <alignment horizontal="center"/>
    </xf>
    <xf numFmtId="2" fontId="22" fillId="0" borderId="27" xfId="0" applyNumberFormat="1" applyFont="1" applyBorder="1" applyAlignment="1">
      <alignment horizontal="center"/>
    </xf>
    <xf numFmtId="2" fontId="22" fillId="0" borderId="28" xfId="0" applyNumberFormat="1" applyFont="1" applyBorder="1" applyAlignment="1">
      <alignment horizontal="center"/>
    </xf>
    <xf numFmtId="0" fontId="6" fillId="0" borderId="4" xfId="0" applyFont="1" applyBorder="1" applyAlignment="1">
      <alignment horizontal="center" shrinkToFit="1"/>
    </xf>
    <xf numFmtId="0" fontId="6" fillId="0" borderId="0" xfId="0" applyFont="1" applyAlignment="1">
      <alignment horizontal="center" shrinkToFit="1"/>
    </xf>
    <xf numFmtId="0" fontId="6" fillId="0" borderId="6" xfId="0" applyFont="1" applyBorder="1" applyAlignment="1">
      <alignment horizontal="center" shrinkToFit="1"/>
    </xf>
    <xf numFmtId="0" fontId="6" fillId="0" borderId="7" xfId="0" applyFont="1" applyBorder="1" applyAlignment="1">
      <alignment horizontal="center" shrinkToFit="1"/>
    </xf>
    <xf numFmtId="2" fontId="0" fillId="0" borderId="14" xfId="0" applyNumberFormat="1" applyBorder="1" applyAlignment="1">
      <alignment horizontal="center" shrinkToFit="1"/>
    </xf>
    <xf numFmtId="40" fontId="0" fillId="0" borderId="11" xfId="1" applyNumberFormat="1" applyFont="1" applyBorder="1" applyAlignment="1">
      <alignment horizontal="center" shrinkToFit="1"/>
    </xf>
    <xf numFmtId="40" fontId="0" fillId="0" borderId="8" xfId="1" applyNumberFormat="1" applyFont="1" applyBorder="1" applyAlignment="1">
      <alignment horizontal="center"/>
    </xf>
    <xf numFmtId="177" fontId="0" fillId="0" borderId="0" xfId="0" applyNumberFormat="1" applyAlignment="1">
      <alignment horizontal="center" vertical="center"/>
    </xf>
    <xf numFmtId="0" fontId="0" fillId="0" borderId="0" xfId="0" applyAlignment="1">
      <alignment horizontal="center" vertical="center"/>
    </xf>
    <xf numFmtId="40" fontId="0" fillId="0" borderId="6" xfId="1" applyNumberFormat="1" applyFont="1" applyFill="1" applyBorder="1" applyAlignment="1">
      <alignment horizontal="center"/>
    </xf>
    <xf numFmtId="38" fontId="0" fillId="0" borderId="0" xfId="1" applyFont="1" applyBorder="1" applyAlignment="1">
      <alignment horizontal="center"/>
    </xf>
    <xf numFmtId="2" fontId="22" fillId="0" borderId="0" xfId="0" applyNumberFormat="1" applyFont="1" applyAlignment="1">
      <alignment horizontal="center"/>
    </xf>
    <xf numFmtId="2" fontId="22" fillId="0" borderId="6" xfId="0" applyNumberFormat="1" applyFont="1" applyBorder="1" applyAlignment="1">
      <alignment horizontal="center"/>
    </xf>
    <xf numFmtId="2" fontId="22" fillId="0" borderId="7" xfId="0" applyNumberFormat="1" applyFont="1" applyBorder="1" applyAlignment="1">
      <alignment horizontal="center"/>
    </xf>
    <xf numFmtId="2" fontId="22" fillId="0" borderId="8" xfId="0" applyNumberFormat="1" applyFont="1" applyBorder="1" applyAlignment="1">
      <alignment horizontal="center"/>
    </xf>
    <xf numFmtId="177" fontId="0" fillId="0" borderId="1" xfId="1" applyNumberFormat="1" applyFont="1" applyFill="1" applyBorder="1" applyAlignment="1">
      <alignment horizontal="center"/>
    </xf>
    <xf numFmtId="177" fontId="0" fillId="0" borderId="2" xfId="1" applyNumberFormat="1" applyFont="1" applyFill="1" applyBorder="1" applyAlignment="1">
      <alignment horizontal="center"/>
    </xf>
    <xf numFmtId="177" fontId="0" fillId="0" borderId="3" xfId="1" applyNumberFormat="1" applyFont="1" applyFill="1" applyBorder="1" applyAlignment="1">
      <alignment horizontal="center"/>
    </xf>
    <xf numFmtId="177" fontId="0" fillId="0" borderId="5" xfId="1" applyNumberFormat="1" applyFont="1" applyFill="1" applyBorder="1" applyAlignment="1">
      <alignment horizontal="center"/>
    </xf>
    <xf numFmtId="0" fontId="7" fillId="0" borderId="4"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4" fontId="0" fillId="0" borderId="0" xfId="1" applyNumberFormat="1" applyFont="1" applyBorder="1" applyAlignment="1">
      <alignment horizontal="center" shrinkToFit="1"/>
    </xf>
    <xf numFmtId="40" fontId="0" fillId="0" borderId="0" xfId="1" applyNumberFormat="1" applyFont="1" applyBorder="1" applyAlignment="1">
      <alignment horizontal="center" shrinkToFit="1"/>
    </xf>
    <xf numFmtId="40" fontId="0" fillId="0" borderId="6" xfId="1" applyNumberFormat="1" applyFont="1" applyBorder="1" applyAlignment="1">
      <alignment horizontal="center" shrinkToFit="1"/>
    </xf>
    <xf numFmtId="0" fontId="6" fillId="0" borderId="0" xfId="0" applyFont="1" applyAlignment="1">
      <alignment horizontal="right" shrinkToFit="1"/>
    </xf>
    <xf numFmtId="40" fontId="0" fillId="0" borderId="24" xfId="1" applyNumberFormat="1" applyFont="1" applyBorder="1" applyAlignment="1">
      <alignment horizontal="center" shrinkToFit="1"/>
    </xf>
    <xf numFmtId="40" fontId="0" fillId="0" borderId="25" xfId="1" applyNumberFormat="1" applyFont="1" applyBorder="1" applyAlignment="1">
      <alignment horizontal="center" shrinkToFit="1"/>
    </xf>
    <xf numFmtId="177" fontId="0" fillId="0" borderId="1" xfId="1" applyNumberFormat="1" applyFont="1" applyBorder="1" applyAlignment="1">
      <alignment horizontal="center" vertical="center"/>
    </xf>
    <xf numFmtId="177" fontId="0" fillId="0" borderId="3" xfId="1" applyNumberFormat="1" applyFont="1" applyBorder="1" applyAlignment="1">
      <alignment horizontal="center" vertical="center"/>
    </xf>
    <xf numFmtId="177" fontId="0" fillId="0" borderId="6" xfId="1" applyNumberFormat="1" applyFont="1" applyBorder="1" applyAlignment="1">
      <alignment horizontal="center" vertical="center"/>
    </xf>
    <xf numFmtId="177" fontId="0" fillId="0" borderId="8" xfId="1" applyNumberFormat="1" applyFont="1" applyBorder="1" applyAlignment="1">
      <alignment horizontal="center" vertical="center"/>
    </xf>
    <xf numFmtId="177" fontId="0" fillId="0" borderId="35" xfId="1" applyNumberFormat="1" applyFont="1" applyBorder="1" applyAlignment="1">
      <alignment horizontal="center" vertical="center"/>
    </xf>
    <xf numFmtId="177" fontId="0" fillId="0" borderId="9" xfId="1" applyNumberFormat="1" applyFont="1" applyBorder="1" applyAlignment="1">
      <alignment horizontal="center" vertical="center"/>
    </xf>
    <xf numFmtId="2" fontId="33" fillId="0" borderId="10" xfId="0" applyNumberFormat="1" applyFont="1" applyBorder="1" applyAlignment="1">
      <alignment horizontal="center" shrinkToFit="1"/>
    </xf>
    <xf numFmtId="0" fontId="33" fillId="0" borderId="11" xfId="0" applyFont="1" applyBorder="1" applyAlignment="1">
      <alignment horizontal="center" shrinkToFit="1"/>
    </xf>
    <xf numFmtId="0" fontId="0" fillId="0" borderId="3" xfId="0" applyBorder="1" applyAlignment="1">
      <alignment horizontal="center" vertical="center"/>
    </xf>
    <xf numFmtId="0" fontId="0" fillId="0" borderId="8" xfId="0" applyBorder="1" applyAlignment="1">
      <alignment horizontal="center" vertical="center"/>
    </xf>
    <xf numFmtId="40" fontId="0" fillId="0" borderId="2" xfId="1" applyNumberFormat="1" applyFont="1" applyBorder="1" applyAlignment="1">
      <alignment horizontal="center"/>
    </xf>
    <xf numFmtId="40" fontId="0" fillId="0" borderId="3" xfId="1" applyNumberFormat="1" applyFont="1" applyBorder="1" applyAlignment="1">
      <alignment horizontal="center"/>
    </xf>
    <xf numFmtId="177" fontId="7" fillId="0" borderId="4" xfId="1" applyNumberFormat="1" applyFont="1" applyBorder="1" applyAlignment="1">
      <alignment horizontal="center" vertical="top"/>
    </xf>
    <xf numFmtId="177" fontId="7" fillId="0" borderId="0" xfId="1" applyNumberFormat="1" applyFont="1" applyBorder="1" applyAlignment="1">
      <alignment horizontal="center" vertical="top"/>
    </xf>
    <xf numFmtId="177" fontId="7" fillId="0" borderId="5" xfId="1" applyNumberFormat="1" applyFont="1" applyBorder="1" applyAlignment="1">
      <alignment horizontal="center" vertical="top"/>
    </xf>
    <xf numFmtId="40" fontId="0" fillId="0" borderId="0" xfId="1" applyNumberFormat="1" applyFont="1" applyBorder="1" applyAlignment="1">
      <alignment horizontal="center" vertical="center"/>
    </xf>
    <xf numFmtId="177" fontId="7" fillId="0" borderId="2" xfId="1" applyNumberFormat="1" applyFont="1" applyBorder="1" applyAlignment="1">
      <alignment horizontal="center"/>
    </xf>
    <xf numFmtId="40" fontId="0" fillId="0" borderId="20" xfId="1" applyNumberFormat="1" applyFont="1" applyBorder="1" applyAlignment="1">
      <alignment horizontal="center" shrinkToFit="1"/>
    </xf>
    <xf numFmtId="40" fontId="0" fillId="0" borderId="22" xfId="1" applyNumberFormat="1" applyFont="1" applyBorder="1" applyAlignment="1">
      <alignment horizontal="center" shrinkToFit="1"/>
    </xf>
    <xf numFmtId="40" fontId="0" fillId="0" borderId="22" xfId="1" applyNumberFormat="1" applyFont="1" applyBorder="1" applyAlignment="1">
      <alignment horizontal="center"/>
    </xf>
    <xf numFmtId="0" fontId="0" fillId="0" borderId="32" xfId="0" applyBorder="1" applyAlignment="1">
      <alignment horizontal="center" shrinkToFit="1"/>
    </xf>
    <xf numFmtId="0" fontId="0" fillId="0" borderId="34" xfId="0" applyBorder="1" applyAlignment="1">
      <alignment horizontal="center" shrinkToFit="1"/>
    </xf>
    <xf numFmtId="177" fontId="14" fillId="0" borderId="4" xfId="1" applyNumberFormat="1" applyFont="1" applyBorder="1" applyAlignment="1">
      <alignment horizontal="center"/>
    </xf>
    <xf numFmtId="2" fontId="0" fillId="0" borderId="3"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3" xfId="0" applyFont="1" applyBorder="1" applyAlignment="1">
      <alignment horizontal="center" shrinkToFit="1"/>
    </xf>
    <xf numFmtId="0" fontId="6" fillId="0" borderId="15" xfId="0" applyFont="1" applyBorder="1" applyAlignment="1">
      <alignment horizontal="center" shrinkToFit="1"/>
    </xf>
    <xf numFmtId="177" fontId="7" fillId="0" borderId="4" xfId="1" applyNumberFormat="1" applyFont="1" applyFill="1" applyBorder="1" applyAlignment="1">
      <alignment horizontal="center"/>
    </xf>
    <xf numFmtId="2" fontId="0" fillId="0" borderId="4" xfId="0" applyNumberFormat="1" applyBorder="1" applyAlignment="1">
      <alignment horizontal="center" shrinkToFit="1"/>
    </xf>
    <xf numFmtId="2" fontId="0" fillId="0" borderId="0" xfId="0" applyNumberFormat="1" applyAlignment="1">
      <alignment horizontal="center" vertical="center"/>
    </xf>
    <xf numFmtId="2" fontId="0" fillId="0" borderId="0" xfId="0" applyNumberFormat="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2" fontId="8" fillId="0" borderId="1" xfId="0" applyNumberFormat="1" applyFont="1" applyBorder="1" applyAlignment="1">
      <alignment horizontal="center" vertical="center"/>
    </xf>
    <xf numFmtId="2" fontId="8" fillId="0" borderId="3"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8" xfId="0" applyNumberFormat="1" applyFont="1" applyBorder="1" applyAlignment="1">
      <alignment horizontal="center" vertical="center"/>
    </xf>
    <xf numFmtId="177" fontId="0" fillId="0" borderId="19" xfId="1" applyNumberFormat="1" applyFont="1" applyBorder="1" applyAlignment="1">
      <alignment horizontal="center" vertical="center"/>
    </xf>
    <xf numFmtId="177" fontId="0" fillId="0" borderId="30" xfId="1" applyNumberFormat="1" applyFont="1" applyBorder="1" applyAlignment="1">
      <alignment horizontal="center" vertical="center"/>
    </xf>
    <xf numFmtId="0" fontId="0" fillId="0" borderId="4" xfId="0" applyBorder="1" applyAlignment="1">
      <alignment horizontal="center" shrinkToFit="1"/>
    </xf>
    <xf numFmtId="0" fontId="0" fillId="0" borderId="5" xfId="0" applyBorder="1" applyAlignment="1">
      <alignment horizontal="center" shrinkToFit="1"/>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 fontId="8" fillId="0" borderId="32" xfId="0" applyNumberFormat="1" applyFont="1" applyBorder="1" applyAlignment="1">
      <alignment horizontal="center" vertical="center"/>
    </xf>
    <xf numFmtId="2" fontId="8" fillId="0" borderId="34" xfId="0" applyNumberFormat="1" applyFont="1" applyBorder="1" applyAlignment="1">
      <alignment horizontal="center" vertical="center"/>
    </xf>
    <xf numFmtId="0" fontId="0" fillId="0" borderId="13" xfId="0" applyBorder="1" applyAlignment="1">
      <alignment horizontal="center" shrinkToFit="1"/>
    </xf>
    <xf numFmtId="0" fontId="0" fillId="0" borderId="14" xfId="0" applyBorder="1" applyAlignment="1">
      <alignment horizontal="center" shrinkToFit="1"/>
    </xf>
    <xf numFmtId="0" fontId="0" fillId="0" borderId="34" xfId="0" applyBorder="1" applyAlignment="1">
      <alignment horizontal="center" vertical="center"/>
    </xf>
    <xf numFmtId="2" fontId="0" fillId="0" borderId="10" xfId="0" applyNumberFormat="1" applyBorder="1" applyAlignment="1">
      <alignment horizontal="center" shrinkToFit="1"/>
    </xf>
    <xf numFmtId="0" fontId="0" fillId="0" borderId="11" xfId="0" applyBorder="1" applyAlignment="1">
      <alignment horizontal="center" shrinkToFit="1"/>
    </xf>
    <xf numFmtId="40" fontId="0" fillId="0" borderId="21" xfId="1" applyNumberFormat="1" applyFont="1" applyBorder="1" applyAlignment="1">
      <alignment horizontal="center"/>
    </xf>
    <xf numFmtId="2" fontId="22" fillId="0" borderId="10" xfId="0" applyNumberFormat="1" applyFont="1" applyBorder="1" applyAlignment="1">
      <alignment horizontal="center" vertical="center" shrinkToFit="1"/>
    </xf>
    <xf numFmtId="2" fontId="22" fillId="0" borderId="11" xfId="0" applyNumberFormat="1" applyFont="1" applyBorder="1" applyAlignment="1">
      <alignment horizontal="center" vertical="center" shrinkToFit="1"/>
    </xf>
    <xf numFmtId="2" fontId="22" fillId="0" borderId="12" xfId="0" applyNumberFormat="1" applyFont="1" applyBorder="1" applyAlignment="1">
      <alignment horizontal="center" vertical="center" shrinkToFit="1"/>
    </xf>
    <xf numFmtId="2" fontId="22" fillId="0" borderId="10" xfId="0" applyNumberFormat="1" applyFont="1" applyBorder="1" applyAlignment="1">
      <alignment horizontal="center" shrinkToFit="1"/>
    </xf>
    <xf numFmtId="2" fontId="22" fillId="0" borderId="11" xfId="0" applyNumberFormat="1" applyFont="1" applyBorder="1" applyAlignment="1">
      <alignment horizontal="center" shrinkToFit="1"/>
    </xf>
    <xf numFmtId="2" fontId="22" fillId="0" borderId="12" xfId="0" applyNumberFormat="1" applyFont="1" applyBorder="1" applyAlignment="1">
      <alignment horizontal="center" shrinkToFit="1"/>
    </xf>
    <xf numFmtId="178" fontId="0" fillId="0" borderId="7" xfId="0" applyNumberFormat="1" applyBorder="1" applyAlignment="1">
      <alignment horizontal="center" shrinkToFit="1"/>
    </xf>
    <xf numFmtId="38" fontId="0" fillId="0" borderId="7" xfId="1" applyFont="1" applyBorder="1" applyAlignment="1">
      <alignment horizontal="center"/>
    </xf>
    <xf numFmtId="40" fontId="0" fillId="0" borderId="0" xfId="1" applyNumberFormat="1" applyFont="1" applyAlignment="1">
      <alignment horizontal="center"/>
    </xf>
    <xf numFmtId="40" fontId="0" fillId="0" borderId="6" xfId="1" applyNumberFormat="1" applyFont="1" applyBorder="1" applyAlignment="1">
      <alignment horizontal="center"/>
    </xf>
    <xf numFmtId="177" fontId="0" fillId="0" borderId="1" xfId="1" applyNumberFormat="1" applyFont="1" applyBorder="1" applyAlignment="1">
      <alignment horizontal="center"/>
    </xf>
    <xf numFmtId="177" fontId="0" fillId="0" borderId="2" xfId="1" applyNumberFormat="1" applyFont="1" applyBorder="1" applyAlignment="1">
      <alignment horizontal="center"/>
    </xf>
    <xf numFmtId="177" fontId="0" fillId="0" borderId="3" xfId="1" applyNumberFormat="1" applyFont="1" applyBorder="1" applyAlignment="1">
      <alignment horizontal="center"/>
    </xf>
    <xf numFmtId="40" fontId="0" fillId="0" borderId="10" xfId="1" applyNumberFormat="1" applyFont="1" applyBorder="1" applyAlignment="1">
      <alignment horizontal="center" shrinkToFit="1"/>
    </xf>
    <xf numFmtId="40" fontId="0" fillId="0" borderId="23" xfId="1" applyNumberFormat="1" applyFont="1" applyBorder="1" applyAlignment="1">
      <alignment horizontal="center" shrinkToFit="1"/>
    </xf>
    <xf numFmtId="2" fontId="0" fillId="0" borderId="8" xfId="0" applyNumberFormat="1" applyBorder="1" applyAlignment="1">
      <alignment horizontal="center" vertical="center"/>
    </xf>
    <xf numFmtId="2" fontId="0" fillId="0" borderId="0" xfId="0" applyNumberFormat="1" applyAlignment="1">
      <alignment horizontal="left" shrinkToFit="1"/>
    </xf>
    <xf numFmtId="2" fontId="0" fillId="0" borderId="7" xfId="0" applyNumberFormat="1" applyBorder="1" applyAlignment="1">
      <alignment horizontal="center"/>
    </xf>
    <xf numFmtId="2" fontId="0" fillId="0" borderId="8" xfId="0" applyNumberFormat="1" applyBorder="1" applyAlignment="1">
      <alignment horizontal="center"/>
    </xf>
    <xf numFmtId="177" fontId="7" fillId="0" borderId="1" xfId="1" applyNumberFormat="1" applyFont="1" applyBorder="1" applyAlignment="1">
      <alignment horizontal="center" shrinkToFit="1"/>
    </xf>
    <xf numFmtId="177" fontId="7" fillId="0" borderId="2" xfId="1" applyNumberFormat="1" applyFont="1" applyBorder="1" applyAlignment="1">
      <alignment horizontal="center" shrinkToFit="1"/>
    </xf>
    <xf numFmtId="177" fontId="7" fillId="0" borderId="3" xfId="1" applyNumberFormat="1" applyFont="1" applyBorder="1" applyAlignment="1">
      <alignment horizontal="center" shrinkToFit="1"/>
    </xf>
    <xf numFmtId="0" fontId="6" fillId="0" borderId="32" xfId="0" applyFont="1" applyBorder="1" applyAlignment="1">
      <alignment horizontal="center" shrinkToFit="1"/>
    </xf>
    <xf numFmtId="0" fontId="6" fillId="0" borderId="33" xfId="0" applyFont="1" applyBorder="1" applyAlignment="1">
      <alignment horizontal="center" shrinkToFit="1"/>
    </xf>
    <xf numFmtId="40" fontId="0" fillId="0" borderId="33" xfId="1" applyNumberFormat="1" applyFont="1" applyBorder="1" applyAlignment="1">
      <alignment horizontal="center"/>
    </xf>
    <xf numFmtId="40" fontId="0" fillId="0" borderId="34" xfId="1" applyNumberFormat="1" applyFont="1" applyBorder="1" applyAlignment="1">
      <alignment horizontal="center"/>
    </xf>
    <xf numFmtId="2" fontId="0" fillId="0" borderId="34" xfId="0" applyNumberFormat="1" applyBorder="1" applyAlignment="1">
      <alignment horizontal="center" shrinkToFit="1"/>
    </xf>
    <xf numFmtId="40" fontId="0" fillId="0" borderId="15" xfId="1" applyNumberFormat="1" applyFont="1" applyBorder="1" applyAlignment="1">
      <alignment horizontal="center"/>
    </xf>
    <xf numFmtId="40" fontId="0" fillId="0" borderId="14" xfId="1" applyNumberFormat="1" applyFont="1" applyBorder="1" applyAlignment="1">
      <alignment horizontal="center"/>
    </xf>
    <xf numFmtId="2" fontId="0" fillId="0" borderId="32" xfId="0" applyNumberFormat="1" applyBorder="1" applyAlignment="1">
      <alignment horizontal="center" vertical="center"/>
    </xf>
    <xf numFmtId="2" fontId="0" fillId="0" borderId="34" xfId="0" applyNumberFormat="1" applyBorder="1" applyAlignment="1">
      <alignment horizontal="center" vertical="center"/>
    </xf>
    <xf numFmtId="40" fontId="0" fillId="0" borderId="5" xfId="1" applyNumberFormat="1" applyFont="1" applyBorder="1" applyAlignment="1">
      <alignment horizontal="center"/>
    </xf>
    <xf numFmtId="178" fontId="0" fillId="0" borderId="1" xfId="0" applyNumberFormat="1" applyBorder="1" applyAlignment="1">
      <alignment horizontal="center" vertical="center"/>
    </xf>
    <xf numFmtId="178" fontId="0" fillId="0" borderId="3" xfId="0" applyNumberFormat="1" applyBorder="1" applyAlignment="1">
      <alignment horizontal="center" vertical="center"/>
    </xf>
    <xf numFmtId="178" fontId="0" fillId="0" borderId="6" xfId="0" applyNumberFormat="1" applyBorder="1" applyAlignment="1">
      <alignment horizontal="center" vertical="center"/>
    </xf>
    <xf numFmtId="178" fontId="0" fillId="0" borderId="8" xfId="0" applyNumberFormat="1" applyBorder="1" applyAlignment="1">
      <alignment horizontal="center" vertical="center"/>
    </xf>
    <xf numFmtId="181" fontId="22" fillId="0" borderId="0" xfId="1" applyNumberFormat="1" applyFont="1" applyBorder="1" applyAlignment="1">
      <alignment horizontal="center" shrinkToFit="1"/>
    </xf>
    <xf numFmtId="40" fontId="0" fillId="0" borderId="2" xfId="1" applyNumberFormat="1" applyFont="1" applyBorder="1" applyAlignment="1">
      <alignment horizontal="center" shrinkToFit="1"/>
    </xf>
    <xf numFmtId="40" fontId="0" fillId="0" borderId="1" xfId="1" applyNumberFormat="1" applyFont="1" applyBorder="1" applyAlignment="1">
      <alignment horizontal="center" shrinkToFit="1"/>
    </xf>
    <xf numFmtId="177" fontId="0" fillId="0" borderId="1" xfId="1" applyNumberFormat="1" applyFont="1" applyFill="1" applyBorder="1" applyAlignment="1">
      <alignment horizontal="center" vertical="center"/>
    </xf>
    <xf numFmtId="177" fontId="0" fillId="0" borderId="3" xfId="1" applyNumberFormat="1" applyFont="1" applyFill="1" applyBorder="1" applyAlignment="1">
      <alignment horizontal="center" vertical="center"/>
    </xf>
    <xf numFmtId="177" fontId="0" fillId="0" borderId="6" xfId="1" applyNumberFormat="1" applyFont="1" applyFill="1" applyBorder="1" applyAlignment="1">
      <alignment horizontal="center" vertical="center"/>
    </xf>
    <xf numFmtId="177" fontId="0" fillId="0" borderId="8" xfId="1" applyNumberFormat="1" applyFont="1" applyFill="1" applyBorder="1" applyAlignment="1">
      <alignment horizontal="center" vertical="center"/>
    </xf>
    <xf numFmtId="2" fontId="8" fillId="0" borderId="4" xfId="0" applyNumberFormat="1" applyFont="1" applyBorder="1" applyAlignment="1">
      <alignment horizontal="center" vertical="center"/>
    </xf>
    <xf numFmtId="2" fontId="8" fillId="0" borderId="5" xfId="0" applyNumberFormat="1" applyFont="1" applyBorder="1" applyAlignment="1">
      <alignment horizontal="center" vertical="center"/>
    </xf>
    <xf numFmtId="178" fontId="0" fillId="0" borderId="4" xfId="0" applyNumberFormat="1" applyBorder="1" applyAlignment="1">
      <alignment horizontal="center" vertical="center"/>
    </xf>
    <xf numFmtId="178" fontId="0" fillId="0" borderId="5" xfId="0" applyNumberFormat="1" applyBorder="1" applyAlignment="1">
      <alignment horizontal="center" vertical="center"/>
    </xf>
    <xf numFmtId="0" fontId="7" fillId="0" borderId="0" xfId="0" applyFont="1" applyAlignment="1">
      <alignment horizontal="left" vertical="center"/>
    </xf>
    <xf numFmtId="2" fontId="0" fillId="0" borderId="7" xfId="0" applyNumberForma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38" fontId="0" fillId="0" borderId="9" xfId="1" applyFont="1" applyBorder="1" applyAlignment="1">
      <alignment horizontal="center"/>
    </xf>
    <xf numFmtId="177" fontId="0" fillId="0" borderId="0" xfId="1" applyNumberFormat="1" applyFont="1" applyBorder="1" applyAlignment="1">
      <alignment horizontal="left" shrinkToFit="1"/>
    </xf>
    <xf numFmtId="177" fontId="0" fillId="0" borderId="4" xfId="1" applyNumberFormat="1" applyFont="1" applyBorder="1" applyAlignment="1">
      <alignment horizontal="center" shrinkToFit="1"/>
    </xf>
    <xf numFmtId="177" fontId="0" fillId="0" borderId="0" xfId="1" applyNumberFormat="1" applyFont="1" applyBorder="1" applyAlignment="1">
      <alignment horizontal="center" shrinkToFit="1"/>
    </xf>
    <xf numFmtId="181" fontId="22" fillId="0" borderId="10" xfId="1" applyNumberFormat="1" applyFont="1" applyBorder="1" applyAlignment="1">
      <alignment horizontal="center" shrinkToFit="1"/>
    </xf>
    <xf numFmtId="181" fontId="22" fillId="0" borderId="11" xfId="1" applyNumberFormat="1" applyFont="1" applyBorder="1" applyAlignment="1">
      <alignment horizontal="center" shrinkToFit="1"/>
    </xf>
    <xf numFmtId="181" fontId="22" fillId="0" borderId="12" xfId="1" applyNumberFormat="1" applyFont="1" applyBorder="1" applyAlignment="1">
      <alignment horizontal="center" shrinkToFit="1"/>
    </xf>
    <xf numFmtId="40" fontId="0" fillId="0" borderId="8" xfId="1" applyNumberFormat="1" applyFont="1" applyBorder="1" applyAlignment="1">
      <alignment horizontal="center" shrinkToFit="1"/>
    </xf>
    <xf numFmtId="40" fontId="0" fillId="0" borderId="22" xfId="1" applyNumberFormat="1" applyFont="1" applyFill="1" applyBorder="1" applyAlignment="1">
      <alignment horizontal="center" shrinkToFit="1"/>
    </xf>
    <xf numFmtId="40" fontId="0" fillId="0" borderId="22" xfId="1" applyNumberFormat="1" applyFont="1" applyFill="1" applyBorder="1" applyAlignment="1">
      <alignment horizontal="center"/>
    </xf>
    <xf numFmtId="2" fontId="0" fillId="0" borderId="12" xfId="0" applyNumberFormat="1" applyBorder="1" applyAlignment="1">
      <alignment horizontal="center" shrinkToFit="1"/>
    </xf>
    <xf numFmtId="178" fontId="0" fillId="0" borderId="6" xfId="0" applyNumberFormat="1" applyBorder="1" applyAlignment="1">
      <alignment horizontal="center" shrinkToFit="1"/>
    </xf>
    <xf numFmtId="178" fontId="0" fillId="0" borderId="8" xfId="0" applyNumberFormat="1" applyBorder="1" applyAlignment="1">
      <alignment horizontal="center" shrinkToFit="1"/>
    </xf>
    <xf numFmtId="177" fontId="0" fillId="0" borderId="9" xfId="1" applyNumberFormat="1" applyFont="1" applyFill="1" applyBorder="1" applyAlignment="1">
      <alignment horizontal="center" vertical="center"/>
    </xf>
    <xf numFmtId="2" fontId="0" fillId="0" borderId="11" xfId="0" applyNumberFormat="1" applyBorder="1" applyAlignment="1">
      <alignment horizontal="center"/>
    </xf>
    <xf numFmtId="178" fontId="0" fillId="0" borderId="13" xfId="0" applyNumberFormat="1" applyBorder="1" applyAlignment="1">
      <alignment horizontal="center" shrinkToFit="1"/>
    </xf>
    <xf numFmtId="178" fontId="0" fillId="0" borderId="14" xfId="0" applyNumberFormat="1" applyBorder="1" applyAlignment="1">
      <alignment horizontal="center" shrinkToFit="1"/>
    </xf>
    <xf numFmtId="40" fontId="0" fillId="0" borderId="7" xfId="1" applyNumberFormat="1" applyFont="1" applyFill="1" applyBorder="1" applyAlignment="1">
      <alignment horizontal="center" shrinkToFit="1"/>
    </xf>
    <xf numFmtId="40" fontId="0" fillId="0" borderId="8" xfId="1" applyNumberFormat="1" applyFont="1" applyFill="1" applyBorder="1" applyAlignment="1">
      <alignment horizontal="center" shrinkToFit="1"/>
    </xf>
    <xf numFmtId="179" fontId="0" fillId="0" borderId="7" xfId="1" applyNumberFormat="1" applyFont="1" applyBorder="1" applyAlignment="1">
      <alignment horizontal="center"/>
    </xf>
    <xf numFmtId="2" fontId="22" fillId="0" borderId="7" xfId="0" applyNumberFormat="1" applyFont="1" applyBorder="1" applyAlignment="1">
      <alignment horizontal="center" vertical="center" shrinkToFit="1"/>
    </xf>
    <xf numFmtId="0" fontId="7" fillId="0" borderId="0" xfId="0" applyFont="1" applyAlignment="1">
      <alignment horizontal="left" shrinkToFit="1"/>
    </xf>
    <xf numFmtId="0" fontId="6" fillId="0" borderId="0" xfId="0" applyFont="1" applyAlignment="1">
      <alignment horizontal="left" shrinkToFit="1"/>
    </xf>
    <xf numFmtId="2" fontId="22" fillId="0" borderId="0" xfId="0" applyNumberFormat="1" applyFont="1" applyAlignment="1">
      <alignment horizontal="center" shrinkToFit="1"/>
    </xf>
    <xf numFmtId="0" fontId="22" fillId="0" borderId="2" xfId="0" applyFont="1" applyBorder="1" applyAlignment="1">
      <alignment horizontal="center"/>
    </xf>
    <xf numFmtId="2" fontId="0" fillId="0" borderId="22" xfId="0" applyNumberFormat="1" applyBorder="1" applyAlignment="1">
      <alignment horizontal="center"/>
    </xf>
    <xf numFmtId="0" fontId="0" fillId="0" borderId="22" xfId="0" applyBorder="1" applyAlignment="1">
      <alignment horizontal="center"/>
    </xf>
    <xf numFmtId="40" fontId="0" fillId="0" borderId="20" xfId="1" applyNumberFormat="1" applyFont="1" applyFill="1" applyBorder="1" applyAlignment="1">
      <alignment horizontal="center"/>
    </xf>
    <xf numFmtId="178" fontId="0" fillId="0" borderId="4" xfId="0" applyNumberFormat="1" applyBorder="1" applyAlignment="1">
      <alignment horizontal="center" shrinkToFit="1"/>
    </xf>
    <xf numFmtId="178" fontId="0" fillId="0" borderId="5" xfId="0" applyNumberFormat="1" applyBorder="1" applyAlignment="1">
      <alignment horizontal="center" shrinkToFit="1"/>
    </xf>
    <xf numFmtId="177" fontId="0" fillId="0" borderId="4" xfId="1" applyNumberFormat="1" applyFont="1" applyBorder="1" applyAlignment="1">
      <alignment horizontal="center" vertical="center"/>
    </xf>
    <xf numFmtId="177" fontId="0" fillId="0" borderId="5" xfId="1" applyNumberFormat="1" applyFont="1" applyBorder="1" applyAlignment="1">
      <alignment horizontal="center" vertical="center"/>
    </xf>
    <xf numFmtId="177" fontId="0" fillId="0" borderId="9" xfId="1" applyNumberFormat="1" applyFont="1" applyBorder="1" applyAlignment="1">
      <alignment horizontal="center" shrinkToFit="1"/>
    </xf>
    <xf numFmtId="177" fontId="0" fillId="0" borderId="16" xfId="1" applyNumberFormat="1" applyFont="1" applyBorder="1" applyAlignment="1">
      <alignment horizontal="center"/>
    </xf>
    <xf numFmtId="177" fontId="0" fillId="0" borderId="17" xfId="1" applyNumberFormat="1" applyFont="1" applyBorder="1" applyAlignment="1">
      <alignment horizontal="center"/>
    </xf>
    <xf numFmtId="177" fontId="0" fillId="0" borderId="18" xfId="1" applyNumberFormat="1" applyFont="1" applyBorder="1" applyAlignment="1">
      <alignment horizontal="center"/>
    </xf>
    <xf numFmtId="177" fontId="0" fillId="2" borderId="9" xfId="1" applyNumberFormat="1" applyFont="1" applyFill="1" applyBorder="1" applyAlignment="1" applyProtection="1">
      <alignment horizontal="center"/>
      <protection locked="0"/>
    </xf>
    <xf numFmtId="177" fontId="8" fillId="0" borderId="0" xfId="1" applyNumberFormat="1" applyFont="1" applyBorder="1" applyAlignment="1">
      <alignment horizontal="center" vertical="center"/>
    </xf>
    <xf numFmtId="40" fontId="0" fillId="0" borderId="0" xfId="1" applyNumberFormat="1" applyFont="1" applyBorder="1" applyAlignment="1">
      <alignment horizontal="left"/>
    </xf>
    <xf numFmtId="40" fontId="0" fillId="0" borderId="20" xfId="1" applyNumberFormat="1" applyFont="1" applyBorder="1" applyAlignment="1">
      <alignment horizontal="center"/>
    </xf>
    <xf numFmtId="40" fontId="0" fillId="0" borderId="10" xfId="1" applyNumberFormat="1" applyFont="1" applyFill="1" applyBorder="1" applyAlignment="1">
      <alignment horizontal="center" shrinkToFit="1"/>
    </xf>
    <xf numFmtId="40" fontId="0" fillId="0" borderId="11" xfId="1" applyNumberFormat="1" applyFont="1" applyFill="1" applyBorder="1" applyAlignment="1">
      <alignment horizontal="center" shrinkToFit="1"/>
    </xf>
    <xf numFmtId="40" fontId="7" fillId="0" borderId="0" xfId="1" applyNumberFormat="1" applyFont="1" applyBorder="1" applyAlignment="1">
      <alignment horizontal="center"/>
    </xf>
    <xf numFmtId="177" fontId="0" fillId="0" borderId="9" xfId="1" applyNumberFormat="1" applyFont="1" applyBorder="1" applyAlignment="1">
      <alignment horizontal="left" shrinkToFit="1"/>
    </xf>
    <xf numFmtId="177" fontId="7" fillId="0" borderId="5" xfId="1" applyNumberFormat="1" applyFont="1" applyBorder="1" applyAlignment="1">
      <alignment horizontal="center" shrinkToFit="1"/>
    </xf>
    <xf numFmtId="40" fontId="0" fillId="0" borderId="0" xfId="1" applyNumberFormat="1" applyFont="1" applyFill="1" applyBorder="1" applyAlignment="1">
      <alignment horizontal="center"/>
    </xf>
    <xf numFmtId="177" fontId="0" fillId="0" borderId="0" xfId="1" applyNumberFormat="1" applyFont="1" applyFill="1" applyBorder="1" applyAlignment="1">
      <alignment horizontal="left" wrapText="1"/>
    </xf>
    <xf numFmtId="177" fontId="0" fillId="0" borderId="10" xfId="1" applyNumberFormat="1" applyFont="1" applyBorder="1" applyAlignment="1">
      <alignment horizontal="center" vertical="center"/>
    </xf>
    <xf numFmtId="177" fontId="0" fillId="0" borderId="12" xfId="1" applyNumberFormat="1" applyFont="1" applyBorder="1" applyAlignment="1">
      <alignment horizontal="center" vertical="center"/>
    </xf>
    <xf numFmtId="40" fontId="7" fillId="0" borderId="10" xfId="1" applyNumberFormat="1" applyFont="1" applyBorder="1" applyAlignment="1">
      <alignment horizontal="center" shrinkToFit="1"/>
    </xf>
    <xf numFmtId="40" fontId="7" fillId="0" borderId="11" xfId="1" applyNumberFormat="1" applyFont="1" applyBorder="1" applyAlignment="1">
      <alignment horizontal="center" shrinkToFit="1"/>
    </xf>
    <xf numFmtId="0" fontId="0" fillId="0" borderId="12" xfId="0" applyBorder="1" applyAlignment="1">
      <alignment horizontal="center" shrinkToFit="1"/>
    </xf>
    <xf numFmtId="38" fontId="0" fillId="0" borderId="0" xfId="1" applyFont="1" applyBorder="1" applyAlignment="1">
      <alignment horizontal="center" vertical="center"/>
    </xf>
    <xf numFmtId="176" fontId="0" fillId="0" borderId="0" xfId="0" applyNumberFormat="1" applyAlignment="1" applyProtection="1">
      <alignment horizontal="center"/>
      <protection locked="0"/>
    </xf>
    <xf numFmtId="177" fontId="0" fillId="0" borderId="0" xfId="1" applyNumberFormat="1" applyFont="1" applyFill="1" applyBorder="1" applyAlignment="1">
      <alignment horizontal="center" vertical="center"/>
    </xf>
    <xf numFmtId="180" fontId="8" fillId="0" borderId="10" xfId="1" applyNumberFormat="1" applyFont="1" applyBorder="1" applyAlignment="1">
      <alignment horizontal="center"/>
    </xf>
    <xf numFmtId="180" fontId="8" fillId="0" borderId="11" xfId="1" applyNumberFormat="1" applyFont="1" applyBorder="1" applyAlignment="1">
      <alignment horizontal="center"/>
    </xf>
    <xf numFmtId="180" fontId="8" fillId="0" borderId="12" xfId="1" applyNumberFormat="1" applyFont="1" applyBorder="1" applyAlignment="1">
      <alignment horizontal="center"/>
    </xf>
    <xf numFmtId="9" fontId="0" fillId="0" borderId="10"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4" fontId="33" fillId="0" borderId="0" xfId="1" applyNumberFormat="1" applyFont="1" applyBorder="1" applyAlignment="1">
      <alignment horizontal="center" shrinkToFit="1"/>
    </xf>
    <xf numFmtId="40" fontId="8" fillId="0" borderId="0" xfId="1" applyNumberFormat="1" applyFont="1" applyBorder="1" applyAlignment="1">
      <alignment horizontal="center" shrinkToFit="1"/>
    </xf>
    <xf numFmtId="40" fontId="0" fillId="0" borderId="1" xfId="1" applyNumberFormat="1" applyFont="1" applyBorder="1" applyAlignment="1">
      <alignment horizontal="center" vertical="center"/>
    </xf>
    <xf numFmtId="40" fontId="0" fillId="0" borderId="2" xfId="1" applyNumberFormat="1" applyFont="1" applyBorder="1" applyAlignment="1">
      <alignment horizontal="center" vertical="center"/>
    </xf>
    <xf numFmtId="40" fontId="0" fillId="0" borderId="3" xfId="1" applyNumberFormat="1" applyFont="1" applyBorder="1" applyAlignment="1">
      <alignment horizontal="center" vertical="center"/>
    </xf>
    <xf numFmtId="40" fontId="0" fillId="0" borderId="6" xfId="1" applyNumberFormat="1" applyFont="1" applyBorder="1" applyAlignment="1">
      <alignment horizontal="center" vertical="center"/>
    </xf>
    <xf numFmtId="40" fontId="0" fillId="0" borderId="7" xfId="1" applyNumberFormat="1" applyFont="1" applyBorder="1" applyAlignment="1">
      <alignment horizontal="center" vertical="center"/>
    </xf>
    <xf numFmtId="40" fontId="0" fillId="0" borderId="8" xfId="1" applyNumberFormat="1" applyFont="1" applyBorder="1" applyAlignment="1">
      <alignment horizontal="center" vertical="center"/>
    </xf>
    <xf numFmtId="40" fontId="8" fillId="0" borderId="7" xfId="1" applyNumberFormat="1" applyFont="1" applyBorder="1" applyAlignment="1">
      <alignment horizontal="center" shrinkToFit="1"/>
    </xf>
    <xf numFmtId="177" fontId="0" fillId="0" borderId="0" xfId="1" applyNumberFormat="1" applyFont="1" applyBorder="1" applyAlignment="1">
      <alignment horizontal="left" vertical="top" wrapText="1"/>
    </xf>
    <xf numFmtId="177" fontId="0" fillId="0" borderId="1" xfId="1" applyNumberFormat="1" applyFont="1" applyBorder="1" applyAlignment="1">
      <alignment horizontal="left" vertical="top" wrapText="1"/>
    </xf>
    <xf numFmtId="177" fontId="0" fillId="0" borderId="2" xfId="1" applyNumberFormat="1" applyFont="1" applyBorder="1" applyAlignment="1">
      <alignment horizontal="left" vertical="top" wrapText="1"/>
    </xf>
    <xf numFmtId="177" fontId="0" fillId="0" borderId="3" xfId="1" applyNumberFormat="1" applyFont="1" applyBorder="1" applyAlignment="1">
      <alignment horizontal="left" vertical="top" wrapText="1"/>
    </xf>
    <xf numFmtId="177" fontId="0" fillId="0" borderId="4"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25" fillId="0" borderId="7" xfId="1" applyNumberFormat="1" applyFont="1" applyBorder="1" applyAlignment="1">
      <alignment horizontal="center"/>
    </xf>
    <xf numFmtId="177" fontId="7" fillId="0" borderId="7" xfId="1" applyNumberFormat="1" applyFont="1" applyBorder="1" applyAlignment="1">
      <alignment horizontal="center"/>
    </xf>
    <xf numFmtId="177" fontId="26" fillId="0" borderId="0" xfId="1" applyNumberFormat="1" applyFont="1" applyBorder="1" applyAlignment="1">
      <alignment horizontal="left" vertical="center"/>
    </xf>
    <xf numFmtId="177" fontId="29" fillId="0" borderId="0" xfId="1" applyNumberFormat="1" applyFont="1" applyBorder="1" applyAlignment="1">
      <alignment horizontal="left" vertical="center"/>
    </xf>
    <xf numFmtId="40" fontId="0" fillId="0" borderId="10" xfId="1" applyNumberFormat="1" applyFont="1" applyBorder="1" applyAlignment="1">
      <alignment horizontal="center" vertical="center"/>
    </xf>
    <xf numFmtId="40" fontId="0" fillId="0" borderId="11" xfId="1" applyNumberFormat="1" applyFont="1" applyBorder="1" applyAlignment="1">
      <alignment horizontal="center" vertical="center"/>
    </xf>
    <xf numFmtId="40" fontId="0" fillId="0" borderId="12" xfId="1" applyNumberFormat="1" applyFont="1" applyBorder="1" applyAlignment="1">
      <alignment horizontal="center" vertical="center"/>
    </xf>
    <xf numFmtId="177" fontId="0" fillId="0" borderId="10" xfId="1" applyNumberFormat="1" applyFont="1" applyFill="1" applyBorder="1" applyAlignment="1">
      <alignment horizontal="center"/>
    </xf>
    <xf numFmtId="177" fontId="0" fillId="0" borderId="12" xfId="1" applyNumberFormat="1" applyFont="1" applyFill="1" applyBorder="1" applyAlignment="1">
      <alignment horizontal="center"/>
    </xf>
    <xf numFmtId="2" fontId="0" fillId="0" borderId="9" xfId="0" applyNumberFormat="1" applyBorder="1" applyAlignment="1" applyProtection="1">
      <alignment horizontal="center"/>
      <protection locked="0"/>
    </xf>
    <xf numFmtId="2" fontId="0" fillId="0" borderId="23"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40" fontId="0" fillId="0" borderId="9" xfId="1" applyNumberFormat="1" applyFont="1" applyBorder="1" applyAlignment="1">
      <alignment horizontal="center"/>
    </xf>
    <xf numFmtId="40" fontId="0" fillId="0" borderId="30" xfId="1" applyNumberFormat="1" applyFont="1" applyBorder="1" applyAlignment="1">
      <alignment horizontal="center"/>
    </xf>
    <xf numFmtId="0" fontId="0" fillId="0" borderId="30" xfId="0" applyBorder="1" applyAlignment="1">
      <alignment horizontal="center"/>
    </xf>
    <xf numFmtId="2" fontId="0" fillId="0" borderId="30" xfId="0" applyNumberFormat="1" applyBorder="1" applyAlignment="1" applyProtection="1">
      <alignment horizontal="center"/>
      <protection locked="0"/>
    </xf>
    <xf numFmtId="0" fontId="0" fillId="0" borderId="30" xfId="0" applyBorder="1" applyAlignment="1" applyProtection="1">
      <alignment horizontal="center"/>
      <protection locked="0"/>
    </xf>
    <xf numFmtId="0" fontId="0" fillId="0" borderId="23" xfId="0" applyBorder="1" applyAlignment="1">
      <alignment horizontal="center"/>
    </xf>
    <xf numFmtId="0" fontId="0" fillId="0" borderId="25" xfId="0" applyBorder="1" applyAlignment="1">
      <alignment horizontal="center"/>
    </xf>
    <xf numFmtId="2" fontId="0" fillId="0" borderId="7" xfId="0" applyNumberFormat="1" applyBorder="1" applyAlignment="1" applyProtection="1">
      <alignment horizontal="right"/>
      <protection locked="0"/>
    </xf>
    <xf numFmtId="0" fontId="0" fillId="0" borderId="9" xfId="0" applyBorder="1" applyAlignment="1" applyProtection="1">
      <alignment horizontal="center"/>
      <protection locked="0"/>
    </xf>
    <xf numFmtId="2" fontId="0" fillId="0" borderId="0" xfId="0" applyNumberFormat="1" applyAlignment="1" applyProtection="1">
      <alignment horizontal="center"/>
      <protection locked="0"/>
    </xf>
    <xf numFmtId="2" fontId="0" fillId="0" borderId="10" xfId="0" applyNumberFormat="1" applyBorder="1" applyAlignment="1" applyProtection="1">
      <alignment horizontal="center"/>
      <protection locked="0"/>
    </xf>
    <xf numFmtId="2" fontId="0" fillId="0" borderId="11"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2" fontId="0" fillId="0" borderId="0" xfId="0" applyNumberFormat="1" applyAlignment="1" applyProtection="1">
      <alignment horizontal="center" vertical="center"/>
      <protection locked="0"/>
    </xf>
    <xf numFmtId="2" fontId="0" fillId="0" borderId="7"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40" fontId="0" fillId="0" borderId="12" xfId="1" applyNumberFormat="1" applyFont="1" applyBorder="1" applyAlignment="1">
      <alignment horizontal="center" shrinkToFit="1"/>
    </xf>
    <xf numFmtId="40" fontId="8" fillId="0" borderId="10" xfId="1" applyNumberFormat="1" applyFont="1" applyBorder="1" applyAlignment="1">
      <alignment horizontal="center" shrinkToFit="1"/>
    </xf>
    <xf numFmtId="40" fontId="8" fillId="0" borderId="11" xfId="1" applyNumberFormat="1" applyFont="1" applyBorder="1" applyAlignment="1">
      <alignment horizontal="center" shrinkToFit="1"/>
    </xf>
    <xf numFmtId="177" fontId="7" fillId="0" borderId="4" xfId="1" applyNumberFormat="1" applyFont="1" applyBorder="1" applyAlignment="1">
      <alignment horizontal="center" vertical="center"/>
    </xf>
    <xf numFmtId="40" fontId="8" fillId="0" borderId="7" xfId="1" applyNumberFormat="1" applyFont="1" applyBorder="1" applyAlignment="1">
      <alignment horizontal="center"/>
    </xf>
    <xf numFmtId="180" fontId="8" fillId="0" borderId="0" xfId="1" applyNumberFormat="1" applyFont="1" applyBorder="1" applyAlignment="1">
      <alignment horizontal="center"/>
    </xf>
    <xf numFmtId="178" fontId="0" fillId="0" borderId="0" xfId="0" applyNumberFormat="1" applyAlignment="1">
      <alignment horizontal="center" shrinkToFit="1"/>
    </xf>
    <xf numFmtId="40" fontId="0" fillId="0" borderId="21" xfId="1" applyNumberFormat="1" applyFont="1" applyBorder="1" applyAlignment="1">
      <alignment horizontal="center" shrinkToFit="1"/>
    </xf>
    <xf numFmtId="177" fontId="0" fillId="0" borderId="0" xfId="1" applyNumberFormat="1" applyFont="1" applyBorder="1" applyAlignment="1">
      <alignment horizontal="center" vertical="top" wrapText="1"/>
    </xf>
    <xf numFmtId="177" fontId="0" fillId="0" borderId="2" xfId="1" applyNumberFormat="1" applyFont="1" applyBorder="1" applyAlignment="1">
      <alignment horizontal="center" vertical="top" wrapText="1"/>
    </xf>
    <xf numFmtId="40" fontId="0" fillId="0" borderId="0" xfId="1" applyNumberFormat="1" applyFont="1" applyBorder="1" applyAlignment="1">
      <alignment horizontal="right"/>
    </xf>
    <xf numFmtId="177" fontId="0" fillId="0" borderId="23" xfId="1" applyNumberFormat="1" applyFont="1" applyBorder="1" applyAlignment="1">
      <alignment horizontal="center"/>
    </xf>
    <xf numFmtId="177" fontId="0" fillId="0" borderId="25" xfId="1" applyNumberFormat="1" applyFont="1" applyBorder="1" applyAlignment="1">
      <alignment horizontal="center"/>
    </xf>
    <xf numFmtId="177" fontId="0" fillId="0" borderId="24" xfId="1" applyNumberFormat="1" applyFont="1" applyBorder="1" applyAlignment="1">
      <alignment horizontal="center"/>
    </xf>
    <xf numFmtId="177" fontId="26" fillId="0" borderId="0" xfId="1" applyNumberFormat="1" applyFont="1" applyBorder="1" applyAlignment="1">
      <alignment horizontal="right"/>
    </xf>
    <xf numFmtId="177" fontId="29" fillId="0" borderId="0" xfId="1" applyNumberFormat="1" applyFont="1" applyBorder="1" applyAlignment="1">
      <alignment horizontal="right"/>
    </xf>
    <xf numFmtId="177" fontId="7" fillId="0" borderId="0" xfId="1" applyNumberFormat="1" applyFont="1" applyBorder="1" applyAlignment="1">
      <alignment horizontal="right" vertical="center"/>
    </xf>
    <xf numFmtId="40" fontId="0" fillId="0" borderId="7" xfId="1" applyNumberFormat="1" applyFont="1" applyBorder="1" applyAlignment="1">
      <alignment horizontal="center" vertical="top" wrapText="1"/>
    </xf>
    <xf numFmtId="38" fontId="22" fillId="0" borderId="10" xfId="1" applyFont="1" applyFill="1" applyBorder="1" applyAlignment="1">
      <alignment horizontal="center" shrinkToFit="1"/>
    </xf>
    <xf numFmtId="38" fontId="22" fillId="0" borderId="11" xfId="1" applyFont="1" applyFill="1" applyBorder="1" applyAlignment="1">
      <alignment horizontal="center" shrinkToFit="1"/>
    </xf>
    <xf numFmtId="38" fontId="22" fillId="0" borderId="12" xfId="1" applyFont="1" applyFill="1" applyBorder="1" applyAlignment="1">
      <alignment horizontal="center" shrinkToFit="1"/>
    </xf>
    <xf numFmtId="1" fontId="0" fillId="0" borderId="0" xfId="0" applyNumberFormat="1" applyAlignment="1">
      <alignment horizontal="center" shrinkToFit="1"/>
    </xf>
    <xf numFmtId="0" fontId="7" fillId="0" borderId="0" xfId="0" applyFont="1" applyAlignment="1">
      <alignment horizontal="right" vertical="center"/>
    </xf>
    <xf numFmtId="0" fontId="22" fillId="0" borderId="7" xfId="0" applyFont="1" applyBorder="1" applyAlignment="1">
      <alignment horizontal="center"/>
    </xf>
    <xf numFmtId="0" fontId="22" fillId="0" borderId="0" xfId="0" applyFont="1" applyAlignment="1">
      <alignment horizontal="left" vertical="center"/>
    </xf>
    <xf numFmtId="0" fontId="22" fillId="0" borderId="0" xfId="0" applyFont="1" applyAlignment="1">
      <alignment horizontal="center" vertical="center"/>
    </xf>
    <xf numFmtId="2" fontId="22" fillId="0" borderId="0" xfId="0" applyNumberFormat="1" applyFont="1" applyAlignment="1">
      <alignment horizontal="center" vertical="center"/>
    </xf>
    <xf numFmtId="2" fontId="22" fillId="0" borderId="0" xfId="0" applyNumberFormat="1" applyFont="1" applyAlignment="1">
      <alignment horizontal="right" vertical="center"/>
    </xf>
    <xf numFmtId="0" fontId="22" fillId="0" borderId="0" xfId="0" applyFont="1" applyAlignment="1">
      <alignment horizontal="left"/>
    </xf>
    <xf numFmtId="0" fontId="22" fillId="0" borderId="11" xfId="0" applyFont="1" applyBorder="1" applyAlignment="1">
      <alignment horizontal="center" vertical="center"/>
    </xf>
    <xf numFmtId="0" fontId="46" fillId="0" borderId="2" xfId="0" applyFont="1" applyBorder="1" applyAlignment="1">
      <alignment horizontal="center" vertical="center"/>
    </xf>
    <xf numFmtId="0" fontId="22" fillId="0" borderId="2" xfId="0" applyFont="1" applyBorder="1" applyAlignment="1">
      <alignment horizontal="center" vertical="center"/>
    </xf>
    <xf numFmtId="2" fontId="22" fillId="0" borderId="11" xfId="0" applyNumberFormat="1" applyFont="1" applyBorder="1" applyAlignment="1">
      <alignment horizontal="center" vertical="center"/>
    </xf>
    <xf numFmtId="38" fontId="22" fillId="0" borderId="2" xfId="0" applyNumberFormat="1" applyFont="1" applyBorder="1" applyAlignment="1">
      <alignment horizontal="center" vertical="center"/>
    </xf>
    <xf numFmtId="182" fontId="22" fillId="0" borderId="0" xfId="0" applyNumberFormat="1" applyFont="1" applyAlignment="1">
      <alignment horizontal="center"/>
    </xf>
    <xf numFmtId="1" fontId="22" fillId="0" borderId="10" xfId="0" applyNumberFormat="1" applyFont="1" applyBorder="1" applyAlignment="1">
      <alignment horizontal="center"/>
    </xf>
    <xf numFmtId="1" fontId="22" fillId="0" borderId="11" xfId="0" applyNumberFormat="1" applyFont="1" applyBorder="1" applyAlignment="1">
      <alignment horizontal="center"/>
    </xf>
    <xf numFmtId="1" fontId="22" fillId="0" borderId="12" xfId="0" applyNumberFormat="1" applyFont="1" applyBorder="1" applyAlignment="1">
      <alignment horizontal="center"/>
    </xf>
    <xf numFmtId="1" fontId="22" fillId="0" borderId="0" xfId="0" applyNumberFormat="1" applyFont="1" applyAlignment="1">
      <alignment horizontal="center"/>
    </xf>
    <xf numFmtId="0" fontId="0" fillId="0" borderId="0" xfId="0" applyAlignment="1">
      <alignment horizontal="right" vertical="center"/>
    </xf>
    <xf numFmtId="0" fontId="44" fillId="0" borderId="7" xfId="0" applyFont="1" applyBorder="1" applyAlignment="1">
      <alignment horizontal="center" vertical="center"/>
    </xf>
    <xf numFmtId="0" fontId="44" fillId="0" borderId="2" xfId="0" applyFont="1" applyBorder="1" applyAlignment="1">
      <alignment horizontal="center" vertic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7" fillId="0" borderId="0" xfId="0" applyFont="1" applyAlignment="1">
      <alignment horizontal="center" vertical="center"/>
    </xf>
    <xf numFmtId="2" fontId="0" fillId="0" borderId="0" xfId="0" applyNumberFormat="1" applyAlignment="1">
      <alignment horizontal="center" vertical="center" shrinkToFit="1"/>
    </xf>
    <xf numFmtId="2" fontId="22" fillId="0" borderId="7" xfId="0" applyNumberFormat="1" applyFont="1" applyBorder="1" applyAlignment="1">
      <alignment horizontal="center" vertical="center"/>
    </xf>
    <xf numFmtId="0" fontId="22" fillId="0" borderId="7" xfId="0" applyFont="1" applyBorder="1" applyAlignment="1">
      <alignment horizontal="center" vertical="center"/>
    </xf>
    <xf numFmtId="182" fontId="22" fillId="0" borderId="0" xfId="0" applyNumberFormat="1" applyFont="1" applyAlignment="1">
      <alignment horizontal="center" vertical="center"/>
    </xf>
    <xf numFmtId="176" fontId="22" fillId="0" borderId="0" xfId="0" applyNumberFormat="1" applyFont="1" applyAlignment="1">
      <alignment horizontal="center"/>
    </xf>
    <xf numFmtId="38" fontId="0" fillId="0" borderId="0" xfId="1" applyFont="1" applyBorder="1" applyAlignment="1">
      <alignment horizontal="center" shrinkToFit="1"/>
    </xf>
    <xf numFmtId="38" fontId="0" fillId="0" borderId="7" xfId="1" applyFont="1" applyBorder="1" applyAlignment="1">
      <alignment horizontal="center" shrinkToFit="1"/>
    </xf>
    <xf numFmtId="38" fontId="8" fillId="0" borderId="0" xfId="1" applyFont="1" applyBorder="1" applyAlignment="1">
      <alignment horizontal="center"/>
    </xf>
    <xf numFmtId="177" fontId="7" fillId="0" borderId="0" xfId="1" applyNumberFormat="1" applyFont="1" applyBorder="1" applyAlignment="1">
      <alignment horizontal="left" shrinkToFit="1"/>
    </xf>
    <xf numFmtId="177" fontId="7" fillId="0" borderId="0" xfId="1" applyNumberFormat="1" applyFont="1" applyBorder="1" applyAlignment="1">
      <alignment horizontal="right" shrinkToFit="1"/>
    </xf>
    <xf numFmtId="177" fontId="8" fillId="0" borderId="10" xfId="1" applyNumberFormat="1" applyFont="1" applyBorder="1" applyAlignment="1">
      <alignment horizontal="center" shrinkToFit="1"/>
    </xf>
    <xf numFmtId="177" fontId="8" fillId="0" borderId="11" xfId="1" applyNumberFormat="1" applyFont="1" applyBorder="1" applyAlignment="1">
      <alignment horizontal="center" shrinkToFit="1"/>
    </xf>
    <xf numFmtId="177" fontId="8" fillId="0" borderId="12" xfId="1" applyNumberFormat="1" applyFont="1" applyBorder="1" applyAlignment="1">
      <alignment horizontal="center" shrinkToFit="1"/>
    </xf>
    <xf numFmtId="177" fontId="7" fillId="0" borderId="7" xfId="1" applyNumberFormat="1" applyFont="1" applyBorder="1" applyAlignment="1">
      <alignment horizontal="center" vertical="center"/>
    </xf>
    <xf numFmtId="38" fontId="0" fillId="0" borderId="3" xfId="1" applyFont="1" applyBorder="1" applyAlignment="1">
      <alignment horizontal="center"/>
    </xf>
    <xf numFmtId="38" fontId="8" fillId="0" borderId="7" xfId="1" applyFont="1" applyBorder="1" applyAlignment="1">
      <alignment horizontal="center"/>
    </xf>
    <xf numFmtId="38" fontId="8" fillId="0" borderId="0" xfId="1" applyFont="1" applyBorder="1" applyAlignment="1">
      <alignment horizontal="center" shrinkToFit="1"/>
    </xf>
    <xf numFmtId="177" fontId="0" fillId="0" borderId="0" xfId="1" applyNumberFormat="1" applyFont="1" applyAlignment="1">
      <alignment horizontal="center" vertical="center"/>
    </xf>
    <xf numFmtId="38" fontId="0" fillId="0" borderId="0" xfId="1" applyFont="1" applyAlignment="1">
      <alignment horizontal="center" vertical="center"/>
    </xf>
    <xf numFmtId="38" fontId="8" fillId="0" borderId="2" xfId="1" applyFont="1" applyBorder="1" applyAlignment="1">
      <alignment horizontal="center"/>
    </xf>
    <xf numFmtId="177" fontId="0" fillId="0" borderId="4" xfId="1" applyNumberFormat="1" applyFont="1" applyBorder="1" applyAlignment="1">
      <alignment horizontal="left" vertical="center"/>
    </xf>
    <xf numFmtId="177" fontId="0" fillId="0" borderId="0" xfId="1" applyNumberFormat="1" applyFont="1" applyBorder="1" applyAlignment="1">
      <alignment horizontal="left" vertical="center"/>
    </xf>
    <xf numFmtId="177" fontId="0" fillId="0" borderId="7" xfId="1" applyNumberFormat="1" applyFont="1" applyBorder="1" applyAlignment="1">
      <alignment horizontal="center" shrinkToFit="1"/>
    </xf>
    <xf numFmtId="38" fontId="0" fillId="0" borderId="2" xfId="1" applyFont="1" applyBorder="1" applyAlignment="1">
      <alignment horizontal="center" shrinkToFit="1"/>
    </xf>
    <xf numFmtId="177" fontId="0" fillId="0" borderId="5" xfId="1" applyNumberFormat="1" applyFont="1" applyBorder="1" applyAlignment="1">
      <alignment horizontal="left" shrinkToFit="1"/>
    </xf>
    <xf numFmtId="177" fontId="7" fillId="0" borderId="0" xfId="1" applyNumberFormat="1" applyFont="1" applyBorder="1" applyAlignment="1">
      <alignment horizontal="right"/>
    </xf>
    <xf numFmtId="38" fontId="0" fillId="0" borderId="10" xfId="1" applyFont="1" applyBorder="1" applyAlignment="1">
      <alignment horizontal="center" shrinkToFit="1"/>
    </xf>
    <xf numFmtId="38" fontId="0" fillId="0" borderId="12" xfId="1" applyFont="1" applyBorder="1" applyAlignment="1">
      <alignment horizontal="center" shrinkToFit="1"/>
    </xf>
    <xf numFmtId="38" fontId="0" fillId="0" borderId="0" xfId="1" applyFont="1" applyAlignment="1">
      <alignment horizontal="center"/>
    </xf>
    <xf numFmtId="177" fontId="7" fillId="0" borderId="0" xfId="1" applyNumberFormat="1" applyFont="1" applyBorder="1" applyAlignment="1">
      <alignment horizontal="center" vertical="center" wrapText="1"/>
    </xf>
    <xf numFmtId="40" fontId="0" fillId="0" borderId="0" xfId="1" applyNumberFormat="1" applyFont="1" applyBorder="1" applyAlignment="1">
      <alignment horizontal="center" vertical="top" wrapText="1"/>
    </xf>
    <xf numFmtId="38" fontId="0" fillId="0" borderId="0" xfId="1" applyFont="1" applyBorder="1" applyAlignment="1">
      <alignment horizontal="center" vertical="top" wrapText="1"/>
    </xf>
    <xf numFmtId="40" fontId="0" fillId="0" borderId="10" xfId="1" applyNumberFormat="1" applyFont="1" applyBorder="1" applyAlignment="1">
      <alignment horizontal="center" vertical="top" wrapText="1"/>
    </xf>
    <xf numFmtId="40" fontId="0" fillId="0" borderId="12" xfId="1" applyNumberFormat="1" applyFont="1" applyBorder="1" applyAlignment="1">
      <alignment horizontal="center" vertical="top" wrapText="1"/>
    </xf>
    <xf numFmtId="40" fontId="8" fillId="0" borderId="7" xfId="1" applyNumberFormat="1" applyFont="1" applyBorder="1" applyAlignment="1">
      <alignment horizontal="right" shrinkToFit="1"/>
    </xf>
    <xf numFmtId="40" fontId="0" fillId="0" borderId="0" xfId="1" applyNumberFormat="1" applyFont="1" applyFill="1" applyBorder="1" applyAlignment="1">
      <alignment horizontal="center" vertical="top" wrapText="1"/>
    </xf>
    <xf numFmtId="40" fontId="8" fillId="0" borderId="0" xfId="1" applyNumberFormat="1" applyFont="1" applyBorder="1" applyAlignment="1">
      <alignment horizontal="center"/>
    </xf>
    <xf numFmtId="177" fontId="8" fillId="0" borderId="0" xfId="1" applyNumberFormat="1" applyFont="1" applyFill="1" applyBorder="1" applyAlignment="1">
      <alignment horizontal="center"/>
    </xf>
    <xf numFmtId="177" fontId="0" fillId="0" borderId="0" xfId="1" applyNumberFormat="1" applyFont="1" applyFill="1" applyBorder="1" applyAlignment="1">
      <alignment horizontal="left" shrinkToFit="1"/>
    </xf>
    <xf numFmtId="177" fontId="0" fillId="0" borderId="0" xfId="1" applyNumberFormat="1" applyFont="1" applyBorder="1" applyAlignment="1">
      <alignment horizontal="center" vertical="center" wrapText="1"/>
    </xf>
    <xf numFmtId="40" fontId="0" fillId="0" borderId="0" xfId="1" applyNumberFormat="1" applyFont="1" applyBorder="1" applyAlignment="1">
      <alignment horizontal="center" vertical="center" wrapText="1"/>
    </xf>
    <xf numFmtId="177" fontId="0" fillId="0" borderId="1" xfId="1" applyNumberFormat="1" applyFont="1" applyFill="1" applyBorder="1" applyAlignment="1">
      <alignment horizontal="left" vertical="top" wrapText="1"/>
    </xf>
    <xf numFmtId="177" fontId="0" fillId="0" borderId="2" xfId="1" applyNumberFormat="1" applyFont="1" applyFill="1" applyBorder="1" applyAlignment="1">
      <alignment horizontal="left" vertical="top" wrapText="1"/>
    </xf>
    <xf numFmtId="177" fontId="0" fillId="0" borderId="3" xfId="1" applyNumberFormat="1" applyFont="1" applyFill="1" applyBorder="1" applyAlignment="1">
      <alignment horizontal="left" vertical="top" wrapText="1"/>
    </xf>
    <xf numFmtId="177" fontId="0" fillId="0" borderId="4" xfId="1" applyNumberFormat="1" applyFont="1" applyFill="1" applyBorder="1" applyAlignment="1">
      <alignment horizontal="left" vertical="top" wrapText="1"/>
    </xf>
    <xf numFmtId="177" fontId="0" fillId="0" borderId="0" xfId="1" applyNumberFormat="1" applyFont="1" applyFill="1" applyBorder="1" applyAlignment="1">
      <alignment horizontal="left" vertical="top" wrapText="1"/>
    </xf>
    <xf numFmtId="177" fontId="0" fillId="0" borderId="5" xfId="1" applyNumberFormat="1" applyFont="1" applyFill="1" applyBorder="1" applyAlignment="1">
      <alignment horizontal="left" vertical="top" wrapText="1"/>
    </xf>
    <xf numFmtId="40" fontId="0" fillId="0" borderId="20" xfId="1" applyNumberFormat="1" applyFont="1" applyFill="1" applyBorder="1" applyAlignment="1">
      <alignment horizontal="center" shrinkToFit="1"/>
    </xf>
    <xf numFmtId="40" fontId="0" fillId="0" borderId="12" xfId="1" applyNumberFormat="1" applyFont="1" applyFill="1" applyBorder="1" applyAlignment="1">
      <alignment horizontal="center" shrinkToFit="1"/>
    </xf>
    <xf numFmtId="177" fontId="37" fillId="0" borderId="0" xfId="1" applyNumberFormat="1" applyFont="1" applyBorder="1" applyAlignment="1">
      <alignment horizontal="center" vertical="center"/>
    </xf>
    <xf numFmtId="177" fontId="7" fillId="0" borderId="2" xfId="1" applyNumberFormat="1" applyFont="1" applyBorder="1" applyAlignment="1">
      <alignment horizontal="left"/>
    </xf>
    <xf numFmtId="177" fontId="7" fillId="0" borderId="1" xfId="1" applyNumberFormat="1" applyFont="1" applyBorder="1" applyAlignment="1">
      <alignment horizontal="right"/>
    </xf>
    <xf numFmtId="177" fontId="7" fillId="0" borderId="2" xfId="1" applyNumberFormat="1" applyFont="1" applyBorder="1" applyAlignment="1">
      <alignment horizontal="right"/>
    </xf>
    <xf numFmtId="177" fontId="0" fillId="0" borderId="2" xfId="1" applyNumberFormat="1" applyFont="1" applyBorder="1" applyAlignment="1">
      <alignment horizontal="left" shrinkToFit="1"/>
    </xf>
    <xf numFmtId="177" fontId="0" fillId="0" borderId="3" xfId="1" applyNumberFormat="1" applyFont="1" applyBorder="1" applyAlignment="1">
      <alignment horizontal="left" shrinkToFit="1"/>
    </xf>
    <xf numFmtId="40" fontId="0" fillId="0" borderId="11" xfId="1" applyNumberFormat="1" applyFont="1" applyBorder="1" applyAlignment="1">
      <alignment horizontal="center" vertical="top" wrapText="1"/>
    </xf>
    <xf numFmtId="177" fontId="8" fillId="0" borderId="2" xfId="1" applyNumberFormat="1" applyFont="1" applyBorder="1" applyAlignment="1">
      <alignment horizontal="center" shrinkToFit="1"/>
    </xf>
    <xf numFmtId="177" fontId="8" fillId="0" borderId="0" xfId="1" applyNumberFormat="1" applyFont="1" applyFill="1" applyBorder="1" applyAlignment="1">
      <alignment horizontal="center" shrinkToFit="1"/>
    </xf>
    <xf numFmtId="177" fontId="8" fillId="0" borderId="10" xfId="1" applyNumberFormat="1" applyFont="1" applyBorder="1" applyAlignment="1">
      <alignment horizontal="center"/>
    </xf>
    <xf numFmtId="177" fontId="8" fillId="0" borderId="11" xfId="1" applyNumberFormat="1" applyFont="1" applyBorder="1" applyAlignment="1">
      <alignment horizontal="center"/>
    </xf>
    <xf numFmtId="177" fontId="8" fillId="0" borderId="12" xfId="1" applyNumberFormat="1" applyFont="1" applyBorder="1" applyAlignment="1">
      <alignment horizontal="center"/>
    </xf>
    <xf numFmtId="40" fontId="8" fillId="0" borderId="10" xfId="1" applyNumberFormat="1" applyFont="1" applyBorder="1" applyAlignment="1">
      <alignment horizontal="center"/>
    </xf>
    <xf numFmtId="40" fontId="8" fillId="0" borderId="12" xfId="1" applyNumberFormat="1" applyFont="1" applyBorder="1" applyAlignment="1">
      <alignment horizontal="center"/>
    </xf>
    <xf numFmtId="177" fontId="25" fillId="0" borderId="0" xfId="1" applyNumberFormat="1" applyFont="1" applyBorder="1" applyAlignment="1">
      <alignment horizontal="center" vertical="center"/>
    </xf>
    <xf numFmtId="40" fontId="0" fillId="0" borderId="21" xfId="1" applyNumberFormat="1" applyFont="1" applyFill="1" applyBorder="1" applyAlignment="1">
      <alignment horizontal="center" shrinkToFit="1"/>
    </xf>
    <xf numFmtId="177" fontId="0" fillId="0" borderId="0" xfId="1" applyNumberFormat="1" applyFont="1" applyFill="1" applyBorder="1" applyAlignment="1">
      <alignment horizontal="center" vertical="top" wrapText="1"/>
    </xf>
    <xf numFmtId="177" fontId="25" fillId="0" borderId="0" xfId="1" applyNumberFormat="1" applyFont="1" applyFill="1" applyBorder="1" applyAlignment="1">
      <alignment horizontal="center" vertical="center"/>
    </xf>
    <xf numFmtId="177" fontId="15" fillId="0" borderId="0" xfId="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177" fontId="0" fillId="0" borderId="7" xfId="1" applyNumberFormat="1" applyFont="1" applyBorder="1" applyAlignment="1">
      <alignment horizontal="center" vertical="top" wrapText="1"/>
    </xf>
    <xf numFmtId="38" fontId="8" fillId="0" borderId="2" xfId="1" applyFont="1" applyFill="1" applyBorder="1" applyAlignment="1">
      <alignment horizontal="center"/>
    </xf>
    <xf numFmtId="40" fontId="0" fillId="0" borderId="2" xfId="1" applyNumberFormat="1" applyFont="1" applyFill="1" applyBorder="1" applyAlignment="1">
      <alignment horizontal="center"/>
    </xf>
    <xf numFmtId="177" fontId="0" fillId="0" borderId="0" xfId="1" applyNumberFormat="1" applyFont="1" applyBorder="1" applyAlignment="1">
      <alignment horizontal="right"/>
    </xf>
    <xf numFmtId="177" fontId="7" fillId="0" borderId="0" xfId="1" applyNumberFormat="1" applyFont="1" applyBorder="1" applyAlignment="1">
      <alignment horizontal="center" vertical="top" wrapText="1"/>
    </xf>
    <xf numFmtId="177" fontId="0" fillId="0" borderId="0" xfId="1" applyNumberFormat="1" applyFont="1" applyAlignment="1">
      <alignment horizontal="center"/>
    </xf>
    <xf numFmtId="177" fontId="7" fillId="0" borderId="10" xfId="1" applyNumberFormat="1" applyFont="1" applyBorder="1" applyAlignment="1">
      <alignment horizontal="center"/>
    </xf>
    <xf numFmtId="177" fontId="7" fillId="0" borderId="11" xfId="1" applyNumberFormat="1" applyFont="1" applyBorder="1" applyAlignment="1">
      <alignment horizontal="center"/>
    </xf>
    <xf numFmtId="38" fontId="0" fillId="0" borderId="10" xfId="1" applyFont="1" applyBorder="1" applyAlignment="1">
      <alignment horizontal="center" vertical="top" wrapText="1"/>
    </xf>
    <xf numFmtId="38" fontId="0" fillId="0" borderId="11" xfId="1" applyFont="1" applyBorder="1" applyAlignment="1">
      <alignment horizontal="center" vertical="top" wrapText="1"/>
    </xf>
    <xf numFmtId="38" fontId="0" fillId="0" borderId="12" xfId="1" applyFont="1" applyBorder="1" applyAlignment="1">
      <alignment horizontal="center" vertical="top" wrapText="1"/>
    </xf>
    <xf numFmtId="177" fontId="7" fillId="0" borderId="10" xfId="1" applyNumberFormat="1" applyFont="1" applyBorder="1" applyAlignment="1">
      <alignment horizontal="center" vertical="center"/>
    </xf>
    <xf numFmtId="177" fontId="7" fillId="0" borderId="11" xfId="1" applyNumberFormat="1" applyFont="1" applyBorder="1" applyAlignment="1">
      <alignment horizontal="center" vertical="center"/>
    </xf>
    <xf numFmtId="177" fontId="0" fillId="0" borderId="0" xfId="1" applyNumberFormat="1" applyFont="1" applyBorder="1" applyAlignment="1">
      <alignment horizontal="left"/>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0" fillId="3" borderId="31" xfId="0" applyFill="1" applyBorder="1" applyAlignment="1">
      <alignment horizontal="center" vertical="top" wrapText="1"/>
    </xf>
    <xf numFmtId="0" fontId="0" fillId="3" borderId="29" xfId="0" applyFill="1" applyBorder="1" applyAlignment="1">
      <alignment horizontal="center" vertical="top" wrapText="1"/>
    </xf>
    <xf numFmtId="0" fontId="0" fillId="3" borderId="19" xfId="0" applyFill="1" applyBorder="1" applyAlignment="1">
      <alignment horizontal="center" vertical="top" wrapText="1"/>
    </xf>
    <xf numFmtId="0" fontId="0" fillId="3" borderId="31" xfId="0" applyFill="1" applyBorder="1" applyAlignment="1">
      <alignment horizontal="left" wrapText="1"/>
    </xf>
    <xf numFmtId="0" fontId="0" fillId="3" borderId="19" xfId="0" applyFill="1" applyBorder="1" applyAlignment="1">
      <alignment horizontal="left" wrapText="1"/>
    </xf>
    <xf numFmtId="0" fontId="0" fillId="3" borderId="10" xfId="0" applyFill="1" applyBorder="1" applyAlignment="1">
      <alignment horizontal="left" wrapText="1"/>
    </xf>
    <xf numFmtId="0" fontId="0" fillId="3" borderId="12" xfId="0" applyFill="1" applyBorder="1" applyAlignment="1">
      <alignment horizontal="left" wrapText="1"/>
    </xf>
    <xf numFmtId="2" fontId="0" fillId="0" borderId="10" xfId="0" applyNumberFormat="1" applyBorder="1" applyAlignment="1">
      <alignment horizontal="center"/>
    </xf>
    <xf numFmtId="2" fontId="0" fillId="0" borderId="12" xfId="0" applyNumberFormat="1" applyBorder="1" applyAlignment="1">
      <alignment horizontal="center"/>
    </xf>
    <xf numFmtId="0" fontId="0" fillId="3" borderId="9" xfId="0" applyFill="1" applyBorder="1" applyAlignment="1">
      <alignment horizontal="left" wrapText="1"/>
    </xf>
    <xf numFmtId="0" fontId="0" fillId="3" borderId="9" xfId="0" applyFill="1" applyBorder="1" applyAlignment="1">
      <alignment horizontal="left"/>
    </xf>
    <xf numFmtId="0" fontId="0" fillId="3" borderId="29" xfId="0" applyFill="1" applyBorder="1" applyAlignment="1">
      <alignment horizontal="left" vertical="center" wrapText="1"/>
    </xf>
    <xf numFmtId="0" fontId="0" fillId="3" borderId="19"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center" wrapText="1"/>
    </xf>
    <xf numFmtId="0" fontId="0" fillId="3" borderId="11" xfId="0" applyFill="1" applyBorder="1" applyAlignment="1">
      <alignment horizontal="center" wrapText="1"/>
    </xf>
    <xf numFmtId="0" fontId="0" fillId="3" borderId="12" xfId="0" applyFill="1" applyBorder="1" applyAlignment="1">
      <alignment horizontal="center" wrapText="1"/>
    </xf>
  </cellXfs>
  <cellStyles count="4">
    <cellStyle name="パーセント" xfId="2" builtinId="5"/>
    <cellStyle name="ハイパーリンク" xfId="3" builtinId="8"/>
    <cellStyle name="桁区切り" xfId="1" builtinId="6"/>
    <cellStyle name="標準" xfId="0" builtinId="0"/>
  </cellStyles>
  <dxfs count="41">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84549</xdr:colOff>
      <xdr:row>65</xdr:row>
      <xdr:rowOff>1020</xdr:rowOff>
    </xdr:from>
    <xdr:to>
      <xdr:col>23</xdr:col>
      <xdr:colOff>194582</xdr:colOff>
      <xdr:row>65</xdr:row>
      <xdr:rowOff>1020</xdr:rowOff>
    </xdr:to>
    <xdr:cxnSp macro="">
      <xdr:nvCxnSpPr>
        <xdr:cNvPr id="3" name="直線コネクタ 2">
          <a:extLst>
            <a:ext uri="{FF2B5EF4-FFF2-40B4-BE49-F238E27FC236}">
              <a16:creationId xmlns:a16="http://schemas.microsoft.com/office/drawing/2014/main" id="{8A7B8756-E6D8-4DFD-94B7-F7D39A4B7EC4}"/>
            </a:ext>
          </a:extLst>
        </xdr:cNvPr>
        <xdr:cNvCxnSpPr/>
      </xdr:nvCxnSpPr>
      <xdr:spPr>
        <a:xfrm>
          <a:off x="3997737" y="19051020"/>
          <a:ext cx="172134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26385</xdr:colOff>
      <xdr:row>64</xdr:row>
      <xdr:rowOff>233914</xdr:rowOff>
    </xdr:from>
    <xdr:to>
      <xdr:col>20</xdr:col>
      <xdr:colOff>119585</xdr:colOff>
      <xdr:row>65</xdr:row>
      <xdr:rowOff>67293</xdr:rowOff>
    </xdr:to>
    <xdr:cxnSp macro="">
      <xdr:nvCxnSpPr>
        <xdr:cNvPr id="13" name="直線コネクタ 12">
          <a:extLst>
            <a:ext uri="{FF2B5EF4-FFF2-40B4-BE49-F238E27FC236}">
              <a16:creationId xmlns:a16="http://schemas.microsoft.com/office/drawing/2014/main" id="{4E901EED-968F-41B7-BBFA-FCF1EAF16BF9}"/>
            </a:ext>
          </a:extLst>
        </xdr:cNvPr>
        <xdr:cNvCxnSpPr/>
      </xdr:nvCxnSpPr>
      <xdr:spPr>
        <a:xfrm>
          <a:off x="4860323" y="19045789"/>
          <a:ext cx="93200" cy="715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210388</xdr:colOff>
      <xdr:row>64</xdr:row>
      <xdr:rowOff>235758</xdr:rowOff>
    </xdr:from>
    <xdr:to>
      <xdr:col>20</xdr:col>
      <xdr:colOff>67164</xdr:colOff>
      <xdr:row>65</xdr:row>
      <xdr:rowOff>69137</xdr:rowOff>
    </xdr:to>
    <xdr:cxnSp macro="">
      <xdr:nvCxnSpPr>
        <xdr:cNvPr id="14" name="直線コネクタ 13">
          <a:extLst>
            <a:ext uri="{FF2B5EF4-FFF2-40B4-BE49-F238E27FC236}">
              <a16:creationId xmlns:a16="http://schemas.microsoft.com/office/drawing/2014/main" id="{4E0C77D0-C399-44AE-BC6A-02480E48B7D2}"/>
            </a:ext>
          </a:extLst>
        </xdr:cNvPr>
        <xdr:cNvCxnSpPr/>
      </xdr:nvCxnSpPr>
      <xdr:spPr>
        <a:xfrm>
          <a:off x="4814138" y="19047633"/>
          <a:ext cx="86964" cy="715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210424</xdr:colOff>
      <xdr:row>65</xdr:row>
      <xdr:rowOff>31661</xdr:rowOff>
    </xdr:from>
    <xdr:to>
      <xdr:col>20</xdr:col>
      <xdr:colOff>9829</xdr:colOff>
      <xdr:row>65</xdr:row>
      <xdr:rowOff>52862</xdr:rowOff>
    </xdr:to>
    <xdr:cxnSp macro="">
      <xdr:nvCxnSpPr>
        <xdr:cNvPr id="15" name="直線コネクタ 14">
          <a:extLst>
            <a:ext uri="{FF2B5EF4-FFF2-40B4-BE49-F238E27FC236}">
              <a16:creationId xmlns:a16="http://schemas.microsoft.com/office/drawing/2014/main" id="{594E83E2-0A1D-41A8-9958-026F17AEC278}"/>
            </a:ext>
          </a:extLst>
        </xdr:cNvPr>
        <xdr:cNvCxnSpPr/>
      </xdr:nvCxnSpPr>
      <xdr:spPr>
        <a:xfrm flipH="1">
          <a:off x="4814174" y="19081661"/>
          <a:ext cx="29593"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520</xdr:colOff>
      <xdr:row>65</xdr:row>
      <xdr:rowOff>48859</xdr:rowOff>
    </xdr:from>
    <xdr:to>
      <xdr:col>20</xdr:col>
      <xdr:colOff>31196</xdr:colOff>
      <xdr:row>65</xdr:row>
      <xdr:rowOff>68452</xdr:rowOff>
    </xdr:to>
    <xdr:cxnSp macro="">
      <xdr:nvCxnSpPr>
        <xdr:cNvPr id="16" name="直線コネクタ 15">
          <a:extLst>
            <a:ext uri="{FF2B5EF4-FFF2-40B4-BE49-F238E27FC236}">
              <a16:creationId xmlns:a16="http://schemas.microsoft.com/office/drawing/2014/main" id="{1A022F74-5583-42CE-808A-C4B76B69DB01}"/>
            </a:ext>
          </a:extLst>
        </xdr:cNvPr>
        <xdr:cNvCxnSpPr/>
      </xdr:nvCxnSpPr>
      <xdr:spPr>
        <a:xfrm flipH="1">
          <a:off x="4834458" y="19098859"/>
          <a:ext cx="3067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174852</xdr:colOff>
      <xdr:row>64</xdr:row>
      <xdr:rowOff>228065</xdr:rowOff>
    </xdr:from>
    <xdr:to>
      <xdr:col>21</xdr:col>
      <xdr:colOff>34054</xdr:colOff>
      <xdr:row>65</xdr:row>
      <xdr:rowOff>62804</xdr:rowOff>
    </xdr:to>
    <xdr:cxnSp macro="">
      <xdr:nvCxnSpPr>
        <xdr:cNvPr id="17" name="直線コネクタ 16">
          <a:extLst>
            <a:ext uri="{FF2B5EF4-FFF2-40B4-BE49-F238E27FC236}">
              <a16:creationId xmlns:a16="http://schemas.microsoft.com/office/drawing/2014/main" id="{CB57CF30-063E-4DEA-8CF5-982EC3BC954B}"/>
            </a:ext>
          </a:extLst>
        </xdr:cNvPr>
        <xdr:cNvCxnSpPr/>
      </xdr:nvCxnSpPr>
      <xdr:spPr>
        <a:xfrm>
          <a:off x="5008790" y="19039940"/>
          <a:ext cx="89389" cy="728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127534</xdr:colOff>
      <xdr:row>64</xdr:row>
      <xdr:rowOff>229909</xdr:rowOff>
    </xdr:from>
    <xdr:to>
      <xdr:col>20</xdr:col>
      <xdr:colOff>216976</xdr:colOff>
      <xdr:row>65</xdr:row>
      <xdr:rowOff>59453</xdr:rowOff>
    </xdr:to>
    <xdr:cxnSp macro="">
      <xdr:nvCxnSpPr>
        <xdr:cNvPr id="18" name="直線コネクタ 17">
          <a:extLst>
            <a:ext uri="{FF2B5EF4-FFF2-40B4-BE49-F238E27FC236}">
              <a16:creationId xmlns:a16="http://schemas.microsoft.com/office/drawing/2014/main" id="{C3809121-581D-4EB1-B15A-CF51B3820C0C}"/>
            </a:ext>
          </a:extLst>
        </xdr:cNvPr>
        <xdr:cNvCxnSpPr/>
      </xdr:nvCxnSpPr>
      <xdr:spPr>
        <a:xfrm>
          <a:off x="4961472" y="19041784"/>
          <a:ext cx="89442" cy="67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127570</xdr:colOff>
      <xdr:row>65</xdr:row>
      <xdr:rowOff>27167</xdr:rowOff>
    </xdr:from>
    <xdr:to>
      <xdr:col>20</xdr:col>
      <xdr:colOff>158296</xdr:colOff>
      <xdr:row>65</xdr:row>
      <xdr:rowOff>57893</xdr:rowOff>
    </xdr:to>
    <xdr:cxnSp macro="">
      <xdr:nvCxnSpPr>
        <xdr:cNvPr id="19" name="直線コネクタ 18">
          <a:extLst>
            <a:ext uri="{FF2B5EF4-FFF2-40B4-BE49-F238E27FC236}">
              <a16:creationId xmlns:a16="http://schemas.microsoft.com/office/drawing/2014/main" id="{F8F5A3F3-7EEB-4DA5-91A1-5872269E2592}"/>
            </a:ext>
          </a:extLst>
        </xdr:cNvPr>
        <xdr:cNvCxnSpPr/>
      </xdr:nvCxnSpPr>
      <xdr:spPr>
        <a:xfrm flipH="1">
          <a:off x="4961508" y="19077167"/>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147854</xdr:colOff>
      <xdr:row>65</xdr:row>
      <xdr:rowOff>44365</xdr:rowOff>
    </xdr:from>
    <xdr:to>
      <xdr:col>20</xdr:col>
      <xdr:colOff>178580</xdr:colOff>
      <xdr:row>65</xdr:row>
      <xdr:rowOff>63958</xdr:rowOff>
    </xdr:to>
    <xdr:cxnSp macro="">
      <xdr:nvCxnSpPr>
        <xdr:cNvPr id="20" name="直線コネクタ 19">
          <a:extLst>
            <a:ext uri="{FF2B5EF4-FFF2-40B4-BE49-F238E27FC236}">
              <a16:creationId xmlns:a16="http://schemas.microsoft.com/office/drawing/2014/main" id="{7A3B4FFC-7E9F-4A9A-B428-C13AD0760490}"/>
            </a:ext>
          </a:extLst>
        </xdr:cNvPr>
        <xdr:cNvCxnSpPr/>
      </xdr:nvCxnSpPr>
      <xdr:spPr>
        <a:xfrm flipH="1">
          <a:off x="4981792" y="19094365"/>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195943</xdr:colOff>
      <xdr:row>64</xdr:row>
      <xdr:rowOff>237987</xdr:rowOff>
    </xdr:from>
    <xdr:to>
      <xdr:col>19</xdr:col>
      <xdr:colOff>71437</xdr:colOff>
      <xdr:row>74</xdr:row>
      <xdr:rowOff>166687</xdr:rowOff>
    </xdr:to>
    <xdr:cxnSp macro="">
      <xdr:nvCxnSpPr>
        <xdr:cNvPr id="21" name="直線コネクタ 20">
          <a:extLst>
            <a:ext uri="{FF2B5EF4-FFF2-40B4-BE49-F238E27FC236}">
              <a16:creationId xmlns:a16="http://schemas.microsoft.com/office/drawing/2014/main" id="{1FA41767-A17D-4F7D-9719-CA7F295F73ED}"/>
            </a:ext>
          </a:extLst>
        </xdr:cNvPr>
        <xdr:cNvCxnSpPr/>
      </xdr:nvCxnSpPr>
      <xdr:spPr>
        <a:xfrm>
          <a:off x="4041662" y="19168925"/>
          <a:ext cx="554150" cy="230995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91534</xdr:colOff>
      <xdr:row>74</xdr:row>
      <xdr:rowOff>161040</xdr:rowOff>
    </xdr:from>
    <xdr:to>
      <xdr:col>19</xdr:col>
      <xdr:colOff>80194</xdr:colOff>
      <xdr:row>74</xdr:row>
      <xdr:rowOff>161040</xdr:rowOff>
    </xdr:to>
    <xdr:cxnSp macro="">
      <xdr:nvCxnSpPr>
        <xdr:cNvPr id="22" name="直線コネクタ 21">
          <a:extLst>
            <a:ext uri="{FF2B5EF4-FFF2-40B4-BE49-F238E27FC236}">
              <a16:creationId xmlns:a16="http://schemas.microsoft.com/office/drawing/2014/main" id="{13D2A472-BA9D-421D-8480-5DED319365BA}"/>
            </a:ext>
          </a:extLst>
        </xdr:cNvPr>
        <xdr:cNvCxnSpPr/>
      </xdr:nvCxnSpPr>
      <xdr:spPr>
        <a:xfrm>
          <a:off x="3937253" y="21473228"/>
          <a:ext cx="667316"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202406</xdr:colOff>
      <xdr:row>74</xdr:row>
      <xdr:rowOff>175392</xdr:rowOff>
    </xdr:from>
    <xdr:to>
      <xdr:col>16</xdr:col>
      <xdr:colOff>71126</xdr:colOff>
      <xdr:row>77</xdr:row>
      <xdr:rowOff>-1</xdr:rowOff>
    </xdr:to>
    <xdr:cxnSp macro="">
      <xdr:nvCxnSpPr>
        <xdr:cNvPr id="24" name="直線コネクタ 23">
          <a:extLst>
            <a:ext uri="{FF2B5EF4-FFF2-40B4-BE49-F238E27FC236}">
              <a16:creationId xmlns:a16="http://schemas.microsoft.com/office/drawing/2014/main" id="{A5C6A8A8-C8AE-4B88-B6C9-A599F63BCAEA}"/>
            </a:ext>
          </a:extLst>
        </xdr:cNvPr>
        <xdr:cNvCxnSpPr/>
      </xdr:nvCxnSpPr>
      <xdr:spPr>
        <a:xfrm flipH="1">
          <a:off x="3595687" y="21487580"/>
          <a:ext cx="321158" cy="53898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98535</xdr:colOff>
      <xdr:row>77</xdr:row>
      <xdr:rowOff>188097</xdr:rowOff>
    </xdr:from>
    <xdr:to>
      <xdr:col>16</xdr:col>
      <xdr:colOff>93889</xdr:colOff>
      <xdr:row>77</xdr:row>
      <xdr:rowOff>188097</xdr:rowOff>
    </xdr:to>
    <xdr:cxnSp macro="">
      <xdr:nvCxnSpPr>
        <xdr:cNvPr id="25" name="直線コネクタ 24">
          <a:extLst>
            <a:ext uri="{FF2B5EF4-FFF2-40B4-BE49-F238E27FC236}">
              <a16:creationId xmlns:a16="http://schemas.microsoft.com/office/drawing/2014/main" id="{1813AD2D-1932-4B9C-9897-7E4961A7BF0A}"/>
            </a:ext>
          </a:extLst>
        </xdr:cNvPr>
        <xdr:cNvCxnSpPr/>
      </xdr:nvCxnSpPr>
      <xdr:spPr>
        <a:xfrm>
          <a:off x="1937845" y="20124907"/>
          <a:ext cx="183466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99650</xdr:colOff>
      <xdr:row>65</xdr:row>
      <xdr:rowOff>1083</xdr:rowOff>
    </xdr:from>
    <xdr:to>
      <xdr:col>16</xdr:col>
      <xdr:colOff>195943</xdr:colOff>
      <xdr:row>65</xdr:row>
      <xdr:rowOff>1083</xdr:rowOff>
    </xdr:to>
    <xdr:cxnSp macro="">
      <xdr:nvCxnSpPr>
        <xdr:cNvPr id="26" name="直線コネクタ 25">
          <a:extLst>
            <a:ext uri="{FF2B5EF4-FFF2-40B4-BE49-F238E27FC236}">
              <a16:creationId xmlns:a16="http://schemas.microsoft.com/office/drawing/2014/main" id="{FE02BB14-49A1-406F-A14B-6CD8E8194FD5}"/>
            </a:ext>
          </a:extLst>
        </xdr:cNvPr>
        <xdr:cNvCxnSpPr/>
      </xdr:nvCxnSpPr>
      <xdr:spPr>
        <a:xfrm>
          <a:off x="4012838" y="19051083"/>
          <a:ext cx="9629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86546</xdr:colOff>
      <xdr:row>65</xdr:row>
      <xdr:rowOff>924</xdr:rowOff>
    </xdr:from>
    <xdr:to>
      <xdr:col>16</xdr:col>
      <xdr:colOff>86546</xdr:colOff>
      <xdr:row>77</xdr:row>
      <xdr:rowOff>190500</xdr:rowOff>
    </xdr:to>
    <xdr:cxnSp macro="">
      <xdr:nvCxnSpPr>
        <xdr:cNvPr id="27" name="直線コネクタ 26">
          <a:extLst>
            <a:ext uri="{FF2B5EF4-FFF2-40B4-BE49-F238E27FC236}">
              <a16:creationId xmlns:a16="http://schemas.microsoft.com/office/drawing/2014/main" id="{766D5BD4-0E60-4642-ABB4-2D9138904A28}"/>
            </a:ext>
          </a:extLst>
        </xdr:cNvPr>
        <xdr:cNvCxnSpPr/>
      </xdr:nvCxnSpPr>
      <xdr:spPr>
        <a:xfrm>
          <a:off x="3765167" y="17099941"/>
          <a:ext cx="0" cy="3027369"/>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95349</xdr:colOff>
      <xdr:row>67</xdr:row>
      <xdr:rowOff>12978</xdr:rowOff>
    </xdr:from>
    <xdr:to>
      <xdr:col>23</xdr:col>
      <xdr:colOff>185057</xdr:colOff>
      <xdr:row>67</xdr:row>
      <xdr:rowOff>12978</xdr:rowOff>
    </xdr:to>
    <xdr:cxnSp macro="">
      <xdr:nvCxnSpPr>
        <xdr:cNvPr id="34" name="直線コネクタ 33">
          <a:extLst>
            <a:ext uri="{FF2B5EF4-FFF2-40B4-BE49-F238E27FC236}">
              <a16:creationId xmlns:a16="http://schemas.microsoft.com/office/drawing/2014/main" id="{7042741A-1832-493E-99D3-A9E552EE3478}"/>
            </a:ext>
          </a:extLst>
        </xdr:cNvPr>
        <xdr:cNvCxnSpPr/>
      </xdr:nvCxnSpPr>
      <xdr:spPr>
        <a:xfrm>
          <a:off x="3941068" y="19658291"/>
          <a:ext cx="167323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95249</xdr:colOff>
      <xdr:row>67</xdr:row>
      <xdr:rowOff>35718</xdr:rowOff>
    </xdr:from>
    <xdr:to>
      <xdr:col>17</xdr:col>
      <xdr:colOff>71437</xdr:colOff>
      <xdr:row>74</xdr:row>
      <xdr:rowOff>142874</xdr:rowOff>
    </xdr:to>
    <xdr:cxnSp macro="">
      <xdr:nvCxnSpPr>
        <xdr:cNvPr id="37" name="直線コネクタ 36">
          <a:extLst>
            <a:ext uri="{FF2B5EF4-FFF2-40B4-BE49-F238E27FC236}">
              <a16:creationId xmlns:a16="http://schemas.microsoft.com/office/drawing/2014/main" id="{F146E769-F5F5-E462-FEB8-DDB528082F7C}"/>
            </a:ext>
          </a:extLst>
        </xdr:cNvPr>
        <xdr:cNvCxnSpPr/>
      </xdr:nvCxnSpPr>
      <xdr:spPr>
        <a:xfrm flipV="1">
          <a:off x="3940968" y="19681031"/>
          <a:ext cx="202407" cy="177403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83343</xdr:colOff>
      <xdr:row>74</xdr:row>
      <xdr:rowOff>183747</xdr:rowOff>
    </xdr:from>
    <xdr:to>
      <xdr:col>17</xdr:col>
      <xdr:colOff>12873</xdr:colOff>
      <xdr:row>77</xdr:row>
      <xdr:rowOff>23812</xdr:rowOff>
    </xdr:to>
    <xdr:cxnSp macro="">
      <xdr:nvCxnSpPr>
        <xdr:cNvPr id="44" name="直線コネクタ 43">
          <a:extLst>
            <a:ext uri="{FF2B5EF4-FFF2-40B4-BE49-F238E27FC236}">
              <a16:creationId xmlns:a16="http://schemas.microsoft.com/office/drawing/2014/main" id="{29208D0C-69EC-EF53-D176-AFBF32D5B0A4}"/>
            </a:ext>
          </a:extLst>
        </xdr:cNvPr>
        <xdr:cNvCxnSpPr/>
      </xdr:nvCxnSpPr>
      <xdr:spPr>
        <a:xfrm flipV="1">
          <a:off x="3929062" y="21495935"/>
          <a:ext cx="155749" cy="55444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10883</xdr:colOff>
      <xdr:row>67</xdr:row>
      <xdr:rowOff>143409</xdr:rowOff>
    </xdr:from>
    <xdr:to>
      <xdr:col>17</xdr:col>
      <xdr:colOff>62931</xdr:colOff>
      <xdr:row>68</xdr:row>
      <xdr:rowOff>174298</xdr:rowOff>
    </xdr:to>
    <xdr:sp macro="" textlink="">
      <xdr:nvSpPr>
        <xdr:cNvPr id="58" name="テキスト ボックス 57">
          <a:extLst>
            <a:ext uri="{FF2B5EF4-FFF2-40B4-BE49-F238E27FC236}">
              <a16:creationId xmlns:a16="http://schemas.microsoft.com/office/drawing/2014/main" id="{14A70202-A404-896A-1056-A437E373703A}"/>
            </a:ext>
          </a:extLst>
        </xdr:cNvPr>
        <xdr:cNvSpPr txBox="1"/>
      </xdr:nvSpPr>
      <xdr:spPr>
        <a:xfrm>
          <a:off x="3856602" y="19788722"/>
          <a:ext cx="278267" cy="269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17</xdr:col>
      <xdr:colOff>15217</xdr:colOff>
      <xdr:row>72</xdr:row>
      <xdr:rowOff>27604</xdr:rowOff>
    </xdr:from>
    <xdr:to>
      <xdr:col>18</xdr:col>
      <xdr:colOff>80512</xdr:colOff>
      <xdr:row>73</xdr:row>
      <xdr:rowOff>42457</xdr:rowOff>
    </xdr:to>
    <xdr:sp macro="" textlink="">
      <xdr:nvSpPr>
        <xdr:cNvPr id="59" name="テキスト ボックス 58">
          <a:extLst>
            <a:ext uri="{FF2B5EF4-FFF2-40B4-BE49-F238E27FC236}">
              <a16:creationId xmlns:a16="http://schemas.microsoft.com/office/drawing/2014/main" id="{2D8AC1E7-107F-0854-63E5-66EDAEFB1766}"/>
            </a:ext>
          </a:extLst>
        </xdr:cNvPr>
        <xdr:cNvSpPr txBox="1"/>
      </xdr:nvSpPr>
      <xdr:spPr>
        <a:xfrm>
          <a:off x="4087155" y="20863542"/>
          <a:ext cx="291513" cy="25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15</xdr:col>
      <xdr:colOff>214474</xdr:colOff>
      <xdr:row>74</xdr:row>
      <xdr:rowOff>100694</xdr:rowOff>
    </xdr:from>
    <xdr:to>
      <xdr:col>17</xdr:col>
      <xdr:colOff>41941</xdr:colOff>
      <xdr:row>75</xdr:row>
      <xdr:rowOff>104093</xdr:rowOff>
    </xdr:to>
    <xdr:sp macro="" textlink="">
      <xdr:nvSpPr>
        <xdr:cNvPr id="60" name="テキスト ボックス 59">
          <a:extLst>
            <a:ext uri="{FF2B5EF4-FFF2-40B4-BE49-F238E27FC236}">
              <a16:creationId xmlns:a16="http://schemas.microsoft.com/office/drawing/2014/main" id="{B74CB08B-3A87-A3EF-BAFF-B944EE33A7F8}"/>
            </a:ext>
          </a:extLst>
        </xdr:cNvPr>
        <xdr:cNvSpPr txBox="1"/>
      </xdr:nvSpPr>
      <xdr:spPr>
        <a:xfrm>
          <a:off x="3833974" y="21412882"/>
          <a:ext cx="279905" cy="24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16</xdr:col>
      <xdr:colOff>113310</xdr:colOff>
      <xdr:row>76</xdr:row>
      <xdr:rowOff>6016</xdr:rowOff>
    </xdr:from>
    <xdr:to>
      <xdr:col>17</xdr:col>
      <xdr:colOff>174737</xdr:colOff>
      <xdr:row>77</xdr:row>
      <xdr:rowOff>32475</xdr:rowOff>
    </xdr:to>
    <xdr:sp macro="" textlink="">
      <xdr:nvSpPr>
        <xdr:cNvPr id="61" name="テキスト ボックス 60">
          <a:extLst>
            <a:ext uri="{FF2B5EF4-FFF2-40B4-BE49-F238E27FC236}">
              <a16:creationId xmlns:a16="http://schemas.microsoft.com/office/drawing/2014/main" id="{7F5D9E77-6101-D657-0DF7-5E2B2266C3E7}"/>
            </a:ext>
          </a:extLst>
        </xdr:cNvPr>
        <xdr:cNvSpPr txBox="1"/>
      </xdr:nvSpPr>
      <xdr:spPr>
        <a:xfrm>
          <a:off x="3959029" y="21794454"/>
          <a:ext cx="287646" cy="264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22</xdr:col>
      <xdr:colOff>2807</xdr:colOff>
      <xdr:row>65</xdr:row>
      <xdr:rowOff>111182</xdr:rowOff>
    </xdr:from>
    <xdr:to>
      <xdr:col>24</xdr:col>
      <xdr:colOff>78920</xdr:colOff>
      <xdr:row>66</xdr:row>
      <xdr:rowOff>115612</xdr:rowOff>
    </xdr:to>
    <xdr:sp macro="" textlink="">
      <xdr:nvSpPr>
        <xdr:cNvPr id="32" name="テキスト ボックス 31">
          <a:extLst>
            <a:ext uri="{FF2B5EF4-FFF2-40B4-BE49-F238E27FC236}">
              <a16:creationId xmlns:a16="http://schemas.microsoft.com/office/drawing/2014/main" id="{54689311-75C2-CA56-4EF0-7656D763F4BE}"/>
            </a:ext>
          </a:extLst>
        </xdr:cNvPr>
        <xdr:cNvSpPr txBox="1"/>
      </xdr:nvSpPr>
      <xdr:spPr>
        <a:xfrm>
          <a:off x="5205838" y="19280245"/>
          <a:ext cx="528551" cy="242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21</xdr:col>
      <xdr:colOff>224085</xdr:colOff>
      <xdr:row>73</xdr:row>
      <xdr:rowOff>197146</xdr:rowOff>
    </xdr:from>
    <xdr:to>
      <xdr:col>24</xdr:col>
      <xdr:colOff>78366</xdr:colOff>
      <xdr:row>74</xdr:row>
      <xdr:rowOff>206629</xdr:rowOff>
    </xdr:to>
    <xdr:sp macro="" textlink="">
      <xdr:nvSpPr>
        <xdr:cNvPr id="35" name="テキスト ボックス 34">
          <a:extLst>
            <a:ext uri="{FF2B5EF4-FFF2-40B4-BE49-F238E27FC236}">
              <a16:creationId xmlns:a16="http://schemas.microsoft.com/office/drawing/2014/main" id="{9A51EA95-73D8-630B-1352-F3D5BB04C1F6}"/>
            </a:ext>
          </a:extLst>
        </xdr:cNvPr>
        <xdr:cNvSpPr txBox="1"/>
      </xdr:nvSpPr>
      <xdr:spPr>
        <a:xfrm>
          <a:off x="5200898" y="21271209"/>
          <a:ext cx="532937" cy="24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7</xdr:col>
      <xdr:colOff>205809</xdr:colOff>
      <xdr:row>77</xdr:row>
      <xdr:rowOff>233797</xdr:rowOff>
    </xdr:from>
    <xdr:to>
      <xdr:col>24</xdr:col>
      <xdr:colOff>13607</xdr:colOff>
      <xdr:row>77</xdr:row>
      <xdr:rowOff>233797</xdr:rowOff>
    </xdr:to>
    <xdr:cxnSp macro="">
      <xdr:nvCxnSpPr>
        <xdr:cNvPr id="43" name="直線コネクタ 42">
          <a:extLst>
            <a:ext uri="{FF2B5EF4-FFF2-40B4-BE49-F238E27FC236}">
              <a16:creationId xmlns:a16="http://schemas.microsoft.com/office/drawing/2014/main" id="{9C68E1A2-B6B6-D99B-EA0C-DE3261C52FDC}"/>
            </a:ext>
          </a:extLst>
        </xdr:cNvPr>
        <xdr:cNvCxnSpPr/>
      </xdr:nvCxnSpPr>
      <xdr:spPr>
        <a:xfrm>
          <a:off x="2015559" y="22260360"/>
          <a:ext cx="365351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7417</xdr:colOff>
      <xdr:row>76</xdr:row>
      <xdr:rowOff>204996</xdr:rowOff>
    </xdr:from>
    <xdr:to>
      <xdr:col>24</xdr:col>
      <xdr:colOff>93020</xdr:colOff>
      <xdr:row>77</xdr:row>
      <xdr:rowOff>213668</xdr:rowOff>
    </xdr:to>
    <xdr:sp macro="" textlink="">
      <xdr:nvSpPr>
        <xdr:cNvPr id="45" name="テキスト ボックス 44">
          <a:extLst>
            <a:ext uri="{FF2B5EF4-FFF2-40B4-BE49-F238E27FC236}">
              <a16:creationId xmlns:a16="http://schemas.microsoft.com/office/drawing/2014/main" id="{89F4094F-4A46-A0D6-661E-8176098F52AF}"/>
            </a:ext>
          </a:extLst>
        </xdr:cNvPr>
        <xdr:cNvSpPr txBox="1"/>
      </xdr:nvSpPr>
      <xdr:spPr>
        <a:xfrm>
          <a:off x="5210448" y="21993434"/>
          <a:ext cx="538041" cy="24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22</xdr:col>
      <xdr:colOff>7417</xdr:colOff>
      <xdr:row>78</xdr:row>
      <xdr:rowOff>122155</xdr:rowOff>
    </xdr:from>
    <xdr:to>
      <xdr:col>24</xdr:col>
      <xdr:colOff>93020</xdr:colOff>
      <xdr:row>79</xdr:row>
      <xdr:rowOff>120112</xdr:rowOff>
    </xdr:to>
    <xdr:sp macro="" textlink="">
      <xdr:nvSpPr>
        <xdr:cNvPr id="47" name="テキスト ボックス 46">
          <a:extLst>
            <a:ext uri="{FF2B5EF4-FFF2-40B4-BE49-F238E27FC236}">
              <a16:creationId xmlns:a16="http://schemas.microsoft.com/office/drawing/2014/main" id="{F4B8A1B4-D909-48FD-CADF-3E78854FA9AA}"/>
            </a:ext>
          </a:extLst>
        </xdr:cNvPr>
        <xdr:cNvSpPr txBox="1"/>
      </xdr:nvSpPr>
      <xdr:spPr>
        <a:xfrm>
          <a:off x="5210448" y="22386843"/>
          <a:ext cx="538041" cy="236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11</xdr:col>
      <xdr:colOff>136637</xdr:colOff>
      <xdr:row>66</xdr:row>
      <xdr:rowOff>161752</xdr:rowOff>
    </xdr:from>
    <xdr:to>
      <xdr:col>15</xdr:col>
      <xdr:colOff>68671</xdr:colOff>
      <xdr:row>66</xdr:row>
      <xdr:rowOff>161752</xdr:rowOff>
    </xdr:to>
    <xdr:cxnSp macro="">
      <xdr:nvCxnSpPr>
        <xdr:cNvPr id="2" name="直線コネクタ 1">
          <a:extLst>
            <a:ext uri="{FF2B5EF4-FFF2-40B4-BE49-F238E27FC236}">
              <a16:creationId xmlns:a16="http://schemas.microsoft.com/office/drawing/2014/main" id="{B3951F29-0F15-B37D-0228-4CEEA16EF567}"/>
            </a:ext>
          </a:extLst>
        </xdr:cNvPr>
        <xdr:cNvCxnSpPr/>
      </xdr:nvCxnSpPr>
      <xdr:spPr>
        <a:xfrm>
          <a:off x="2851262" y="19568940"/>
          <a:ext cx="83690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126611</xdr:colOff>
      <xdr:row>67</xdr:row>
      <xdr:rowOff>77948</xdr:rowOff>
    </xdr:from>
    <xdr:to>
      <xdr:col>15</xdr:col>
      <xdr:colOff>56264</xdr:colOff>
      <xdr:row>67</xdr:row>
      <xdr:rowOff>77948</xdr:rowOff>
    </xdr:to>
    <xdr:cxnSp macro="">
      <xdr:nvCxnSpPr>
        <xdr:cNvPr id="28" name="直線コネクタ 27">
          <a:extLst>
            <a:ext uri="{FF2B5EF4-FFF2-40B4-BE49-F238E27FC236}">
              <a16:creationId xmlns:a16="http://schemas.microsoft.com/office/drawing/2014/main" id="{FB3070F3-D89B-F0E2-B32A-13868FDC618D}"/>
            </a:ext>
          </a:extLst>
        </xdr:cNvPr>
        <xdr:cNvCxnSpPr/>
      </xdr:nvCxnSpPr>
      <xdr:spPr>
        <a:xfrm>
          <a:off x="2841236" y="19723261"/>
          <a:ext cx="8345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64285</xdr:colOff>
      <xdr:row>66</xdr:row>
      <xdr:rowOff>166648</xdr:rowOff>
    </xdr:from>
    <xdr:to>
      <xdr:col>15</xdr:col>
      <xdr:colOff>64285</xdr:colOff>
      <xdr:row>67</xdr:row>
      <xdr:rowOff>78333</xdr:rowOff>
    </xdr:to>
    <xdr:cxnSp macro="">
      <xdr:nvCxnSpPr>
        <xdr:cNvPr id="29" name="直線コネクタ 28">
          <a:extLst>
            <a:ext uri="{FF2B5EF4-FFF2-40B4-BE49-F238E27FC236}">
              <a16:creationId xmlns:a16="http://schemas.microsoft.com/office/drawing/2014/main" id="{8364523D-E7A5-15D9-C532-94DD95107DA9}"/>
            </a:ext>
          </a:extLst>
        </xdr:cNvPr>
        <xdr:cNvCxnSpPr/>
      </xdr:nvCxnSpPr>
      <xdr:spPr>
        <a:xfrm>
          <a:off x="3683785" y="19573836"/>
          <a:ext cx="0" cy="149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93880</xdr:colOff>
      <xdr:row>66</xdr:row>
      <xdr:rowOff>156443</xdr:rowOff>
    </xdr:from>
    <xdr:to>
      <xdr:col>15</xdr:col>
      <xdr:colOff>93880</xdr:colOff>
      <xdr:row>67</xdr:row>
      <xdr:rowOff>92119</xdr:rowOff>
    </xdr:to>
    <xdr:cxnSp macro="">
      <xdr:nvCxnSpPr>
        <xdr:cNvPr id="36" name="直線コネクタ 35">
          <a:extLst>
            <a:ext uri="{FF2B5EF4-FFF2-40B4-BE49-F238E27FC236}">
              <a16:creationId xmlns:a16="http://schemas.microsoft.com/office/drawing/2014/main" id="{BBC87188-FF7D-C43C-6A1D-CEABFC0AE078}"/>
            </a:ext>
          </a:extLst>
        </xdr:cNvPr>
        <xdr:cNvCxnSpPr/>
      </xdr:nvCxnSpPr>
      <xdr:spPr>
        <a:xfrm>
          <a:off x="3713380" y="19563631"/>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6517</xdr:colOff>
      <xdr:row>66</xdr:row>
      <xdr:rowOff>156443</xdr:rowOff>
    </xdr:from>
    <xdr:to>
      <xdr:col>16</xdr:col>
      <xdr:colOff>6517</xdr:colOff>
      <xdr:row>67</xdr:row>
      <xdr:rowOff>92119</xdr:rowOff>
    </xdr:to>
    <xdr:cxnSp macro="">
      <xdr:nvCxnSpPr>
        <xdr:cNvPr id="40" name="直線コネクタ 39">
          <a:extLst>
            <a:ext uri="{FF2B5EF4-FFF2-40B4-BE49-F238E27FC236}">
              <a16:creationId xmlns:a16="http://schemas.microsoft.com/office/drawing/2014/main" id="{D4871F4E-7EF2-B2A4-D4FA-BB02F7B18B39}"/>
            </a:ext>
          </a:extLst>
        </xdr:cNvPr>
        <xdr:cNvCxnSpPr/>
      </xdr:nvCxnSpPr>
      <xdr:spPr>
        <a:xfrm>
          <a:off x="3852236" y="19563631"/>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92810</xdr:colOff>
      <xdr:row>67</xdr:row>
      <xdr:rowOff>14805</xdr:rowOff>
    </xdr:from>
    <xdr:to>
      <xdr:col>16</xdr:col>
      <xdr:colOff>2046</xdr:colOff>
      <xdr:row>67</xdr:row>
      <xdr:rowOff>14805</xdr:rowOff>
    </xdr:to>
    <xdr:cxnSp macro="">
      <xdr:nvCxnSpPr>
        <xdr:cNvPr id="42" name="直線コネクタ 41">
          <a:extLst>
            <a:ext uri="{FF2B5EF4-FFF2-40B4-BE49-F238E27FC236}">
              <a16:creationId xmlns:a16="http://schemas.microsoft.com/office/drawing/2014/main" id="{C75DFEB6-6D56-47CE-C724-E76FE2CE9A1A}"/>
            </a:ext>
          </a:extLst>
        </xdr:cNvPr>
        <xdr:cNvCxnSpPr/>
      </xdr:nvCxnSpPr>
      <xdr:spPr>
        <a:xfrm>
          <a:off x="3712310" y="19660118"/>
          <a:ext cx="13545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130906</xdr:colOff>
      <xdr:row>74</xdr:row>
      <xdr:rowOff>161114</xdr:rowOff>
    </xdr:from>
    <xdr:to>
      <xdr:col>16</xdr:col>
      <xdr:colOff>66406</xdr:colOff>
      <xdr:row>74</xdr:row>
      <xdr:rowOff>161114</xdr:rowOff>
    </xdr:to>
    <xdr:cxnSp macro="">
      <xdr:nvCxnSpPr>
        <xdr:cNvPr id="121" name="直線コネクタ 120">
          <a:extLst>
            <a:ext uri="{FF2B5EF4-FFF2-40B4-BE49-F238E27FC236}">
              <a16:creationId xmlns:a16="http://schemas.microsoft.com/office/drawing/2014/main" id="{B3B07E17-DE4E-1AE8-2B11-8C7CD1E30A04}"/>
            </a:ext>
          </a:extLst>
        </xdr:cNvPr>
        <xdr:cNvCxnSpPr/>
      </xdr:nvCxnSpPr>
      <xdr:spPr>
        <a:xfrm>
          <a:off x="3071750" y="21473302"/>
          <a:ext cx="840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158035</xdr:colOff>
      <xdr:row>74</xdr:row>
      <xdr:rowOff>186190</xdr:rowOff>
    </xdr:from>
    <xdr:to>
      <xdr:col>15</xdr:col>
      <xdr:colOff>19425</xdr:colOff>
      <xdr:row>75</xdr:row>
      <xdr:rowOff>41002</xdr:rowOff>
    </xdr:to>
    <xdr:cxnSp macro="">
      <xdr:nvCxnSpPr>
        <xdr:cNvPr id="122" name="直線コネクタ 121">
          <a:extLst>
            <a:ext uri="{FF2B5EF4-FFF2-40B4-BE49-F238E27FC236}">
              <a16:creationId xmlns:a16="http://schemas.microsoft.com/office/drawing/2014/main" id="{D08C2183-354E-E5AC-0746-8F57611EAF2E}"/>
            </a:ext>
          </a:extLst>
        </xdr:cNvPr>
        <xdr:cNvCxnSpPr/>
      </xdr:nvCxnSpPr>
      <xdr:spPr>
        <a:xfrm>
          <a:off x="3551316" y="21498378"/>
          <a:ext cx="87609" cy="92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106928</xdr:colOff>
      <xdr:row>74</xdr:row>
      <xdr:rowOff>184631</xdr:rowOff>
    </xdr:from>
    <xdr:to>
      <xdr:col>14</xdr:col>
      <xdr:colOff>203429</xdr:colOff>
      <xdr:row>75</xdr:row>
      <xdr:rowOff>42846</xdr:rowOff>
    </xdr:to>
    <xdr:cxnSp macro="">
      <xdr:nvCxnSpPr>
        <xdr:cNvPr id="123" name="直線コネクタ 122">
          <a:extLst>
            <a:ext uri="{FF2B5EF4-FFF2-40B4-BE49-F238E27FC236}">
              <a16:creationId xmlns:a16="http://schemas.microsoft.com/office/drawing/2014/main" id="{F61559C7-1E9D-AEF3-F0B4-AF165BD73861}"/>
            </a:ext>
          </a:extLst>
        </xdr:cNvPr>
        <xdr:cNvCxnSpPr/>
      </xdr:nvCxnSpPr>
      <xdr:spPr>
        <a:xfrm>
          <a:off x="3500209" y="21496819"/>
          <a:ext cx="96501" cy="963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107843</xdr:colOff>
      <xdr:row>74</xdr:row>
      <xdr:rowOff>232357</xdr:rowOff>
    </xdr:from>
    <xdr:to>
      <xdr:col>14</xdr:col>
      <xdr:colOff>143288</xdr:colOff>
      <xdr:row>75</xdr:row>
      <xdr:rowOff>24957</xdr:rowOff>
    </xdr:to>
    <xdr:cxnSp macro="">
      <xdr:nvCxnSpPr>
        <xdr:cNvPr id="124" name="直線コネクタ 123">
          <a:extLst>
            <a:ext uri="{FF2B5EF4-FFF2-40B4-BE49-F238E27FC236}">
              <a16:creationId xmlns:a16="http://schemas.microsoft.com/office/drawing/2014/main" id="{322E28CB-908D-7ABC-3ED2-0E3882216F47}"/>
            </a:ext>
          </a:extLst>
        </xdr:cNvPr>
        <xdr:cNvCxnSpPr/>
      </xdr:nvCxnSpPr>
      <xdr:spPr>
        <a:xfrm flipH="1">
          <a:off x="3501124" y="21544545"/>
          <a:ext cx="35445" cy="30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131916</xdr:colOff>
      <xdr:row>75</xdr:row>
      <xdr:rowOff>18233</xdr:rowOff>
    </xdr:from>
    <xdr:to>
      <xdr:col>14</xdr:col>
      <xdr:colOff>163572</xdr:colOff>
      <xdr:row>75</xdr:row>
      <xdr:rowOff>42156</xdr:rowOff>
    </xdr:to>
    <xdr:cxnSp macro="">
      <xdr:nvCxnSpPr>
        <xdr:cNvPr id="125" name="直線コネクタ 124">
          <a:extLst>
            <a:ext uri="{FF2B5EF4-FFF2-40B4-BE49-F238E27FC236}">
              <a16:creationId xmlns:a16="http://schemas.microsoft.com/office/drawing/2014/main" id="{B1F48015-138F-A991-7D81-AAB9616A35C4}"/>
            </a:ext>
          </a:extLst>
        </xdr:cNvPr>
        <xdr:cNvCxnSpPr/>
      </xdr:nvCxnSpPr>
      <xdr:spPr>
        <a:xfrm flipH="1">
          <a:off x="3525197" y="21568546"/>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8450</xdr:colOff>
      <xdr:row>74</xdr:row>
      <xdr:rowOff>190657</xdr:rowOff>
    </xdr:from>
    <xdr:to>
      <xdr:col>14</xdr:col>
      <xdr:colOff>98815</xdr:colOff>
      <xdr:row>75</xdr:row>
      <xdr:rowOff>46397</xdr:rowOff>
    </xdr:to>
    <xdr:cxnSp macro="">
      <xdr:nvCxnSpPr>
        <xdr:cNvPr id="126" name="直線コネクタ 125">
          <a:extLst>
            <a:ext uri="{FF2B5EF4-FFF2-40B4-BE49-F238E27FC236}">
              <a16:creationId xmlns:a16="http://schemas.microsoft.com/office/drawing/2014/main" id="{B9B4B320-AF08-916A-6FE3-4F0E020E1F2B}"/>
            </a:ext>
          </a:extLst>
        </xdr:cNvPr>
        <xdr:cNvCxnSpPr/>
      </xdr:nvCxnSpPr>
      <xdr:spPr>
        <a:xfrm>
          <a:off x="3401731" y="21502845"/>
          <a:ext cx="90365" cy="938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192453</xdr:colOff>
      <xdr:row>74</xdr:row>
      <xdr:rowOff>192501</xdr:rowOff>
    </xdr:from>
    <xdr:to>
      <xdr:col>14</xdr:col>
      <xdr:colOff>57681</xdr:colOff>
      <xdr:row>75</xdr:row>
      <xdr:rowOff>48241</xdr:rowOff>
    </xdr:to>
    <xdr:cxnSp macro="">
      <xdr:nvCxnSpPr>
        <xdr:cNvPr id="127" name="直線コネクタ 126">
          <a:extLst>
            <a:ext uri="{FF2B5EF4-FFF2-40B4-BE49-F238E27FC236}">
              <a16:creationId xmlns:a16="http://schemas.microsoft.com/office/drawing/2014/main" id="{7C388D05-C18C-92FD-5281-945FE7461AFE}"/>
            </a:ext>
          </a:extLst>
        </xdr:cNvPr>
        <xdr:cNvCxnSpPr/>
      </xdr:nvCxnSpPr>
      <xdr:spPr>
        <a:xfrm>
          <a:off x="3359516" y="21504689"/>
          <a:ext cx="91446" cy="938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192489</xdr:colOff>
      <xdr:row>75</xdr:row>
      <xdr:rowOff>2102</xdr:rowOff>
    </xdr:from>
    <xdr:to>
      <xdr:col>13</xdr:col>
      <xdr:colOff>218112</xdr:colOff>
      <xdr:row>75</xdr:row>
      <xdr:rowOff>32828</xdr:rowOff>
    </xdr:to>
    <xdr:cxnSp macro="">
      <xdr:nvCxnSpPr>
        <xdr:cNvPr id="128" name="直線コネクタ 127">
          <a:extLst>
            <a:ext uri="{FF2B5EF4-FFF2-40B4-BE49-F238E27FC236}">
              <a16:creationId xmlns:a16="http://schemas.microsoft.com/office/drawing/2014/main" id="{6777C242-E041-1172-8F27-D1AF93704E3A}"/>
            </a:ext>
          </a:extLst>
        </xdr:cNvPr>
        <xdr:cNvCxnSpPr/>
      </xdr:nvCxnSpPr>
      <xdr:spPr>
        <a:xfrm flipH="1">
          <a:off x="3359552" y="21552415"/>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212773</xdr:colOff>
      <xdr:row>75</xdr:row>
      <xdr:rowOff>19299</xdr:rowOff>
    </xdr:from>
    <xdr:to>
      <xdr:col>14</xdr:col>
      <xdr:colOff>12178</xdr:colOff>
      <xdr:row>75</xdr:row>
      <xdr:rowOff>47551</xdr:rowOff>
    </xdr:to>
    <xdr:cxnSp macro="">
      <xdr:nvCxnSpPr>
        <xdr:cNvPr id="129" name="直線コネクタ 128">
          <a:extLst>
            <a:ext uri="{FF2B5EF4-FFF2-40B4-BE49-F238E27FC236}">
              <a16:creationId xmlns:a16="http://schemas.microsoft.com/office/drawing/2014/main" id="{A2A1A13E-7A02-2C82-FBDB-1E39A3A4F3E7}"/>
            </a:ext>
          </a:extLst>
        </xdr:cNvPr>
        <xdr:cNvCxnSpPr/>
      </xdr:nvCxnSpPr>
      <xdr:spPr>
        <a:xfrm flipH="1">
          <a:off x="3379836" y="21569612"/>
          <a:ext cx="25623"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215334</xdr:colOff>
      <xdr:row>77</xdr:row>
      <xdr:rowOff>5746</xdr:rowOff>
    </xdr:from>
    <xdr:to>
      <xdr:col>24</xdr:col>
      <xdr:colOff>4082</xdr:colOff>
      <xdr:row>77</xdr:row>
      <xdr:rowOff>5746</xdr:rowOff>
    </xdr:to>
    <xdr:cxnSp macro="">
      <xdr:nvCxnSpPr>
        <xdr:cNvPr id="135" name="直線コネクタ 134">
          <a:extLst>
            <a:ext uri="{FF2B5EF4-FFF2-40B4-BE49-F238E27FC236}">
              <a16:creationId xmlns:a16="http://schemas.microsoft.com/office/drawing/2014/main" id="{DC76934A-5047-2044-211D-69B7AC455705}"/>
            </a:ext>
          </a:extLst>
        </xdr:cNvPr>
        <xdr:cNvCxnSpPr/>
      </xdr:nvCxnSpPr>
      <xdr:spPr>
        <a:xfrm>
          <a:off x="2025084" y="22032309"/>
          <a:ext cx="363446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93246</xdr:colOff>
      <xdr:row>74</xdr:row>
      <xdr:rowOff>161354</xdr:rowOff>
    </xdr:from>
    <xdr:to>
      <xdr:col>21</xdr:col>
      <xdr:colOff>214992</xdr:colOff>
      <xdr:row>74</xdr:row>
      <xdr:rowOff>161354</xdr:rowOff>
    </xdr:to>
    <xdr:cxnSp macro="">
      <xdr:nvCxnSpPr>
        <xdr:cNvPr id="7" name="直線コネクタ 6">
          <a:extLst>
            <a:ext uri="{FF2B5EF4-FFF2-40B4-BE49-F238E27FC236}">
              <a16:creationId xmlns:a16="http://schemas.microsoft.com/office/drawing/2014/main" id="{197AA074-BB43-49D4-9E8E-F2AA7757FAF9}"/>
            </a:ext>
          </a:extLst>
        </xdr:cNvPr>
        <xdr:cNvCxnSpPr/>
      </xdr:nvCxnSpPr>
      <xdr:spPr>
        <a:xfrm>
          <a:off x="3938965" y="21473542"/>
          <a:ext cx="125284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115959</xdr:colOff>
      <xdr:row>72</xdr:row>
      <xdr:rowOff>69355</xdr:rowOff>
    </xdr:from>
    <xdr:to>
      <xdr:col>22</xdr:col>
      <xdr:colOff>142875</xdr:colOff>
      <xdr:row>73</xdr:row>
      <xdr:rowOff>83343</xdr:rowOff>
    </xdr:to>
    <xdr:sp macro="" textlink="">
      <xdr:nvSpPr>
        <xdr:cNvPr id="9" name="テキスト ボックス 8">
          <a:extLst>
            <a:ext uri="{FF2B5EF4-FFF2-40B4-BE49-F238E27FC236}">
              <a16:creationId xmlns:a16="http://schemas.microsoft.com/office/drawing/2014/main" id="{2CF25755-12F3-15A3-F7A2-4F9BD07B0029}"/>
            </a:ext>
          </a:extLst>
        </xdr:cNvPr>
        <xdr:cNvSpPr txBox="1"/>
      </xdr:nvSpPr>
      <xdr:spPr>
        <a:xfrm>
          <a:off x="4640334" y="20905293"/>
          <a:ext cx="705572" cy="252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１層</a:t>
          </a:r>
        </a:p>
      </xdr:txBody>
    </xdr:sp>
    <xdr:clientData/>
  </xdr:twoCellAnchor>
  <xdr:twoCellAnchor>
    <xdr:from>
      <xdr:col>19</xdr:col>
      <xdr:colOff>115958</xdr:colOff>
      <xdr:row>75</xdr:row>
      <xdr:rowOff>73759</xdr:rowOff>
    </xdr:from>
    <xdr:to>
      <xdr:col>22</xdr:col>
      <xdr:colOff>202406</xdr:colOff>
      <xdr:row>76</xdr:row>
      <xdr:rowOff>83343</xdr:rowOff>
    </xdr:to>
    <xdr:sp macro="" textlink="">
      <xdr:nvSpPr>
        <xdr:cNvPr id="10" name="テキスト ボックス 9">
          <a:extLst>
            <a:ext uri="{FF2B5EF4-FFF2-40B4-BE49-F238E27FC236}">
              <a16:creationId xmlns:a16="http://schemas.microsoft.com/office/drawing/2014/main" id="{5DEC76B9-E8FC-C91E-DF02-BC68EDA59456}"/>
            </a:ext>
          </a:extLst>
        </xdr:cNvPr>
        <xdr:cNvSpPr txBox="1"/>
      </xdr:nvSpPr>
      <xdr:spPr>
        <a:xfrm>
          <a:off x="4640333" y="21624072"/>
          <a:ext cx="765104" cy="24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２層</a:t>
          </a:r>
        </a:p>
      </xdr:txBody>
    </xdr:sp>
    <xdr:clientData/>
  </xdr:twoCellAnchor>
  <xdr:twoCellAnchor>
    <xdr:from>
      <xdr:col>11</xdr:col>
      <xdr:colOff>146845</xdr:colOff>
      <xdr:row>72</xdr:row>
      <xdr:rowOff>99166</xdr:rowOff>
    </xdr:from>
    <xdr:to>
      <xdr:col>15</xdr:col>
      <xdr:colOff>78879</xdr:colOff>
      <xdr:row>72</xdr:row>
      <xdr:rowOff>99166</xdr:rowOff>
    </xdr:to>
    <xdr:cxnSp macro="">
      <xdr:nvCxnSpPr>
        <xdr:cNvPr id="133" name="直線コネクタ 132">
          <a:extLst>
            <a:ext uri="{FF2B5EF4-FFF2-40B4-BE49-F238E27FC236}">
              <a16:creationId xmlns:a16="http://schemas.microsoft.com/office/drawing/2014/main" id="{8DC5D0A3-036B-4B49-A4D0-55C380C8A469}"/>
            </a:ext>
          </a:extLst>
        </xdr:cNvPr>
        <xdr:cNvCxnSpPr/>
      </xdr:nvCxnSpPr>
      <xdr:spPr>
        <a:xfrm>
          <a:off x="2861470" y="20935104"/>
          <a:ext cx="836909"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11</xdr:col>
      <xdr:colOff>136819</xdr:colOff>
      <xdr:row>73</xdr:row>
      <xdr:rowOff>9919</xdr:rowOff>
    </xdr:from>
    <xdr:to>
      <xdr:col>15</xdr:col>
      <xdr:colOff>66472</xdr:colOff>
      <xdr:row>73</xdr:row>
      <xdr:rowOff>9919</xdr:rowOff>
    </xdr:to>
    <xdr:cxnSp macro="">
      <xdr:nvCxnSpPr>
        <xdr:cNvPr id="134" name="直線コネクタ 133">
          <a:extLst>
            <a:ext uri="{FF2B5EF4-FFF2-40B4-BE49-F238E27FC236}">
              <a16:creationId xmlns:a16="http://schemas.microsoft.com/office/drawing/2014/main" id="{2D97A0C0-7899-45FE-830D-0BD474BB6FEB}"/>
            </a:ext>
          </a:extLst>
        </xdr:cNvPr>
        <xdr:cNvCxnSpPr/>
      </xdr:nvCxnSpPr>
      <xdr:spPr>
        <a:xfrm>
          <a:off x="2851444" y="21083982"/>
          <a:ext cx="834528"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74493</xdr:colOff>
      <xdr:row>72</xdr:row>
      <xdr:rowOff>104062</xdr:rowOff>
    </xdr:from>
    <xdr:to>
      <xdr:col>15</xdr:col>
      <xdr:colOff>74493</xdr:colOff>
      <xdr:row>73</xdr:row>
      <xdr:rowOff>10304</xdr:rowOff>
    </xdr:to>
    <xdr:cxnSp macro="">
      <xdr:nvCxnSpPr>
        <xdr:cNvPr id="136" name="直線コネクタ 135">
          <a:extLst>
            <a:ext uri="{FF2B5EF4-FFF2-40B4-BE49-F238E27FC236}">
              <a16:creationId xmlns:a16="http://schemas.microsoft.com/office/drawing/2014/main" id="{EEBE7D9E-B2F5-49D8-AB31-BC00378B5D0D}"/>
            </a:ext>
          </a:extLst>
        </xdr:cNvPr>
        <xdr:cNvCxnSpPr/>
      </xdr:nvCxnSpPr>
      <xdr:spPr>
        <a:xfrm>
          <a:off x="3693993" y="20940000"/>
          <a:ext cx="0" cy="144367"/>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104088</xdr:colOff>
      <xdr:row>72</xdr:row>
      <xdr:rowOff>93857</xdr:rowOff>
    </xdr:from>
    <xdr:to>
      <xdr:col>15</xdr:col>
      <xdr:colOff>104088</xdr:colOff>
      <xdr:row>73</xdr:row>
      <xdr:rowOff>24090</xdr:rowOff>
    </xdr:to>
    <xdr:cxnSp macro="">
      <xdr:nvCxnSpPr>
        <xdr:cNvPr id="137" name="直線コネクタ 136">
          <a:extLst>
            <a:ext uri="{FF2B5EF4-FFF2-40B4-BE49-F238E27FC236}">
              <a16:creationId xmlns:a16="http://schemas.microsoft.com/office/drawing/2014/main" id="{0CCEDFAE-E42D-473E-9E7D-612CEA9AAB63}"/>
            </a:ext>
          </a:extLst>
        </xdr:cNvPr>
        <xdr:cNvCxnSpPr/>
      </xdr:nvCxnSpPr>
      <xdr:spPr>
        <a:xfrm>
          <a:off x="3723588" y="20929795"/>
          <a:ext cx="0" cy="168358"/>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16725</xdr:colOff>
      <xdr:row>72</xdr:row>
      <xdr:rowOff>93857</xdr:rowOff>
    </xdr:from>
    <xdr:to>
      <xdr:col>16</xdr:col>
      <xdr:colOff>16725</xdr:colOff>
      <xdr:row>73</xdr:row>
      <xdr:rowOff>24090</xdr:rowOff>
    </xdr:to>
    <xdr:cxnSp macro="">
      <xdr:nvCxnSpPr>
        <xdr:cNvPr id="138" name="直線コネクタ 137">
          <a:extLst>
            <a:ext uri="{FF2B5EF4-FFF2-40B4-BE49-F238E27FC236}">
              <a16:creationId xmlns:a16="http://schemas.microsoft.com/office/drawing/2014/main" id="{5D6A88E4-1220-4F65-BD17-3D2B84762D2B}"/>
            </a:ext>
          </a:extLst>
        </xdr:cNvPr>
        <xdr:cNvCxnSpPr/>
      </xdr:nvCxnSpPr>
      <xdr:spPr>
        <a:xfrm>
          <a:off x="3862444" y="20929795"/>
          <a:ext cx="0" cy="168358"/>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103018</xdr:colOff>
      <xdr:row>72</xdr:row>
      <xdr:rowOff>183540</xdr:rowOff>
    </xdr:from>
    <xdr:to>
      <xdr:col>16</xdr:col>
      <xdr:colOff>12254</xdr:colOff>
      <xdr:row>72</xdr:row>
      <xdr:rowOff>183540</xdr:rowOff>
    </xdr:to>
    <xdr:cxnSp macro="">
      <xdr:nvCxnSpPr>
        <xdr:cNvPr id="139" name="直線コネクタ 138">
          <a:extLst>
            <a:ext uri="{FF2B5EF4-FFF2-40B4-BE49-F238E27FC236}">
              <a16:creationId xmlns:a16="http://schemas.microsoft.com/office/drawing/2014/main" id="{D50DA24E-6AAE-4B44-AC39-799D9FDAA598}"/>
            </a:ext>
          </a:extLst>
        </xdr:cNvPr>
        <xdr:cNvCxnSpPr/>
      </xdr:nvCxnSpPr>
      <xdr:spPr>
        <a:xfrm>
          <a:off x="3722518" y="21019478"/>
          <a:ext cx="135455"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17</xdr:col>
      <xdr:colOff>21771</xdr:colOff>
      <xdr:row>74</xdr:row>
      <xdr:rowOff>155770</xdr:rowOff>
    </xdr:from>
    <xdr:to>
      <xdr:col>17</xdr:col>
      <xdr:colOff>202406</xdr:colOff>
      <xdr:row>77</xdr:row>
      <xdr:rowOff>11906</xdr:rowOff>
    </xdr:to>
    <xdr:cxnSp macro="">
      <xdr:nvCxnSpPr>
        <xdr:cNvPr id="6" name="直線コネクタ 5">
          <a:extLst>
            <a:ext uri="{FF2B5EF4-FFF2-40B4-BE49-F238E27FC236}">
              <a16:creationId xmlns:a16="http://schemas.microsoft.com/office/drawing/2014/main" id="{B80E17F3-E04D-4F0C-8385-3621A5658A3C}"/>
            </a:ext>
          </a:extLst>
        </xdr:cNvPr>
        <xdr:cNvCxnSpPr/>
      </xdr:nvCxnSpPr>
      <xdr:spPr>
        <a:xfrm>
          <a:off x="4093709" y="21467958"/>
          <a:ext cx="180635" cy="57051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98535</xdr:colOff>
      <xdr:row>76</xdr:row>
      <xdr:rowOff>228389</xdr:rowOff>
    </xdr:from>
    <xdr:to>
      <xdr:col>8</xdr:col>
      <xdr:colOff>134655</xdr:colOff>
      <xdr:row>77</xdr:row>
      <xdr:rowOff>194675</xdr:rowOff>
    </xdr:to>
    <xdr:cxnSp macro="">
      <xdr:nvCxnSpPr>
        <xdr:cNvPr id="83" name="直線コネクタ 82">
          <a:extLst>
            <a:ext uri="{FF2B5EF4-FFF2-40B4-BE49-F238E27FC236}">
              <a16:creationId xmlns:a16="http://schemas.microsoft.com/office/drawing/2014/main" id="{CE91E8C8-9110-44CD-8E04-437C0F8A6EC7}"/>
            </a:ext>
          </a:extLst>
        </xdr:cNvPr>
        <xdr:cNvCxnSpPr/>
      </xdr:nvCxnSpPr>
      <xdr:spPr>
        <a:xfrm flipH="1">
          <a:off x="1937845" y="19928717"/>
          <a:ext cx="36120" cy="20276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31798</xdr:colOff>
      <xdr:row>75</xdr:row>
      <xdr:rowOff>187357</xdr:rowOff>
    </xdr:from>
    <xdr:to>
      <xdr:col>16</xdr:col>
      <xdr:colOff>93226</xdr:colOff>
      <xdr:row>76</xdr:row>
      <xdr:rowOff>213817</xdr:rowOff>
    </xdr:to>
    <xdr:sp macro="" textlink="">
      <xdr:nvSpPr>
        <xdr:cNvPr id="168" name="テキスト ボックス 167">
          <a:extLst>
            <a:ext uri="{FF2B5EF4-FFF2-40B4-BE49-F238E27FC236}">
              <a16:creationId xmlns:a16="http://schemas.microsoft.com/office/drawing/2014/main" id="{B677CE70-31A8-4898-9A19-3E1822096F1E}"/>
            </a:ext>
          </a:extLst>
        </xdr:cNvPr>
        <xdr:cNvSpPr txBox="1"/>
      </xdr:nvSpPr>
      <xdr:spPr>
        <a:xfrm>
          <a:off x="3665952" y="21926338"/>
          <a:ext cx="288562" cy="26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8</xdr:col>
      <xdr:colOff>124811</xdr:colOff>
      <xdr:row>77</xdr:row>
      <xdr:rowOff>7326</xdr:rowOff>
    </xdr:from>
    <xdr:to>
      <xdr:col>16</xdr:col>
      <xdr:colOff>80597</xdr:colOff>
      <xdr:row>77</xdr:row>
      <xdr:rowOff>197069</xdr:rowOff>
    </xdr:to>
    <xdr:cxnSp macro="">
      <xdr:nvCxnSpPr>
        <xdr:cNvPr id="169" name="直線コネクタ 168">
          <a:extLst>
            <a:ext uri="{FF2B5EF4-FFF2-40B4-BE49-F238E27FC236}">
              <a16:creationId xmlns:a16="http://schemas.microsoft.com/office/drawing/2014/main" id="{9E90ACB5-4D5E-93C0-9D18-C128A505066D}"/>
            </a:ext>
          </a:extLst>
        </xdr:cNvPr>
        <xdr:cNvCxnSpPr/>
      </xdr:nvCxnSpPr>
      <xdr:spPr>
        <a:xfrm flipV="1">
          <a:off x="1964121" y="19944136"/>
          <a:ext cx="1795097" cy="18974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206179</xdr:colOff>
      <xdr:row>76</xdr:row>
      <xdr:rowOff>178565</xdr:rowOff>
    </xdr:from>
    <xdr:to>
      <xdr:col>10</xdr:col>
      <xdr:colOff>40472</xdr:colOff>
      <xdr:row>77</xdr:row>
      <xdr:rowOff>205024</xdr:rowOff>
    </xdr:to>
    <xdr:sp macro="" textlink="">
      <xdr:nvSpPr>
        <xdr:cNvPr id="173" name="テキスト ボックス 172">
          <a:extLst>
            <a:ext uri="{FF2B5EF4-FFF2-40B4-BE49-F238E27FC236}">
              <a16:creationId xmlns:a16="http://schemas.microsoft.com/office/drawing/2014/main" id="{8D10B614-9F48-4C75-8103-DD30DCB60E4C}"/>
            </a:ext>
          </a:extLst>
        </xdr:cNvPr>
        <xdr:cNvSpPr txBox="1"/>
      </xdr:nvSpPr>
      <xdr:spPr>
        <a:xfrm>
          <a:off x="2250391" y="22159334"/>
          <a:ext cx="288562" cy="268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14</xdr:col>
      <xdr:colOff>209717</xdr:colOff>
      <xdr:row>76</xdr:row>
      <xdr:rowOff>197009</xdr:rowOff>
    </xdr:from>
    <xdr:to>
      <xdr:col>16</xdr:col>
      <xdr:colOff>44010</xdr:colOff>
      <xdr:row>77</xdr:row>
      <xdr:rowOff>218163</xdr:rowOff>
    </xdr:to>
    <xdr:sp macro="" textlink="">
      <xdr:nvSpPr>
        <xdr:cNvPr id="175" name="テキスト ボックス 174">
          <a:extLst>
            <a:ext uri="{FF2B5EF4-FFF2-40B4-BE49-F238E27FC236}">
              <a16:creationId xmlns:a16="http://schemas.microsoft.com/office/drawing/2014/main" id="{4ADD82B3-5305-92F0-E731-25079B9E468F}"/>
            </a:ext>
          </a:extLst>
        </xdr:cNvPr>
        <xdr:cNvSpPr txBox="1"/>
      </xdr:nvSpPr>
      <xdr:spPr>
        <a:xfrm>
          <a:off x="3428510" y="19897337"/>
          <a:ext cx="294121" cy="257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15</xdr:col>
      <xdr:colOff>217578</xdr:colOff>
      <xdr:row>223</xdr:row>
      <xdr:rowOff>20316</xdr:rowOff>
    </xdr:from>
    <xdr:to>
      <xdr:col>23</xdr:col>
      <xdr:colOff>163524</xdr:colOff>
      <xdr:row>223</xdr:row>
      <xdr:rowOff>20316</xdr:rowOff>
    </xdr:to>
    <xdr:cxnSp macro="">
      <xdr:nvCxnSpPr>
        <xdr:cNvPr id="4" name="直線コネクタ 3">
          <a:extLst>
            <a:ext uri="{FF2B5EF4-FFF2-40B4-BE49-F238E27FC236}">
              <a16:creationId xmlns:a16="http://schemas.microsoft.com/office/drawing/2014/main" id="{445AE649-3267-4398-9CB1-55DE390489CD}"/>
            </a:ext>
          </a:extLst>
        </xdr:cNvPr>
        <xdr:cNvCxnSpPr/>
      </xdr:nvCxnSpPr>
      <xdr:spPr>
        <a:xfrm>
          <a:off x="3803460" y="54066287"/>
          <a:ext cx="173888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194632</xdr:colOff>
      <xdr:row>223</xdr:row>
      <xdr:rowOff>31433</xdr:rowOff>
    </xdr:from>
    <xdr:to>
      <xdr:col>20</xdr:col>
      <xdr:colOff>63714</xdr:colOff>
      <xdr:row>223</xdr:row>
      <xdr:rowOff>94923</xdr:rowOff>
    </xdr:to>
    <xdr:cxnSp macro="">
      <xdr:nvCxnSpPr>
        <xdr:cNvPr id="5" name="直線コネクタ 4">
          <a:extLst>
            <a:ext uri="{FF2B5EF4-FFF2-40B4-BE49-F238E27FC236}">
              <a16:creationId xmlns:a16="http://schemas.microsoft.com/office/drawing/2014/main" id="{1CA335C4-445F-45ED-BD69-C635C3CCBFCE}"/>
            </a:ext>
          </a:extLst>
        </xdr:cNvPr>
        <xdr:cNvCxnSpPr/>
      </xdr:nvCxnSpPr>
      <xdr:spPr>
        <a:xfrm>
          <a:off x="4676985" y="54077404"/>
          <a:ext cx="93200"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147314</xdr:colOff>
      <xdr:row>223</xdr:row>
      <xdr:rowOff>33277</xdr:rowOff>
    </xdr:from>
    <xdr:to>
      <xdr:col>20</xdr:col>
      <xdr:colOff>11293</xdr:colOff>
      <xdr:row>223</xdr:row>
      <xdr:rowOff>106292</xdr:rowOff>
    </xdr:to>
    <xdr:cxnSp macro="">
      <xdr:nvCxnSpPr>
        <xdr:cNvPr id="8" name="直線コネクタ 7">
          <a:extLst>
            <a:ext uri="{FF2B5EF4-FFF2-40B4-BE49-F238E27FC236}">
              <a16:creationId xmlns:a16="http://schemas.microsoft.com/office/drawing/2014/main" id="{B0F8A6E6-F9F1-4FE8-A9E2-1A17BEE77A08}"/>
            </a:ext>
          </a:extLst>
        </xdr:cNvPr>
        <xdr:cNvCxnSpPr/>
      </xdr:nvCxnSpPr>
      <xdr:spPr>
        <a:xfrm>
          <a:off x="4629667" y="54079248"/>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147350</xdr:colOff>
      <xdr:row>223</xdr:row>
      <xdr:rowOff>68816</xdr:rowOff>
    </xdr:from>
    <xdr:to>
      <xdr:col>19</xdr:col>
      <xdr:colOff>178076</xdr:colOff>
      <xdr:row>223</xdr:row>
      <xdr:rowOff>90017</xdr:rowOff>
    </xdr:to>
    <xdr:cxnSp macro="">
      <xdr:nvCxnSpPr>
        <xdr:cNvPr id="11" name="直線コネクタ 10">
          <a:extLst>
            <a:ext uri="{FF2B5EF4-FFF2-40B4-BE49-F238E27FC236}">
              <a16:creationId xmlns:a16="http://schemas.microsoft.com/office/drawing/2014/main" id="{C84B5B87-CA6B-4B1D-A48F-BC62ED09826A}"/>
            </a:ext>
          </a:extLst>
        </xdr:cNvPr>
        <xdr:cNvCxnSpPr/>
      </xdr:nvCxnSpPr>
      <xdr:spPr>
        <a:xfrm flipH="1">
          <a:off x="4629703" y="54114787"/>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168767</xdr:colOff>
      <xdr:row>223</xdr:row>
      <xdr:rowOff>86014</xdr:rowOff>
    </xdr:from>
    <xdr:to>
      <xdr:col>19</xdr:col>
      <xdr:colOff>199443</xdr:colOff>
      <xdr:row>223</xdr:row>
      <xdr:rowOff>96082</xdr:rowOff>
    </xdr:to>
    <xdr:cxnSp macro="">
      <xdr:nvCxnSpPr>
        <xdr:cNvPr id="12" name="直線コネクタ 11">
          <a:extLst>
            <a:ext uri="{FF2B5EF4-FFF2-40B4-BE49-F238E27FC236}">
              <a16:creationId xmlns:a16="http://schemas.microsoft.com/office/drawing/2014/main" id="{E4A14C0D-D114-4CE3-9808-15B86F92E19C}"/>
            </a:ext>
          </a:extLst>
        </xdr:cNvPr>
        <xdr:cNvCxnSpPr/>
      </xdr:nvCxnSpPr>
      <xdr:spPr>
        <a:xfrm flipH="1">
          <a:off x="4651120" y="54131985"/>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118981</xdr:colOff>
      <xdr:row>223</xdr:row>
      <xdr:rowOff>25584</xdr:rowOff>
    </xdr:from>
    <xdr:to>
      <xdr:col>20</xdr:col>
      <xdr:colOff>209504</xdr:colOff>
      <xdr:row>223</xdr:row>
      <xdr:rowOff>99959</xdr:rowOff>
    </xdr:to>
    <xdr:cxnSp macro="">
      <xdr:nvCxnSpPr>
        <xdr:cNvPr id="23" name="直線コネクタ 22">
          <a:extLst>
            <a:ext uri="{FF2B5EF4-FFF2-40B4-BE49-F238E27FC236}">
              <a16:creationId xmlns:a16="http://schemas.microsoft.com/office/drawing/2014/main" id="{EDCEE629-94A6-40BC-A82D-2F4E66218AA1}"/>
            </a:ext>
          </a:extLst>
        </xdr:cNvPr>
        <xdr:cNvCxnSpPr/>
      </xdr:nvCxnSpPr>
      <xdr:spPr>
        <a:xfrm>
          <a:off x="4825452" y="54071555"/>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71663</xdr:colOff>
      <xdr:row>223</xdr:row>
      <xdr:rowOff>27428</xdr:rowOff>
    </xdr:from>
    <xdr:to>
      <xdr:col>20</xdr:col>
      <xdr:colOff>161105</xdr:colOff>
      <xdr:row>223</xdr:row>
      <xdr:rowOff>96608</xdr:rowOff>
    </xdr:to>
    <xdr:cxnSp macro="">
      <xdr:nvCxnSpPr>
        <xdr:cNvPr id="33" name="直線コネクタ 32">
          <a:extLst>
            <a:ext uri="{FF2B5EF4-FFF2-40B4-BE49-F238E27FC236}">
              <a16:creationId xmlns:a16="http://schemas.microsoft.com/office/drawing/2014/main" id="{2AB61A37-CD60-433F-9C8E-EC18482A8713}"/>
            </a:ext>
          </a:extLst>
        </xdr:cNvPr>
        <xdr:cNvCxnSpPr/>
      </xdr:nvCxnSpPr>
      <xdr:spPr>
        <a:xfrm>
          <a:off x="4778134" y="54073399"/>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71699</xdr:colOff>
      <xdr:row>223</xdr:row>
      <xdr:rowOff>54797</xdr:rowOff>
    </xdr:from>
    <xdr:to>
      <xdr:col>20</xdr:col>
      <xdr:colOff>102425</xdr:colOff>
      <xdr:row>223</xdr:row>
      <xdr:rowOff>95048</xdr:rowOff>
    </xdr:to>
    <xdr:cxnSp macro="">
      <xdr:nvCxnSpPr>
        <xdr:cNvPr id="41" name="直線コネクタ 40">
          <a:extLst>
            <a:ext uri="{FF2B5EF4-FFF2-40B4-BE49-F238E27FC236}">
              <a16:creationId xmlns:a16="http://schemas.microsoft.com/office/drawing/2014/main" id="{44FC6908-825E-4DDE-B803-C8C14BA6A58E}"/>
            </a:ext>
          </a:extLst>
        </xdr:cNvPr>
        <xdr:cNvCxnSpPr/>
      </xdr:nvCxnSpPr>
      <xdr:spPr>
        <a:xfrm flipH="1">
          <a:off x="4778170" y="54100768"/>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91983</xdr:colOff>
      <xdr:row>223</xdr:row>
      <xdr:rowOff>81520</xdr:rowOff>
    </xdr:from>
    <xdr:to>
      <xdr:col>20</xdr:col>
      <xdr:colOff>122709</xdr:colOff>
      <xdr:row>223</xdr:row>
      <xdr:rowOff>101113</xdr:rowOff>
    </xdr:to>
    <xdr:cxnSp macro="">
      <xdr:nvCxnSpPr>
        <xdr:cNvPr id="46" name="直線コネクタ 45">
          <a:extLst>
            <a:ext uri="{FF2B5EF4-FFF2-40B4-BE49-F238E27FC236}">
              <a16:creationId xmlns:a16="http://schemas.microsoft.com/office/drawing/2014/main" id="{9B4DE2FD-6C8D-4C8C-AB62-7534772A31A2}"/>
            </a:ext>
          </a:extLst>
        </xdr:cNvPr>
        <xdr:cNvCxnSpPr/>
      </xdr:nvCxnSpPr>
      <xdr:spPr>
        <a:xfrm flipH="1">
          <a:off x="4798454" y="54127491"/>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117224</xdr:colOff>
      <xdr:row>223</xdr:row>
      <xdr:rowOff>12355</xdr:rowOff>
    </xdr:from>
    <xdr:to>
      <xdr:col>19</xdr:col>
      <xdr:colOff>145894</xdr:colOff>
      <xdr:row>235</xdr:row>
      <xdr:rowOff>50619</xdr:rowOff>
    </xdr:to>
    <xdr:cxnSp macro="">
      <xdr:nvCxnSpPr>
        <xdr:cNvPr id="48" name="直線コネクタ 47">
          <a:extLst>
            <a:ext uri="{FF2B5EF4-FFF2-40B4-BE49-F238E27FC236}">
              <a16:creationId xmlns:a16="http://schemas.microsoft.com/office/drawing/2014/main" id="{2A0D1A20-9862-4B94-965E-CA6EE9E48102}"/>
            </a:ext>
          </a:extLst>
        </xdr:cNvPr>
        <xdr:cNvCxnSpPr/>
      </xdr:nvCxnSpPr>
      <xdr:spPr>
        <a:xfrm>
          <a:off x="3927224" y="54058326"/>
          <a:ext cx="701023" cy="286214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5255</xdr:colOff>
      <xdr:row>235</xdr:row>
      <xdr:rowOff>44050</xdr:rowOff>
    </xdr:from>
    <xdr:to>
      <xdr:col>19</xdr:col>
      <xdr:colOff>144723</xdr:colOff>
      <xdr:row>235</xdr:row>
      <xdr:rowOff>46505</xdr:rowOff>
    </xdr:to>
    <xdr:cxnSp macro="">
      <xdr:nvCxnSpPr>
        <xdr:cNvPr id="51" name="直線コネクタ 50">
          <a:extLst>
            <a:ext uri="{FF2B5EF4-FFF2-40B4-BE49-F238E27FC236}">
              <a16:creationId xmlns:a16="http://schemas.microsoft.com/office/drawing/2014/main" id="{B314466C-82A2-4C2A-BA9A-8EC79D1BE40C}"/>
            </a:ext>
          </a:extLst>
        </xdr:cNvPr>
        <xdr:cNvCxnSpPr/>
      </xdr:nvCxnSpPr>
      <xdr:spPr>
        <a:xfrm flipV="1">
          <a:off x="3815255" y="56913903"/>
          <a:ext cx="811821" cy="2455"/>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81747</xdr:colOff>
      <xdr:row>236</xdr:row>
      <xdr:rowOff>63236</xdr:rowOff>
    </xdr:from>
    <xdr:to>
      <xdr:col>11</xdr:col>
      <xdr:colOff>17315</xdr:colOff>
      <xdr:row>237</xdr:row>
      <xdr:rowOff>43580</xdr:rowOff>
    </xdr:to>
    <xdr:cxnSp macro="">
      <xdr:nvCxnSpPr>
        <xdr:cNvPr id="54" name="直線コネクタ 53">
          <a:extLst>
            <a:ext uri="{FF2B5EF4-FFF2-40B4-BE49-F238E27FC236}">
              <a16:creationId xmlns:a16="http://schemas.microsoft.com/office/drawing/2014/main" id="{1D69D97D-F0D1-4FDC-A493-7357A802C4C8}"/>
            </a:ext>
          </a:extLst>
        </xdr:cNvPr>
        <xdr:cNvCxnSpPr/>
      </xdr:nvCxnSpPr>
      <xdr:spPr>
        <a:xfrm flipH="1">
          <a:off x="2547041" y="57168412"/>
          <a:ext cx="159686" cy="21566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10</xdr:col>
      <xdr:colOff>81996</xdr:colOff>
      <xdr:row>237</xdr:row>
      <xdr:rowOff>55717</xdr:rowOff>
    </xdr:from>
    <xdr:to>
      <xdr:col>15</xdr:col>
      <xdr:colOff>208620</xdr:colOff>
      <xdr:row>237</xdr:row>
      <xdr:rowOff>55717</xdr:rowOff>
    </xdr:to>
    <xdr:cxnSp macro="">
      <xdr:nvCxnSpPr>
        <xdr:cNvPr id="62" name="直線コネクタ 61">
          <a:extLst>
            <a:ext uri="{FF2B5EF4-FFF2-40B4-BE49-F238E27FC236}">
              <a16:creationId xmlns:a16="http://schemas.microsoft.com/office/drawing/2014/main" id="{C83772F2-090F-4132-A99A-4D3C9D5C33AC}"/>
            </a:ext>
          </a:extLst>
        </xdr:cNvPr>
        <xdr:cNvCxnSpPr/>
      </xdr:nvCxnSpPr>
      <xdr:spPr>
        <a:xfrm>
          <a:off x="2344184" y="57360498"/>
          <a:ext cx="1257717"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13371</xdr:colOff>
      <xdr:row>223</xdr:row>
      <xdr:rowOff>20379</xdr:rowOff>
    </xdr:from>
    <xdr:to>
      <xdr:col>16</xdr:col>
      <xdr:colOff>117224</xdr:colOff>
      <xdr:row>223</xdr:row>
      <xdr:rowOff>20379</xdr:rowOff>
    </xdr:to>
    <xdr:cxnSp macro="">
      <xdr:nvCxnSpPr>
        <xdr:cNvPr id="63" name="直線コネクタ 62">
          <a:extLst>
            <a:ext uri="{FF2B5EF4-FFF2-40B4-BE49-F238E27FC236}">
              <a16:creationId xmlns:a16="http://schemas.microsoft.com/office/drawing/2014/main" id="{16EA83C1-F884-483B-A3FA-5415517160AC}"/>
            </a:ext>
          </a:extLst>
        </xdr:cNvPr>
        <xdr:cNvCxnSpPr/>
      </xdr:nvCxnSpPr>
      <xdr:spPr>
        <a:xfrm>
          <a:off x="3823371" y="54066350"/>
          <a:ext cx="10385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219575</xdr:colOff>
      <xdr:row>223</xdr:row>
      <xdr:rowOff>9262</xdr:rowOff>
    </xdr:from>
    <xdr:to>
      <xdr:col>15</xdr:col>
      <xdr:colOff>219575</xdr:colOff>
      <xdr:row>239</xdr:row>
      <xdr:rowOff>98986</xdr:rowOff>
    </xdr:to>
    <xdr:cxnSp macro="">
      <xdr:nvCxnSpPr>
        <xdr:cNvPr id="64" name="直線コネクタ 63">
          <a:extLst>
            <a:ext uri="{FF2B5EF4-FFF2-40B4-BE49-F238E27FC236}">
              <a16:creationId xmlns:a16="http://schemas.microsoft.com/office/drawing/2014/main" id="{BA0B6457-788D-4C87-933E-6491192EBFA7}"/>
            </a:ext>
          </a:extLst>
        </xdr:cNvPr>
        <xdr:cNvCxnSpPr/>
      </xdr:nvCxnSpPr>
      <xdr:spPr>
        <a:xfrm>
          <a:off x="3805457" y="54055233"/>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9070</xdr:colOff>
      <xdr:row>225</xdr:row>
      <xdr:rowOff>20688</xdr:rowOff>
    </xdr:from>
    <xdr:to>
      <xdr:col>23</xdr:col>
      <xdr:colOff>153999</xdr:colOff>
      <xdr:row>225</xdr:row>
      <xdr:rowOff>20688</xdr:rowOff>
    </xdr:to>
    <xdr:cxnSp macro="">
      <xdr:nvCxnSpPr>
        <xdr:cNvPr id="65" name="直線コネクタ 64">
          <a:extLst>
            <a:ext uri="{FF2B5EF4-FFF2-40B4-BE49-F238E27FC236}">
              <a16:creationId xmlns:a16="http://schemas.microsoft.com/office/drawing/2014/main" id="{A2BBED7B-3A4A-4FFB-AFB1-345D7A94AE85}"/>
            </a:ext>
          </a:extLst>
        </xdr:cNvPr>
        <xdr:cNvCxnSpPr/>
      </xdr:nvCxnSpPr>
      <xdr:spPr>
        <a:xfrm>
          <a:off x="3819070" y="54537306"/>
          <a:ext cx="171375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8970</xdr:colOff>
      <xdr:row>231</xdr:row>
      <xdr:rowOff>11205</xdr:rowOff>
    </xdr:from>
    <xdr:to>
      <xdr:col>18</xdr:col>
      <xdr:colOff>106052</xdr:colOff>
      <xdr:row>235</xdr:row>
      <xdr:rowOff>43802</xdr:rowOff>
    </xdr:to>
    <xdr:cxnSp macro="">
      <xdr:nvCxnSpPr>
        <xdr:cNvPr id="66" name="直線コネクタ 65">
          <a:extLst>
            <a:ext uri="{FF2B5EF4-FFF2-40B4-BE49-F238E27FC236}">
              <a16:creationId xmlns:a16="http://schemas.microsoft.com/office/drawing/2014/main" id="{B23A4062-9B05-40D1-BFBD-086F1DF0F3BE}"/>
            </a:ext>
          </a:extLst>
        </xdr:cNvPr>
        <xdr:cNvCxnSpPr/>
      </xdr:nvCxnSpPr>
      <xdr:spPr>
        <a:xfrm flipV="1">
          <a:off x="3818970" y="55939764"/>
          <a:ext cx="545317" cy="97389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80434</xdr:colOff>
      <xdr:row>231</xdr:row>
      <xdr:rowOff>123695</xdr:rowOff>
    </xdr:from>
    <xdr:to>
      <xdr:col>17</xdr:col>
      <xdr:colOff>133333</xdr:colOff>
      <xdr:row>232</xdr:row>
      <xdr:rowOff>163708</xdr:rowOff>
    </xdr:to>
    <xdr:sp macro="" textlink="">
      <xdr:nvSpPr>
        <xdr:cNvPr id="98" name="テキスト ボックス 97">
          <a:extLst>
            <a:ext uri="{FF2B5EF4-FFF2-40B4-BE49-F238E27FC236}">
              <a16:creationId xmlns:a16="http://schemas.microsoft.com/office/drawing/2014/main" id="{9D4E19CC-F501-462D-911C-77146444F4AD}"/>
            </a:ext>
          </a:extLst>
        </xdr:cNvPr>
        <xdr:cNvSpPr txBox="1"/>
      </xdr:nvSpPr>
      <xdr:spPr>
        <a:xfrm>
          <a:off x="3890434" y="56052254"/>
          <a:ext cx="277017" cy="275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17</xdr:col>
      <xdr:colOff>164446</xdr:colOff>
      <xdr:row>233</xdr:row>
      <xdr:rowOff>43370</xdr:rowOff>
    </xdr:from>
    <xdr:to>
      <xdr:col>19</xdr:col>
      <xdr:colOff>22383</xdr:colOff>
      <xdr:row>234</xdr:row>
      <xdr:rowOff>60816</xdr:rowOff>
    </xdr:to>
    <xdr:sp macro="" textlink="">
      <xdr:nvSpPr>
        <xdr:cNvPr id="111" name="テキスト ボックス 110">
          <a:extLst>
            <a:ext uri="{FF2B5EF4-FFF2-40B4-BE49-F238E27FC236}">
              <a16:creationId xmlns:a16="http://schemas.microsoft.com/office/drawing/2014/main" id="{31B38B09-9777-405B-9E98-293BF1A98175}"/>
            </a:ext>
          </a:extLst>
        </xdr:cNvPr>
        <xdr:cNvSpPr txBox="1"/>
      </xdr:nvSpPr>
      <xdr:spPr>
        <a:xfrm>
          <a:off x="4198564" y="56442576"/>
          <a:ext cx="306172" cy="252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11</xdr:col>
      <xdr:colOff>645</xdr:colOff>
      <xdr:row>235</xdr:row>
      <xdr:rowOff>222994</xdr:rowOff>
    </xdr:from>
    <xdr:to>
      <xdr:col>12</xdr:col>
      <xdr:colOff>69452</xdr:colOff>
      <xdr:row>237</xdr:row>
      <xdr:rowOff>1118</xdr:rowOff>
    </xdr:to>
    <xdr:sp macro="" textlink="">
      <xdr:nvSpPr>
        <xdr:cNvPr id="112" name="テキスト ボックス 111">
          <a:extLst>
            <a:ext uri="{FF2B5EF4-FFF2-40B4-BE49-F238E27FC236}">
              <a16:creationId xmlns:a16="http://schemas.microsoft.com/office/drawing/2014/main" id="{31EB69B8-42FB-489B-AE28-7CF96A32FB10}"/>
            </a:ext>
          </a:extLst>
        </xdr:cNvPr>
        <xdr:cNvSpPr txBox="1"/>
      </xdr:nvSpPr>
      <xdr:spPr>
        <a:xfrm>
          <a:off x="2690057" y="57092847"/>
          <a:ext cx="292924" cy="24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14</xdr:col>
      <xdr:colOff>160947</xdr:colOff>
      <xdr:row>236</xdr:row>
      <xdr:rowOff>11600</xdr:rowOff>
    </xdr:from>
    <xdr:to>
      <xdr:col>15</xdr:col>
      <xdr:colOff>220023</xdr:colOff>
      <xdr:row>237</xdr:row>
      <xdr:rowOff>54311</xdr:rowOff>
    </xdr:to>
    <xdr:sp macro="" textlink="">
      <xdr:nvSpPr>
        <xdr:cNvPr id="114" name="テキスト ボックス 113">
          <a:extLst>
            <a:ext uri="{FF2B5EF4-FFF2-40B4-BE49-F238E27FC236}">
              <a16:creationId xmlns:a16="http://schemas.microsoft.com/office/drawing/2014/main" id="{DE50AB66-70C4-4C99-A2A7-D10D1BD7FFF5}"/>
            </a:ext>
          </a:extLst>
        </xdr:cNvPr>
        <xdr:cNvSpPr txBox="1"/>
      </xdr:nvSpPr>
      <xdr:spPr>
        <a:xfrm>
          <a:off x="3522712" y="57116776"/>
          <a:ext cx="283193" cy="278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21</xdr:col>
      <xdr:colOff>185462</xdr:colOff>
      <xdr:row>223</xdr:row>
      <xdr:rowOff>128965</xdr:rowOff>
    </xdr:from>
    <xdr:to>
      <xdr:col>24</xdr:col>
      <xdr:colOff>55067</xdr:colOff>
      <xdr:row>224</xdr:row>
      <xdr:rowOff>134908</xdr:rowOff>
    </xdr:to>
    <xdr:sp macro="" textlink="">
      <xdr:nvSpPr>
        <xdr:cNvPr id="130" name="テキスト ボックス 129">
          <a:extLst>
            <a:ext uri="{FF2B5EF4-FFF2-40B4-BE49-F238E27FC236}">
              <a16:creationId xmlns:a16="http://schemas.microsoft.com/office/drawing/2014/main" id="{7E80A74E-6404-48E3-B118-2951CC434C94}"/>
            </a:ext>
          </a:extLst>
        </xdr:cNvPr>
        <xdr:cNvSpPr txBox="1"/>
      </xdr:nvSpPr>
      <xdr:spPr>
        <a:xfrm>
          <a:off x="5116050" y="54174936"/>
          <a:ext cx="541958"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21</xdr:col>
      <xdr:colOff>197830</xdr:colOff>
      <xdr:row>230</xdr:row>
      <xdr:rowOff>53246</xdr:rowOff>
    </xdr:from>
    <xdr:to>
      <xdr:col>24</xdr:col>
      <xdr:colOff>76925</xdr:colOff>
      <xdr:row>231</xdr:row>
      <xdr:rowOff>62730</xdr:rowOff>
    </xdr:to>
    <xdr:sp macro="" textlink="">
      <xdr:nvSpPr>
        <xdr:cNvPr id="131" name="テキスト ボックス 130">
          <a:extLst>
            <a:ext uri="{FF2B5EF4-FFF2-40B4-BE49-F238E27FC236}">
              <a16:creationId xmlns:a16="http://schemas.microsoft.com/office/drawing/2014/main" id="{CBA955D9-EA05-4866-9FD1-95566E50C3A0}"/>
            </a:ext>
          </a:extLst>
        </xdr:cNvPr>
        <xdr:cNvSpPr txBox="1"/>
      </xdr:nvSpPr>
      <xdr:spPr>
        <a:xfrm>
          <a:off x="5128418" y="55746481"/>
          <a:ext cx="551448" cy="244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15</xdr:col>
      <xdr:colOff>203235</xdr:colOff>
      <xdr:row>236</xdr:row>
      <xdr:rowOff>45074</xdr:rowOff>
    </xdr:from>
    <xdr:to>
      <xdr:col>23</xdr:col>
      <xdr:colOff>213871</xdr:colOff>
      <xdr:row>236</xdr:row>
      <xdr:rowOff>45074</xdr:rowOff>
    </xdr:to>
    <xdr:cxnSp macro="">
      <xdr:nvCxnSpPr>
        <xdr:cNvPr id="132" name="直線コネクタ 131">
          <a:extLst>
            <a:ext uri="{FF2B5EF4-FFF2-40B4-BE49-F238E27FC236}">
              <a16:creationId xmlns:a16="http://schemas.microsoft.com/office/drawing/2014/main" id="{513AA0EC-A0D5-4D06-8204-5B9964013A5D}"/>
            </a:ext>
          </a:extLst>
        </xdr:cNvPr>
        <xdr:cNvCxnSpPr/>
      </xdr:nvCxnSpPr>
      <xdr:spPr>
        <a:xfrm>
          <a:off x="3789117" y="57150250"/>
          <a:ext cx="180357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190072</xdr:colOff>
      <xdr:row>234</xdr:row>
      <xdr:rowOff>230864</xdr:rowOff>
    </xdr:from>
    <xdr:to>
      <xdr:col>24</xdr:col>
      <xdr:colOff>69167</xdr:colOff>
      <xdr:row>236</xdr:row>
      <xdr:rowOff>24945</xdr:rowOff>
    </xdr:to>
    <xdr:sp macro="" textlink="">
      <xdr:nvSpPr>
        <xdr:cNvPr id="140" name="テキスト ボックス 139">
          <a:extLst>
            <a:ext uri="{FF2B5EF4-FFF2-40B4-BE49-F238E27FC236}">
              <a16:creationId xmlns:a16="http://schemas.microsoft.com/office/drawing/2014/main" id="{84A9F008-BDA1-4A74-935F-DAA62E16D13F}"/>
            </a:ext>
          </a:extLst>
        </xdr:cNvPr>
        <xdr:cNvSpPr txBox="1"/>
      </xdr:nvSpPr>
      <xdr:spPr>
        <a:xfrm>
          <a:off x="5120660" y="56865393"/>
          <a:ext cx="551448" cy="26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21</xdr:col>
      <xdr:colOff>190072</xdr:colOff>
      <xdr:row>236</xdr:row>
      <xdr:rowOff>139575</xdr:rowOff>
    </xdr:from>
    <xdr:to>
      <xdr:col>24</xdr:col>
      <xdr:colOff>69167</xdr:colOff>
      <xdr:row>237</xdr:row>
      <xdr:rowOff>147058</xdr:rowOff>
    </xdr:to>
    <xdr:sp macro="" textlink="">
      <xdr:nvSpPr>
        <xdr:cNvPr id="141" name="テキスト ボックス 140">
          <a:extLst>
            <a:ext uri="{FF2B5EF4-FFF2-40B4-BE49-F238E27FC236}">
              <a16:creationId xmlns:a16="http://schemas.microsoft.com/office/drawing/2014/main" id="{6A70F362-D5FD-4D83-9EE0-D9ABD02230D6}"/>
            </a:ext>
          </a:extLst>
        </xdr:cNvPr>
        <xdr:cNvSpPr txBox="1"/>
      </xdr:nvSpPr>
      <xdr:spPr>
        <a:xfrm>
          <a:off x="5120660" y="57244751"/>
          <a:ext cx="551448"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11</xdr:col>
      <xdr:colOff>6327</xdr:colOff>
      <xdr:row>224</xdr:row>
      <xdr:rowOff>176513</xdr:rowOff>
    </xdr:from>
    <xdr:to>
      <xdr:col>14</xdr:col>
      <xdr:colOff>194496</xdr:colOff>
      <xdr:row>224</xdr:row>
      <xdr:rowOff>176513</xdr:rowOff>
    </xdr:to>
    <xdr:cxnSp macro="">
      <xdr:nvCxnSpPr>
        <xdr:cNvPr id="142" name="直線コネクタ 141">
          <a:extLst>
            <a:ext uri="{FF2B5EF4-FFF2-40B4-BE49-F238E27FC236}">
              <a16:creationId xmlns:a16="http://schemas.microsoft.com/office/drawing/2014/main" id="{ACE730AD-79F7-414B-B111-11A25AF0DD69}"/>
            </a:ext>
          </a:extLst>
        </xdr:cNvPr>
        <xdr:cNvCxnSpPr/>
      </xdr:nvCxnSpPr>
      <xdr:spPr>
        <a:xfrm>
          <a:off x="2695739" y="54457807"/>
          <a:ext cx="8605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220419</xdr:colOff>
      <xdr:row>225</xdr:row>
      <xdr:rowOff>100955</xdr:rowOff>
    </xdr:from>
    <xdr:to>
      <xdr:col>14</xdr:col>
      <xdr:colOff>182089</xdr:colOff>
      <xdr:row>225</xdr:row>
      <xdr:rowOff>100955</xdr:rowOff>
    </xdr:to>
    <xdr:cxnSp macro="">
      <xdr:nvCxnSpPr>
        <xdr:cNvPr id="143" name="直線コネクタ 142">
          <a:extLst>
            <a:ext uri="{FF2B5EF4-FFF2-40B4-BE49-F238E27FC236}">
              <a16:creationId xmlns:a16="http://schemas.microsoft.com/office/drawing/2014/main" id="{0881EF69-EB0B-4F74-BA41-4718BBE286F4}"/>
            </a:ext>
          </a:extLst>
        </xdr:cNvPr>
        <xdr:cNvCxnSpPr/>
      </xdr:nvCxnSpPr>
      <xdr:spPr>
        <a:xfrm>
          <a:off x="2685713" y="54617573"/>
          <a:ext cx="8581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190110</xdr:colOff>
      <xdr:row>224</xdr:row>
      <xdr:rowOff>181409</xdr:rowOff>
    </xdr:from>
    <xdr:to>
      <xdr:col>14</xdr:col>
      <xdr:colOff>190110</xdr:colOff>
      <xdr:row>225</xdr:row>
      <xdr:rowOff>101340</xdr:rowOff>
    </xdr:to>
    <xdr:cxnSp macro="">
      <xdr:nvCxnSpPr>
        <xdr:cNvPr id="144" name="直線コネクタ 143">
          <a:extLst>
            <a:ext uri="{FF2B5EF4-FFF2-40B4-BE49-F238E27FC236}">
              <a16:creationId xmlns:a16="http://schemas.microsoft.com/office/drawing/2014/main" id="{AD3D0396-4313-4A34-AD4E-D05CAE0316A5}"/>
            </a:ext>
          </a:extLst>
        </xdr:cNvPr>
        <xdr:cNvCxnSpPr/>
      </xdr:nvCxnSpPr>
      <xdr:spPr>
        <a:xfrm>
          <a:off x="3551875" y="54462703"/>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219705</xdr:colOff>
      <xdr:row>224</xdr:row>
      <xdr:rowOff>171204</xdr:rowOff>
    </xdr:from>
    <xdr:to>
      <xdr:col>14</xdr:col>
      <xdr:colOff>219705</xdr:colOff>
      <xdr:row>225</xdr:row>
      <xdr:rowOff>115126</xdr:rowOff>
    </xdr:to>
    <xdr:cxnSp macro="">
      <xdr:nvCxnSpPr>
        <xdr:cNvPr id="145" name="直線コネクタ 144">
          <a:extLst>
            <a:ext uri="{FF2B5EF4-FFF2-40B4-BE49-F238E27FC236}">
              <a16:creationId xmlns:a16="http://schemas.microsoft.com/office/drawing/2014/main" id="{BC39C35E-3967-4440-B64F-B1613C413F1E}"/>
            </a:ext>
          </a:extLst>
        </xdr:cNvPr>
        <xdr:cNvCxnSpPr/>
      </xdr:nvCxnSpPr>
      <xdr:spPr>
        <a:xfrm>
          <a:off x="3581470" y="54452498"/>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139546</xdr:colOff>
      <xdr:row>224</xdr:row>
      <xdr:rowOff>171204</xdr:rowOff>
    </xdr:from>
    <xdr:to>
      <xdr:col>15</xdr:col>
      <xdr:colOff>139546</xdr:colOff>
      <xdr:row>225</xdr:row>
      <xdr:rowOff>115126</xdr:rowOff>
    </xdr:to>
    <xdr:cxnSp macro="">
      <xdr:nvCxnSpPr>
        <xdr:cNvPr id="146" name="直線コネクタ 145">
          <a:extLst>
            <a:ext uri="{FF2B5EF4-FFF2-40B4-BE49-F238E27FC236}">
              <a16:creationId xmlns:a16="http://schemas.microsoft.com/office/drawing/2014/main" id="{16BDF5F6-C2A2-4FB8-B441-1A66FF9B0763}"/>
            </a:ext>
          </a:extLst>
        </xdr:cNvPr>
        <xdr:cNvCxnSpPr/>
      </xdr:nvCxnSpPr>
      <xdr:spPr>
        <a:xfrm>
          <a:off x="3725428" y="54452498"/>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218635</xdr:colOff>
      <xdr:row>225</xdr:row>
      <xdr:rowOff>37812</xdr:rowOff>
    </xdr:from>
    <xdr:to>
      <xdr:col>15</xdr:col>
      <xdr:colOff>135075</xdr:colOff>
      <xdr:row>225</xdr:row>
      <xdr:rowOff>37812</xdr:rowOff>
    </xdr:to>
    <xdr:cxnSp macro="">
      <xdr:nvCxnSpPr>
        <xdr:cNvPr id="147" name="直線コネクタ 146">
          <a:extLst>
            <a:ext uri="{FF2B5EF4-FFF2-40B4-BE49-F238E27FC236}">
              <a16:creationId xmlns:a16="http://schemas.microsoft.com/office/drawing/2014/main" id="{D9E6B69E-176E-42FF-822B-EAE7BDDE1E86}"/>
            </a:ext>
          </a:extLst>
        </xdr:cNvPr>
        <xdr:cNvCxnSpPr/>
      </xdr:nvCxnSpPr>
      <xdr:spPr>
        <a:xfrm>
          <a:off x="3580400" y="54554430"/>
          <a:ext cx="140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184558</xdr:colOff>
      <xdr:row>236</xdr:row>
      <xdr:rowOff>46475</xdr:rowOff>
    </xdr:from>
    <xdr:to>
      <xdr:col>15</xdr:col>
      <xdr:colOff>199435</xdr:colOff>
      <xdr:row>236</xdr:row>
      <xdr:rowOff>46475</xdr:rowOff>
    </xdr:to>
    <xdr:cxnSp macro="">
      <xdr:nvCxnSpPr>
        <xdr:cNvPr id="148" name="直線コネクタ 147">
          <a:extLst>
            <a:ext uri="{FF2B5EF4-FFF2-40B4-BE49-F238E27FC236}">
              <a16:creationId xmlns:a16="http://schemas.microsoft.com/office/drawing/2014/main" id="{CC128E02-4154-455E-9400-CCCDD937FF5D}"/>
            </a:ext>
          </a:extLst>
        </xdr:cNvPr>
        <xdr:cNvCxnSpPr/>
      </xdr:nvCxnSpPr>
      <xdr:spPr>
        <a:xfrm>
          <a:off x="1977499" y="57151651"/>
          <a:ext cx="180781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53659</xdr:colOff>
      <xdr:row>236</xdr:row>
      <xdr:rowOff>68749</xdr:rowOff>
    </xdr:from>
    <xdr:to>
      <xdr:col>9</xdr:col>
      <xdr:colOff>146371</xdr:colOff>
      <xdr:row>236</xdr:row>
      <xdr:rowOff>153671</xdr:rowOff>
    </xdr:to>
    <xdr:cxnSp macro="">
      <xdr:nvCxnSpPr>
        <xdr:cNvPr id="149" name="直線コネクタ 148">
          <a:extLst>
            <a:ext uri="{FF2B5EF4-FFF2-40B4-BE49-F238E27FC236}">
              <a16:creationId xmlns:a16="http://schemas.microsoft.com/office/drawing/2014/main" id="{E219ABD1-2177-46DE-8A6B-16536DBDE533}"/>
            </a:ext>
          </a:extLst>
        </xdr:cNvPr>
        <xdr:cNvCxnSpPr/>
      </xdr:nvCxnSpPr>
      <xdr:spPr>
        <a:xfrm>
          <a:off x="2294835" y="57173925"/>
          <a:ext cx="92712" cy="849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217144</xdr:colOff>
      <xdr:row>236</xdr:row>
      <xdr:rowOff>69992</xdr:rowOff>
    </xdr:from>
    <xdr:to>
      <xdr:col>9</xdr:col>
      <xdr:colOff>99053</xdr:colOff>
      <xdr:row>236</xdr:row>
      <xdr:rowOff>165040</xdr:rowOff>
    </xdr:to>
    <xdr:cxnSp macro="">
      <xdr:nvCxnSpPr>
        <xdr:cNvPr id="150" name="直線コネクタ 149">
          <a:extLst>
            <a:ext uri="{FF2B5EF4-FFF2-40B4-BE49-F238E27FC236}">
              <a16:creationId xmlns:a16="http://schemas.microsoft.com/office/drawing/2014/main" id="{A332E7FC-DB36-44FD-A048-922D70F70F3F}"/>
            </a:ext>
          </a:extLst>
        </xdr:cNvPr>
        <xdr:cNvCxnSpPr/>
      </xdr:nvCxnSpPr>
      <xdr:spPr>
        <a:xfrm>
          <a:off x="2234203" y="57175168"/>
          <a:ext cx="106026" cy="950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218059</xdr:colOff>
      <xdr:row>236</xdr:row>
      <xdr:rowOff>109623</xdr:rowOff>
    </xdr:from>
    <xdr:to>
      <xdr:col>9</xdr:col>
      <xdr:colOff>38912</xdr:colOff>
      <xdr:row>236</xdr:row>
      <xdr:rowOff>147151</xdr:rowOff>
    </xdr:to>
    <xdr:cxnSp macro="">
      <xdr:nvCxnSpPr>
        <xdr:cNvPr id="151" name="直線コネクタ 150">
          <a:extLst>
            <a:ext uri="{FF2B5EF4-FFF2-40B4-BE49-F238E27FC236}">
              <a16:creationId xmlns:a16="http://schemas.microsoft.com/office/drawing/2014/main" id="{F612EFBD-9CF3-4F13-B8DA-3DF0AA02BA85}"/>
            </a:ext>
          </a:extLst>
        </xdr:cNvPr>
        <xdr:cNvCxnSpPr/>
      </xdr:nvCxnSpPr>
      <xdr:spPr>
        <a:xfrm flipH="1">
          <a:off x="2235118" y="57214799"/>
          <a:ext cx="44970" cy="3752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27540</xdr:colOff>
      <xdr:row>236</xdr:row>
      <xdr:rowOff>140427</xdr:rowOff>
    </xdr:from>
    <xdr:to>
      <xdr:col>9</xdr:col>
      <xdr:colOff>59196</xdr:colOff>
      <xdr:row>236</xdr:row>
      <xdr:rowOff>164350</xdr:rowOff>
    </xdr:to>
    <xdr:cxnSp macro="">
      <xdr:nvCxnSpPr>
        <xdr:cNvPr id="152" name="直線コネクタ 151">
          <a:extLst>
            <a:ext uri="{FF2B5EF4-FFF2-40B4-BE49-F238E27FC236}">
              <a16:creationId xmlns:a16="http://schemas.microsoft.com/office/drawing/2014/main" id="{0B283175-D031-49D8-A134-CF0924095359}"/>
            </a:ext>
          </a:extLst>
        </xdr:cNvPr>
        <xdr:cNvCxnSpPr/>
      </xdr:nvCxnSpPr>
      <xdr:spPr>
        <a:xfrm flipH="1">
          <a:off x="2268716" y="57245603"/>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128191</xdr:colOff>
      <xdr:row>236</xdr:row>
      <xdr:rowOff>66493</xdr:rowOff>
    </xdr:from>
    <xdr:to>
      <xdr:col>8</xdr:col>
      <xdr:colOff>218556</xdr:colOff>
      <xdr:row>236</xdr:row>
      <xdr:rowOff>168591</xdr:rowOff>
    </xdr:to>
    <xdr:cxnSp macro="">
      <xdr:nvCxnSpPr>
        <xdr:cNvPr id="153" name="直線コネクタ 152">
          <a:extLst>
            <a:ext uri="{FF2B5EF4-FFF2-40B4-BE49-F238E27FC236}">
              <a16:creationId xmlns:a16="http://schemas.microsoft.com/office/drawing/2014/main" id="{829AC95F-25B1-4800-92A9-BBFC1A689A77}"/>
            </a:ext>
          </a:extLst>
        </xdr:cNvPr>
        <xdr:cNvCxnSpPr/>
      </xdr:nvCxnSpPr>
      <xdr:spPr>
        <a:xfrm>
          <a:off x="2145250" y="57171669"/>
          <a:ext cx="90365" cy="1020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87800</xdr:colOff>
      <xdr:row>236</xdr:row>
      <xdr:rowOff>69767</xdr:rowOff>
    </xdr:from>
    <xdr:to>
      <xdr:col>8</xdr:col>
      <xdr:colOff>177422</xdr:colOff>
      <xdr:row>236</xdr:row>
      <xdr:rowOff>170435</xdr:rowOff>
    </xdr:to>
    <xdr:cxnSp macro="">
      <xdr:nvCxnSpPr>
        <xdr:cNvPr id="154" name="直線コネクタ 153">
          <a:extLst>
            <a:ext uri="{FF2B5EF4-FFF2-40B4-BE49-F238E27FC236}">
              <a16:creationId xmlns:a16="http://schemas.microsoft.com/office/drawing/2014/main" id="{DA2F1832-912B-48C8-BEFD-56EAE180C48C}"/>
            </a:ext>
          </a:extLst>
        </xdr:cNvPr>
        <xdr:cNvCxnSpPr/>
      </xdr:nvCxnSpPr>
      <xdr:spPr>
        <a:xfrm>
          <a:off x="2104859" y="57174943"/>
          <a:ext cx="89622" cy="1006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87836</xdr:colOff>
      <xdr:row>236</xdr:row>
      <xdr:rowOff>124296</xdr:rowOff>
    </xdr:from>
    <xdr:to>
      <xdr:col>8</xdr:col>
      <xdr:colOff>113459</xdr:colOff>
      <xdr:row>236</xdr:row>
      <xdr:rowOff>155022</xdr:rowOff>
    </xdr:to>
    <xdr:cxnSp macro="">
      <xdr:nvCxnSpPr>
        <xdr:cNvPr id="155" name="直線コネクタ 154">
          <a:extLst>
            <a:ext uri="{FF2B5EF4-FFF2-40B4-BE49-F238E27FC236}">
              <a16:creationId xmlns:a16="http://schemas.microsoft.com/office/drawing/2014/main" id="{815CCC39-38F1-4501-BDCE-81D1A79FB528}"/>
            </a:ext>
          </a:extLst>
        </xdr:cNvPr>
        <xdr:cNvCxnSpPr/>
      </xdr:nvCxnSpPr>
      <xdr:spPr>
        <a:xfrm flipH="1">
          <a:off x="2104895" y="57229472"/>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108120</xdr:colOff>
      <xdr:row>236</xdr:row>
      <xdr:rowOff>141493</xdr:rowOff>
    </xdr:from>
    <xdr:to>
      <xdr:col>8</xdr:col>
      <xdr:colOff>131919</xdr:colOff>
      <xdr:row>236</xdr:row>
      <xdr:rowOff>169745</xdr:rowOff>
    </xdr:to>
    <xdr:cxnSp macro="">
      <xdr:nvCxnSpPr>
        <xdr:cNvPr id="157" name="直線コネクタ 156">
          <a:extLst>
            <a:ext uri="{FF2B5EF4-FFF2-40B4-BE49-F238E27FC236}">
              <a16:creationId xmlns:a16="http://schemas.microsoft.com/office/drawing/2014/main" id="{145E38B2-D29B-4DFD-B92D-3D5B529BD4E5}"/>
            </a:ext>
          </a:extLst>
        </xdr:cNvPr>
        <xdr:cNvCxnSpPr/>
      </xdr:nvCxnSpPr>
      <xdr:spPr>
        <a:xfrm flipH="1">
          <a:off x="2125179" y="57246669"/>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5094</xdr:colOff>
      <xdr:row>235</xdr:row>
      <xdr:rowOff>50742</xdr:rowOff>
    </xdr:from>
    <xdr:to>
      <xdr:col>23</xdr:col>
      <xdr:colOff>204346</xdr:colOff>
      <xdr:row>235</xdr:row>
      <xdr:rowOff>50742</xdr:rowOff>
    </xdr:to>
    <xdr:cxnSp macro="">
      <xdr:nvCxnSpPr>
        <xdr:cNvPr id="158" name="直線コネクタ 157">
          <a:extLst>
            <a:ext uri="{FF2B5EF4-FFF2-40B4-BE49-F238E27FC236}">
              <a16:creationId xmlns:a16="http://schemas.microsoft.com/office/drawing/2014/main" id="{7BADE584-22B8-49EC-A5A7-6FEF1BA74A88}"/>
            </a:ext>
          </a:extLst>
        </xdr:cNvPr>
        <xdr:cNvCxnSpPr/>
      </xdr:nvCxnSpPr>
      <xdr:spPr>
        <a:xfrm>
          <a:off x="3815094" y="56920595"/>
          <a:ext cx="1768076"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16535</xdr:colOff>
      <xdr:row>230</xdr:row>
      <xdr:rowOff>136071</xdr:rowOff>
    </xdr:from>
    <xdr:to>
      <xdr:col>14</xdr:col>
      <xdr:colOff>204704</xdr:colOff>
      <xdr:row>230</xdr:row>
      <xdr:rowOff>136071</xdr:rowOff>
    </xdr:to>
    <xdr:cxnSp macro="">
      <xdr:nvCxnSpPr>
        <xdr:cNvPr id="164" name="直線コネクタ 163">
          <a:extLst>
            <a:ext uri="{FF2B5EF4-FFF2-40B4-BE49-F238E27FC236}">
              <a16:creationId xmlns:a16="http://schemas.microsoft.com/office/drawing/2014/main" id="{C42B35CF-64F4-447C-B7C2-9A7C9A685A82}"/>
            </a:ext>
          </a:extLst>
        </xdr:cNvPr>
        <xdr:cNvCxnSpPr/>
      </xdr:nvCxnSpPr>
      <xdr:spPr>
        <a:xfrm>
          <a:off x="2705947" y="55829306"/>
          <a:ext cx="860522"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6509</xdr:colOff>
      <xdr:row>231</xdr:row>
      <xdr:rowOff>54916</xdr:rowOff>
    </xdr:from>
    <xdr:to>
      <xdr:col>14</xdr:col>
      <xdr:colOff>192297</xdr:colOff>
      <xdr:row>231</xdr:row>
      <xdr:rowOff>54916</xdr:rowOff>
    </xdr:to>
    <xdr:cxnSp macro="">
      <xdr:nvCxnSpPr>
        <xdr:cNvPr id="165" name="直線コネクタ 164">
          <a:extLst>
            <a:ext uri="{FF2B5EF4-FFF2-40B4-BE49-F238E27FC236}">
              <a16:creationId xmlns:a16="http://schemas.microsoft.com/office/drawing/2014/main" id="{F4B07085-F363-46E4-B605-95B2A1AA9A7D}"/>
            </a:ext>
          </a:extLst>
        </xdr:cNvPr>
        <xdr:cNvCxnSpPr/>
      </xdr:nvCxnSpPr>
      <xdr:spPr>
        <a:xfrm>
          <a:off x="2695921" y="55983475"/>
          <a:ext cx="858141"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200318</xdr:colOff>
      <xdr:row>230</xdr:row>
      <xdr:rowOff>140967</xdr:rowOff>
    </xdr:from>
    <xdr:to>
      <xdr:col>14</xdr:col>
      <xdr:colOff>200318</xdr:colOff>
      <xdr:row>231</xdr:row>
      <xdr:rowOff>55301</xdr:rowOff>
    </xdr:to>
    <xdr:cxnSp macro="">
      <xdr:nvCxnSpPr>
        <xdr:cNvPr id="166" name="直線コネクタ 165">
          <a:extLst>
            <a:ext uri="{FF2B5EF4-FFF2-40B4-BE49-F238E27FC236}">
              <a16:creationId xmlns:a16="http://schemas.microsoft.com/office/drawing/2014/main" id="{CF1ABBEE-61FA-4AEF-B4BE-CF07FB8D4747}"/>
            </a:ext>
          </a:extLst>
        </xdr:cNvPr>
        <xdr:cNvCxnSpPr/>
      </xdr:nvCxnSpPr>
      <xdr:spPr>
        <a:xfrm>
          <a:off x="3562083" y="55834202"/>
          <a:ext cx="0" cy="149658"/>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5796</xdr:colOff>
      <xdr:row>230</xdr:row>
      <xdr:rowOff>130762</xdr:rowOff>
    </xdr:from>
    <xdr:to>
      <xdr:col>15</xdr:col>
      <xdr:colOff>5796</xdr:colOff>
      <xdr:row>231</xdr:row>
      <xdr:rowOff>60995</xdr:rowOff>
    </xdr:to>
    <xdr:cxnSp macro="">
      <xdr:nvCxnSpPr>
        <xdr:cNvPr id="171" name="直線コネクタ 170">
          <a:extLst>
            <a:ext uri="{FF2B5EF4-FFF2-40B4-BE49-F238E27FC236}">
              <a16:creationId xmlns:a16="http://schemas.microsoft.com/office/drawing/2014/main" id="{75796B08-8074-47C1-B687-4A62CB8C9370}"/>
            </a:ext>
          </a:extLst>
        </xdr:cNvPr>
        <xdr:cNvCxnSpPr/>
      </xdr:nvCxnSpPr>
      <xdr:spPr>
        <a:xfrm>
          <a:off x="3591678" y="55823997"/>
          <a:ext cx="0" cy="1655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149754</xdr:colOff>
      <xdr:row>230</xdr:row>
      <xdr:rowOff>130762</xdr:rowOff>
    </xdr:from>
    <xdr:to>
      <xdr:col>15</xdr:col>
      <xdr:colOff>149754</xdr:colOff>
      <xdr:row>231</xdr:row>
      <xdr:rowOff>60995</xdr:rowOff>
    </xdr:to>
    <xdr:cxnSp macro="">
      <xdr:nvCxnSpPr>
        <xdr:cNvPr id="172" name="直線コネクタ 171">
          <a:extLst>
            <a:ext uri="{FF2B5EF4-FFF2-40B4-BE49-F238E27FC236}">
              <a16:creationId xmlns:a16="http://schemas.microsoft.com/office/drawing/2014/main" id="{B83B6289-A7CE-462A-B508-8D8ECE6CA4DB}"/>
            </a:ext>
          </a:extLst>
        </xdr:cNvPr>
        <xdr:cNvCxnSpPr/>
      </xdr:nvCxnSpPr>
      <xdr:spPr>
        <a:xfrm>
          <a:off x="3735636" y="55823997"/>
          <a:ext cx="0" cy="1655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4726</xdr:colOff>
      <xdr:row>230</xdr:row>
      <xdr:rowOff>218933</xdr:rowOff>
    </xdr:from>
    <xdr:to>
      <xdr:col>15</xdr:col>
      <xdr:colOff>145283</xdr:colOff>
      <xdr:row>230</xdr:row>
      <xdr:rowOff>218933</xdr:rowOff>
    </xdr:to>
    <xdr:cxnSp macro="">
      <xdr:nvCxnSpPr>
        <xdr:cNvPr id="180" name="直線コネクタ 179">
          <a:extLst>
            <a:ext uri="{FF2B5EF4-FFF2-40B4-BE49-F238E27FC236}">
              <a16:creationId xmlns:a16="http://schemas.microsoft.com/office/drawing/2014/main" id="{6BE98A27-15B4-466A-A5FF-52692E1C2830}"/>
            </a:ext>
          </a:extLst>
        </xdr:cNvPr>
        <xdr:cNvCxnSpPr/>
      </xdr:nvCxnSpPr>
      <xdr:spPr>
        <a:xfrm>
          <a:off x="3590608" y="55912168"/>
          <a:ext cx="140557"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208838</xdr:colOff>
      <xdr:row>230</xdr:row>
      <xdr:rowOff>225054</xdr:rowOff>
    </xdr:from>
    <xdr:to>
      <xdr:col>21</xdr:col>
      <xdr:colOff>7132</xdr:colOff>
      <xdr:row>230</xdr:row>
      <xdr:rowOff>225054</xdr:rowOff>
    </xdr:to>
    <xdr:cxnSp macro="">
      <xdr:nvCxnSpPr>
        <xdr:cNvPr id="199" name="直線コネクタ 198">
          <a:extLst>
            <a:ext uri="{FF2B5EF4-FFF2-40B4-BE49-F238E27FC236}">
              <a16:creationId xmlns:a16="http://schemas.microsoft.com/office/drawing/2014/main" id="{FC6E246D-D378-4FF9-9DF4-2B1CE0E55D21}"/>
            </a:ext>
          </a:extLst>
        </xdr:cNvPr>
        <xdr:cNvCxnSpPr/>
      </xdr:nvCxnSpPr>
      <xdr:spPr>
        <a:xfrm>
          <a:off x="3794720" y="55918289"/>
          <a:ext cx="1143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85397</xdr:colOff>
      <xdr:row>236</xdr:row>
      <xdr:rowOff>68396</xdr:rowOff>
    </xdr:from>
    <xdr:to>
      <xdr:col>16</xdr:col>
      <xdr:colOff>11663</xdr:colOff>
      <xdr:row>237</xdr:row>
      <xdr:rowOff>48689</xdr:rowOff>
    </xdr:to>
    <xdr:cxnSp macro="">
      <xdr:nvCxnSpPr>
        <xdr:cNvPr id="203" name="直線コネクタ 202">
          <a:extLst>
            <a:ext uri="{FF2B5EF4-FFF2-40B4-BE49-F238E27FC236}">
              <a16:creationId xmlns:a16="http://schemas.microsoft.com/office/drawing/2014/main" id="{EF311137-CB25-4279-AB8B-3D797C7DD171}"/>
            </a:ext>
          </a:extLst>
        </xdr:cNvPr>
        <xdr:cNvCxnSpPr/>
      </xdr:nvCxnSpPr>
      <xdr:spPr>
        <a:xfrm flipV="1">
          <a:off x="2550691" y="57173572"/>
          <a:ext cx="1270972" cy="21561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19</xdr:col>
      <xdr:colOff>94940</xdr:colOff>
      <xdr:row>229</xdr:row>
      <xdr:rowOff>75657</xdr:rowOff>
    </xdr:from>
    <xdr:to>
      <xdr:col>23</xdr:col>
      <xdr:colOff>74366</xdr:colOff>
      <xdr:row>230</xdr:row>
      <xdr:rowOff>100853</xdr:rowOff>
    </xdr:to>
    <xdr:sp macro="" textlink="">
      <xdr:nvSpPr>
        <xdr:cNvPr id="207" name="テキスト ボックス 206">
          <a:extLst>
            <a:ext uri="{FF2B5EF4-FFF2-40B4-BE49-F238E27FC236}">
              <a16:creationId xmlns:a16="http://schemas.microsoft.com/office/drawing/2014/main" id="{8040FF45-3586-B341-E4B2-0D3BDF0691E0}"/>
            </a:ext>
          </a:extLst>
        </xdr:cNvPr>
        <xdr:cNvSpPr txBox="1"/>
      </xdr:nvSpPr>
      <xdr:spPr>
        <a:xfrm>
          <a:off x="4577293" y="55533569"/>
          <a:ext cx="875897" cy="260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a:t>
          </a:r>
        </a:p>
      </xdr:txBody>
    </xdr:sp>
    <xdr:clientData/>
  </xdr:twoCellAnchor>
  <xdr:twoCellAnchor>
    <xdr:from>
      <xdr:col>19</xdr:col>
      <xdr:colOff>94940</xdr:colOff>
      <xdr:row>232</xdr:row>
      <xdr:rowOff>42040</xdr:rowOff>
    </xdr:from>
    <xdr:to>
      <xdr:col>23</xdr:col>
      <xdr:colOff>74366</xdr:colOff>
      <xdr:row>233</xdr:row>
      <xdr:rowOff>67237</xdr:rowOff>
    </xdr:to>
    <xdr:sp macro="" textlink="">
      <xdr:nvSpPr>
        <xdr:cNvPr id="208" name="テキスト ボックス 207">
          <a:extLst>
            <a:ext uri="{FF2B5EF4-FFF2-40B4-BE49-F238E27FC236}">
              <a16:creationId xmlns:a16="http://schemas.microsoft.com/office/drawing/2014/main" id="{6AB61BB5-FD8B-2662-C6DF-260981DAC567}"/>
            </a:ext>
          </a:extLst>
        </xdr:cNvPr>
        <xdr:cNvSpPr txBox="1"/>
      </xdr:nvSpPr>
      <xdr:spPr>
        <a:xfrm>
          <a:off x="4577293" y="56205922"/>
          <a:ext cx="875897" cy="260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42454</xdr:colOff>
      <xdr:row>76</xdr:row>
      <xdr:rowOff>154155</xdr:rowOff>
    </xdr:from>
    <xdr:to>
      <xdr:col>27</xdr:col>
      <xdr:colOff>203198</xdr:colOff>
      <xdr:row>76</xdr:row>
      <xdr:rowOff>154155</xdr:rowOff>
    </xdr:to>
    <xdr:cxnSp macro="">
      <xdr:nvCxnSpPr>
        <xdr:cNvPr id="25" name="直線コネクタ 24">
          <a:extLst>
            <a:ext uri="{FF2B5EF4-FFF2-40B4-BE49-F238E27FC236}">
              <a16:creationId xmlns:a16="http://schemas.microsoft.com/office/drawing/2014/main" id="{60A1D241-E2C5-4287-8B86-3E29A2001B5B}"/>
            </a:ext>
          </a:extLst>
        </xdr:cNvPr>
        <xdr:cNvCxnSpPr/>
      </xdr:nvCxnSpPr>
      <xdr:spPr>
        <a:xfrm>
          <a:off x="5697923" y="18370718"/>
          <a:ext cx="61318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20</xdr:col>
      <xdr:colOff>200074</xdr:colOff>
      <xdr:row>26</xdr:row>
      <xdr:rowOff>157733</xdr:rowOff>
    </xdr:from>
    <xdr:to>
      <xdr:col>24</xdr:col>
      <xdr:colOff>138605</xdr:colOff>
      <xdr:row>27</xdr:row>
      <xdr:rowOff>174061</xdr:rowOff>
    </xdr:to>
    <xdr:sp macro="" textlink="">
      <xdr:nvSpPr>
        <xdr:cNvPr id="46" name="テキスト ボックス 45">
          <a:extLst>
            <a:ext uri="{FF2B5EF4-FFF2-40B4-BE49-F238E27FC236}">
              <a16:creationId xmlns:a16="http://schemas.microsoft.com/office/drawing/2014/main" id="{A3B45E27-0498-4C83-9C65-305563DCCA90}"/>
            </a:ext>
          </a:extLst>
        </xdr:cNvPr>
        <xdr:cNvSpPr txBox="1"/>
      </xdr:nvSpPr>
      <xdr:spPr>
        <a:xfrm>
          <a:off x="4682427" y="6365792"/>
          <a:ext cx="835002" cy="251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r>
            <a:rPr kumimoji="1" lang="en-US" altLang="ja-JP" sz="1100"/>
            <a:t>1.00m</a:t>
          </a:r>
          <a:endParaRPr kumimoji="1" lang="ja-JP" altLang="en-US" sz="1100"/>
        </a:p>
      </xdr:txBody>
    </xdr:sp>
    <xdr:clientData/>
  </xdr:twoCellAnchor>
  <xdr:twoCellAnchor>
    <xdr:from>
      <xdr:col>14</xdr:col>
      <xdr:colOff>67601</xdr:colOff>
      <xdr:row>38</xdr:row>
      <xdr:rowOff>45548</xdr:rowOff>
    </xdr:from>
    <xdr:to>
      <xdr:col>16</xdr:col>
      <xdr:colOff>136836</xdr:colOff>
      <xdr:row>38</xdr:row>
      <xdr:rowOff>45548</xdr:rowOff>
    </xdr:to>
    <xdr:cxnSp macro="">
      <xdr:nvCxnSpPr>
        <xdr:cNvPr id="64" name="直線矢印コネクタ 63">
          <a:extLst>
            <a:ext uri="{FF2B5EF4-FFF2-40B4-BE49-F238E27FC236}">
              <a16:creationId xmlns:a16="http://schemas.microsoft.com/office/drawing/2014/main" id="{3981D4FA-5310-390A-C7EE-8621222F2666}"/>
            </a:ext>
          </a:extLst>
        </xdr:cNvPr>
        <xdr:cNvCxnSpPr/>
      </xdr:nvCxnSpPr>
      <xdr:spPr>
        <a:xfrm>
          <a:off x="3205248" y="9077489"/>
          <a:ext cx="517470"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126531</xdr:colOff>
      <xdr:row>28</xdr:row>
      <xdr:rowOff>37787</xdr:rowOff>
    </xdr:from>
    <xdr:to>
      <xdr:col>14</xdr:col>
      <xdr:colOff>126531</xdr:colOff>
      <xdr:row>38</xdr:row>
      <xdr:rowOff>51288</xdr:rowOff>
    </xdr:to>
    <xdr:cxnSp macro="">
      <xdr:nvCxnSpPr>
        <xdr:cNvPr id="67" name="直線矢印コネクタ 66">
          <a:extLst>
            <a:ext uri="{FF2B5EF4-FFF2-40B4-BE49-F238E27FC236}">
              <a16:creationId xmlns:a16="http://schemas.microsoft.com/office/drawing/2014/main" id="{112D5832-6FA5-B6C6-2A25-9333D78EE4E4}"/>
            </a:ext>
          </a:extLst>
        </xdr:cNvPr>
        <xdr:cNvCxnSpPr/>
      </xdr:nvCxnSpPr>
      <xdr:spPr>
        <a:xfrm>
          <a:off x="3306416" y="6866479"/>
          <a:ext cx="0" cy="24313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33377</xdr:colOff>
      <xdr:row>31</xdr:row>
      <xdr:rowOff>65740</xdr:rowOff>
    </xdr:from>
    <xdr:to>
      <xdr:col>24</xdr:col>
      <xdr:colOff>186231</xdr:colOff>
      <xdr:row>32</xdr:row>
      <xdr:rowOff>85163</xdr:rowOff>
    </xdr:to>
    <xdr:sp macro="" textlink="">
      <xdr:nvSpPr>
        <xdr:cNvPr id="29" name="テキスト ボックス 28">
          <a:extLst>
            <a:ext uri="{FF2B5EF4-FFF2-40B4-BE49-F238E27FC236}">
              <a16:creationId xmlns:a16="http://schemas.microsoft.com/office/drawing/2014/main" id="{2CA88E2A-2B59-4EDC-B84D-0E181F8E0A2C}"/>
            </a:ext>
          </a:extLst>
        </xdr:cNvPr>
        <xdr:cNvSpPr txBox="1"/>
      </xdr:nvSpPr>
      <xdr:spPr>
        <a:xfrm>
          <a:off x="4515730" y="7450416"/>
          <a:ext cx="1049325" cy="254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１層 </a:t>
          </a:r>
          <a:r>
            <a:rPr kumimoji="1" lang="en-US" altLang="ja-JP" sz="1100"/>
            <a:t>3.80m</a:t>
          </a:r>
          <a:endParaRPr kumimoji="1" lang="ja-JP" altLang="en-US" sz="1100"/>
        </a:p>
      </xdr:txBody>
    </xdr:sp>
    <xdr:clientData/>
  </xdr:twoCellAnchor>
  <xdr:twoCellAnchor editAs="absolute">
    <xdr:from>
      <xdr:col>20</xdr:col>
      <xdr:colOff>19595</xdr:colOff>
      <xdr:row>36</xdr:row>
      <xdr:rowOff>72906</xdr:rowOff>
    </xdr:from>
    <xdr:to>
      <xdr:col>24</xdr:col>
      <xdr:colOff>205281</xdr:colOff>
      <xdr:row>37</xdr:row>
      <xdr:rowOff>69670</xdr:rowOff>
    </xdr:to>
    <xdr:sp macro="" textlink="">
      <xdr:nvSpPr>
        <xdr:cNvPr id="30" name="テキスト ボックス 29">
          <a:extLst>
            <a:ext uri="{FF2B5EF4-FFF2-40B4-BE49-F238E27FC236}">
              <a16:creationId xmlns:a16="http://schemas.microsoft.com/office/drawing/2014/main" id="{FC68FDCB-2C88-40EE-8EC4-67660C5CEC8F}"/>
            </a:ext>
          </a:extLst>
        </xdr:cNvPr>
        <xdr:cNvSpPr txBox="1"/>
      </xdr:nvSpPr>
      <xdr:spPr>
        <a:xfrm>
          <a:off x="4501948" y="8634200"/>
          <a:ext cx="1082157" cy="23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２層 </a:t>
          </a:r>
          <a:r>
            <a:rPr kumimoji="1" lang="en-US" altLang="ja-JP" sz="1100"/>
            <a:t>1.20m</a:t>
          </a:r>
          <a:endParaRPr kumimoji="1" lang="ja-JP" altLang="en-US" sz="1100"/>
        </a:p>
      </xdr:txBody>
    </xdr:sp>
    <xdr:clientData/>
  </xdr:twoCellAnchor>
  <xdr:twoCellAnchor>
    <xdr:from>
      <xdr:col>16</xdr:col>
      <xdr:colOff>136749</xdr:colOff>
      <xdr:row>37</xdr:row>
      <xdr:rowOff>219105</xdr:rowOff>
    </xdr:from>
    <xdr:to>
      <xdr:col>17</xdr:col>
      <xdr:colOff>32308</xdr:colOff>
      <xdr:row>38</xdr:row>
      <xdr:rowOff>109503</xdr:rowOff>
    </xdr:to>
    <xdr:sp macro="" textlink="">
      <xdr:nvSpPr>
        <xdr:cNvPr id="107" name="楕円 106">
          <a:extLst>
            <a:ext uri="{FF2B5EF4-FFF2-40B4-BE49-F238E27FC236}">
              <a16:creationId xmlns:a16="http://schemas.microsoft.com/office/drawing/2014/main" id="{B47B04A3-F3B3-2A10-E878-1196A61E90D4}"/>
            </a:ext>
          </a:extLst>
        </xdr:cNvPr>
        <xdr:cNvSpPr/>
      </xdr:nvSpPr>
      <xdr:spPr>
        <a:xfrm>
          <a:off x="3722631" y="9015723"/>
          <a:ext cx="119677" cy="12572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127267</xdr:colOff>
      <xdr:row>26</xdr:row>
      <xdr:rowOff>26948</xdr:rowOff>
    </xdr:from>
    <xdr:to>
      <xdr:col>22</xdr:col>
      <xdr:colOff>127267</xdr:colOff>
      <xdr:row>28</xdr:row>
      <xdr:rowOff>45998</xdr:rowOff>
    </xdr:to>
    <xdr:cxnSp macro="">
      <xdr:nvCxnSpPr>
        <xdr:cNvPr id="111" name="直線矢印コネクタ 110">
          <a:extLst>
            <a:ext uri="{FF2B5EF4-FFF2-40B4-BE49-F238E27FC236}">
              <a16:creationId xmlns:a16="http://schemas.microsoft.com/office/drawing/2014/main" id="{DBC4C127-AC5E-4EB3-A1E4-9C13BA09D6A9}"/>
            </a:ext>
          </a:extLst>
        </xdr:cNvPr>
        <xdr:cNvCxnSpPr/>
      </xdr:nvCxnSpPr>
      <xdr:spPr>
        <a:xfrm>
          <a:off x="5057855" y="6235007"/>
          <a:ext cx="0" cy="48969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127267</xdr:colOff>
      <xdr:row>28</xdr:row>
      <xdr:rowOff>54281</xdr:rowOff>
    </xdr:from>
    <xdr:to>
      <xdr:col>22</xdr:col>
      <xdr:colOff>127267</xdr:colOff>
      <xdr:row>35</xdr:row>
      <xdr:rowOff>163393</xdr:rowOff>
    </xdr:to>
    <xdr:cxnSp macro="">
      <xdr:nvCxnSpPr>
        <xdr:cNvPr id="112" name="直線矢印コネクタ 111">
          <a:extLst>
            <a:ext uri="{FF2B5EF4-FFF2-40B4-BE49-F238E27FC236}">
              <a16:creationId xmlns:a16="http://schemas.microsoft.com/office/drawing/2014/main" id="{7B4314B1-7AE2-48F9-9D12-68F57661D049}"/>
            </a:ext>
          </a:extLst>
        </xdr:cNvPr>
        <xdr:cNvCxnSpPr/>
      </xdr:nvCxnSpPr>
      <xdr:spPr>
        <a:xfrm>
          <a:off x="5057855" y="6732987"/>
          <a:ext cx="0" cy="17563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125069</xdr:colOff>
      <xdr:row>35</xdr:row>
      <xdr:rowOff>156066</xdr:rowOff>
    </xdr:from>
    <xdr:to>
      <xdr:col>22</xdr:col>
      <xdr:colOff>125069</xdr:colOff>
      <xdr:row>38</xdr:row>
      <xdr:rowOff>13272</xdr:rowOff>
    </xdr:to>
    <xdr:cxnSp macro="">
      <xdr:nvCxnSpPr>
        <xdr:cNvPr id="119" name="直線矢印コネクタ 118">
          <a:extLst>
            <a:ext uri="{FF2B5EF4-FFF2-40B4-BE49-F238E27FC236}">
              <a16:creationId xmlns:a16="http://schemas.microsoft.com/office/drawing/2014/main" id="{7F90CFB0-754B-4C13-99C2-EAAD42AEE7E1}"/>
            </a:ext>
          </a:extLst>
        </xdr:cNvPr>
        <xdr:cNvCxnSpPr/>
      </xdr:nvCxnSpPr>
      <xdr:spPr>
        <a:xfrm>
          <a:off x="5122031" y="8677278"/>
          <a:ext cx="0" cy="5825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155457</xdr:colOff>
      <xdr:row>37</xdr:row>
      <xdr:rowOff>220543</xdr:rowOff>
    </xdr:from>
    <xdr:to>
      <xdr:col>11</xdr:col>
      <xdr:colOff>155457</xdr:colOff>
      <xdr:row>38</xdr:row>
      <xdr:rowOff>173480</xdr:rowOff>
    </xdr:to>
    <xdr:cxnSp macro="">
      <xdr:nvCxnSpPr>
        <xdr:cNvPr id="140" name="直線矢印コネクタ 139">
          <a:extLst>
            <a:ext uri="{FF2B5EF4-FFF2-40B4-BE49-F238E27FC236}">
              <a16:creationId xmlns:a16="http://schemas.microsoft.com/office/drawing/2014/main" id="{E6AEF5B7-41B8-9652-05EF-F9A2DE7E01EB}"/>
            </a:ext>
          </a:extLst>
        </xdr:cNvPr>
        <xdr:cNvCxnSpPr/>
      </xdr:nvCxnSpPr>
      <xdr:spPr>
        <a:xfrm>
          <a:off x="2620751" y="9017161"/>
          <a:ext cx="0" cy="18826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9</xdr:col>
      <xdr:colOff>146702</xdr:colOff>
      <xdr:row>37</xdr:row>
      <xdr:rowOff>177139</xdr:rowOff>
    </xdr:from>
    <xdr:to>
      <xdr:col>12</xdr:col>
      <xdr:colOff>35574</xdr:colOff>
      <xdr:row>38</xdr:row>
      <xdr:rowOff>162852</xdr:rowOff>
    </xdr:to>
    <xdr:sp macro="" textlink="">
      <xdr:nvSpPr>
        <xdr:cNvPr id="144" name="テキスト ボックス 143">
          <a:extLst>
            <a:ext uri="{FF2B5EF4-FFF2-40B4-BE49-F238E27FC236}">
              <a16:creationId xmlns:a16="http://schemas.microsoft.com/office/drawing/2014/main" id="{C4760F05-F6A8-AB15-3070-F03E9E873BE1}"/>
            </a:ext>
          </a:extLst>
        </xdr:cNvPr>
        <xdr:cNvSpPr txBox="1"/>
      </xdr:nvSpPr>
      <xdr:spPr>
        <a:xfrm>
          <a:off x="2163761" y="8973757"/>
          <a:ext cx="561225" cy="221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0.28m</a:t>
          </a:r>
          <a:endParaRPr kumimoji="1" lang="ja-JP" altLang="en-US" sz="1100">
            <a:solidFill>
              <a:sysClr val="windowText" lastClr="000000"/>
            </a:solidFill>
          </a:endParaRPr>
        </a:p>
      </xdr:txBody>
    </xdr:sp>
    <xdr:clientData/>
  </xdr:twoCellAnchor>
  <xdr:twoCellAnchor>
    <xdr:from>
      <xdr:col>24</xdr:col>
      <xdr:colOff>144976</xdr:colOff>
      <xdr:row>90</xdr:row>
      <xdr:rowOff>11351</xdr:rowOff>
    </xdr:from>
    <xdr:to>
      <xdr:col>27</xdr:col>
      <xdr:colOff>35720</xdr:colOff>
      <xdr:row>90</xdr:row>
      <xdr:rowOff>11351</xdr:rowOff>
    </xdr:to>
    <xdr:cxnSp macro="">
      <xdr:nvCxnSpPr>
        <xdr:cNvPr id="389" name="直線コネクタ 388">
          <a:extLst>
            <a:ext uri="{FF2B5EF4-FFF2-40B4-BE49-F238E27FC236}">
              <a16:creationId xmlns:a16="http://schemas.microsoft.com/office/drawing/2014/main" id="{7CFB6E2F-05DF-103E-5532-94499E60DB21}"/>
            </a:ext>
          </a:extLst>
        </xdr:cNvPr>
        <xdr:cNvCxnSpPr/>
      </xdr:nvCxnSpPr>
      <xdr:spPr>
        <a:xfrm>
          <a:off x="5574226" y="25133539"/>
          <a:ext cx="569400"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33260</xdr:colOff>
      <xdr:row>90</xdr:row>
      <xdr:rowOff>25016</xdr:rowOff>
    </xdr:from>
    <xdr:to>
      <xdr:col>27</xdr:col>
      <xdr:colOff>33260</xdr:colOff>
      <xdr:row>92</xdr:row>
      <xdr:rowOff>178595</xdr:rowOff>
    </xdr:to>
    <xdr:cxnSp macro="">
      <xdr:nvCxnSpPr>
        <xdr:cNvPr id="406" name="直線コネクタ 405">
          <a:extLst>
            <a:ext uri="{FF2B5EF4-FFF2-40B4-BE49-F238E27FC236}">
              <a16:creationId xmlns:a16="http://schemas.microsoft.com/office/drawing/2014/main" id="{52DDD8BA-7752-EA11-1923-BAEB38C934DB}"/>
            </a:ext>
          </a:extLst>
        </xdr:cNvPr>
        <xdr:cNvCxnSpPr/>
      </xdr:nvCxnSpPr>
      <xdr:spPr>
        <a:xfrm>
          <a:off x="6141166" y="25147204"/>
          <a:ext cx="0" cy="62982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213999</xdr:colOff>
      <xdr:row>116</xdr:row>
      <xdr:rowOff>110140</xdr:rowOff>
    </xdr:from>
    <xdr:to>
      <xdr:col>22</xdr:col>
      <xdr:colOff>216970</xdr:colOff>
      <xdr:row>116</xdr:row>
      <xdr:rowOff>110140</xdr:rowOff>
    </xdr:to>
    <xdr:cxnSp macro="">
      <xdr:nvCxnSpPr>
        <xdr:cNvPr id="41" name="直線コネクタ 40">
          <a:extLst>
            <a:ext uri="{FF2B5EF4-FFF2-40B4-BE49-F238E27FC236}">
              <a16:creationId xmlns:a16="http://schemas.microsoft.com/office/drawing/2014/main" id="{114FA92C-FC46-4E69-BC6D-D707B6FC5E4A}"/>
            </a:ext>
          </a:extLst>
        </xdr:cNvPr>
        <xdr:cNvCxnSpPr/>
      </xdr:nvCxnSpPr>
      <xdr:spPr>
        <a:xfrm>
          <a:off x="4964593" y="31471203"/>
          <a:ext cx="229190"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217809</xdr:colOff>
      <xdr:row>118</xdr:row>
      <xdr:rowOff>173512</xdr:rowOff>
    </xdr:from>
    <xdr:to>
      <xdr:col>22</xdr:col>
      <xdr:colOff>220780</xdr:colOff>
      <xdr:row>118</xdr:row>
      <xdr:rowOff>173512</xdr:rowOff>
    </xdr:to>
    <xdr:cxnSp macro="">
      <xdr:nvCxnSpPr>
        <xdr:cNvPr id="42" name="直線コネクタ 41">
          <a:extLst>
            <a:ext uri="{FF2B5EF4-FFF2-40B4-BE49-F238E27FC236}">
              <a16:creationId xmlns:a16="http://schemas.microsoft.com/office/drawing/2014/main" id="{205EE0E1-0338-411D-8062-D506429EF3FC}"/>
            </a:ext>
          </a:extLst>
        </xdr:cNvPr>
        <xdr:cNvCxnSpPr/>
      </xdr:nvCxnSpPr>
      <xdr:spPr>
        <a:xfrm>
          <a:off x="4968403" y="32010825"/>
          <a:ext cx="229190"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64243</xdr:colOff>
      <xdr:row>116</xdr:row>
      <xdr:rowOff>133558</xdr:rowOff>
    </xdr:from>
    <xdr:to>
      <xdr:col>22</xdr:col>
      <xdr:colOff>64243</xdr:colOff>
      <xdr:row>118</xdr:row>
      <xdr:rowOff>183252</xdr:rowOff>
    </xdr:to>
    <xdr:cxnSp macro="">
      <xdr:nvCxnSpPr>
        <xdr:cNvPr id="43" name="直線コネクタ 42">
          <a:extLst>
            <a:ext uri="{FF2B5EF4-FFF2-40B4-BE49-F238E27FC236}">
              <a16:creationId xmlns:a16="http://schemas.microsoft.com/office/drawing/2014/main" id="{64B78865-7F97-4287-B7AA-E57F32A68DAC}"/>
            </a:ext>
          </a:extLst>
        </xdr:cNvPr>
        <xdr:cNvCxnSpPr/>
      </xdr:nvCxnSpPr>
      <xdr:spPr>
        <a:xfrm>
          <a:off x="5041056" y="31494621"/>
          <a:ext cx="0" cy="525944"/>
        </a:xfrm>
        <a:prstGeom prst="line">
          <a:avLst/>
        </a:prstGeom>
        <a:ln w="952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84900</xdr:colOff>
      <xdr:row>116</xdr:row>
      <xdr:rowOff>228958</xdr:rowOff>
    </xdr:from>
    <xdr:to>
      <xdr:col>23</xdr:col>
      <xdr:colOff>23705</xdr:colOff>
      <xdr:row>118</xdr:row>
      <xdr:rowOff>9509</xdr:rowOff>
    </xdr:to>
    <xdr:sp macro="" textlink="">
      <xdr:nvSpPr>
        <xdr:cNvPr id="44" name="テキスト ボックス 43">
          <a:extLst>
            <a:ext uri="{FF2B5EF4-FFF2-40B4-BE49-F238E27FC236}">
              <a16:creationId xmlns:a16="http://schemas.microsoft.com/office/drawing/2014/main" id="{74E0FB93-ADEF-40BF-810C-63F6C0855049}"/>
            </a:ext>
          </a:extLst>
        </xdr:cNvPr>
        <xdr:cNvSpPr txBox="1"/>
      </xdr:nvSpPr>
      <xdr:spPr>
        <a:xfrm>
          <a:off x="4835494" y="31590021"/>
          <a:ext cx="391242" cy="256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i="1" baseline="0">
              <a:solidFill>
                <a:srgbClr val="FF0000"/>
              </a:solidFill>
              <a:latin typeface="Times New Roman" panose="02020603050405020304" pitchFamily="18" charset="0"/>
            </a:rPr>
            <a:t>x</a:t>
          </a:r>
          <a:endParaRPr kumimoji="1" lang="ja-JP" altLang="en-US" sz="1100" b="0" i="1" baseline="0">
            <a:solidFill>
              <a:srgbClr val="FF0000"/>
            </a:solidFill>
            <a:latin typeface="Times New Roman" panose="02020603050405020304" pitchFamily="18" charset="0"/>
          </a:endParaRPr>
        </a:p>
      </xdr:txBody>
    </xdr:sp>
    <xdr:clientData/>
  </xdr:twoCellAnchor>
  <xdr:twoCellAnchor>
    <xdr:from>
      <xdr:col>24</xdr:col>
      <xdr:colOff>7006</xdr:colOff>
      <xdr:row>118</xdr:row>
      <xdr:rowOff>173507</xdr:rowOff>
    </xdr:from>
    <xdr:to>
      <xdr:col>26</xdr:col>
      <xdr:colOff>178595</xdr:colOff>
      <xdr:row>118</xdr:row>
      <xdr:rowOff>173507</xdr:rowOff>
    </xdr:to>
    <xdr:cxnSp macro="">
      <xdr:nvCxnSpPr>
        <xdr:cNvPr id="417" name="直線コネクタ 416">
          <a:extLst>
            <a:ext uri="{FF2B5EF4-FFF2-40B4-BE49-F238E27FC236}">
              <a16:creationId xmlns:a16="http://schemas.microsoft.com/office/drawing/2014/main" id="{EB201D82-9286-40C1-ACBD-A72009D4CFB5}"/>
            </a:ext>
          </a:extLst>
        </xdr:cNvPr>
        <xdr:cNvCxnSpPr/>
      </xdr:nvCxnSpPr>
      <xdr:spPr>
        <a:xfrm>
          <a:off x="5436256" y="32010820"/>
          <a:ext cx="624027"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196080</xdr:colOff>
      <xdr:row>26</xdr:row>
      <xdr:rowOff>25701</xdr:rowOff>
    </xdr:from>
    <xdr:to>
      <xdr:col>23</xdr:col>
      <xdr:colOff>198083</xdr:colOff>
      <xdr:row>26</xdr:row>
      <xdr:rowOff>25701</xdr:rowOff>
    </xdr:to>
    <xdr:cxnSp macro="">
      <xdr:nvCxnSpPr>
        <xdr:cNvPr id="58" name="直線コネクタ 57">
          <a:extLst>
            <a:ext uri="{FF2B5EF4-FFF2-40B4-BE49-F238E27FC236}">
              <a16:creationId xmlns:a16="http://schemas.microsoft.com/office/drawing/2014/main" id="{B0C543B3-EC89-46B0-86E8-BFC050FB0545}"/>
            </a:ext>
          </a:extLst>
        </xdr:cNvPr>
        <xdr:cNvCxnSpPr/>
      </xdr:nvCxnSpPr>
      <xdr:spPr>
        <a:xfrm>
          <a:off x="3781962" y="6233760"/>
          <a:ext cx="15708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81433</xdr:colOff>
      <xdr:row>26</xdr:row>
      <xdr:rowOff>23272</xdr:rowOff>
    </xdr:from>
    <xdr:to>
      <xdr:col>20</xdr:col>
      <xdr:colOff>172365</xdr:colOff>
      <xdr:row>26</xdr:row>
      <xdr:rowOff>82369</xdr:rowOff>
    </xdr:to>
    <xdr:cxnSp macro="">
      <xdr:nvCxnSpPr>
        <xdr:cNvPr id="61" name="直線コネクタ 60">
          <a:extLst>
            <a:ext uri="{FF2B5EF4-FFF2-40B4-BE49-F238E27FC236}">
              <a16:creationId xmlns:a16="http://schemas.microsoft.com/office/drawing/2014/main" id="{B21693C6-C622-4269-893D-5211A4C3925A}"/>
            </a:ext>
          </a:extLst>
        </xdr:cNvPr>
        <xdr:cNvCxnSpPr/>
      </xdr:nvCxnSpPr>
      <xdr:spPr>
        <a:xfrm>
          <a:off x="4563786" y="6231331"/>
          <a:ext cx="90932" cy="590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41318</xdr:colOff>
      <xdr:row>26</xdr:row>
      <xdr:rowOff>25116</xdr:rowOff>
    </xdr:from>
    <xdr:to>
      <xdr:col>20</xdr:col>
      <xdr:colOff>119944</xdr:colOff>
      <xdr:row>26</xdr:row>
      <xdr:rowOff>84213</xdr:rowOff>
    </xdr:to>
    <xdr:cxnSp macro="">
      <xdr:nvCxnSpPr>
        <xdr:cNvPr id="62" name="直線コネクタ 61">
          <a:extLst>
            <a:ext uri="{FF2B5EF4-FFF2-40B4-BE49-F238E27FC236}">
              <a16:creationId xmlns:a16="http://schemas.microsoft.com/office/drawing/2014/main" id="{F1867079-AB6B-451E-815E-F205DC27C57A}"/>
            </a:ext>
          </a:extLst>
        </xdr:cNvPr>
        <xdr:cNvCxnSpPr/>
      </xdr:nvCxnSpPr>
      <xdr:spPr>
        <a:xfrm>
          <a:off x="4523671" y="6233175"/>
          <a:ext cx="78626" cy="590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41354</xdr:colOff>
      <xdr:row>26</xdr:row>
      <xdr:rowOff>56342</xdr:rowOff>
    </xdr:from>
    <xdr:to>
      <xdr:col>20</xdr:col>
      <xdr:colOff>64877</xdr:colOff>
      <xdr:row>26</xdr:row>
      <xdr:rowOff>67938</xdr:rowOff>
    </xdr:to>
    <xdr:cxnSp macro="">
      <xdr:nvCxnSpPr>
        <xdr:cNvPr id="63" name="直線コネクタ 62">
          <a:extLst>
            <a:ext uri="{FF2B5EF4-FFF2-40B4-BE49-F238E27FC236}">
              <a16:creationId xmlns:a16="http://schemas.microsoft.com/office/drawing/2014/main" id="{305769D6-31C8-4128-A2E8-AF222D6DFC97}"/>
            </a:ext>
          </a:extLst>
        </xdr:cNvPr>
        <xdr:cNvCxnSpPr/>
      </xdr:nvCxnSpPr>
      <xdr:spPr>
        <a:xfrm flipH="1">
          <a:off x="4523707" y="6264401"/>
          <a:ext cx="23523" cy="115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55568</xdr:colOff>
      <xdr:row>26</xdr:row>
      <xdr:rowOff>73540</xdr:rowOff>
    </xdr:from>
    <xdr:to>
      <xdr:col>20</xdr:col>
      <xdr:colOff>86244</xdr:colOff>
      <xdr:row>26</xdr:row>
      <xdr:rowOff>83528</xdr:rowOff>
    </xdr:to>
    <xdr:cxnSp macro="">
      <xdr:nvCxnSpPr>
        <xdr:cNvPr id="476" name="直線コネクタ 475">
          <a:extLst>
            <a:ext uri="{FF2B5EF4-FFF2-40B4-BE49-F238E27FC236}">
              <a16:creationId xmlns:a16="http://schemas.microsoft.com/office/drawing/2014/main" id="{8A46BF24-63D1-4870-AC78-27329B0B2F1E}"/>
            </a:ext>
          </a:extLst>
        </xdr:cNvPr>
        <xdr:cNvCxnSpPr/>
      </xdr:nvCxnSpPr>
      <xdr:spPr>
        <a:xfrm flipH="1">
          <a:off x="4537921" y="6281599"/>
          <a:ext cx="30676" cy="99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220429</xdr:colOff>
      <xdr:row>26</xdr:row>
      <xdr:rowOff>17423</xdr:rowOff>
    </xdr:from>
    <xdr:to>
      <xdr:col>21</xdr:col>
      <xdr:colOff>73280</xdr:colOff>
      <xdr:row>26</xdr:row>
      <xdr:rowOff>77880</xdr:rowOff>
    </xdr:to>
    <xdr:cxnSp macro="">
      <xdr:nvCxnSpPr>
        <xdr:cNvPr id="477" name="直線コネクタ 476">
          <a:extLst>
            <a:ext uri="{FF2B5EF4-FFF2-40B4-BE49-F238E27FC236}">
              <a16:creationId xmlns:a16="http://schemas.microsoft.com/office/drawing/2014/main" id="{0B12BB90-D655-419B-B78C-B9F40D672771}"/>
            </a:ext>
          </a:extLst>
        </xdr:cNvPr>
        <xdr:cNvCxnSpPr/>
      </xdr:nvCxnSpPr>
      <xdr:spPr>
        <a:xfrm>
          <a:off x="4702782" y="6225482"/>
          <a:ext cx="76969" cy="604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180314</xdr:colOff>
      <xdr:row>26</xdr:row>
      <xdr:rowOff>19267</xdr:rowOff>
    </xdr:from>
    <xdr:to>
      <xdr:col>21</xdr:col>
      <xdr:colOff>32085</xdr:colOff>
      <xdr:row>26</xdr:row>
      <xdr:rowOff>74529</xdr:rowOff>
    </xdr:to>
    <xdr:cxnSp macro="">
      <xdr:nvCxnSpPr>
        <xdr:cNvPr id="478" name="直線コネクタ 477">
          <a:extLst>
            <a:ext uri="{FF2B5EF4-FFF2-40B4-BE49-F238E27FC236}">
              <a16:creationId xmlns:a16="http://schemas.microsoft.com/office/drawing/2014/main" id="{97031591-F409-44D2-8119-07F4BF30707C}"/>
            </a:ext>
          </a:extLst>
        </xdr:cNvPr>
        <xdr:cNvCxnSpPr/>
      </xdr:nvCxnSpPr>
      <xdr:spPr>
        <a:xfrm>
          <a:off x="4662667" y="6227326"/>
          <a:ext cx="75889" cy="552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180350</xdr:colOff>
      <xdr:row>26</xdr:row>
      <xdr:rowOff>51848</xdr:rowOff>
    </xdr:from>
    <xdr:to>
      <xdr:col>20</xdr:col>
      <xdr:colOff>203873</xdr:colOff>
      <xdr:row>26</xdr:row>
      <xdr:rowOff>72969</xdr:rowOff>
    </xdr:to>
    <xdr:cxnSp macro="">
      <xdr:nvCxnSpPr>
        <xdr:cNvPr id="479" name="直線コネクタ 478">
          <a:extLst>
            <a:ext uri="{FF2B5EF4-FFF2-40B4-BE49-F238E27FC236}">
              <a16:creationId xmlns:a16="http://schemas.microsoft.com/office/drawing/2014/main" id="{C4ECC52B-EC31-480F-BC84-ACA52B4BD945}"/>
            </a:ext>
          </a:extLst>
        </xdr:cNvPr>
        <xdr:cNvCxnSpPr/>
      </xdr:nvCxnSpPr>
      <xdr:spPr>
        <a:xfrm flipH="1">
          <a:off x="4662703" y="6259907"/>
          <a:ext cx="23523" cy="211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200634</xdr:colOff>
      <xdr:row>26</xdr:row>
      <xdr:rowOff>69046</xdr:rowOff>
    </xdr:from>
    <xdr:to>
      <xdr:col>20</xdr:col>
      <xdr:colOff>217807</xdr:colOff>
      <xdr:row>26</xdr:row>
      <xdr:rowOff>79034</xdr:rowOff>
    </xdr:to>
    <xdr:cxnSp macro="">
      <xdr:nvCxnSpPr>
        <xdr:cNvPr id="480" name="直線コネクタ 479">
          <a:extLst>
            <a:ext uri="{FF2B5EF4-FFF2-40B4-BE49-F238E27FC236}">
              <a16:creationId xmlns:a16="http://schemas.microsoft.com/office/drawing/2014/main" id="{CFA39D40-6E46-4F75-B6AC-712E11DA5D0B}"/>
            </a:ext>
          </a:extLst>
        </xdr:cNvPr>
        <xdr:cNvCxnSpPr/>
      </xdr:nvCxnSpPr>
      <xdr:spPr>
        <a:xfrm flipH="1">
          <a:off x="4682987" y="6277105"/>
          <a:ext cx="17173" cy="99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69803</xdr:colOff>
      <xdr:row>26</xdr:row>
      <xdr:rowOff>27345</xdr:rowOff>
    </xdr:from>
    <xdr:to>
      <xdr:col>19</xdr:col>
      <xdr:colOff>140039</xdr:colOff>
      <xdr:row>35</xdr:row>
      <xdr:rowOff>159725</xdr:rowOff>
    </xdr:to>
    <xdr:cxnSp macro="">
      <xdr:nvCxnSpPr>
        <xdr:cNvPr id="488" name="直線コネクタ 487">
          <a:extLst>
            <a:ext uri="{FF2B5EF4-FFF2-40B4-BE49-F238E27FC236}">
              <a16:creationId xmlns:a16="http://schemas.microsoft.com/office/drawing/2014/main" id="{0667FC8D-0001-4FCB-9FCC-82B630F7A065}"/>
            </a:ext>
          </a:extLst>
        </xdr:cNvPr>
        <xdr:cNvCxnSpPr/>
      </xdr:nvCxnSpPr>
      <xdr:spPr>
        <a:xfrm>
          <a:off x="3879803" y="6235404"/>
          <a:ext cx="518471" cy="225029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203065</xdr:colOff>
      <xdr:row>35</xdr:row>
      <xdr:rowOff>154078</xdr:rowOff>
    </xdr:from>
    <xdr:to>
      <xdr:col>19</xdr:col>
      <xdr:colOff>148796</xdr:colOff>
      <xdr:row>35</xdr:row>
      <xdr:rowOff>154078</xdr:rowOff>
    </xdr:to>
    <xdr:cxnSp macro="">
      <xdr:nvCxnSpPr>
        <xdr:cNvPr id="492" name="直線コネクタ 491">
          <a:extLst>
            <a:ext uri="{FF2B5EF4-FFF2-40B4-BE49-F238E27FC236}">
              <a16:creationId xmlns:a16="http://schemas.microsoft.com/office/drawing/2014/main" id="{2A259A9A-2340-4E9D-9CDC-61538DF15111}"/>
            </a:ext>
          </a:extLst>
        </xdr:cNvPr>
        <xdr:cNvCxnSpPr/>
      </xdr:nvCxnSpPr>
      <xdr:spPr>
        <a:xfrm>
          <a:off x="3788947" y="8480049"/>
          <a:ext cx="618084"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103374</xdr:colOff>
      <xdr:row>35</xdr:row>
      <xdr:rowOff>168430</xdr:rowOff>
    </xdr:from>
    <xdr:to>
      <xdr:col>16</xdr:col>
      <xdr:colOff>182657</xdr:colOff>
      <xdr:row>37</xdr:row>
      <xdr:rowOff>222757</xdr:rowOff>
    </xdr:to>
    <xdr:cxnSp macro="">
      <xdr:nvCxnSpPr>
        <xdr:cNvPr id="493" name="直線コネクタ 492">
          <a:extLst>
            <a:ext uri="{FF2B5EF4-FFF2-40B4-BE49-F238E27FC236}">
              <a16:creationId xmlns:a16="http://schemas.microsoft.com/office/drawing/2014/main" id="{67EA4E68-7828-4BBF-9268-034AE51AC6C8}"/>
            </a:ext>
          </a:extLst>
        </xdr:cNvPr>
        <xdr:cNvCxnSpPr/>
      </xdr:nvCxnSpPr>
      <xdr:spPr>
        <a:xfrm flipH="1">
          <a:off x="3465139" y="8494401"/>
          <a:ext cx="303400" cy="52497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91710</xdr:colOff>
      <xdr:row>38</xdr:row>
      <xdr:rowOff>172731</xdr:rowOff>
    </xdr:from>
    <xdr:to>
      <xdr:col>16</xdr:col>
      <xdr:colOff>205420</xdr:colOff>
      <xdr:row>38</xdr:row>
      <xdr:rowOff>172731</xdr:rowOff>
    </xdr:to>
    <xdr:cxnSp macro="">
      <xdr:nvCxnSpPr>
        <xdr:cNvPr id="494" name="直線コネクタ 493">
          <a:extLst>
            <a:ext uri="{FF2B5EF4-FFF2-40B4-BE49-F238E27FC236}">
              <a16:creationId xmlns:a16="http://schemas.microsoft.com/office/drawing/2014/main" id="{C1D82FA7-796C-4C60-B872-5A37D7DC8A74}"/>
            </a:ext>
          </a:extLst>
        </xdr:cNvPr>
        <xdr:cNvCxnSpPr/>
      </xdr:nvCxnSpPr>
      <xdr:spPr>
        <a:xfrm>
          <a:off x="2108769" y="9204672"/>
          <a:ext cx="168253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203978</xdr:colOff>
      <xdr:row>26</xdr:row>
      <xdr:rowOff>25764</xdr:rowOff>
    </xdr:from>
    <xdr:to>
      <xdr:col>17</xdr:col>
      <xdr:colOff>69803</xdr:colOff>
      <xdr:row>26</xdr:row>
      <xdr:rowOff>25764</xdr:rowOff>
    </xdr:to>
    <xdr:cxnSp macro="">
      <xdr:nvCxnSpPr>
        <xdr:cNvPr id="495" name="直線コネクタ 494">
          <a:extLst>
            <a:ext uri="{FF2B5EF4-FFF2-40B4-BE49-F238E27FC236}">
              <a16:creationId xmlns:a16="http://schemas.microsoft.com/office/drawing/2014/main" id="{5F2D7676-EB8E-454F-95B2-5307816C5C1B}"/>
            </a:ext>
          </a:extLst>
        </xdr:cNvPr>
        <xdr:cNvCxnSpPr/>
      </xdr:nvCxnSpPr>
      <xdr:spPr>
        <a:xfrm>
          <a:off x="3789860" y="6233823"/>
          <a:ext cx="8994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198077</xdr:colOff>
      <xdr:row>26</xdr:row>
      <xdr:rowOff>25605</xdr:rowOff>
    </xdr:from>
    <xdr:to>
      <xdr:col>16</xdr:col>
      <xdr:colOff>198077</xdr:colOff>
      <xdr:row>38</xdr:row>
      <xdr:rowOff>175134</xdr:rowOff>
    </xdr:to>
    <xdr:cxnSp macro="">
      <xdr:nvCxnSpPr>
        <xdr:cNvPr id="496" name="直線コネクタ 495">
          <a:extLst>
            <a:ext uri="{FF2B5EF4-FFF2-40B4-BE49-F238E27FC236}">
              <a16:creationId xmlns:a16="http://schemas.microsoft.com/office/drawing/2014/main" id="{9AFCFDCE-35F3-4B9D-B3C9-5CBE5A73EA49}"/>
            </a:ext>
          </a:extLst>
        </xdr:cNvPr>
        <xdr:cNvCxnSpPr/>
      </xdr:nvCxnSpPr>
      <xdr:spPr>
        <a:xfrm>
          <a:off x="3783959" y="6233664"/>
          <a:ext cx="0" cy="2973411"/>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206880</xdr:colOff>
      <xdr:row>28</xdr:row>
      <xdr:rowOff>32056</xdr:rowOff>
    </xdr:from>
    <xdr:to>
      <xdr:col>23</xdr:col>
      <xdr:colOff>194908</xdr:colOff>
      <xdr:row>28</xdr:row>
      <xdr:rowOff>32056</xdr:rowOff>
    </xdr:to>
    <xdr:cxnSp macro="">
      <xdr:nvCxnSpPr>
        <xdr:cNvPr id="497" name="直線コネクタ 496">
          <a:extLst>
            <a:ext uri="{FF2B5EF4-FFF2-40B4-BE49-F238E27FC236}">
              <a16:creationId xmlns:a16="http://schemas.microsoft.com/office/drawing/2014/main" id="{53958425-06B8-4E17-A496-B92C667A6ED5}"/>
            </a:ext>
          </a:extLst>
        </xdr:cNvPr>
        <xdr:cNvCxnSpPr/>
      </xdr:nvCxnSpPr>
      <xdr:spPr>
        <a:xfrm>
          <a:off x="3792762" y="6710762"/>
          <a:ext cx="155685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206188</xdr:colOff>
      <xdr:row>38</xdr:row>
      <xdr:rowOff>218431</xdr:rowOff>
    </xdr:from>
    <xdr:to>
      <xdr:col>24</xdr:col>
      <xdr:colOff>9904</xdr:colOff>
      <xdr:row>38</xdr:row>
      <xdr:rowOff>218431</xdr:rowOff>
    </xdr:to>
    <xdr:cxnSp macro="">
      <xdr:nvCxnSpPr>
        <xdr:cNvPr id="507" name="直線コネクタ 506">
          <a:extLst>
            <a:ext uri="{FF2B5EF4-FFF2-40B4-BE49-F238E27FC236}">
              <a16:creationId xmlns:a16="http://schemas.microsoft.com/office/drawing/2014/main" id="{107042F8-80C2-4465-84B5-E74BB669295C}"/>
            </a:ext>
          </a:extLst>
        </xdr:cNvPr>
        <xdr:cNvCxnSpPr/>
      </xdr:nvCxnSpPr>
      <xdr:spPr>
        <a:xfrm>
          <a:off x="1999129" y="9250372"/>
          <a:ext cx="338959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33090</xdr:colOff>
      <xdr:row>37</xdr:row>
      <xdr:rowOff>192431</xdr:rowOff>
    </xdr:from>
    <xdr:to>
      <xdr:col>24</xdr:col>
      <xdr:colOff>89647</xdr:colOff>
      <xdr:row>39</xdr:row>
      <xdr:rowOff>11206</xdr:rowOff>
    </xdr:to>
    <xdr:sp macro="" textlink="">
      <xdr:nvSpPr>
        <xdr:cNvPr id="508" name="テキスト ボックス 507">
          <a:extLst>
            <a:ext uri="{FF2B5EF4-FFF2-40B4-BE49-F238E27FC236}">
              <a16:creationId xmlns:a16="http://schemas.microsoft.com/office/drawing/2014/main" id="{90F9D91A-68A2-4474-9CCB-89BE8B293C35}"/>
            </a:ext>
          </a:extLst>
        </xdr:cNvPr>
        <xdr:cNvSpPr txBox="1"/>
      </xdr:nvSpPr>
      <xdr:spPr>
        <a:xfrm>
          <a:off x="4963678" y="8989049"/>
          <a:ext cx="504793" cy="289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22</xdr:col>
      <xdr:colOff>33090</xdr:colOff>
      <xdr:row>39</xdr:row>
      <xdr:rowOff>103988</xdr:rowOff>
    </xdr:from>
    <xdr:to>
      <xdr:col>24</xdr:col>
      <xdr:colOff>92492</xdr:colOff>
      <xdr:row>40</xdr:row>
      <xdr:rowOff>99142</xdr:rowOff>
    </xdr:to>
    <xdr:sp macro="" textlink="">
      <xdr:nvSpPr>
        <xdr:cNvPr id="509" name="テキスト ボックス 508">
          <a:extLst>
            <a:ext uri="{FF2B5EF4-FFF2-40B4-BE49-F238E27FC236}">
              <a16:creationId xmlns:a16="http://schemas.microsoft.com/office/drawing/2014/main" id="{A5C02352-B6DB-4D89-8635-68B472C9A38B}"/>
            </a:ext>
          </a:extLst>
        </xdr:cNvPr>
        <xdr:cNvSpPr txBox="1"/>
      </xdr:nvSpPr>
      <xdr:spPr>
        <a:xfrm>
          <a:off x="4963678" y="9371253"/>
          <a:ext cx="507638" cy="230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12</xdr:col>
      <xdr:colOff>86884</xdr:colOff>
      <xdr:row>27</xdr:row>
      <xdr:rowOff>174028</xdr:rowOff>
    </xdr:from>
    <xdr:to>
      <xdr:col>15</xdr:col>
      <xdr:colOff>193756</xdr:colOff>
      <xdr:row>27</xdr:row>
      <xdr:rowOff>174028</xdr:rowOff>
    </xdr:to>
    <xdr:cxnSp macro="">
      <xdr:nvCxnSpPr>
        <xdr:cNvPr id="510" name="直線コネクタ 509">
          <a:extLst>
            <a:ext uri="{FF2B5EF4-FFF2-40B4-BE49-F238E27FC236}">
              <a16:creationId xmlns:a16="http://schemas.microsoft.com/office/drawing/2014/main" id="{8D801621-D38A-475A-BA69-8BDC6FF63EA1}"/>
            </a:ext>
          </a:extLst>
        </xdr:cNvPr>
        <xdr:cNvCxnSpPr/>
      </xdr:nvCxnSpPr>
      <xdr:spPr>
        <a:xfrm>
          <a:off x="2776296" y="6617410"/>
          <a:ext cx="7792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76858</xdr:colOff>
      <xdr:row>28</xdr:row>
      <xdr:rowOff>87421</xdr:rowOff>
    </xdr:from>
    <xdr:to>
      <xdr:col>15</xdr:col>
      <xdr:colOff>181349</xdr:colOff>
      <xdr:row>28</xdr:row>
      <xdr:rowOff>87421</xdr:rowOff>
    </xdr:to>
    <xdr:cxnSp macro="">
      <xdr:nvCxnSpPr>
        <xdr:cNvPr id="511" name="直線コネクタ 510">
          <a:extLst>
            <a:ext uri="{FF2B5EF4-FFF2-40B4-BE49-F238E27FC236}">
              <a16:creationId xmlns:a16="http://schemas.microsoft.com/office/drawing/2014/main" id="{91241585-4BD5-4A42-8DA1-D1ADFB32525C}"/>
            </a:ext>
          </a:extLst>
        </xdr:cNvPr>
        <xdr:cNvCxnSpPr/>
      </xdr:nvCxnSpPr>
      <xdr:spPr>
        <a:xfrm>
          <a:off x="2766270" y="6766127"/>
          <a:ext cx="7768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189370</xdr:colOff>
      <xdr:row>27</xdr:row>
      <xdr:rowOff>178924</xdr:rowOff>
    </xdr:from>
    <xdr:to>
      <xdr:col>15</xdr:col>
      <xdr:colOff>189370</xdr:colOff>
      <xdr:row>28</xdr:row>
      <xdr:rowOff>87806</xdr:rowOff>
    </xdr:to>
    <xdr:cxnSp macro="">
      <xdr:nvCxnSpPr>
        <xdr:cNvPr id="65" name="直線コネクタ 64">
          <a:extLst>
            <a:ext uri="{FF2B5EF4-FFF2-40B4-BE49-F238E27FC236}">
              <a16:creationId xmlns:a16="http://schemas.microsoft.com/office/drawing/2014/main" id="{BC75F271-D649-4644-B827-78212A81D479}"/>
            </a:ext>
          </a:extLst>
        </xdr:cNvPr>
        <xdr:cNvCxnSpPr/>
      </xdr:nvCxnSpPr>
      <xdr:spPr>
        <a:xfrm>
          <a:off x="3551135" y="6622306"/>
          <a:ext cx="0" cy="144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211760</xdr:colOff>
      <xdr:row>27</xdr:row>
      <xdr:rowOff>168719</xdr:rowOff>
    </xdr:from>
    <xdr:to>
      <xdr:col>15</xdr:col>
      <xdr:colOff>211760</xdr:colOff>
      <xdr:row>28</xdr:row>
      <xdr:rowOff>101592</xdr:rowOff>
    </xdr:to>
    <xdr:cxnSp macro="">
      <xdr:nvCxnSpPr>
        <xdr:cNvPr id="66" name="直線コネクタ 65">
          <a:extLst>
            <a:ext uri="{FF2B5EF4-FFF2-40B4-BE49-F238E27FC236}">
              <a16:creationId xmlns:a16="http://schemas.microsoft.com/office/drawing/2014/main" id="{093F574C-8545-4CD2-A9FF-52D589A59978}"/>
            </a:ext>
          </a:extLst>
        </xdr:cNvPr>
        <xdr:cNvCxnSpPr/>
      </xdr:nvCxnSpPr>
      <xdr:spPr>
        <a:xfrm>
          <a:off x="3573525" y="6612101"/>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118048</xdr:colOff>
      <xdr:row>27</xdr:row>
      <xdr:rowOff>168719</xdr:rowOff>
    </xdr:from>
    <xdr:to>
      <xdr:col>16</xdr:col>
      <xdr:colOff>118048</xdr:colOff>
      <xdr:row>28</xdr:row>
      <xdr:rowOff>101592</xdr:rowOff>
    </xdr:to>
    <xdr:cxnSp macro="">
      <xdr:nvCxnSpPr>
        <xdr:cNvPr id="68" name="直線コネクタ 67">
          <a:extLst>
            <a:ext uri="{FF2B5EF4-FFF2-40B4-BE49-F238E27FC236}">
              <a16:creationId xmlns:a16="http://schemas.microsoft.com/office/drawing/2014/main" id="{5C05EF20-1E2B-4CDB-8278-891AB3B76F9E}"/>
            </a:ext>
          </a:extLst>
        </xdr:cNvPr>
        <xdr:cNvCxnSpPr/>
      </xdr:nvCxnSpPr>
      <xdr:spPr>
        <a:xfrm>
          <a:off x="3703930" y="6612101"/>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210690</xdr:colOff>
      <xdr:row>28</xdr:row>
      <xdr:rowOff>33883</xdr:rowOff>
    </xdr:from>
    <xdr:to>
      <xdr:col>16</xdr:col>
      <xdr:colOff>113577</xdr:colOff>
      <xdr:row>28</xdr:row>
      <xdr:rowOff>33883</xdr:rowOff>
    </xdr:to>
    <xdr:cxnSp macro="">
      <xdr:nvCxnSpPr>
        <xdr:cNvPr id="69" name="直線コネクタ 68">
          <a:extLst>
            <a:ext uri="{FF2B5EF4-FFF2-40B4-BE49-F238E27FC236}">
              <a16:creationId xmlns:a16="http://schemas.microsoft.com/office/drawing/2014/main" id="{D1E95E02-3B3D-43DA-AC7A-3D09DC6DFE7B}"/>
            </a:ext>
          </a:extLst>
        </xdr:cNvPr>
        <xdr:cNvCxnSpPr/>
      </xdr:nvCxnSpPr>
      <xdr:spPr>
        <a:xfrm>
          <a:off x="3572455" y="6712589"/>
          <a:ext cx="1270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112486</xdr:colOff>
      <xdr:row>35</xdr:row>
      <xdr:rowOff>154152</xdr:rowOff>
    </xdr:from>
    <xdr:to>
      <xdr:col>16</xdr:col>
      <xdr:colOff>177937</xdr:colOff>
      <xdr:row>35</xdr:row>
      <xdr:rowOff>154152</xdr:rowOff>
    </xdr:to>
    <xdr:cxnSp macro="">
      <xdr:nvCxnSpPr>
        <xdr:cNvPr id="70" name="直線コネクタ 69">
          <a:extLst>
            <a:ext uri="{FF2B5EF4-FFF2-40B4-BE49-F238E27FC236}">
              <a16:creationId xmlns:a16="http://schemas.microsoft.com/office/drawing/2014/main" id="{A6165621-0D28-42A7-99D2-9531C95073F2}"/>
            </a:ext>
          </a:extLst>
        </xdr:cNvPr>
        <xdr:cNvCxnSpPr/>
      </xdr:nvCxnSpPr>
      <xdr:spPr>
        <a:xfrm>
          <a:off x="2129545" y="8480123"/>
          <a:ext cx="16342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59003</xdr:colOff>
      <xdr:row>35</xdr:row>
      <xdr:rowOff>179228</xdr:rowOff>
    </xdr:from>
    <xdr:to>
      <xdr:col>15</xdr:col>
      <xdr:colOff>144510</xdr:colOff>
      <xdr:row>36</xdr:row>
      <xdr:rowOff>40844</xdr:rowOff>
    </xdr:to>
    <xdr:cxnSp macro="">
      <xdr:nvCxnSpPr>
        <xdr:cNvPr id="71" name="直線コネクタ 70">
          <a:extLst>
            <a:ext uri="{FF2B5EF4-FFF2-40B4-BE49-F238E27FC236}">
              <a16:creationId xmlns:a16="http://schemas.microsoft.com/office/drawing/2014/main" id="{43BBAFF8-FBA1-496C-A816-1DBE6EB696CF}"/>
            </a:ext>
          </a:extLst>
        </xdr:cNvPr>
        <xdr:cNvCxnSpPr/>
      </xdr:nvCxnSpPr>
      <xdr:spPr>
        <a:xfrm>
          <a:off x="3420768" y="8505199"/>
          <a:ext cx="85507"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14246</xdr:colOff>
      <xdr:row>35</xdr:row>
      <xdr:rowOff>177669</xdr:rowOff>
    </xdr:from>
    <xdr:to>
      <xdr:col>15</xdr:col>
      <xdr:colOff>104397</xdr:colOff>
      <xdr:row>36</xdr:row>
      <xdr:rowOff>42688</xdr:rowOff>
    </xdr:to>
    <xdr:cxnSp macro="">
      <xdr:nvCxnSpPr>
        <xdr:cNvPr id="72" name="直線コネクタ 71">
          <a:extLst>
            <a:ext uri="{FF2B5EF4-FFF2-40B4-BE49-F238E27FC236}">
              <a16:creationId xmlns:a16="http://schemas.microsoft.com/office/drawing/2014/main" id="{1E3BC159-5D4D-4DF7-8F4C-656A30C68371}"/>
            </a:ext>
          </a:extLst>
        </xdr:cNvPr>
        <xdr:cNvCxnSpPr/>
      </xdr:nvCxnSpPr>
      <xdr:spPr>
        <a:xfrm>
          <a:off x="3376011" y="8503640"/>
          <a:ext cx="90151"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15161</xdr:colOff>
      <xdr:row>35</xdr:row>
      <xdr:rowOff>232199</xdr:rowOff>
    </xdr:from>
    <xdr:to>
      <xdr:col>15</xdr:col>
      <xdr:colOff>50606</xdr:colOff>
      <xdr:row>36</xdr:row>
      <xdr:rowOff>24799</xdr:rowOff>
    </xdr:to>
    <xdr:cxnSp macro="">
      <xdr:nvCxnSpPr>
        <xdr:cNvPr id="73" name="直線コネクタ 72">
          <a:extLst>
            <a:ext uri="{FF2B5EF4-FFF2-40B4-BE49-F238E27FC236}">
              <a16:creationId xmlns:a16="http://schemas.microsoft.com/office/drawing/2014/main" id="{DE325829-B290-4C76-A3B3-B59381202102}"/>
            </a:ext>
          </a:extLst>
        </xdr:cNvPr>
        <xdr:cNvCxnSpPr/>
      </xdr:nvCxnSpPr>
      <xdr:spPr>
        <a:xfrm flipH="1">
          <a:off x="3376926" y="8558170"/>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39234</xdr:colOff>
      <xdr:row>36</xdr:row>
      <xdr:rowOff>18075</xdr:rowOff>
    </xdr:from>
    <xdr:to>
      <xdr:col>15</xdr:col>
      <xdr:colOff>64540</xdr:colOff>
      <xdr:row>36</xdr:row>
      <xdr:rowOff>41998</xdr:rowOff>
    </xdr:to>
    <xdr:cxnSp macro="">
      <xdr:nvCxnSpPr>
        <xdr:cNvPr id="74" name="直線コネクタ 73">
          <a:extLst>
            <a:ext uri="{FF2B5EF4-FFF2-40B4-BE49-F238E27FC236}">
              <a16:creationId xmlns:a16="http://schemas.microsoft.com/office/drawing/2014/main" id="{B99E113A-16D0-4D90-90D9-06AAB28846F7}"/>
            </a:ext>
          </a:extLst>
        </xdr:cNvPr>
        <xdr:cNvCxnSpPr/>
      </xdr:nvCxnSpPr>
      <xdr:spPr>
        <a:xfrm flipH="1">
          <a:off x="3400999" y="8579369"/>
          <a:ext cx="2530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147089</xdr:colOff>
      <xdr:row>35</xdr:row>
      <xdr:rowOff>183695</xdr:rowOff>
    </xdr:from>
    <xdr:to>
      <xdr:col>15</xdr:col>
      <xdr:colOff>6133</xdr:colOff>
      <xdr:row>36</xdr:row>
      <xdr:rowOff>46239</xdr:rowOff>
    </xdr:to>
    <xdr:cxnSp macro="">
      <xdr:nvCxnSpPr>
        <xdr:cNvPr id="75" name="直線コネクタ 74">
          <a:extLst>
            <a:ext uri="{FF2B5EF4-FFF2-40B4-BE49-F238E27FC236}">
              <a16:creationId xmlns:a16="http://schemas.microsoft.com/office/drawing/2014/main" id="{CDE936A3-A1D9-4FD8-AA3C-E52ECFE4E6C8}"/>
            </a:ext>
          </a:extLst>
        </xdr:cNvPr>
        <xdr:cNvCxnSpPr/>
      </xdr:nvCxnSpPr>
      <xdr:spPr>
        <a:xfrm>
          <a:off x="3284736" y="8509666"/>
          <a:ext cx="83162"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109242</xdr:colOff>
      <xdr:row>35</xdr:row>
      <xdr:rowOff>185539</xdr:rowOff>
    </xdr:from>
    <xdr:to>
      <xdr:col>14</xdr:col>
      <xdr:colOff>196320</xdr:colOff>
      <xdr:row>36</xdr:row>
      <xdr:rowOff>48083</xdr:rowOff>
    </xdr:to>
    <xdr:cxnSp macro="">
      <xdr:nvCxnSpPr>
        <xdr:cNvPr id="76" name="直線コネクタ 75">
          <a:extLst>
            <a:ext uri="{FF2B5EF4-FFF2-40B4-BE49-F238E27FC236}">
              <a16:creationId xmlns:a16="http://schemas.microsoft.com/office/drawing/2014/main" id="{C23DD442-BD4D-4C2C-8B50-17CC56A14E63}"/>
            </a:ext>
          </a:extLst>
        </xdr:cNvPr>
        <xdr:cNvCxnSpPr/>
      </xdr:nvCxnSpPr>
      <xdr:spPr>
        <a:xfrm>
          <a:off x="3246889" y="8511510"/>
          <a:ext cx="87078"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109278</xdr:colOff>
      <xdr:row>36</xdr:row>
      <xdr:rowOff>1944</xdr:rowOff>
    </xdr:from>
    <xdr:to>
      <xdr:col>14</xdr:col>
      <xdr:colOff>134901</xdr:colOff>
      <xdr:row>36</xdr:row>
      <xdr:rowOff>32670</xdr:rowOff>
    </xdr:to>
    <xdr:cxnSp macro="">
      <xdr:nvCxnSpPr>
        <xdr:cNvPr id="77" name="直線コネクタ 76">
          <a:extLst>
            <a:ext uri="{FF2B5EF4-FFF2-40B4-BE49-F238E27FC236}">
              <a16:creationId xmlns:a16="http://schemas.microsoft.com/office/drawing/2014/main" id="{F7233EA3-643F-47F5-8925-3AE5D3DCE3D7}"/>
            </a:ext>
          </a:extLst>
        </xdr:cNvPr>
        <xdr:cNvCxnSpPr/>
      </xdr:nvCxnSpPr>
      <xdr:spPr>
        <a:xfrm flipH="1">
          <a:off x="3246925" y="8563238"/>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129562</xdr:colOff>
      <xdr:row>36</xdr:row>
      <xdr:rowOff>19141</xdr:rowOff>
    </xdr:from>
    <xdr:to>
      <xdr:col>14</xdr:col>
      <xdr:colOff>150817</xdr:colOff>
      <xdr:row>36</xdr:row>
      <xdr:rowOff>47393</xdr:rowOff>
    </xdr:to>
    <xdr:cxnSp macro="">
      <xdr:nvCxnSpPr>
        <xdr:cNvPr id="78" name="直線コネクタ 77">
          <a:extLst>
            <a:ext uri="{FF2B5EF4-FFF2-40B4-BE49-F238E27FC236}">
              <a16:creationId xmlns:a16="http://schemas.microsoft.com/office/drawing/2014/main" id="{9598140D-4D98-49B6-809E-73895DB277EC}"/>
            </a:ext>
          </a:extLst>
        </xdr:cNvPr>
        <xdr:cNvCxnSpPr/>
      </xdr:nvCxnSpPr>
      <xdr:spPr>
        <a:xfrm flipH="1">
          <a:off x="3267209" y="8580435"/>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208509</xdr:colOff>
      <xdr:row>37</xdr:row>
      <xdr:rowOff>235308</xdr:rowOff>
    </xdr:from>
    <xdr:to>
      <xdr:col>24</xdr:col>
      <xdr:colOff>379</xdr:colOff>
      <xdr:row>37</xdr:row>
      <xdr:rowOff>235308</xdr:rowOff>
    </xdr:to>
    <xdr:cxnSp macro="">
      <xdr:nvCxnSpPr>
        <xdr:cNvPr id="79" name="直線コネクタ 78">
          <a:extLst>
            <a:ext uri="{FF2B5EF4-FFF2-40B4-BE49-F238E27FC236}">
              <a16:creationId xmlns:a16="http://schemas.microsoft.com/office/drawing/2014/main" id="{3C3919E9-931C-4353-BC59-66DE3049A76B}"/>
            </a:ext>
          </a:extLst>
        </xdr:cNvPr>
        <xdr:cNvCxnSpPr/>
      </xdr:nvCxnSpPr>
      <xdr:spPr>
        <a:xfrm>
          <a:off x="2001450" y="9031926"/>
          <a:ext cx="3377753"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204777</xdr:colOff>
      <xdr:row>35</xdr:row>
      <xdr:rowOff>154392</xdr:rowOff>
    </xdr:from>
    <xdr:to>
      <xdr:col>22</xdr:col>
      <xdr:colOff>212480</xdr:colOff>
      <xdr:row>35</xdr:row>
      <xdr:rowOff>154392</xdr:rowOff>
    </xdr:to>
    <xdr:cxnSp macro="">
      <xdr:nvCxnSpPr>
        <xdr:cNvPr id="80" name="直線コネクタ 79">
          <a:extLst>
            <a:ext uri="{FF2B5EF4-FFF2-40B4-BE49-F238E27FC236}">
              <a16:creationId xmlns:a16="http://schemas.microsoft.com/office/drawing/2014/main" id="{2E2DFCE1-E9B7-411E-9268-9B5B59AEF45F}"/>
            </a:ext>
          </a:extLst>
        </xdr:cNvPr>
        <xdr:cNvCxnSpPr/>
      </xdr:nvCxnSpPr>
      <xdr:spPr>
        <a:xfrm>
          <a:off x="3838931" y="8675604"/>
          <a:ext cx="137051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90742</xdr:colOff>
      <xdr:row>33</xdr:row>
      <xdr:rowOff>97807</xdr:rowOff>
    </xdr:from>
    <xdr:to>
      <xdr:col>15</xdr:col>
      <xdr:colOff>203964</xdr:colOff>
      <xdr:row>33</xdr:row>
      <xdr:rowOff>97807</xdr:rowOff>
    </xdr:to>
    <xdr:cxnSp macro="">
      <xdr:nvCxnSpPr>
        <xdr:cNvPr id="83" name="直線コネクタ 82">
          <a:extLst>
            <a:ext uri="{FF2B5EF4-FFF2-40B4-BE49-F238E27FC236}">
              <a16:creationId xmlns:a16="http://schemas.microsoft.com/office/drawing/2014/main" id="{F1C9FCD6-F073-42DD-8E03-FF5FC632C8E0}"/>
            </a:ext>
          </a:extLst>
        </xdr:cNvPr>
        <xdr:cNvCxnSpPr/>
      </xdr:nvCxnSpPr>
      <xdr:spPr>
        <a:xfrm>
          <a:off x="2780154" y="7953131"/>
          <a:ext cx="785575"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87066</xdr:colOff>
      <xdr:row>34</xdr:row>
      <xdr:rowOff>15364</xdr:rowOff>
    </xdr:from>
    <xdr:to>
      <xdr:col>15</xdr:col>
      <xdr:colOff>191557</xdr:colOff>
      <xdr:row>34</xdr:row>
      <xdr:rowOff>15364</xdr:rowOff>
    </xdr:to>
    <xdr:cxnSp macro="">
      <xdr:nvCxnSpPr>
        <xdr:cNvPr id="84" name="直線コネクタ 83">
          <a:extLst>
            <a:ext uri="{FF2B5EF4-FFF2-40B4-BE49-F238E27FC236}">
              <a16:creationId xmlns:a16="http://schemas.microsoft.com/office/drawing/2014/main" id="{E8E57B07-CD82-422D-A10F-616350A85108}"/>
            </a:ext>
          </a:extLst>
        </xdr:cNvPr>
        <xdr:cNvCxnSpPr/>
      </xdr:nvCxnSpPr>
      <xdr:spPr>
        <a:xfrm>
          <a:off x="2776478" y="8106011"/>
          <a:ext cx="776844"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199578</xdr:colOff>
      <xdr:row>33</xdr:row>
      <xdr:rowOff>102703</xdr:rowOff>
    </xdr:from>
    <xdr:to>
      <xdr:col>15</xdr:col>
      <xdr:colOff>199578</xdr:colOff>
      <xdr:row>34</xdr:row>
      <xdr:rowOff>15749</xdr:rowOff>
    </xdr:to>
    <xdr:cxnSp macro="">
      <xdr:nvCxnSpPr>
        <xdr:cNvPr id="85" name="直線コネクタ 84">
          <a:extLst>
            <a:ext uri="{FF2B5EF4-FFF2-40B4-BE49-F238E27FC236}">
              <a16:creationId xmlns:a16="http://schemas.microsoft.com/office/drawing/2014/main" id="{D38991E6-23C0-4933-9FD6-CEB39725D9FF}"/>
            </a:ext>
          </a:extLst>
        </xdr:cNvPr>
        <xdr:cNvCxnSpPr/>
      </xdr:nvCxnSpPr>
      <xdr:spPr>
        <a:xfrm>
          <a:off x="3561343" y="7958027"/>
          <a:ext cx="0" cy="148369"/>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221968</xdr:colOff>
      <xdr:row>33</xdr:row>
      <xdr:rowOff>92498</xdr:rowOff>
    </xdr:from>
    <xdr:to>
      <xdr:col>15</xdr:col>
      <xdr:colOff>221968</xdr:colOff>
      <xdr:row>34</xdr:row>
      <xdr:rowOff>29535</xdr:rowOff>
    </xdr:to>
    <xdr:cxnSp macro="">
      <xdr:nvCxnSpPr>
        <xdr:cNvPr id="86" name="直線コネクタ 85">
          <a:extLst>
            <a:ext uri="{FF2B5EF4-FFF2-40B4-BE49-F238E27FC236}">
              <a16:creationId xmlns:a16="http://schemas.microsoft.com/office/drawing/2014/main" id="{6022E0AE-FA4A-421F-8057-D03C2B86A444}"/>
            </a:ext>
          </a:extLst>
        </xdr:cNvPr>
        <xdr:cNvCxnSpPr/>
      </xdr:nvCxnSpPr>
      <xdr:spPr>
        <a:xfrm>
          <a:off x="3583733" y="7947822"/>
          <a:ext cx="0" cy="17236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128256</xdr:colOff>
      <xdr:row>33</xdr:row>
      <xdr:rowOff>92498</xdr:rowOff>
    </xdr:from>
    <xdr:to>
      <xdr:col>16</xdr:col>
      <xdr:colOff>128256</xdr:colOff>
      <xdr:row>34</xdr:row>
      <xdr:rowOff>29535</xdr:rowOff>
    </xdr:to>
    <xdr:cxnSp macro="">
      <xdr:nvCxnSpPr>
        <xdr:cNvPr id="87" name="直線コネクタ 86">
          <a:extLst>
            <a:ext uri="{FF2B5EF4-FFF2-40B4-BE49-F238E27FC236}">
              <a16:creationId xmlns:a16="http://schemas.microsoft.com/office/drawing/2014/main" id="{10C46B48-DA55-4099-9963-F4BA14326B7A}"/>
            </a:ext>
          </a:extLst>
        </xdr:cNvPr>
        <xdr:cNvCxnSpPr/>
      </xdr:nvCxnSpPr>
      <xdr:spPr>
        <a:xfrm>
          <a:off x="3714138" y="7947822"/>
          <a:ext cx="0" cy="17236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15</xdr:col>
      <xdr:colOff>220898</xdr:colOff>
      <xdr:row>33</xdr:row>
      <xdr:rowOff>182181</xdr:rowOff>
    </xdr:from>
    <xdr:to>
      <xdr:col>16</xdr:col>
      <xdr:colOff>123785</xdr:colOff>
      <xdr:row>33</xdr:row>
      <xdr:rowOff>182181</xdr:rowOff>
    </xdr:to>
    <xdr:cxnSp macro="">
      <xdr:nvCxnSpPr>
        <xdr:cNvPr id="88" name="直線コネクタ 87">
          <a:extLst>
            <a:ext uri="{FF2B5EF4-FFF2-40B4-BE49-F238E27FC236}">
              <a16:creationId xmlns:a16="http://schemas.microsoft.com/office/drawing/2014/main" id="{575B1FAC-E82D-4E50-B917-6605524DCD84}"/>
            </a:ext>
          </a:extLst>
        </xdr:cNvPr>
        <xdr:cNvCxnSpPr/>
      </xdr:nvCxnSpPr>
      <xdr:spPr>
        <a:xfrm>
          <a:off x="3582663" y="8037505"/>
          <a:ext cx="127004"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17</xdr:col>
      <xdr:colOff>119749</xdr:colOff>
      <xdr:row>35</xdr:row>
      <xdr:rowOff>148808</xdr:rowOff>
    </xdr:from>
    <xdr:to>
      <xdr:col>18</xdr:col>
      <xdr:colOff>60444</xdr:colOff>
      <xdr:row>38</xdr:row>
      <xdr:rowOff>6145</xdr:rowOff>
    </xdr:to>
    <xdr:cxnSp macro="">
      <xdr:nvCxnSpPr>
        <xdr:cNvPr id="89" name="直線コネクタ 88">
          <a:extLst>
            <a:ext uri="{FF2B5EF4-FFF2-40B4-BE49-F238E27FC236}">
              <a16:creationId xmlns:a16="http://schemas.microsoft.com/office/drawing/2014/main" id="{2DC44075-B2B6-48CC-9FBD-933243DA0B91}"/>
            </a:ext>
          </a:extLst>
        </xdr:cNvPr>
        <xdr:cNvCxnSpPr/>
      </xdr:nvCxnSpPr>
      <xdr:spPr>
        <a:xfrm>
          <a:off x="3929749" y="8474779"/>
          <a:ext cx="164813" cy="56330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91710</xdr:colOff>
      <xdr:row>37</xdr:row>
      <xdr:rowOff>215824</xdr:rowOff>
    </xdr:from>
    <xdr:to>
      <xdr:col>9</xdr:col>
      <xdr:colOff>121480</xdr:colOff>
      <xdr:row>38</xdr:row>
      <xdr:rowOff>179309</xdr:rowOff>
    </xdr:to>
    <xdr:cxnSp macro="">
      <xdr:nvCxnSpPr>
        <xdr:cNvPr id="90" name="直線コネクタ 89">
          <a:extLst>
            <a:ext uri="{FF2B5EF4-FFF2-40B4-BE49-F238E27FC236}">
              <a16:creationId xmlns:a16="http://schemas.microsoft.com/office/drawing/2014/main" id="{B6ED2FA8-0767-4541-8108-7328E520DA0A}"/>
            </a:ext>
          </a:extLst>
        </xdr:cNvPr>
        <xdr:cNvCxnSpPr/>
      </xdr:nvCxnSpPr>
      <xdr:spPr>
        <a:xfrm flipH="1">
          <a:off x="2108769" y="9012442"/>
          <a:ext cx="29770" cy="19880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11</xdr:col>
      <xdr:colOff>158316</xdr:colOff>
      <xdr:row>35</xdr:row>
      <xdr:rowOff>137774</xdr:rowOff>
    </xdr:from>
    <xdr:to>
      <xdr:col>11</xdr:col>
      <xdr:colOff>158316</xdr:colOff>
      <xdr:row>38</xdr:row>
      <xdr:rowOff>4833</xdr:rowOff>
    </xdr:to>
    <xdr:cxnSp macro="">
      <xdr:nvCxnSpPr>
        <xdr:cNvPr id="3" name="直線矢印コネクタ 2">
          <a:extLst>
            <a:ext uri="{FF2B5EF4-FFF2-40B4-BE49-F238E27FC236}">
              <a16:creationId xmlns:a16="http://schemas.microsoft.com/office/drawing/2014/main" id="{DE786289-7167-4AF3-BC83-4A7DB54791B7}"/>
            </a:ext>
          </a:extLst>
        </xdr:cNvPr>
        <xdr:cNvCxnSpPr/>
      </xdr:nvCxnSpPr>
      <xdr:spPr>
        <a:xfrm>
          <a:off x="2623610" y="8463745"/>
          <a:ext cx="0" cy="57302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9</xdr:col>
      <xdr:colOff>146702</xdr:colOff>
      <xdr:row>36</xdr:row>
      <xdr:rowOff>85175</xdr:rowOff>
    </xdr:from>
    <xdr:to>
      <xdr:col>12</xdr:col>
      <xdr:colOff>35574</xdr:colOff>
      <xdr:row>37</xdr:row>
      <xdr:rowOff>70886</xdr:rowOff>
    </xdr:to>
    <xdr:sp macro="" textlink="">
      <xdr:nvSpPr>
        <xdr:cNvPr id="6" name="テキスト ボックス 5">
          <a:extLst>
            <a:ext uri="{FF2B5EF4-FFF2-40B4-BE49-F238E27FC236}">
              <a16:creationId xmlns:a16="http://schemas.microsoft.com/office/drawing/2014/main" id="{6837349F-D6C1-69F4-E54A-B5B00566B1B8}"/>
            </a:ext>
          </a:extLst>
        </xdr:cNvPr>
        <xdr:cNvSpPr txBox="1"/>
      </xdr:nvSpPr>
      <xdr:spPr>
        <a:xfrm>
          <a:off x="2163761" y="8646469"/>
          <a:ext cx="561225" cy="221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1.20m</a:t>
          </a:r>
          <a:endParaRPr kumimoji="1" lang="ja-JP" altLang="en-US" sz="1100">
            <a:solidFill>
              <a:sysClr val="windowText" lastClr="000000"/>
            </a:solidFill>
          </a:endParaRPr>
        </a:p>
      </xdr:txBody>
    </xdr:sp>
    <xdr:clientData/>
  </xdr:twoCellAnchor>
  <xdr:twoCellAnchor editAs="absolute">
    <xdr:from>
      <xdr:col>31</xdr:col>
      <xdr:colOff>54118</xdr:colOff>
      <xdr:row>67</xdr:row>
      <xdr:rowOff>121175</xdr:rowOff>
    </xdr:from>
    <xdr:to>
      <xdr:col>35</xdr:col>
      <xdr:colOff>55749</xdr:colOff>
      <xdr:row>68</xdr:row>
      <xdr:rowOff>136012</xdr:rowOff>
    </xdr:to>
    <xdr:sp macro="" textlink="">
      <xdr:nvSpPr>
        <xdr:cNvPr id="2" name="テキスト ボックス 1">
          <a:extLst>
            <a:ext uri="{FF2B5EF4-FFF2-40B4-BE49-F238E27FC236}">
              <a16:creationId xmlns:a16="http://schemas.microsoft.com/office/drawing/2014/main" id="{EDD9E152-581A-4ED2-B4D3-10995F59211C}"/>
            </a:ext>
          </a:extLst>
        </xdr:cNvPr>
        <xdr:cNvSpPr txBox="1"/>
      </xdr:nvSpPr>
      <xdr:spPr>
        <a:xfrm>
          <a:off x="7066899" y="16194613"/>
          <a:ext cx="906506" cy="25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23</xdr:col>
      <xdr:colOff>153982</xdr:colOff>
      <xdr:row>76</xdr:row>
      <xdr:rowOff>128954</xdr:rowOff>
    </xdr:from>
    <xdr:to>
      <xdr:col>23</xdr:col>
      <xdr:colOff>153982</xdr:colOff>
      <xdr:row>79</xdr:row>
      <xdr:rowOff>23834</xdr:rowOff>
    </xdr:to>
    <xdr:cxnSp macro="">
      <xdr:nvCxnSpPr>
        <xdr:cNvPr id="5" name="直線矢印コネクタ 4">
          <a:extLst>
            <a:ext uri="{FF2B5EF4-FFF2-40B4-BE49-F238E27FC236}">
              <a16:creationId xmlns:a16="http://schemas.microsoft.com/office/drawing/2014/main" id="{CAE28839-2000-4D3F-A56B-854D0F65ACEA}"/>
            </a:ext>
          </a:extLst>
        </xdr:cNvPr>
        <xdr:cNvCxnSpPr/>
      </xdr:nvCxnSpPr>
      <xdr:spPr>
        <a:xfrm>
          <a:off x="5357013" y="18345517"/>
          <a:ext cx="0" cy="60925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30</xdr:col>
      <xdr:colOff>113639</xdr:colOff>
      <xdr:row>71</xdr:row>
      <xdr:rowOff>204972</xdr:rowOff>
    </xdr:from>
    <xdr:to>
      <xdr:col>35</xdr:col>
      <xdr:colOff>24587</xdr:colOff>
      <xdr:row>72</xdr:row>
      <xdr:rowOff>224396</xdr:rowOff>
    </xdr:to>
    <xdr:sp macro="" textlink="">
      <xdr:nvSpPr>
        <xdr:cNvPr id="7" name="テキスト ボックス 6">
          <a:extLst>
            <a:ext uri="{FF2B5EF4-FFF2-40B4-BE49-F238E27FC236}">
              <a16:creationId xmlns:a16="http://schemas.microsoft.com/office/drawing/2014/main" id="{1B2D1547-7863-4C29-9CA3-3F20DBDBEAC7}"/>
            </a:ext>
          </a:extLst>
        </xdr:cNvPr>
        <xdr:cNvSpPr txBox="1"/>
      </xdr:nvSpPr>
      <xdr:spPr>
        <a:xfrm>
          <a:off x="6900202" y="17230910"/>
          <a:ext cx="1042041" cy="257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１層 </a:t>
          </a:r>
          <a:r>
            <a:rPr kumimoji="1" lang="en-US" altLang="ja-JP" sz="1100"/>
            <a:t>3.80m</a:t>
          </a:r>
          <a:endParaRPr kumimoji="1" lang="ja-JP" altLang="en-US" sz="1100"/>
        </a:p>
      </xdr:txBody>
    </xdr:sp>
    <xdr:clientData/>
  </xdr:twoCellAnchor>
  <xdr:twoCellAnchor editAs="absolute">
    <xdr:from>
      <xdr:col>30</xdr:col>
      <xdr:colOff>99857</xdr:colOff>
      <xdr:row>76</xdr:row>
      <xdr:rowOff>212139</xdr:rowOff>
    </xdr:from>
    <xdr:to>
      <xdr:col>35</xdr:col>
      <xdr:colOff>43637</xdr:colOff>
      <xdr:row>77</xdr:row>
      <xdr:rowOff>208903</xdr:rowOff>
    </xdr:to>
    <xdr:sp macro="" textlink="">
      <xdr:nvSpPr>
        <xdr:cNvPr id="8" name="テキスト ボックス 7">
          <a:extLst>
            <a:ext uri="{FF2B5EF4-FFF2-40B4-BE49-F238E27FC236}">
              <a16:creationId xmlns:a16="http://schemas.microsoft.com/office/drawing/2014/main" id="{F8D9991E-C43E-4E38-ABB8-FCFD80BCA63B}"/>
            </a:ext>
          </a:extLst>
        </xdr:cNvPr>
        <xdr:cNvSpPr txBox="1"/>
      </xdr:nvSpPr>
      <xdr:spPr>
        <a:xfrm>
          <a:off x="6886420" y="18428702"/>
          <a:ext cx="1074873" cy="234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２層 </a:t>
          </a:r>
          <a:r>
            <a:rPr kumimoji="1" lang="en-US" altLang="ja-JP" sz="1100"/>
            <a:t>1.20m</a:t>
          </a:r>
          <a:endParaRPr kumimoji="1" lang="ja-JP" altLang="en-US" sz="1100"/>
        </a:p>
      </xdr:txBody>
    </xdr:sp>
    <xdr:clientData/>
  </xdr:twoCellAnchor>
  <xdr:twoCellAnchor>
    <xdr:from>
      <xdr:col>24</xdr:col>
      <xdr:colOff>217010</xdr:colOff>
      <xdr:row>78</xdr:row>
      <xdr:rowOff>194453</xdr:rowOff>
    </xdr:from>
    <xdr:to>
      <xdr:col>25</xdr:col>
      <xdr:colOff>108087</xdr:colOff>
      <xdr:row>79</xdr:row>
      <xdr:rowOff>82049</xdr:rowOff>
    </xdr:to>
    <xdr:sp macro="" textlink="">
      <xdr:nvSpPr>
        <xdr:cNvPr id="9" name="楕円 8">
          <a:extLst>
            <a:ext uri="{FF2B5EF4-FFF2-40B4-BE49-F238E27FC236}">
              <a16:creationId xmlns:a16="http://schemas.microsoft.com/office/drawing/2014/main" id="{F1EE5D16-ACC8-4E78-976A-7D6E455748CF}"/>
            </a:ext>
          </a:extLst>
        </xdr:cNvPr>
        <xdr:cNvSpPr/>
      </xdr:nvSpPr>
      <xdr:spPr>
        <a:xfrm>
          <a:off x="5646260" y="18887266"/>
          <a:ext cx="117296" cy="12572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185117</xdr:colOff>
      <xdr:row>66</xdr:row>
      <xdr:rowOff>237619</xdr:rowOff>
    </xdr:from>
    <xdr:to>
      <xdr:col>30</xdr:col>
      <xdr:colOff>185117</xdr:colOff>
      <xdr:row>69</xdr:row>
      <xdr:rowOff>18544</xdr:rowOff>
    </xdr:to>
    <xdr:cxnSp macro="">
      <xdr:nvCxnSpPr>
        <xdr:cNvPr id="10" name="直線矢印コネクタ 9">
          <a:extLst>
            <a:ext uri="{FF2B5EF4-FFF2-40B4-BE49-F238E27FC236}">
              <a16:creationId xmlns:a16="http://schemas.microsoft.com/office/drawing/2014/main" id="{E520887D-5534-488D-A490-39E14EADDC6A}"/>
            </a:ext>
          </a:extLst>
        </xdr:cNvPr>
        <xdr:cNvCxnSpPr/>
      </xdr:nvCxnSpPr>
      <xdr:spPr>
        <a:xfrm>
          <a:off x="6971680" y="16072932"/>
          <a:ext cx="0" cy="4953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185117</xdr:colOff>
      <xdr:row>69</xdr:row>
      <xdr:rowOff>7594</xdr:rowOff>
    </xdr:from>
    <xdr:to>
      <xdr:col>30</xdr:col>
      <xdr:colOff>185117</xdr:colOff>
      <xdr:row>76</xdr:row>
      <xdr:rowOff>119508</xdr:rowOff>
    </xdr:to>
    <xdr:cxnSp macro="">
      <xdr:nvCxnSpPr>
        <xdr:cNvPr id="11" name="直線矢印コネクタ 10">
          <a:extLst>
            <a:ext uri="{FF2B5EF4-FFF2-40B4-BE49-F238E27FC236}">
              <a16:creationId xmlns:a16="http://schemas.microsoft.com/office/drawing/2014/main" id="{15167190-6EEC-4316-8F8B-D342569D4DFE}"/>
            </a:ext>
          </a:extLst>
        </xdr:cNvPr>
        <xdr:cNvCxnSpPr/>
      </xdr:nvCxnSpPr>
      <xdr:spPr>
        <a:xfrm>
          <a:off x="6971680" y="16557282"/>
          <a:ext cx="0" cy="177878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190246</xdr:colOff>
      <xdr:row>76</xdr:row>
      <xdr:rowOff>124087</xdr:rowOff>
    </xdr:from>
    <xdr:to>
      <xdr:col>30</xdr:col>
      <xdr:colOff>190246</xdr:colOff>
      <xdr:row>78</xdr:row>
      <xdr:rowOff>216616</xdr:rowOff>
    </xdr:to>
    <xdr:cxnSp macro="">
      <xdr:nvCxnSpPr>
        <xdr:cNvPr id="12" name="直線矢印コネクタ 11">
          <a:extLst>
            <a:ext uri="{FF2B5EF4-FFF2-40B4-BE49-F238E27FC236}">
              <a16:creationId xmlns:a16="http://schemas.microsoft.com/office/drawing/2014/main" id="{E8DF0D6F-A19F-40F7-AB7F-2772D1B918EE}"/>
            </a:ext>
          </a:extLst>
        </xdr:cNvPr>
        <xdr:cNvCxnSpPr/>
      </xdr:nvCxnSpPr>
      <xdr:spPr>
        <a:xfrm>
          <a:off x="6976809" y="18340650"/>
          <a:ext cx="0" cy="56877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39330</xdr:colOff>
      <xdr:row>76</xdr:row>
      <xdr:rowOff>128954</xdr:rowOff>
    </xdr:from>
    <xdr:to>
      <xdr:col>21</xdr:col>
      <xdr:colOff>39330</xdr:colOff>
      <xdr:row>79</xdr:row>
      <xdr:rowOff>148827</xdr:rowOff>
    </xdr:to>
    <xdr:cxnSp macro="">
      <xdr:nvCxnSpPr>
        <xdr:cNvPr id="13" name="直線矢印コネクタ 12">
          <a:extLst>
            <a:ext uri="{FF2B5EF4-FFF2-40B4-BE49-F238E27FC236}">
              <a16:creationId xmlns:a16="http://schemas.microsoft.com/office/drawing/2014/main" id="{CFB3ABFF-FD6F-41BA-8BA6-C294F1DCF488}"/>
            </a:ext>
          </a:extLst>
        </xdr:cNvPr>
        <xdr:cNvCxnSpPr/>
      </xdr:nvCxnSpPr>
      <xdr:spPr>
        <a:xfrm>
          <a:off x="4789924" y="18345517"/>
          <a:ext cx="0" cy="73424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19</xdr:col>
      <xdr:colOff>3827</xdr:colOff>
      <xdr:row>77</xdr:row>
      <xdr:rowOff>116768</xdr:rowOff>
    </xdr:from>
    <xdr:to>
      <xdr:col>21</xdr:col>
      <xdr:colOff>105470</xdr:colOff>
      <xdr:row>78</xdr:row>
      <xdr:rowOff>102480</xdr:rowOff>
    </xdr:to>
    <xdr:sp macro="" textlink="">
      <xdr:nvSpPr>
        <xdr:cNvPr id="14" name="テキスト ボックス 13">
          <a:extLst>
            <a:ext uri="{FF2B5EF4-FFF2-40B4-BE49-F238E27FC236}">
              <a16:creationId xmlns:a16="http://schemas.microsoft.com/office/drawing/2014/main" id="{3C46E10F-477D-45B7-9D00-C05F6D9939E6}"/>
            </a:ext>
          </a:extLst>
        </xdr:cNvPr>
        <xdr:cNvSpPr txBox="1"/>
      </xdr:nvSpPr>
      <xdr:spPr>
        <a:xfrm>
          <a:off x="4301983" y="18571456"/>
          <a:ext cx="554081"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1.48m</a:t>
          </a:r>
          <a:endParaRPr kumimoji="1" lang="ja-JP" altLang="en-US" sz="1100">
            <a:solidFill>
              <a:sysClr val="windowText" lastClr="000000"/>
            </a:solidFill>
          </a:endParaRPr>
        </a:p>
      </xdr:txBody>
    </xdr:sp>
    <xdr:clientData/>
  </xdr:twoCellAnchor>
  <xdr:twoCellAnchor>
    <xdr:from>
      <xdr:col>25</xdr:col>
      <xdr:colOff>50122</xdr:colOff>
      <xdr:row>66</xdr:row>
      <xdr:rowOff>236372</xdr:rowOff>
    </xdr:from>
    <xdr:to>
      <xdr:col>32</xdr:col>
      <xdr:colOff>25232</xdr:colOff>
      <xdr:row>66</xdr:row>
      <xdr:rowOff>236372</xdr:rowOff>
    </xdr:to>
    <xdr:cxnSp macro="">
      <xdr:nvCxnSpPr>
        <xdr:cNvPr id="15" name="直線コネクタ 14">
          <a:extLst>
            <a:ext uri="{FF2B5EF4-FFF2-40B4-BE49-F238E27FC236}">
              <a16:creationId xmlns:a16="http://schemas.microsoft.com/office/drawing/2014/main" id="{DD335F66-64E7-413E-BF41-D16A490B4F64}"/>
            </a:ext>
          </a:extLst>
        </xdr:cNvPr>
        <xdr:cNvCxnSpPr/>
      </xdr:nvCxnSpPr>
      <xdr:spPr>
        <a:xfrm>
          <a:off x="5705591" y="16071685"/>
          <a:ext cx="155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52119</xdr:colOff>
      <xdr:row>66</xdr:row>
      <xdr:rowOff>236276</xdr:rowOff>
    </xdr:from>
    <xdr:to>
      <xdr:col>25</xdr:col>
      <xdr:colOff>52119</xdr:colOff>
      <xdr:row>79</xdr:row>
      <xdr:rowOff>150481</xdr:rowOff>
    </xdr:to>
    <xdr:cxnSp macro="">
      <xdr:nvCxnSpPr>
        <xdr:cNvPr id="31" name="直線コネクタ 30">
          <a:extLst>
            <a:ext uri="{FF2B5EF4-FFF2-40B4-BE49-F238E27FC236}">
              <a16:creationId xmlns:a16="http://schemas.microsoft.com/office/drawing/2014/main" id="{B95D37F4-2EA0-4A74-92A8-7FCEC1EBE50D}"/>
            </a:ext>
          </a:extLst>
        </xdr:cNvPr>
        <xdr:cNvCxnSpPr/>
      </xdr:nvCxnSpPr>
      <xdr:spPr>
        <a:xfrm>
          <a:off x="5707588" y="16071589"/>
          <a:ext cx="0" cy="300983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29</xdr:col>
      <xdr:colOff>11356</xdr:colOff>
      <xdr:row>69</xdr:row>
      <xdr:rowOff>4602</xdr:rowOff>
    </xdr:from>
    <xdr:to>
      <xdr:col>32</xdr:col>
      <xdr:colOff>22057</xdr:colOff>
      <xdr:row>69</xdr:row>
      <xdr:rowOff>4602</xdr:rowOff>
    </xdr:to>
    <xdr:cxnSp macro="">
      <xdr:nvCxnSpPr>
        <xdr:cNvPr id="32" name="直線コネクタ 31">
          <a:extLst>
            <a:ext uri="{FF2B5EF4-FFF2-40B4-BE49-F238E27FC236}">
              <a16:creationId xmlns:a16="http://schemas.microsoft.com/office/drawing/2014/main" id="{239916C9-1941-4F32-B126-4F785B73C87C}"/>
            </a:ext>
          </a:extLst>
        </xdr:cNvPr>
        <xdr:cNvCxnSpPr/>
      </xdr:nvCxnSpPr>
      <xdr:spPr>
        <a:xfrm>
          <a:off x="6571700" y="16554290"/>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44016</xdr:colOff>
      <xdr:row>78</xdr:row>
      <xdr:rowOff>97742</xdr:rowOff>
    </xdr:from>
    <xdr:to>
      <xdr:col>35</xdr:col>
      <xdr:colOff>98190</xdr:colOff>
      <xdr:row>79</xdr:row>
      <xdr:rowOff>100293</xdr:rowOff>
    </xdr:to>
    <xdr:sp macro="" textlink="">
      <xdr:nvSpPr>
        <xdr:cNvPr id="34" name="テキスト ボックス 33">
          <a:extLst>
            <a:ext uri="{FF2B5EF4-FFF2-40B4-BE49-F238E27FC236}">
              <a16:creationId xmlns:a16="http://schemas.microsoft.com/office/drawing/2014/main" id="{42AA16A1-FE8C-4A69-83E1-4D0902B61F65}"/>
            </a:ext>
          </a:extLst>
        </xdr:cNvPr>
        <xdr:cNvSpPr txBox="1"/>
      </xdr:nvSpPr>
      <xdr:spPr>
        <a:xfrm>
          <a:off x="7056797" y="18790555"/>
          <a:ext cx="959049" cy="24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0.06m</a:t>
          </a:r>
          <a:endParaRPr kumimoji="1" lang="ja-JP" altLang="en-US" sz="1100"/>
        </a:p>
      </xdr:txBody>
    </xdr:sp>
    <xdr:clientData/>
  </xdr:twoCellAnchor>
  <xdr:twoCellAnchor>
    <xdr:from>
      <xdr:col>20</xdr:col>
      <xdr:colOff>182834</xdr:colOff>
      <xdr:row>68</xdr:row>
      <xdr:rowOff>149375</xdr:rowOff>
    </xdr:from>
    <xdr:to>
      <xdr:col>24</xdr:col>
      <xdr:colOff>52281</xdr:colOff>
      <xdr:row>68</xdr:row>
      <xdr:rowOff>149375</xdr:rowOff>
    </xdr:to>
    <xdr:cxnSp macro="">
      <xdr:nvCxnSpPr>
        <xdr:cNvPr id="51" name="直線コネクタ 50">
          <a:extLst>
            <a:ext uri="{FF2B5EF4-FFF2-40B4-BE49-F238E27FC236}">
              <a16:creationId xmlns:a16="http://schemas.microsoft.com/office/drawing/2014/main" id="{60833C84-0679-4E3A-BD3C-FE6AF307ACFE}"/>
            </a:ext>
          </a:extLst>
        </xdr:cNvPr>
        <xdr:cNvCxnSpPr/>
      </xdr:nvCxnSpPr>
      <xdr:spPr>
        <a:xfrm>
          <a:off x="4707209" y="16460938"/>
          <a:ext cx="7743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172808</xdr:colOff>
      <xdr:row>69</xdr:row>
      <xdr:rowOff>59967</xdr:rowOff>
    </xdr:from>
    <xdr:to>
      <xdr:col>24</xdr:col>
      <xdr:colOff>39874</xdr:colOff>
      <xdr:row>69</xdr:row>
      <xdr:rowOff>59967</xdr:rowOff>
    </xdr:to>
    <xdr:cxnSp macro="">
      <xdr:nvCxnSpPr>
        <xdr:cNvPr id="52" name="直線コネクタ 51">
          <a:extLst>
            <a:ext uri="{FF2B5EF4-FFF2-40B4-BE49-F238E27FC236}">
              <a16:creationId xmlns:a16="http://schemas.microsoft.com/office/drawing/2014/main" id="{1138C199-F196-49BE-B5CA-27B9EBA8FF30}"/>
            </a:ext>
          </a:extLst>
        </xdr:cNvPr>
        <xdr:cNvCxnSpPr/>
      </xdr:nvCxnSpPr>
      <xdr:spPr>
        <a:xfrm>
          <a:off x="4697183" y="16609655"/>
          <a:ext cx="7719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47895</xdr:colOff>
      <xdr:row>68</xdr:row>
      <xdr:rowOff>154271</xdr:rowOff>
    </xdr:from>
    <xdr:to>
      <xdr:col>24</xdr:col>
      <xdr:colOff>47895</xdr:colOff>
      <xdr:row>69</xdr:row>
      <xdr:rowOff>60352</xdr:rowOff>
    </xdr:to>
    <xdr:cxnSp macro="">
      <xdr:nvCxnSpPr>
        <xdr:cNvPr id="53" name="直線コネクタ 52">
          <a:extLst>
            <a:ext uri="{FF2B5EF4-FFF2-40B4-BE49-F238E27FC236}">
              <a16:creationId xmlns:a16="http://schemas.microsoft.com/office/drawing/2014/main" id="{471B96F2-0FCA-49F4-ACD1-94FC1498060D}"/>
            </a:ext>
          </a:extLst>
        </xdr:cNvPr>
        <xdr:cNvCxnSpPr/>
      </xdr:nvCxnSpPr>
      <xdr:spPr>
        <a:xfrm>
          <a:off x="5477145" y="16465834"/>
          <a:ext cx="0" cy="144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67904</xdr:colOff>
      <xdr:row>68</xdr:row>
      <xdr:rowOff>144066</xdr:rowOff>
    </xdr:from>
    <xdr:to>
      <xdr:col>24</xdr:col>
      <xdr:colOff>67904</xdr:colOff>
      <xdr:row>69</xdr:row>
      <xdr:rowOff>74138</xdr:rowOff>
    </xdr:to>
    <xdr:cxnSp macro="">
      <xdr:nvCxnSpPr>
        <xdr:cNvPr id="54" name="直線コネクタ 53">
          <a:extLst>
            <a:ext uri="{FF2B5EF4-FFF2-40B4-BE49-F238E27FC236}">
              <a16:creationId xmlns:a16="http://schemas.microsoft.com/office/drawing/2014/main" id="{49545B90-91A2-420F-9F4C-14E7CC79F6B3}"/>
            </a:ext>
          </a:extLst>
        </xdr:cNvPr>
        <xdr:cNvCxnSpPr/>
      </xdr:nvCxnSpPr>
      <xdr:spPr>
        <a:xfrm>
          <a:off x="5497154" y="16455629"/>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198309</xdr:colOff>
      <xdr:row>68</xdr:row>
      <xdr:rowOff>144066</xdr:rowOff>
    </xdr:from>
    <xdr:to>
      <xdr:col>24</xdr:col>
      <xdr:colOff>198309</xdr:colOff>
      <xdr:row>69</xdr:row>
      <xdr:rowOff>74138</xdr:rowOff>
    </xdr:to>
    <xdr:cxnSp macro="">
      <xdr:nvCxnSpPr>
        <xdr:cNvPr id="55" name="直線コネクタ 54">
          <a:extLst>
            <a:ext uri="{FF2B5EF4-FFF2-40B4-BE49-F238E27FC236}">
              <a16:creationId xmlns:a16="http://schemas.microsoft.com/office/drawing/2014/main" id="{A6CD0470-0AA7-40C6-8259-2FF197E9D9E4}"/>
            </a:ext>
          </a:extLst>
        </xdr:cNvPr>
        <xdr:cNvCxnSpPr/>
      </xdr:nvCxnSpPr>
      <xdr:spPr>
        <a:xfrm>
          <a:off x="5627559" y="16455629"/>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66834</xdr:colOff>
      <xdr:row>69</xdr:row>
      <xdr:rowOff>6429</xdr:rowOff>
    </xdr:from>
    <xdr:to>
      <xdr:col>24</xdr:col>
      <xdr:colOff>193838</xdr:colOff>
      <xdr:row>69</xdr:row>
      <xdr:rowOff>6429</xdr:rowOff>
    </xdr:to>
    <xdr:cxnSp macro="">
      <xdr:nvCxnSpPr>
        <xdr:cNvPr id="56" name="直線コネクタ 55">
          <a:extLst>
            <a:ext uri="{FF2B5EF4-FFF2-40B4-BE49-F238E27FC236}">
              <a16:creationId xmlns:a16="http://schemas.microsoft.com/office/drawing/2014/main" id="{DF34E019-8BA0-4533-8576-6303B2272BE3}"/>
            </a:ext>
          </a:extLst>
        </xdr:cNvPr>
        <xdr:cNvCxnSpPr/>
      </xdr:nvCxnSpPr>
      <xdr:spPr>
        <a:xfrm>
          <a:off x="5496084" y="16556117"/>
          <a:ext cx="1270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119063</xdr:colOff>
      <xdr:row>76</xdr:row>
      <xdr:rowOff>129500</xdr:rowOff>
    </xdr:from>
    <xdr:to>
      <xdr:col>25</xdr:col>
      <xdr:colOff>31979</xdr:colOff>
      <xdr:row>76</xdr:row>
      <xdr:rowOff>129500</xdr:rowOff>
    </xdr:to>
    <xdr:cxnSp macro="">
      <xdr:nvCxnSpPr>
        <xdr:cNvPr id="60" name="直線コネクタ 59">
          <a:extLst>
            <a:ext uri="{FF2B5EF4-FFF2-40B4-BE49-F238E27FC236}">
              <a16:creationId xmlns:a16="http://schemas.microsoft.com/office/drawing/2014/main" id="{D7C21FB4-FF3F-474F-B911-DE03FFCD0517}"/>
            </a:ext>
          </a:extLst>
        </xdr:cNvPr>
        <xdr:cNvCxnSpPr/>
      </xdr:nvCxnSpPr>
      <xdr:spPr>
        <a:xfrm>
          <a:off x="4417219" y="18346063"/>
          <a:ext cx="127022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83066</xdr:colOff>
      <xdr:row>76</xdr:row>
      <xdr:rowOff>132595</xdr:rowOff>
    </xdr:from>
    <xdr:to>
      <xdr:col>22</xdr:col>
      <xdr:colOff>173745</xdr:colOff>
      <xdr:row>76</xdr:row>
      <xdr:rowOff>229534</xdr:rowOff>
    </xdr:to>
    <xdr:cxnSp macro="">
      <xdr:nvCxnSpPr>
        <xdr:cNvPr id="498" name="直線コネクタ 497">
          <a:extLst>
            <a:ext uri="{FF2B5EF4-FFF2-40B4-BE49-F238E27FC236}">
              <a16:creationId xmlns:a16="http://schemas.microsoft.com/office/drawing/2014/main" id="{29A78779-C802-4015-A31F-E085288F6467}"/>
            </a:ext>
          </a:extLst>
        </xdr:cNvPr>
        <xdr:cNvCxnSpPr/>
      </xdr:nvCxnSpPr>
      <xdr:spPr>
        <a:xfrm>
          <a:off x="5059879" y="18349158"/>
          <a:ext cx="90679"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38309</xdr:colOff>
      <xdr:row>76</xdr:row>
      <xdr:rowOff>131036</xdr:rowOff>
    </xdr:from>
    <xdr:to>
      <xdr:col>22</xdr:col>
      <xdr:colOff>133632</xdr:colOff>
      <xdr:row>76</xdr:row>
      <xdr:rowOff>231378</xdr:rowOff>
    </xdr:to>
    <xdr:cxnSp macro="">
      <xdr:nvCxnSpPr>
        <xdr:cNvPr id="499" name="直線コネクタ 498">
          <a:extLst>
            <a:ext uri="{FF2B5EF4-FFF2-40B4-BE49-F238E27FC236}">
              <a16:creationId xmlns:a16="http://schemas.microsoft.com/office/drawing/2014/main" id="{DEF16F54-CF10-41E0-B417-E22647F7C021}"/>
            </a:ext>
          </a:extLst>
        </xdr:cNvPr>
        <xdr:cNvCxnSpPr/>
      </xdr:nvCxnSpPr>
      <xdr:spPr>
        <a:xfrm>
          <a:off x="5015122" y="18347599"/>
          <a:ext cx="95323"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39224</xdr:colOff>
      <xdr:row>76</xdr:row>
      <xdr:rowOff>185566</xdr:rowOff>
    </xdr:from>
    <xdr:to>
      <xdr:col>22</xdr:col>
      <xdr:colOff>74669</xdr:colOff>
      <xdr:row>76</xdr:row>
      <xdr:rowOff>213489</xdr:rowOff>
    </xdr:to>
    <xdr:cxnSp macro="">
      <xdr:nvCxnSpPr>
        <xdr:cNvPr id="500" name="直線コネクタ 499">
          <a:extLst>
            <a:ext uri="{FF2B5EF4-FFF2-40B4-BE49-F238E27FC236}">
              <a16:creationId xmlns:a16="http://schemas.microsoft.com/office/drawing/2014/main" id="{417B22D9-12B9-4D79-823A-B2C854CAFC17}"/>
            </a:ext>
          </a:extLst>
        </xdr:cNvPr>
        <xdr:cNvCxnSpPr/>
      </xdr:nvCxnSpPr>
      <xdr:spPr>
        <a:xfrm flipH="1">
          <a:off x="5016037" y="18402129"/>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63297</xdr:colOff>
      <xdr:row>76</xdr:row>
      <xdr:rowOff>206765</xdr:rowOff>
    </xdr:from>
    <xdr:to>
      <xdr:col>22</xdr:col>
      <xdr:colOff>93775</xdr:colOff>
      <xdr:row>76</xdr:row>
      <xdr:rowOff>230688</xdr:rowOff>
    </xdr:to>
    <xdr:cxnSp macro="">
      <xdr:nvCxnSpPr>
        <xdr:cNvPr id="502" name="直線コネクタ 501">
          <a:extLst>
            <a:ext uri="{FF2B5EF4-FFF2-40B4-BE49-F238E27FC236}">
              <a16:creationId xmlns:a16="http://schemas.microsoft.com/office/drawing/2014/main" id="{81A04701-4C0C-4B2B-9663-CFCCC64A31FF}"/>
            </a:ext>
          </a:extLst>
        </xdr:cNvPr>
        <xdr:cNvCxnSpPr/>
      </xdr:nvCxnSpPr>
      <xdr:spPr>
        <a:xfrm flipH="1">
          <a:off x="5040110" y="18423328"/>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175634</xdr:colOff>
      <xdr:row>76</xdr:row>
      <xdr:rowOff>137062</xdr:rowOff>
    </xdr:from>
    <xdr:to>
      <xdr:col>22</xdr:col>
      <xdr:colOff>30196</xdr:colOff>
      <xdr:row>76</xdr:row>
      <xdr:rowOff>234929</xdr:rowOff>
    </xdr:to>
    <xdr:cxnSp macro="">
      <xdr:nvCxnSpPr>
        <xdr:cNvPr id="503" name="直線コネクタ 502">
          <a:extLst>
            <a:ext uri="{FF2B5EF4-FFF2-40B4-BE49-F238E27FC236}">
              <a16:creationId xmlns:a16="http://schemas.microsoft.com/office/drawing/2014/main" id="{31E14663-5238-40B6-BCD0-F514DF573C0B}"/>
            </a:ext>
          </a:extLst>
        </xdr:cNvPr>
        <xdr:cNvCxnSpPr/>
      </xdr:nvCxnSpPr>
      <xdr:spPr>
        <a:xfrm>
          <a:off x="4926228" y="18353625"/>
          <a:ext cx="80781"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137787</xdr:colOff>
      <xdr:row>76</xdr:row>
      <xdr:rowOff>138906</xdr:rowOff>
    </xdr:from>
    <xdr:to>
      <xdr:col>21</xdr:col>
      <xdr:colOff>222484</xdr:colOff>
      <xdr:row>76</xdr:row>
      <xdr:rowOff>236773</xdr:rowOff>
    </xdr:to>
    <xdr:cxnSp macro="">
      <xdr:nvCxnSpPr>
        <xdr:cNvPr id="504" name="直線コネクタ 503">
          <a:extLst>
            <a:ext uri="{FF2B5EF4-FFF2-40B4-BE49-F238E27FC236}">
              <a16:creationId xmlns:a16="http://schemas.microsoft.com/office/drawing/2014/main" id="{A60353EB-5D65-4BF0-8FEE-C306D9F5B324}"/>
            </a:ext>
          </a:extLst>
        </xdr:cNvPr>
        <xdr:cNvCxnSpPr/>
      </xdr:nvCxnSpPr>
      <xdr:spPr>
        <a:xfrm>
          <a:off x="4888381" y="18355469"/>
          <a:ext cx="84697"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137823</xdr:colOff>
      <xdr:row>76</xdr:row>
      <xdr:rowOff>190634</xdr:rowOff>
    </xdr:from>
    <xdr:to>
      <xdr:col>21</xdr:col>
      <xdr:colOff>163446</xdr:colOff>
      <xdr:row>76</xdr:row>
      <xdr:rowOff>221360</xdr:rowOff>
    </xdr:to>
    <xdr:cxnSp macro="">
      <xdr:nvCxnSpPr>
        <xdr:cNvPr id="505" name="直線コネクタ 504">
          <a:extLst>
            <a:ext uri="{FF2B5EF4-FFF2-40B4-BE49-F238E27FC236}">
              <a16:creationId xmlns:a16="http://schemas.microsoft.com/office/drawing/2014/main" id="{565FFB0D-FEC4-4AB2-AE0B-1DCBD227F107}"/>
            </a:ext>
          </a:extLst>
        </xdr:cNvPr>
        <xdr:cNvCxnSpPr/>
      </xdr:nvCxnSpPr>
      <xdr:spPr>
        <a:xfrm flipH="1">
          <a:off x="4888417" y="18407197"/>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158107</xdr:colOff>
      <xdr:row>76</xdr:row>
      <xdr:rowOff>207831</xdr:rowOff>
    </xdr:from>
    <xdr:to>
      <xdr:col>21</xdr:col>
      <xdr:colOff>179362</xdr:colOff>
      <xdr:row>76</xdr:row>
      <xdr:rowOff>236083</xdr:rowOff>
    </xdr:to>
    <xdr:cxnSp macro="">
      <xdr:nvCxnSpPr>
        <xdr:cNvPr id="506" name="直線コネクタ 505">
          <a:extLst>
            <a:ext uri="{FF2B5EF4-FFF2-40B4-BE49-F238E27FC236}">
              <a16:creationId xmlns:a16="http://schemas.microsoft.com/office/drawing/2014/main" id="{C7DC7F83-A264-4671-8C2C-31A8D8F6CDEB}"/>
            </a:ext>
          </a:extLst>
        </xdr:cNvPr>
        <xdr:cNvCxnSpPr/>
      </xdr:nvCxnSpPr>
      <xdr:spPr>
        <a:xfrm flipH="1">
          <a:off x="4908701" y="18424394"/>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44542</xdr:colOff>
      <xdr:row>78</xdr:row>
      <xdr:rowOff>210656</xdr:rowOff>
    </xdr:from>
    <xdr:to>
      <xdr:col>31</xdr:col>
      <xdr:colOff>91469</xdr:colOff>
      <xdr:row>78</xdr:row>
      <xdr:rowOff>210656</xdr:rowOff>
    </xdr:to>
    <xdr:cxnSp macro="">
      <xdr:nvCxnSpPr>
        <xdr:cNvPr id="81" name="直線コネクタ 80">
          <a:extLst>
            <a:ext uri="{FF2B5EF4-FFF2-40B4-BE49-F238E27FC236}">
              <a16:creationId xmlns:a16="http://schemas.microsoft.com/office/drawing/2014/main" id="{6E1F8F53-E93D-4F77-B8A0-31FF9E7D6840}"/>
            </a:ext>
          </a:extLst>
        </xdr:cNvPr>
        <xdr:cNvCxnSpPr/>
      </xdr:nvCxnSpPr>
      <xdr:spPr>
        <a:xfrm>
          <a:off x="6604886" y="18903469"/>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33336</xdr:colOff>
      <xdr:row>76</xdr:row>
      <xdr:rowOff>129740</xdr:rowOff>
    </xdr:from>
    <xdr:to>
      <xdr:col>31</xdr:col>
      <xdr:colOff>208267</xdr:colOff>
      <xdr:row>76</xdr:row>
      <xdr:rowOff>129740</xdr:rowOff>
    </xdr:to>
    <xdr:cxnSp macro="">
      <xdr:nvCxnSpPr>
        <xdr:cNvPr id="82" name="直線コネクタ 81">
          <a:extLst>
            <a:ext uri="{FF2B5EF4-FFF2-40B4-BE49-F238E27FC236}">
              <a16:creationId xmlns:a16="http://schemas.microsoft.com/office/drawing/2014/main" id="{FDD54ECB-47AE-4B3E-A412-97BA67BC9820}"/>
            </a:ext>
          </a:extLst>
        </xdr:cNvPr>
        <xdr:cNvCxnSpPr/>
      </xdr:nvCxnSpPr>
      <xdr:spPr>
        <a:xfrm>
          <a:off x="6593680" y="18346303"/>
          <a:ext cx="62736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186692</xdr:colOff>
      <xdr:row>74</xdr:row>
      <xdr:rowOff>70353</xdr:rowOff>
    </xdr:from>
    <xdr:to>
      <xdr:col>24</xdr:col>
      <xdr:colOff>60108</xdr:colOff>
      <xdr:row>74</xdr:row>
      <xdr:rowOff>70353</xdr:rowOff>
    </xdr:to>
    <xdr:cxnSp macro="">
      <xdr:nvCxnSpPr>
        <xdr:cNvPr id="91" name="直線コネクタ 90">
          <a:extLst>
            <a:ext uri="{FF2B5EF4-FFF2-40B4-BE49-F238E27FC236}">
              <a16:creationId xmlns:a16="http://schemas.microsoft.com/office/drawing/2014/main" id="{FC57F7BE-31D7-46E9-BC7B-C1DD42C1938A}"/>
            </a:ext>
          </a:extLst>
        </xdr:cNvPr>
        <xdr:cNvCxnSpPr/>
      </xdr:nvCxnSpPr>
      <xdr:spPr>
        <a:xfrm>
          <a:off x="4711067" y="17810666"/>
          <a:ext cx="77829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183016</xdr:colOff>
      <xdr:row>74</xdr:row>
      <xdr:rowOff>226035</xdr:rowOff>
    </xdr:from>
    <xdr:to>
      <xdr:col>24</xdr:col>
      <xdr:colOff>50082</xdr:colOff>
      <xdr:row>74</xdr:row>
      <xdr:rowOff>226035</xdr:rowOff>
    </xdr:to>
    <xdr:cxnSp macro="">
      <xdr:nvCxnSpPr>
        <xdr:cNvPr id="92" name="直線コネクタ 91">
          <a:extLst>
            <a:ext uri="{FF2B5EF4-FFF2-40B4-BE49-F238E27FC236}">
              <a16:creationId xmlns:a16="http://schemas.microsoft.com/office/drawing/2014/main" id="{4D76E273-D81B-48FB-A788-05D96FD8AFAA}"/>
            </a:ext>
          </a:extLst>
        </xdr:cNvPr>
        <xdr:cNvCxnSpPr/>
      </xdr:nvCxnSpPr>
      <xdr:spPr>
        <a:xfrm>
          <a:off x="4707391" y="17966348"/>
          <a:ext cx="77194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58103</xdr:colOff>
      <xdr:row>74</xdr:row>
      <xdr:rowOff>75249</xdr:rowOff>
    </xdr:from>
    <xdr:to>
      <xdr:col>24</xdr:col>
      <xdr:colOff>58103</xdr:colOff>
      <xdr:row>74</xdr:row>
      <xdr:rowOff>226420</xdr:rowOff>
    </xdr:to>
    <xdr:cxnSp macro="">
      <xdr:nvCxnSpPr>
        <xdr:cNvPr id="93" name="直線コネクタ 92">
          <a:extLst>
            <a:ext uri="{FF2B5EF4-FFF2-40B4-BE49-F238E27FC236}">
              <a16:creationId xmlns:a16="http://schemas.microsoft.com/office/drawing/2014/main" id="{72A5AD54-6E9A-48A0-A4A2-199B2B44614F}"/>
            </a:ext>
          </a:extLst>
        </xdr:cNvPr>
        <xdr:cNvCxnSpPr/>
      </xdr:nvCxnSpPr>
      <xdr:spPr>
        <a:xfrm>
          <a:off x="5487353" y="17815562"/>
          <a:ext cx="0" cy="151171"/>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78112</xdr:colOff>
      <xdr:row>74</xdr:row>
      <xdr:rowOff>65044</xdr:rowOff>
    </xdr:from>
    <xdr:to>
      <xdr:col>24</xdr:col>
      <xdr:colOff>78112</xdr:colOff>
      <xdr:row>75</xdr:row>
      <xdr:rowOff>2081</xdr:rowOff>
    </xdr:to>
    <xdr:cxnSp macro="">
      <xdr:nvCxnSpPr>
        <xdr:cNvPr id="94" name="直線コネクタ 93">
          <a:extLst>
            <a:ext uri="{FF2B5EF4-FFF2-40B4-BE49-F238E27FC236}">
              <a16:creationId xmlns:a16="http://schemas.microsoft.com/office/drawing/2014/main" id="{D02D7DB7-E4BF-4D19-A930-53168725FF09}"/>
            </a:ext>
          </a:extLst>
        </xdr:cNvPr>
        <xdr:cNvCxnSpPr/>
      </xdr:nvCxnSpPr>
      <xdr:spPr>
        <a:xfrm>
          <a:off x="5507362" y="17805357"/>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208517</xdr:colOff>
      <xdr:row>74</xdr:row>
      <xdr:rowOff>65044</xdr:rowOff>
    </xdr:from>
    <xdr:to>
      <xdr:col>24</xdr:col>
      <xdr:colOff>208517</xdr:colOff>
      <xdr:row>75</xdr:row>
      <xdr:rowOff>2081</xdr:rowOff>
    </xdr:to>
    <xdr:cxnSp macro="">
      <xdr:nvCxnSpPr>
        <xdr:cNvPr id="95" name="直線コネクタ 94">
          <a:extLst>
            <a:ext uri="{FF2B5EF4-FFF2-40B4-BE49-F238E27FC236}">
              <a16:creationId xmlns:a16="http://schemas.microsoft.com/office/drawing/2014/main" id="{DB4F50A0-F0F8-460F-8FF3-C7B56F415C3A}"/>
            </a:ext>
          </a:extLst>
        </xdr:cNvPr>
        <xdr:cNvCxnSpPr/>
      </xdr:nvCxnSpPr>
      <xdr:spPr>
        <a:xfrm>
          <a:off x="5637767" y="17805357"/>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77042</xdr:colOff>
      <xdr:row>74</xdr:row>
      <xdr:rowOff>157529</xdr:rowOff>
    </xdr:from>
    <xdr:to>
      <xdr:col>24</xdr:col>
      <xdr:colOff>204046</xdr:colOff>
      <xdr:row>74</xdr:row>
      <xdr:rowOff>157529</xdr:rowOff>
    </xdr:to>
    <xdr:cxnSp macro="">
      <xdr:nvCxnSpPr>
        <xdr:cNvPr id="96" name="直線コネクタ 95">
          <a:extLst>
            <a:ext uri="{FF2B5EF4-FFF2-40B4-BE49-F238E27FC236}">
              <a16:creationId xmlns:a16="http://schemas.microsoft.com/office/drawing/2014/main" id="{4199805F-FAAA-42F3-B7FF-77AF7F2CFEAB}"/>
            </a:ext>
          </a:extLst>
        </xdr:cNvPr>
        <xdr:cNvCxnSpPr/>
      </xdr:nvCxnSpPr>
      <xdr:spPr>
        <a:xfrm>
          <a:off x="5506292" y="17897842"/>
          <a:ext cx="127004"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21</xdr:col>
      <xdr:colOff>143035</xdr:colOff>
      <xdr:row>77</xdr:row>
      <xdr:rowOff>76954</xdr:rowOff>
    </xdr:from>
    <xdr:to>
      <xdr:col>24</xdr:col>
      <xdr:colOff>18460</xdr:colOff>
      <xdr:row>78</xdr:row>
      <xdr:rowOff>62665</xdr:rowOff>
    </xdr:to>
    <xdr:sp macro="" textlink="">
      <xdr:nvSpPr>
        <xdr:cNvPr id="100" name="テキスト ボックス 99">
          <a:extLst>
            <a:ext uri="{FF2B5EF4-FFF2-40B4-BE49-F238E27FC236}">
              <a16:creationId xmlns:a16="http://schemas.microsoft.com/office/drawing/2014/main" id="{0741B995-CE3E-4208-8E77-092831C711E5}"/>
            </a:ext>
          </a:extLst>
        </xdr:cNvPr>
        <xdr:cNvSpPr txBox="1"/>
      </xdr:nvSpPr>
      <xdr:spPr>
        <a:xfrm>
          <a:off x="4893629" y="18531642"/>
          <a:ext cx="554081" cy="223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1.26m</a:t>
          </a:r>
          <a:endParaRPr kumimoji="1" lang="ja-JP" altLang="en-US" sz="1100">
            <a:solidFill>
              <a:sysClr val="windowText" lastClr="000000"/>
            </a:solidFill>
          </a:endParaRPr>
        </a:p>
      </xdr:txBody>
    </xdr:sp>
    <xdr:clientData/>
  </xdr:twoCellAnchor>
  <xdr:twoCellAnchor>
    <xdr:from>
      <xdr:col>23</xdr:col>
      <xdr:colOff>158176</xdr:colOff>
      <xdr:row>67</xdr:row>
      <xdr:rowOff>105670</xdr:rowOff>
    </xdr:from>
    <xdr:to>
      <xdr:col>25</xdr:col>
      <xdr:colOff>208614</xdr:colOff>
      <xdr:row>68</xdr:row>
      <xdr:rowOff>100824</xdr:rowOff>
    </xdr:to>
    <xdr:sp macro="" textlink="">
      <xdr:nvSpPr>
        <xdr:cNvPr id="101" name="テキスト ボックス 100">
          <a:extLst>
            <a:ext uri="{FF2B5EF4-FFF2-40B4-BE49-F238E27FC236}">
              <a16:creationId xmlns:a16="http://schemas.microsoft.com/office/drawing/2014/main" id="{367ED401-FD4E-4533-A56B-FA5C2E6E4B19}"/>
            </a:ext>
          </a:extLst>
        </xdr:cNvPr>
        <xdr:cNvSpPr txBox="1"/>
      </xdr:nvSpPr>
      <xdr:spPr>
        <a:xfrm>
          <a:off x="5361207" y="16179108"/>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23</xdr:col>
      <xdr:colOff>198517</xdr:colOff>
      <xdr:row>77</xdr:row>
      <xdr:rowOff>160019</xdr:rowOff>
    </xdr:from>
    <xdr:to>
      <xdr:col>26</xdr:col>
      <xdr:colOff>22736</xdr:colOff>
      <xdr:row>78</xdr:row>
      <xdr:rowOff>155173</xdr:rowOff>
    </xdr:to>
    <xdr:sp macro="" textlink="">
      <xdr:nvSpPr>
        <xdr:cNvPr id="102" name="テキスト ボックス 101">
          <a:extLst>
            <a:ext uri="{FF2B5EF4-FFF2-40B4-BE49-F238E27FC236}">
              <a16:creationId xmlns:a16="http://schemas.microsoft.com/office/drawing/2014/main" id="{1D4E6079-C5D7-4EEB-AFC8-2A730232FAA3}"/>
            </a:ext>
          </a:extLst>
        </xdr:cNvPr>
        <xdr:cNvSpPr txBox="1"/>
      </xdr:nvSpPr>
      <xdr:spPr>
        <a:xfrm>
          <a:off x="5401548" y="18614707"/>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28</xdr:col>
      <xdr:colOff>222114</xdr:colOff>
      <xdr:row>67</xdr:row>
      <xdr:rowOff>2883</xdr:rowOff>
    </xdr:from>
    <xdr:to>
      <xdr:col>29</xdr:col>
      <xdr:colOff>84193</xdr:colOff>
      <xdr:row>67</xdr:row>
      <xdr:rowOff>99822</xdr:rowOff>
    </xdr:to>
    <xdr:cxnSp macro="">
      <xdr:nvCxnSpPr>
        <xdr:cNvPr id="118" name="直線コネクタ 117">
          <a:extLst>
            <a:ext uri="{FF2B5EF4-FFF2-40B4-BE49-F238E27FC236}">
              <a16:creationId xmlns:a16="http://schemas.microsoft.com/office/drawing/2014/main" id="{46060947-EF3C-4335-B7B9-87A285247556}"/>
            </a:ext>
          </a:extLst>
        </xdr:cNvPr>
        <xdr:cNvCxnSpPr/>
      </xdr:nvCxnSpPr>
      <xdr:spPr>
        <a:xfrm>
          <a:off x="6556239" y="16076321"/>
          <a:ext cx="88298"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177357</xdr:colOff>
      <xdr:row>67</xdr:row>
      <xdr:rowOff>1324</xdr:rowOff>
    </xdr:from>
    <xdr:to>
      <xdr:col>29</xdr:col>
      <xdr:colOff>46461</xdr:colOff>
      <xdr:row>67</xdr:row>
      <xdr:rowOff>101666</xdr:rowOff>
    </xdr:to>
    <xdr:cxnSp macro="">
      <xdr:nvCxnSpPr>
        <xdr:cNvPr id="120" name="直線コネクタ 119">
          <a:extLst>
            <a:ext uri="{FF2B5EF4-FFF2-40B4-BE49-F238E27FC236}">
              <a16:creationId xmlns:a16="http://schemas.microsoft.com/office/drawing/2014/main" id="{AA12087B-DAE7-4690-A75B-EECC2835116E}"/>
            </a:ext>
          </a:extLst>
        </xdr:cNvPr>
        <xdr:cNvCxnSpPr/>
      </xdr:nvCxnSpPr>
      <xdr:spPr>
        <a:xfrm>
          <a:off x="6511482" y="16074762"/>
          <a:ext cx="95323"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178272</xdr:colOff>
      <xdr:row>67</xdr:row>
      <xdr:rowOff>55854</xdr:rowOff>
    </xdr:from>
    <xdr:to>
      <xdr:col>28</xdr:col>
      <xdr:colOff>213717</xdr:colOff>
      <xdr:row>67</xdr:row>
      <xdr:rowOff>83777</xdr:rowOff>
    </xdr:to>
    <xdr:cxnSp macro="">
      <xdr:nvCxnSpPr>
        <xdr:cNvPr id="121" name="直線コネクタ 120">
          <a:extLst>
            <a:ext uri="{FF2B5EF4-FFF2-40B4-BE49-F238E27FC236}">
              <a16:creationId xmlns:a16="http://schemas.microsoft.com/office/drawing/2014/main" id="{865350A1-86FF-4A5F-B75C-EA1901C67F1F}"/>
            </a:ext>
          </a:extLst>
        </xdr:cNvPr>
        <xdr:cNvCxnSpPr/>
      </xdr:nvCxnSpPr>
      <xdr:spPr>
        <a:xfrm flipH="1">
          <a:off x="6512397" y="16129292"/>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202345</xdr:colOff>
      <xdr:row>67</xdr:row>
      <xdr:rowOff>77053</xdr:rowOff>
    </xdr:from>
    <xdr:to>
      <xdr:col>29</xdr:col>
      <xdr:colOff>6604</xdr:colOff>
      <xdr:row>67</xdr:row>
      <xdr:rowOff>100976</xdr:rowOff>
    </xdr:to>
    <xdr:cxnSp macro="">
      <xdr:nvCxnSpPr>
        <xdr:cNvPr id="122" name="直線コネクタ 121">
          <a:extLst>
            <a:ext uri="{FF2B5EF4-FFF2-40B4-BE49-F238E27FC236}">
              <a16:creationId xmlns:a16="http://schemas.microsoft.com/office/drawing/2014/main" id="{47F26C03-9DF7-4EE7-92B2-AD4C43A6D4E2}"/>
            </a:ext>
          </a:extLst>
        </xdr:cNvPr>
        <xdr:cNvCxnSpPr/>
      </xdr:nvCxnSpPr>
      <xdr:spPr>
        <a:xfrm flipH="1">
          <a:off x="6536470" y="16150491"/>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86082</xdr:colOff>
      <xdr:row>67</xdr:row>
      <xdr:rowOff>7350</xdr:rowOff>
    </xdr:from>
    <xdr:to>
      <xdr:col>28</xdr:col>
      <xdr:colOff>169244</xdr:colOff>
      <xdr:row>67</xdr:row>
      <xdr:rowOff>105217</xdr:rowOff>
    </xdr:to>
    <xdr:cxnSp macro="">
      <xdr:nvCxnSpPr>
        <xdr:cNvPr id="123" name="直線コネクタ 122">
          <a:extLst>
            <a:ext uri="{FF2B5EF4-FFF2-40B4-BE49-F238E27FC236}">
              <a16:creationId xmlns:a16="http://schemas.microsoft.com/office/drawing/2014/main" id="{6F7DDDA2-56F2-4BDC-84F4-7D236BFA7C18}"/>
            </a:ext>
          </a:extLst>
        </xdr:cNvPr>
        <xdr:cNvCxnSpPr/>
      </xdr:nvCxnSpPr>
      <xdr:spPr>
        <a:xfrm>
          <a:off x="6420207" y="16080788"/>
          <a:ext cx="83162"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50616</xdr:colOff>
      <xdr:row>67</xdr:row>
      <xdr:rowOff>9194</xdr:rowOff>
    </xdr:from>
    <xdr:to>
      <xdr:col>28</xdr:col>
      <xdr:colOff>135313</xdr:colOff>
      <xdr:row>67</xdr:row>
      <xdr:rowOff>107061</xdr:rowOff>
    </xdr:to>
    <xdr:cxnSp macro="">
      <xdr:nvCxnSpPr>
        <xdr:cNvPr id="124" name="直線コネクタ 123">
          <a:extLst>
            <a:ext uri="{FF2B5EF4-FFF2-40B4-BE49-F238E27FC236}">
              <a16:creationId xmlns:a16="http://schemas.microsoft.com/office/drawing/2014/main" id="{84FA36E1-71A1-49AA-9E3B-236970758260}"/>
            </a:ext>
          </a:extLst>
        </xdr:cNvPr>
        <xdr:cNvCxnSpPr/>
      </xdr:nvCxnSpPr>
      <xdr:spPr>
        <a:xfrm>
          <a:off x="6384741" y="16082632"/>
          <a:ext cx="84697"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50652</xdr:colOff>
      <xdr:row>67</xdr:row>
      <xdr:rowOff>60922</xdr:rowOff>
    </xdr:from>
    <xdr:to>
      <xdr:col>28</xdr:col>
      <xdr:colOff>73894</xdr:colOff>
      <xdr:row>67</xdr:row>
      <xdr:rowOff>91648</xdr:rowOff>
    </xdr:to>
    <xdr:cxnSp macro="">
      <xdr:nvCxnSpPr>
        <xdr:cNvPr id="158" name="直線コネクタ 157">
          <a:extLst>
            <a:ext uri="{FF2B5EF4-FFF2-40B4-BE49-F238E27FC236}">
              <a16:creationId xmlns:a16="http://schemas.microsoft.com/office/drawing/2014/main" id="{96214401-FFB5-463A-82BB-7AE1D9D00417}"/>
            </a:ext>
          </a:extLst>
        </xdr:cNvPr>
        <xdr:cNvCxnSpPr/>
      </xdr:nvCxnSpPr>
      <xdr:spPr>
        <a:xfrm flipH="1">
          <a:off x="6384777" y="16134360"/>
          <a:ext cx="2324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68555</xdr:colOff>
      <xdr:row>67</xdr:row>
      <xdr:rowOff>78119</xdr:rowOff>
    </xdr:from>
    <xdr:to>
      <xdr:col>28</xdr:col>
      <xdr:colOff>89810</xdr:colOff>
      <xdr:row>67</xdr:row>
      <xdr:rowOff>106371</xdr:rowOff>
    </xdr:to>
    <xdr:cxnSp macro="">
      <xdr:nvCxnSpPr>
        <xdr:cNvPr id="160" name="直線コネクタ 159">
          <a:extLst>
            <a:ext uri="{FF2B5EF4-FFF2-40B4-BE49-F238E27FC236}">
              <a16:creationId xmlns:a16="http://schemas.microsoft.com/office/drawing/2014/main" id="{10A150B5-A298-4AE5-836F-D3136D63AD4E}"/>
            </a:ext>
          </a:extLst>
        </xdr:cNvPr>
        <xdr:cNvCxnSpPr/>
      </xdr:nvCxnSpPr>
      <xdr:spPr>
        <a:xfrm flipH="1">
          <a:off x="6402680" y="16151557"/>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44542</xdr:colOff>
      <xdr:row>79</xdr:row>
      <xdr:rowOff>28560</xdr:rowOff>
    </xdr:from>
    <xdr:to>
      <xdr:col>31</xdr:col>
      <xdr:colOff>91469</xdr:colOff>
      <xdr:row>79</xdr:row>
      <xdr:rowOff>28560</xdr:rowOff>
    </xdr:to>
    <xdr:cxnSp macro="">
      <xdr:nvCxnSpPr>
        <xdr:cNvPr id="517" name="直線コネクタ 516">
          <a:extLst>
            <a:ext uri="{FF2B5EF4-FFF2-40B4-BE49-F238E27FC236}">
              <a16:creationId xmlns:a16="http://schemas.microsoft.com/office/drawing/2014/main" id="{4BBF6297-9EAB-264E-84E9-34D9EAD3D151}"/>
            </a:ext>
          </a:extLst>
        </xdr:cNvPr>
        <xdr:cNvCxnSpPr/>
      </xdr:nvCxnSpPr>
      <xdr:spPr>
        <a:xfrm>
          <a:off x="6604886" y="18959498"/>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190246</xdr:colOff>
      <xdr:row>79</xdr:row>
      <xdr:rowOff>20432</xdr:rowOff>
    </xdr:from>
    <xdr:to>
      <xdr:col>30</xdr:col>
      <xdr:colOff>190246</xdr:colOff>
      <xdr:row>80</xdr:row>
      <xdr:rowOff>33057</xdr:rowOff>
    </xdr:to>
    <xdr:cxnSp macro="">
      <xdr:nvCxnSpPr>
        <xdr:cNvPr id="518" name="直線矢印コネクタ 517">
          <a:extLst>
            <a:ext uri="{FF2B5EF4-FFF2-40B4-BE49-F238E27FC236}">
              <a16:creationId xmlns:a16="http://schemas.microsoft.com/office/drawing/2014/main" id="{ABE091A2-B3F9-F873-C474-0B1C75E2BEBF}"/>
            </a:ext>
          </a:extLst>
        </xdr:cNvPr>
        <xdr:cNvCxnSpPr/>
      </xdr:nvCxnSpPr>
      <xdr:spPr>
        <a:xfrm>
          <a:off x="6976809" y="18951370"/>
          <a:ext cx="0" cy="250750"/>
        </a:xfrm>
        <a:prstGeom prst="straightConnector1">
          <a:avLst/>
        </a:prstGeom>
        <a:ln>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51979</xdr:colOff>
      <xdr:row>66</xdr:row>
      <xdr:rowOff>65682</xdr:rowOff>
    </xdr:from>
    <xdr:to>
      <xdr:col>27</xdr:col>
      <xdr:colOff>212723</xdr:colOff>
      <xdr:row>66</xdr:row>
      <xdr:rowOff>65682</xdr:rowOff>
    </xdr:to>
    <xdr:cxnSp macro="">
      <xdr:nvCxnSpPr>
        <xdr:cNvPr id="520" name="直線コネクタ 519">
          <a:extLst>
            <a:ext uri="{FF2B5EF4-FFF2-40B4-BE49-F238E27FC236}">
              <a16:creationId xmlns:a16="http://schemas.microsoft.com/office/drawing/2014/main" id="{8C504E65-A43B-C706-892A-A52BC4396B22}"/>
            </a:ext>
          </a:extLst>
        </xdr:cNvPr>
        <xdr:cNvCxnSpPr/>
      </xdr:nvCxnSpPr>
      <xdr:spPr>
        <a:xfrm>
          <a:off x="5707448" y="15900995"/>
          <a:ext cx="61318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199897</xdr:colOff>
      <xdr:row>66</xdr:row>
      <xdr:rowOff>76200</xdr:rowOff>
    </xdr:from>
    <xdr:to>
      <xdr:col>27</xdr:col>
      <xdr:colOff>199897</xdr:colOff>
      <xdr:row>76</xdr:row>
      <xdr:rowOff>154781</xdr:rowOff>
    </xdr:to>
    <xdr:cxnSp macro="">
      <xdr:nvCxnSpPr>
        <xdr:cNvPr id="521" name="直線コネクタ 520">
          <a:extLst>
            <a:ext uri="{FF2B5EF4-FFF2-40B4-BE49-F238E27FC236}">
              <a16:creationId xmlns:a16="http://schemas.microsoft.com/office/drawing/2014/main" id="{50E02217-0345-43CB-9998-B4FD7CAFA1D7}"/>
            </a:ext>
          </a:extLst>
        </xdr:cNvPr>
        <xdr:cNvCxnSpPr/>
      </xdr:nvCxnSpPr>
      <xdr:spPr>
        <a:xfrm>
          <a:off x="6307803" y="15911513"/>
          <a:ext cx="0" cy="2459831"/>
        </a:xfrm>
        <a:prstGeom prst="line">
          <a:avLst/>
        </a:prstGeom>
        <a:ln>
          <a:solidFill>
            <a:schemeClr val="tx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25</xdr:col>
      <xdr:colOff>52808</xdr:colOff>
      <xdr:row>66</xdr:row>
      <xdr:rowOff>66675</xdr:rowOff>
    </xdr:from>
    <xdr:to>
      <xdr:col>25</xdr:col>
      <xdr:colOff>52808</xdr:colOff>
      <xdr:row>67</xdr:row>
      <xdr:rowOff>8060</xdr:rowOff>
    </xdr:to>
    <xdr:cxnSp macro="">
      <xdr:nvCxnSpPr>
        <xdr:cNvPr id="523" name="直線コネクタ 522">
          <a:extLst>
            <a:ext uri="{FF2B5EF4-FFF2-40B4-BE49-F238E27FC236}">
              <a16:creationId xmlns:a16="http://schemas.microsoft.com/office/drawing/2014/main" id="{F3E5054A-9D47-474F-9307-141722D64A69}"/>
            </a:ext>
          </a:extLst>
        </xdr:cNvPr>
        <xdr:cNvCxnSpPr/>
      </xdr:nvCxnSpPr>
      <xdr:spPr>
        <a:xfrm>
          <a:off x="5708277" y="15901988"/>
          <a:ext cx="0" cy="179510"/>
        </a:xfrm>
        <a:prstGeom prst="line">
          <a:avLst/>
        </a:prstGeom>
        <a:ln>
          <a:solidFill>
            <a:schemeClr val="tx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185117</xdr:colOff>
      <xdr:row>66</xdr:row>
      <xdr:rowOff>59531</xdr:rowOff>
    </xdr:from>
    <xdr:to>
      <xdr:col>30</xdr:col>
      <xdr:colOff>185117</xdr:colOff>
      <xdr:row>67</xdr:row>
      <xdr:rowOff>6638</xdr:rowOff>
    </xdr:to>
    <xdr:cxnSp macro="">
      <xdr:nvCxnSpPr>
        <xdr:cNvPr id="528" name="直線矢印コネクタ 527">
          <a:extLst>
            <a:ext uri="{FF2B5EF4-FFF2-40B4-BE49-F238E27FC236}">
              <a16:creationId xmlns:a16="http://schemas.microsoft.com/office/drawing/2014/main" id="{F41155E0-E6BD-C08A-06B5-AB3675F5EFFC}"/>
            </a:ext>
          </a:extLst>
        </xdr:cNvPr>
        <xdr:cNvCxnSpPr/>
      </xdr:nvCxnSpPr>
      <xdr:spPr>
        <a:xfrm>
          <a:off x="6971680" y="15894844"/>
          <a:ext cx="0" cy="18523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11356</xdr:colOff>
      <xdr:row>66</xdr:row>
      <xdr:rowOff>76040</xdr:rowOff>
    </xdr:from>
    <xdr:to>
      <xdr:col>32</xdr:col>
      <xdr:colOff>22057</xdr:colOff>
      <xdr:row>66</xdr:row>
      <xdr:rowOff>76040</xdr:rowOff>
    </xdr:to>
    <xdr:cxnSp macro="">
      <xdr:nvCxnSpPr>
        <xdr:cNvPr id="530" name="直線コネクタ 529">
          <a:extLst>
            <a:ext uri="{FF2B5EF4-FFF2-40B4-BE49-F238E27FC236}">
              <a16:creationId xmlns:a16="http://schemas.microsoft.com/office/drawing/2014/main" id="{4839C927-9131-8460-69A7-C155345E809F}"/>
            </a:ext>
          </a:extLst>
        </xdr:cNvPr>
        <xdr:cNvCxnSpPr/>
      </xdr:nvCxnSpPr>
      <xdr:spPr>
        <a:xfrm>
          <a:off x="6571700" y="15911353"/>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31</xdr:col>
      <xdr:colOff>54118</xdr:colOff>
      <xdr:row>65</xdr:row>
      <xdr:rowOff>228332</xdr:rowOff>
    </xdr:from>
    <xdr:to>
      <xdr:col>35</xdr:col>
      <xdr:colOff>55749</xdr:colOff>
      <xdr:row>67</xdr:row>
      <xdr:rowOff>5044</xdr:rowOff>
    </xdr:to>
    <xdr:sp macro="" textlink="">
      <xdr:nvSpPr>
        <xdr:cNvPr id="531" name="テキスト ボックス 530">
          <a:extLst>
            <a:ext uri="{FF2B5EF4-FFF2-40B4-BE49-F238E27FC236}">
              <a16:creationId xmlns:a16="http://schemas.microsoft.com/office/drawing/2014/main" id="{B6B0AD60-2DD7-CD50-9901-A5F15626ABA4}"/>
            </a:ext>
          </a:extLst>
        </xdr:cNvPr>
        <xdr:cNvSpPr txBox="1"/>
      </xdr:nvSpPr>
      <xdr:spPr>
        <a:xfrm>
          <a:off x="7066899" y="15825520"/>
          <a:ext cx="906506" cy="25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0.56m</a:t>
          </a:r>
          <a:endParaRPr kumimoji="1" lang="ja-JP" altLang="en-US" sz="1100"/>
        </a:p>
      </xdr:txBody>
    </xdr:sp>
    <xdr:clientData/>
  </xdr:twoCellAnchor>
  <xdr:twoCellAnchor>
    <xdr:from>
      <xdr:col>24</xdr:col>
      <xdr:colOff>111511</xdr:colOff>
      <xdr:row>100</xdr:row>
      <xdr:rowOff>68429</xdr:rowOff>
    </xdr:from>
    <xdr:to>
      <xdr:col>27</xdr:col>
      <xdr:colOff>46036</xdr:colOff>
      <xdr:row>100</xdr:row>
      <xdr:rowOff>68429</xdr:rowOff>
    </xdr:to>
    <xdr:cxnSp macro="">
      <xdr:nvCxnSpPr>
        <xdr:cNvPr id="4" name="直線コネクタ 3">
          <a:extLst>
            <a:ext uri="{FF2B5EF4-FFF2-40B4-BE49-F238E27FC236}">
              <a16:creationId xmlns:a16="http://schemas.microsoft.com/office/drawing/2014/main" id="{EC0467D1-B9FE-4329-BF50-2186B45FA3A5}"/>
            </a:ext>
          </a:extLst>
        </xdr:cNvPr>
        <xdr:cNvCxnSpPr/>
      </xdr:nvCxnSpPr>
      <xdr:spPr>
        <a:xfrm>
          <a:off x="5540761" y="27571867"/>
          <a:ext cx="61318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30</xdr:col>
      <xdr:colOff>123174</xdr:colOff>
      <xdr:row>91</xdr:row>
      <xdr:rowOff>83073</xdr:rowOff>
    </xdr:from>
    <xdr:to>
      <xdr:col>34</xdr:col>
      <xdr:colOff>124805</xdr:colOff>
      <xdr:row>92</xdr:row>
      <xdr:rowOff>97910</xdr:rowOff>
    </xdr:to>
    <xdr:sp macro="" textlink="">
      <xdr:nvSpPr>
        <xdr:cNvPr id="16" name="テキスト ボックス 15">
          <a:extLst>
            <a:ext uri="{FF2B5EF4-FFF2-40B4-BE49-F238E27FC236}">
              <a16:creationId xmlns:a16="http://schemas.microsoft.com/office/drawing/2014/main" id="{FFC429DF-2739-42D0-A0A5-20E5C5B96DCA}"/>
            </a:ext>
          </a:extLst>
        </xdr:cNvPr>
        <xdr:cNvSpPr txBox="1"/>
      </xdr:nvSpPr>
      <xdr:spPr>
        <a:xfrm>
          <a:off x="6909737" y="21871511"/>
          <a:ext cx="906506" cy="25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22</xdr:col>
      <xdr:colOff>211132</xdr:colOff>
      <xdr:row>100</xdr:row>
      <xdr:rowOff>43228</xdr:rowOff>
    </xdr:from>
    <xdr:to>
      <xdr:col>22</xdr:col>
      <xdr:colOff>211132</xdr:colOff>
      <xdr:row>102</xdr:row>
      <xdr:rowOff>176233</xdr:rowOff>
    </xdr:to>
    <xdr:cxnSp macro="">
      <xdr:nvCxnSpPr>
        <xdr:cNvPr id="17" name="直線矢印コネクタ 16">
          <a:extLst>
            <a:ext uri="{FF2B5EF4-FFF2-40B4-BE49-F238E27FC236}">
              <a16:creationId xmlns:a16="http://schemas.microsoft.com/office/drawing/2014/main" id="{F81D5185-FB11-4D42-AC10-63A9395F77F6}"/>
            </a:ext>
          </a:extLst>
        </xdr:cNvPr>
        <xdr:cNvCxnSpPr/>
      </xdr:nvCxnSpPr>
      <xdr:spPr>
        <a:xfrm>
          <a:off x="5187945" y="27546666"/>
          <a:ext cx="0" cy="60925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29</xdr:col>
      <xdr:colOff>182696</xdr:colOff>
      <xdr:row>95</xdr:row>
      <xdr:rowOff>166870</xdr:rowOff>
    </xdr:from>
    <xdr:to>
      <xdr:col>34</xdr:col>
      <xdr:colOff>93643</xdr:colOff>
      <xdr:row>96</xdr:row>
      <xdr:rowOff>186294</xdr:rowOff>
    </xdr:to>
    <xdr:sp macro="" textlink="">
      <xdr:nvSpPr>
        <xdr:cNvPr id="18" name="テキスト ボックス 17">
          <a:extLst>
            <a:ext uri="{FF2B5EF4-FFF2-40B4-BE49-F238E27FC236}">
              <a16:creationId xmlns:a16="http://schemas.microsoft.com/office/drawing/2014/main" id="{A30FE377-5CDA-4C58-B191-140201D84C6D}"/>
            </a:ext>
          </a:extLst>
        </xdr:cNvPr>
        <xdr:cNvSpPr txBox="1"/>
      </xdr:nvSpPr>
      <xdr:spPr>
        <a:xfrm>
          <a:off x="6743040" y="22907808"/>
          <a:ext cx="1042041" cy="257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１層 </a:t>
          </a:r>
          <a:r>
            <a:rPr kumimoji="1" lang="en-US" altLang="ja-JP" sz="1100"/>
            <a:t>3.80m</a:t>
          </a:r>
          <a:endParaRPr kumimoji="1" lang="ja-JP" altLang="en-US" sz="1100"/>
        </a:p>
      </xdr:txBody>
    </xdr:sp>
    <xdr:clientData/>
  </xdr:twoCellAnchor>
  <xdr:twoCellAnchor editAs="absolute">
    <xdr:from>
      <xdr:col>29</xdr:col>
      <xdr:colOff>168914</xdr:colOff>
      <xdr:row>100</xdr:row>
      <xdr:rowOff>185944</xdr:rowOff>
    </xdr:from>
    <xdr:to>
      <xdr:col>34</xdr:col>
      <xdr:colOff>112693</xdr:colOff>
      <xdr:row>101</xdr:row>
      <xdr:rowOff>182708</xdr:rowOff>
    </xdr:to>
    <xdr:sp macro="" textlink="">
      <xdr:nvSpPr>
        <xdr:cNvPr id="19" name="テキスト ボックス 18">
          <a:extLst>
            <a:ext uri="{FF2B5EF4-FFF2-40B4-BE49-F238E27FC236}">
              <a16:creationId xmlns:a16="http://schemas.microsoft.com/office/drawing/2014/main" id="{5E548E3C-AADD-4474-A402-F2C0E8571727}"/>
            </a:ext>
          </a:extLst>
        </xdr:cNvPr>
        <xdr:cNvSpPr txBox="1"/>
      </xdr:nvSpPr>
      <xdr:spPr>
        <a:xfrm>
          <a:off x="6729258" y="24117507"/>
          <a:ext cx="1074873" cy="234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２層 </a:t>
          </a:r>
          <a:r>
            <a:rPr kumimoji="1" lang="en-US" altLang="ja-JP" sz="1100"/>
            <a:t>1.20m</a:t>
          </a:r>
          <a:endParaRPr kumimoji="1" lang="ja-JP" altLang="en-US" sz="1100"/>
        </a:p>
      </xdr:txBody>
    </xdr:sp>
    <xdr:clientData/>
  </xdr:twoCellAnchor>
  <xdr:twoCellAnchor>
    <xdr:from>
      <xdr:col>24</xdr:col>
      <xdr:colOff>59848</xdr:colOff>
      <xdr:row>102</xdr:row>
      <xdr:rowOff>108727</xdr:rowOff>
    </xdr:from>
    <xdr:to>
      <xdr:col>24</xdr:col>
      <xdr:colOff>177144</xdr:colOff>
      <xdr:row>102</xdr:row>
      <xdr:rowOff>234448</xdr:rowOff>
    </xdr:to>
    <xdr:sp macro="" textlink="">
      <xdr:nvSpPr>
        <xdr:cNvPr id="20" name="楕円 19">
          <a:extLst>
            <a:ext uri="{FF2B5EF4-FFF2-40B4-BE49-F238E27FC236}">
              <a16:creationId xmlns:a16="http://schemas.microsoft.com/office/drawing/2014/main" id="{696C8B01-BE1A-4C15-AC36-8DB5968A2D35}"/>
            </a:ext>
          </a:extLst>
        </xdr:cNvPr>
        <xdr:cNvSpPr/>
      </xdr:nvSpPr>
      <xdr:spPr>
        <a:xfrm>
          <a:off x="5489098" y="28088415"/>
          <a:ext cx="117296" cy="12572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27955</xdr:colOff>
      <xdr:row>90</xdr:row>
      <xdr:rowOff>175705</xdr:rowOff>
    </xdr:from>
    <xdr:to>
      <xdr:col>30</xdr:col>
      <xdr:colOff>27955</xdr:colOff>
      <xdr:row>92</xdr:row>
      <xdr:rowOff>170943</xdr:rowOff>
    </xdr:to>
    <xdr:cxnSp macro="">
      <xdr:nvCxnSpPr>
        <xdr:cNvPr id="21" name="直線矢印コネクタ 20">
          <a:extLst>
            <a:ext uri="{FF2B5EF4-FFF2-40B4-BE49-F238E27FC236}">
              <a16:creationId xmlns:a16="http://schemas.microsoft.com/office/drawing/2014/main" id="{20763897-CCA0-4102-B6A5-467FF5040F1F}"/>
            </a:ext>
          </a:extLst>
        </xdr:cNvPr>
        <xdr:cNvCxnSpPr/>
      </xdr:nvCxnSpPr>
      <xdr:spPr>
        <a:xfrm>
          <a:off x="6814518" y="25297893"/>
          <a:ext cx="0" cy="47148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27955</xdr:colOff>
      <xdr:row>92</xdr:row>
      <xdr:rowOff>159993</xdr:rowOff>
    </xdr:from>
    <xdr:to>
      <xdr:col>30</xdr:col>
      <xdr:colOff>27955</xdr:colOff>
      <xdr:row>100</xdr:row>
      <xdr:rowOff>33782</xdr:rowOff>
    </xdr:to>
    <xdr:cxnSp macro="">
      <xdr:nvCxnSpPr>
        <xdr:cNvPr id="22" name="直線矢印コネクタ 21">
          <a:extLst>
            <a:ext uri="{FF2B5EF4-FFF2-40B4-BE49-F238E27FC236}">
              <a16:creationId xmlns:a16="http://schemas.microsoft.com/office/drawing/2014/main" id="{0C8B32AA-7F53-4D9D-96EB-8A846C64FB2D}"/>
            </a:ext>
          </a:extLst>
        </xdr:cNvPr>
        <xdr:cNvCxnSpPr/>
      </xdr:nvCxnSpPr>
      <xdr:spPr>
        <a:xfrm>
          <a:off x="6814518" y="25758431"/>
          <a:ext cx="0" cy="177878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33084</xdr:colOff>
      <xdr:row>100</xdr:row>
      <xdr:rowOff>38361</xdr:rowOff>
    </xdr:from>
    <xdr:to>
      <xdr:col>30</xdr:col>
      <xdr:colOff>33084</xdr:colOff>
      <xdr:row>102</xdr:row>
      <xdr:rowOff>130890</xdr:rowOff>
    </xdr:to>
    <xdr:cxnSp macro="">
      <xdr:nvCxnSpPr>
        <xdr:cNvPr id="23" name="直線矢印コネクタ 22">
          <a:extLst>
            <a:ext uri="{FF2B5EF4-FFF2-40B4-BE49-F238E27FC236}">
              <a16:creationId xmlns:a16="http://schemas.microsoft.com/office/drawing/2014/main" id="{8810C095-5F1C-4496-B3EB-37DAB404C508}"/>
            </a:ext>
          </a:extLst>
        </xdr:cNvPr>
        <xdr:cNvCxnSpPr/>
      </xdr:nvCxnSpPr>
      <xdr:spPr>
        <a:xfrm>
          <a:off x="6819647" y="27541799"/>
          <a:ext cx="0" cy="56877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132199</xdr:colOff>
      <xdr:row>100</xdr:row>
      <xdr:rowOff>43228</xdr:rowOff>
    </xdr:from>
    <xdr:to>
      <xdr:col>20</xdr:col>
      <xdr:colOff>132199</xdr:colOff>
      <xdr:row>103</xdr:row>
      <xdr:rowOff>63101</xdr:rowOff>
    </xdr:to>
    <xdr:cxnSp macro="">
      <xdr:nvCxnSpPr>
        <xdr:cNvPr id="24" name="直線矢印コネクタ 23">
          <a:extLst>
            <a:ext uri="{FF2B5EF4-FFF2-40B4-BE49-F238E27FC236}">
              <a16:creationId xmlns:a16="http://schemas.microsoft.com/office/drawing/2014/main" id="{A603BBD1-98FB-4943-9F18-C6B6AD531674}"/>
            </a:ext>
          </a:extLst>
        </xdr:cNvPr>
        <xdr:cNvCxnSpPr/>
      </xdr:nvCxnSpPr>
      <xdr:spPr>
        <a:xfrm>
          <a:off x="4656574" y="27546666"/>
          <a:ext cx="0" cy="73424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18</xdr:col>
      <xdr:colOff>132409</xdr:colOff>
      <xdr:row>101</xdr:row>
      <xdr:rowOff>90573</xdr:rowOff>
    </xdr:from>
    <xdr:to>
      <xdr:col>21</xdr:col>
      <xdr:colOff>7834</xdr:colOff>
      <xdr:row>102</xdr:row>
      <xdr:rowOff>76285</xdr:rowOff>
    </xdr:to>
    <xdr:sp macro="" textlink="">
      <xdr:nvSpPr>
        <xdr:cNvPr id="28" name="テキスト ボックス 27">
          <a:extLst>
            <a:ext uri="{FF2B5EF4-FFF2-40B4-BE49-F238E27FC236}">
              <a16:creationId xmlns:a16="http://schemas.microsoft.com/office/drawing/2014/main" id="{6FFA911D-3BEC-4FC5-A0B2-324FDC029D5E}"/>
            </a:ext>
          </a:extLst>
        </xdr:cNvPr>
        <xdr:cNvSpPr txBox="1"/>
      </xdr:nvSpPr>
      <xdr:spPr>
        <a:xfrm>
          <a:off x="4204347" y="24260261"/>
          <a:ext cx="554081" cy="22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1.48m</a:t>
          </a:r>
          <a:endParaRPr kumimoji="1" lang="ja-JP" altLang="en-US" sz="1100">
            <a:solidFill>
              <a:sysClr val="windowText" lastClr="000000"/>
            </a:solidFill>
          </a:endParaRPr>
        </a:p>
      </xdr:txBody>
    </xdr:sp>
    <xdr:clientData/>
  </xdr:twoCellAnchor>
  <xdr:twoCellAnchor>
    <xdr:from>
      <xdr:col>24</xdr:col>
      <xdr:colOff>119179</xdr:colOff>
      <xdr:row>90</xdr:row>
      <xdr:rowOff>174458</xdr:rowOff>
    </xdr:from>
    <xdr:to>
      <xdr:col>31</xdr:col>
      <xdr:colOff>94289</xdr:colOff>
      <xdr:row>90</xdr:row>
      <xdr:rowOff>174458</xdr:rowOff>
    </xdr:to>
    <xdr:cxnSp macro="">
      <xdr:nvCxnSpPr>
        <xdr:cNvPr id="33" name="直線コネクタ 32">
          <a:extLst>
            <a:ext uri="{FF2B5EF4-FFF2-40B4-BE49-F238E27FC236}">
              <a16:creationId xmlns:a16="http://schemas.microsoft.com/office/drawing/2014/main" id="{39A80560-1822-4403-A979-95A302F80674}"/>
            </a:ext>
          </a:extLst>
        </xdr:cNvPr>
        <xdr:cNvCxnSpPr/>
      </xdr:nvCxnSpPr>
      <xdr:spPr>
        <a:xfrm>
          <a:off x="5548429" y="25296646"/>
          <a:ext cx="155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121176</xdr:colOff>
      <xdr:row>90</xdr:row>
      <xdr:rowOff>174362</xdr:rowOff>
    </xdr:from>
    <xdr:to>
      <xdr:col>24</xdr:col>
      <xdr:colOff>121176</xdr:colOff>
      <xdr:row>103</xdr:row>
      <xdr:rowOff>64755</xdr:rowOff>
    </xdr:to>
    <xdr:cxnSp macro="">
      <xdr:nvCxnSpPr>
        <xdr:cNvPr id="37" name="直線コネクタ 36">
          <a:extLst>
            <a:ext uri="{FF2B5EF4-FFF2-40B4-BE49-F238E27FC236}">
              <a16:creationId xmlns:a16="http://schemas.microsoft.com/office/drawing/2014/main" id="{B3C1D172-B55B-4CF4-81CB-FFCE91BC1D73}"/>
            </a:ext>
          </a:extLst>
        </xdr:cNvPr>
        <xdr:cNvCxnSpPr/>
      </xdr:nvCxnSpPr>
      <xdr:spPr>
        <a:xfrm>
          <a:off x="5550426" y="25296550"/>
          <a:ext cx="0" cy="298601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28</xdr:col>
      <xdr:colOff>80413</xdr:colOff>
      <xdr:row>92</xdr:row>
      <xdr:rowOff>157001</xdr:rowOff>
    </xdr:from>
    <xdr:to>
      <xdr:col>31</xdr:col>
      <xdr:colOff>91114</xdr:colOff>
      <xdr:row>92</xdr:row>
      <xdr:rowOff>157001</xdr:rowOff>
    </xdr:to>
    <xdr:cxnSp macro="">
      <xdr:nvCxnSpPr>
        <xdr:cNvPr id="38" name="直線コネクタ 37">
          <a:extLst>
            <a:ext uri="{FF2B5EF4-FFF2-40B4-BE49-F238E27FC236}">
              <a16:creationId xmlns:a16="http://schemas.microsoft.com/office/drawing/2014/main" id="{F325D838-A858-49C5-8AEA-45D7B493D26D}"/>
            </a:ext>
          </a:extLst>
        </xdr:cNvPr>
        <xdr:cNvCxnSpPr/>
      </xdr:nvCxnSpPr>
      <xdr:spPr>
        <a:xfrm>
          <a:off x="6414538" y="25755439"/>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113072</xdr:colOff>
      <xdr:row>102</xdr:row>
      <xdr:rowOff>12016</xdr:rowOff>
    </xdr:from>
    <xdr:to>
      <xdr:col>34</xdr:col>
      <xdr:colOff>167246</xdr:colOff>
      <xdr:row>103</xdr:row>
      <xdr:rowOff>14567</xdr:rowOff>
    </xdr:to>
    <xdr:sp macro="" textlink="">
      <xdr:nvSpPr>
        <xdr:cNvPr id="39" name="テキスト ボックス 38">
          <a:extLst>
            <a:ext uri="{FF2B5EF4-FFF2-40B4-BE49-F238E27FC236}">
              <a16:creationId xmlns:a16="http://schemas.microsoft.com/office/drawing/2014/main" id="{89D7B7C8-67C2-453D-85CA-6E9BD4409177}"/>
            </a:ext>
          </a:extLst>
        </xdr:cNvPr>
        <xdr:cNvSpPr txBox="1"/>
      </xdr:nvSpPr>
      <xdr:spPr>
        <a:xfrm>
          <a:off x="6899635" y="27991704"/>
          <a:ext cx="959049" cy="24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0.06m</a:t>
          </a:r>
          <a:endParaRPr kumimoji="1" lang="ja-JP" altLang="en-US" sz="1100"/>
        </a:p>
      </xdr:txBody>
    </xdr:sp>
    <xdr:clientData/>
  </xdr:twoCellAnchor>
  <xdr:twoCellAnchor>
    <xdr:from>
      <xdr:col>20</xdr:col>
      <xdr:colOff>25672</xdr:colOff>
      <xdr:row>92</xdr:row>
      <xdr:rowOff>63649</xdr:rowOff>
    </xdr:from>
    <xdr:to>
      <xdr:col>23</xdr:col>
      <xdr:colOff>121338</xdr:colOff>
      <xdr:row>92</xdr:row>
      <xdr:rowOff>63649</xdr:rowOff>
    </xdr:to>
    <xdr:cxnSp macro="">
      <xdr:nvCxnSpPr>
        <xdr:cNvPr id="40" name="直線コネクタ 39">
          <a:extLst>
            <a:ext uri="{FF2B5EF4-FFF2-40B4-BE49-F238E27FC236}">
              <a16:creationId xmlns:a16="http://schemas.microsoft.com/office/drawing/2014/main" id="{95CD16B8-66AC-48B6-B1C9-266AD57C2F33}"/>
            </a:ext>
          </a:extLst>
        </xdr:cNvPr>
        <xdr:cNvCxnSpPr/>
      </xdr:nvCxnSpPr>
      <xdr:spPr>
        <a:xfrm>
          <a:off x="4550047" y="25662087"/>
          <a:ext cx="7743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15646</xdr:colOff>
      <xdr:row>92</xdr:row>
      <xdr:rowOff>212366</xdr:rowOff>
    </xdr:from>
    <xdr:to>
      <xdr:col>23</xdr:col>
      <xdr:colOff>108931</xdr:colOff>
      <xdr:row>92</xdr:row>
      <xdr:rowOff>212366</xdr:rowOff>
    </xdr:to>
    <xdr:cxnSp macro="">
      <xdr:nvCxnSpPr>
        <xdr:cNvPr id="45" name="直線コネクタ 44">
          <a:extLst>
            <a:ext uri="{FF2B5EF4-FFF2-40B4-BE49-F238E27FC236}">
              <a16:creationId xmlns:a16="http://schemas.microsoft.com/office/drawing/2014/main" id="{D3E8FC3E-A164-4ADC-A99A-C9221E49AE7D}"/>
            </a:ext>
          </a:extLst>
        </xdr:cNvPr>
        <xdr:cNvCxnSpPr/>
      </xdr:nvCxnSpPr>
      <xdr:spPr>
        <a:xfrm>
          <a:off x="4540021" y="25810804"/>
          <a:ext cx="7719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116952</xdr:colOff>
      <xdr:row>92</xdr:row>
      <xdr:rowOff>68545</xdr:rowOff>
    </xdr:from>
    <xdr:to>
      <xdr:col>23</xdr:col>
      <xdr:colOff>116952</xdr:colOff>
      <xdr:row>92</xdr:row>
      <xdr:rowOff>212751</xdr:rowOff>
    </xdr:to>
    <xdr:cxnSp macro="">
      <xdr:nvCxnSpPr>
        <xdr:cNvPr id="47" name="直線コネクタ 46">
          <a:extLst>
            <a:ext uri="{FF2B5EF4-FFF2-40B4-BE49-F238E27FC236}">
              <a16:creationId xmlns:a16="http://schemas.microsoft.com/office/drawing/2014/main" id="{E0A96E1F-E89D-465C-B7EA-FCB2E97ED3F0}"/>
            </a:ext>
          </a:extLst>
        </xdr:cNvPr>
        <xdr:cNvCxnSpPr/>
      </xdr:nvCxnSpPr>
      <xdr:spPr>
        <a:xfrm>
          <a:off x="5319983" y="25666983"/>
          <a:ext cx="0" cy="144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136961</xdr:colOff>
      <xdr:row>92</xdr:row>
      <xdr:rowOff>58340</xdr:rowOff>
    </xdr:from>
    <xdr:to>
      <xdr:col>23</xdr:col>
      <xdr:colOff>136961</xdr:colOff>
      <xdr:row>92</xdr:row>
      <xdr:rowOff>226537</xdr:rowOff>
    </xdr:to>
    <xdr:cxnSp macro="">
      <xdr:nvCxnSpPr>
        <xdr:cNvPr id="48" name="直線コネクタ 47">
          <a:extLst>
            <a:ext uri="{FF2B5EF4-FFF2-40B4-BE49-F238E27FC236}">
              <a16:creationId xmlns:a16="http://schemas.microsoft.com/office/drawing/2014/main" id="{2CF0A32D-00E6-40D7-98E0-03D4A2488819}"/>
            </a:ext>
          </a:extLst>
        </xdr:cNvPr>
        <xdr:cNvCxnSpPr/>
      </xdr:nvCxnSpPr>
      <xdr:spPr>
        <a:xfrm>
          <a:off x="5339992" y="25656778"/>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41147</xdr:colOff>
      <xdr:row>92</xdr:row>
      <xdr:rowOff>58340</xdr:rowOff>
    </xdr:from>
    <xdr:to>
      <xdr:col>24</xdr:col>
      <xdr:colOff>41147</xdr:colOff>
      <xdr:row>92</xdr:row>
      <xdr:rowOff>226537</xdr:rowOff>
    </xdr:to>
    <xdr:cxnSp macro="">
      <xdr:nvCxnSpPr>
        <xdr:cNvPr id="49" name="直線コネクタ 48">
          <a:extLst>
            <a:ext uri="{FF2B5EF4-FFF2-40B4-BE49-F238E27FC236}">
              <a16:creationId xmlns:a16="http://schemas.microsoft.com/office/drawing/2014/main" id="{8956D3B6-F723-4486-88B3-2BE05A780172}"/>
            </a:ext>
          </a:extLst>
        </xdr:cNvPr>
        <xdr:cNvCxnSpPr/>
      </xdr:nvCxnSpPr>
      <xdr:spPr>
        <a:xfrm>
          <a:off x="5470397" y="25656778"/>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135891</xdr:colOff>
      <xdr:row>92</xdr:row>
      <xdr:rowOff>158828</xdr:rowOff>
    </xdr:from>
    <xdr:to>
      <xdr:col>24</xdr:col>
      <xdr:colOff>36676</xdr:colOff>
      <xdr:row>92</xdr:row>
      <xdr:rowOff>158828</xdr:rowOff>
    </xdr:to>
    <xdr:cxnSp macro="">
      <xdr:nvCxnSpPr>
        <xdr:cNvPr id="57" name="直線コネクタ 56">
          <a:extLst>
            <a:ext uri="{FF2B5EF4-FFF2-40B4-BE49-F238E27FC236}">
              <a16:creationId xmlns:a16="http://schemas.microsoft.com/office/drawing/2014/main" id="{77F1038A-11C7-439E-ACDE-2AA782322021}"/>
            </a:ext>
          </a:extLst>
        </xdr:cNvPr>
        <xdr:cNvCxnSpPr/>
      </xdr:nvCxnSpPr>
      <xdr:spPr>
        <a:xfrm>
          <a:off x="5338922" y="25757266"/>
          <a:ext cx="1270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35720</xdr:colOff>
      <xdr:row>100</xdr:row>
      <xdr:rowOff>43774</xdr:rowOff>
    </xdr:from>
    <xdr:to>
      <xdr:col>24</xdr:col>
      <xdr:colOff>101036</xdr:colOff>
      <xdr:row>100</xdr:row>
      <xdr:rowOff>43774</xdr:rowOff>
    </xdr:to>
    <xdr:cxnSp macro="">
      <xdr:nvCxnSpPr>
        <xdr:cNvPr id="59" name="直線コネクタ 58">
          <a:extLst>
            <a:ext uri="{FF2B5EF4-FFF2-40B4-BE49-F238E27FC236}">
              <a16:creationId xmlns:a16="http://schemas.microsoft.com/office/drawing/2014/main" id="{70F9E50A-3676-4D56-874A-0EC21AFCE639}"/>
            </a:ext>
          </a:extLst>
        </xdr:cNvPr>
        <xdr:cNvCxnSpPr/>
      </xdr:nvCxnSpPr>
      <xdr:spPr>
        <a:xfrm>
          <a:off x="4333876" y="27547212"/>
          <a:ext cx="11964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164029</xdr:colOff>
      <xdr:row>100</xdr:row>
      <xdr:rowOff>46869</xdr:rowOff>
    </xdr:from>
    <xdr:to>
      <xdr:col>22</xdr:col>
      <xdr:colOff>28489</xdr:colOff>
      <xdr:row>100</xdr:row>
      <xdr:rowOff>143808</xdr:rowOff>
    </xdr:to>
    <xdr:cxnSp macro="">
      <xdr:nvCxnSpPr>
        <xdr:cNvPr id="97" name="直線コネクタ 96">
          <a:extLst>
            <a:ext uri="{FF2B5EF4-FFF2-40B4-BE49-F238E27FC236}">
              <a16:creationId xmlns:a16="http://schemas.microsoft.com/office/drawing/2014/main" id="{7C639F45-BE31-4ACF-8CF0-D32C857F7BAF}"/>
            </a:ext>
          </a:extLst>
        </xdr:cNvPr>
        <xdr:cNvCxnSpPr/>
      </xdr:nvCxnSpPr>
      <xdr:spPr>
        <a:xfrm>
          <a:off x="4914623" y="27550307"/>
          <a:ext cx="90679"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119272</xdr:colOff>
      <xdr:row>100</xdr:row>
      <xdr:rowOff>45310</xdr:rowOff>
    </xdr:from>
    <xdr:to>
      <xdr:col>21</xdr:col>
      <xdr:colOff>214595</xdr:colOff>
      <xdr:row>100</xdr:row>
      <xdr:rowOff>145652</xdr:rowOff>
    </xdr:to>
    <xdr:cxnSp macro="">
      <xdr:nvCxnSpPr>
        <xdr:cNvPr id="99" name="直線コネクタ 98">
          <a:extLst>
            <a:ext uri="{FF2B5EF4-FFF2-40B4-BE49-F238E27FC236}">
              <a16:creationId xmlns:a16="http://schemas.microsoft.com/office/drawing/2014/main" id="{2B962B4D-D960-455E-9176-867CD03FF8C1}"/>
            </a:ext>
          </a:extLst>
        </xdr:cNvPr>
        <xdr:cNvCxnSpPr/>
      </xdr:nvCxnSpPr>
      <xdr:spPr>
        <a:xfrm>
          <a:off x="4869866" y="27548748"/>
          <a:ext cx="95323"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120187</xdr:colOff>
      <xdr:row>100</xdr:row>
      <xdr:rowOff>99840</xdr:rowOff>
    </xdr:from>
    <xdr:to>
      <xdr:col>21</xdr:col>
      <xdr:colOff>155632</xdr:colOff>
      <xdr:row>100</xdr:row>
      <xdr:rowOff>127763</xdr:rowOff>
    </xdr:to>
    <xdr:cxnSp macro="">
      <xdr:nvCxnSpPr>
        <xdr:cNvPr id="103" name="直線コネクタ 102">
          <a:extLst>
            <a:ext uri="{FF2B5EF4-FFF2-40B4-BE49-F238E27FC236}">
              <a16:creationId xmlns:a16="http://schemas.microsoft.com/office/drawing/2014/main" id="{768C089C-8A84-45DD-A17E-F0626A6C528C}"/>
            </a:ext>
          </a:extLst>
        </xdr:cNvPr>
        <xdr:cNvCxnSpPr/>
      </xdr:nvCxnSpPr>
      <xdr:spPr>
        <a:xfrm flipH="1">
          <a:off x="4870781" y="27603278"/>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144260</xdr:colOff>
      <xdr:row>100</xdr:row>
      <xdr:rowOff>121039</xdr:rowOff>
    </xdr:from>
    <xdr:to>
      <xdr:col>21</xdr:col>
      <xdr:colOff>174738</xdr:colOff>
      <xdr:row>100</xdr:row>
      <xdr:rowOff>144962</xdr:rowOff>
    </xdr:to>
    <xdr:cxnSp macro="">
      <xdr:nvCxnSpPr>
        <xdr:cNvPr id="104" name="直線コネクタ 103">
          <a:extLst>
            <a:ext uri="{FF2B5EF4-FFF2-40B4-BE49-F238E27FC236}">
              <a16:creationId xmlns:a16="http://schemas.microsoft.com/office/drawing/2014/main" id="{97918619-BBE4-4C89-B754-3F9C0B55C0A3}"/>
            </a:ext>
          </a:extLst>
        </xdr:cNvPr>
        <xdr:cNvCxnSpPr/>
      </xdr:nvCxnSpPr>
      <xdr:spPr>
        <a:xfrm flipH="1">
          <a:off x="4894854" y="27624477"/>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30378</xdr:colOff>
      <xdr:row>100</xdr:row>
      <xdr:rowOff>51336</xdr:rowOff>
    </xdr:from>
    <xdr:to>
      <xdr:col>21</xdr:col>
      <xdr:colOff>111159</xdr:colOff>
      <xdr:row>100</xdr:row>
      <xdr:rowOff>149203</xdr:rowOff>
    </xdr:to>
    <xdr:cxnSp macro="">
      <xdr:nvCxnSpPr>
        <xdr:cNvPr id="105" name="直線コネクタ 104">
          <a:extLst>
            <a:ext uri="{FF2B5EF4-FFF2-40B4-BE49-F238E27FC236}">
              <a16:creationId xmlns:a16="http://schemas.microsoft.com/office/drawing/2014/main" id="{6EAE92E4-CE74-4F5F-B642-FC8F66510E00}"/>
            </a:ext>
          </a:extLst>
        </xdr:cNvPr>
        <xdr:cNvCxnSpPr/>
      </xdr:nvCxnSpPr>
      <xdr:spPr>
        <a:xfrm>
          <a:off x="4780972" y="27554774"/>
          <a:ext cx="80781"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218750</xdr:colOff>
      <xdr:row>100</xdr:row>
      <xdr:rowOff>53180</xdr:rowOff>
    </xdr:from>
    <xdr:to>
      <xdr:col>21</xdr:col>
      <xdr:colOff>77228</xdr:colOff>
      <xdr:row>100</xdr:row>
      <xdr:rowOff>151047</xdr:rowOff>
    </xdr:to>
    <xdr:cxnSp macro="">
      <xdr:nvCxnSpPr>
        <xdr:cNvPr id="106" name="直線コネクタ 105">
          <a:extLst>
            <a:ext uri="{FF2B5EF4-FFF2-40B4-BE49-F238E27FC236}">
              <a16:creationId xmlns:a16="http://schemas.microsoft.com/office/drawing/2014/main" id="{ADFAC7D0-14BC-4E9B-B155-0D4CB8F4CF4F}"/>
            </a:ext>
          </a:extLst>
        </xdr:cNvPr>
        <xdr:cNvCxnSpPr/>
      </xdr:nvCxnSpPr>
      <xdr:spPr>
        <a:xfrm>
          <a:off x="4743125" y="27556618"/>
          <a:ext cx="84697"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218786</xdr:colOff>
      <xdr:row>100</xdr:row>
      <xdr:rowOff>104908</xdr:rowOff>
    </xdr:from>
    <xdr:to>
      <xdr:col>21</xdr:col>
      <xdr:colOff>18190</xdr:colOff>
      <xdr:row>100</xdr:row>
      <xdr:rowOff>135634</xdr:rowOff>
    </xdr:to>
    <xdr:cxnSp macro="">
      <xdr:nvCxnSpPr>
        <xdr:cNvPr id="108" name="直線コネクタ 107">
          <a:extLst>
            <a:ext uri="{FF2B5EF4-FFF2-40B4-BE49-F238E27FC236}">
              <a16:creationId xmlns:a16="http://schemas.microsoft.com/office/drawing/2014/main" id="{D53A9876-C42B-4FF9-800E-B705D8FB0543}"/>
            </a:ext>
          </a:extLst>
        </xdr:cNvPr>
        <xdr:cNvCxnSpPr/>
      </xdr:nvCxnSpPr>
      <xdr:spPr>
        <a:xfrm flipH="1">
          <a:off x="4743161" y="27608346"/>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12851</xdr:colOff>
      <xdr:row>100</xdr:row>
      <xdr:rowOff>122105</xdr:rowOff>
    </xdr:from>
    <xdr:to>
      <xdr:col>21</xdr:col>
      <xdr:colOff>34106</xdr:colOff>
      <xdr:row>100</xdr:row>
      <xdr:rowOff>150357</xdr:rowOff>
    </xdr:to>
    <xdr:cxnSp macro="">
      <xdr:nvCxnSpPr>
        <xdr:cNvPr id="110" name="直線コネクタ 109">
          <a:extLst>
            <a:ext uri="{FF2B5EF4-FFF2-40B4-BE49-F238E27FC236}">
              <a16:creationId xmlns:a16="http://schemas.microsoft.com/office/drawing/2014/main" id="{12EB2069-81EF-4012-A1B4-BCF1A5E86631}"/>
            </a:ext>
          </a:extLst>
        </xdr:cNvPr>
        <xdr:cNvCxnSpPr/>
      </xdr:nvCxnSpPr>
      <xdr:spPr>
        <a:xfrm flipH="1">
          <a:off x="4763445" y="27625543"/>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113599</xdr:colOff>
      <xdr:row>102</xdr:row>
      <xdr:rowOff>124930</xdr:rowOff>
    </xdr:from>
    <xdr:to>
      <xdr:col>30</xdr:col>
      <xdr:colOff>160525</xdr:colOff>
      <xdr:row>102</xdr:row>
      <xdr:rowOff>124930</xdr:rowOff>
    </xdr:to>
    <xdr:cxnSp macro="">
      <xdr:nvCxnSpPr>
        <xdr:cNvPr id="113" name="直線コネクタ 112">
          <a:extLst>
            <a:ext uri="{FF2B5EF4-FFF2-40B4-BE49-F238E27FC236}">
              <a16:creationId xmlns:a16="http://schemas.microsoft.com/office/drawing/2014/main" id="{0896C74D-7414-492E-BE20-308CDD91787D}"/>
            </a:ext>
          </a:extLst>
        </xdr:cNvPr>
        <xdr:cNvCxnSpPr/>
      </xdr:nvCxnSpPr>
      <xdr:spPr>
        <a:xfrm>
          <a:off x="6447724" y="28104618"/>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102393</xdr:colOff>
      <xdr:row>100</xdr:row>
      <xdr:rowOff>44014</xdr:rowOff>
    </xdr:from>
    <xdr:to>
      <xdr:col>31</xdr:col>
      <xdr:colOff>51105</xdr:colOff>
      <xdr:row>100</xdr:row>
      <xdr:rowOff>44014</xdr:rowOff>
    </xdr:to>
    <xdr:cxnSp macro="">
      <xdr:nvCxnSpPr>
        <xdr:cNvPr id="114" name="直線コネクタ 113">
          <a:extLst>
            <a:ext uri="{FF2B5EF4-FFF2-40B4-BE49-F238E27FC236}">
              <a16:creationId xmlns:a16="http://schemas.microsoft.com/office/drawing/2014/main" id="{FB50D9DE-620D-4C76-A854-2268BD06B542}"/>
            </a:ext>
          </a:extLst>
        </xdr:cNvPr>
        <xdr:cNvCxnSpPr/>
      </xdr:nvCxnSpPr>
      <xdr:spPr>
        <a:xfrm>
          <a:off x="6436518" y="27547452"/>
          <a:ext cx="62736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29530</xdr:colOff>
      <xdr:row>97</xdr:row>
      <xdr:rowOff>222752</xdr:rowOff>
    </xdr:from>
    <xdr:to>
      <xdr:col>23</xdr:col>
      <xdr:colOff>129165</xdr:colOff>
      <xdr:row>97</xdr:row>
      <xdr:rowOff>222752</xdr:rowOff>
    </xdr:to>
    <xdr:cxnSp macro="">
      <xdr:nvCxnSpPr>
        <xdr:cNvPr id="115" name="直線コネクタ 114">
          <a:extLst>
            <a:ext uri="{FF2B5EF4-FFF2-40B4-BE49-F238E27FC236}">
              <a16:creationId xmlns:a16="http://schemas.microsoft.com/office/drawing/2014/main" id="{00A570D7-8785-4DD2-AC59-2FECE1156E27}"/>
            </a:ext>
          </a:extLst>
        </xdr:cNvPr>
        <xdr:cNvCxnSpPr/>
      </xdr:nvCxnSpPr>
      <xdr:spPr>
        <a:xfrm>
          <a:off x="4553905" y="27011815"/>
          <a:ext cx="77829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25854</xdr:colOff>
      <xdr:row>98</xdr:row>
      <xdr:rowOff>140309</xdr:rowOff>
    </xdr:from>
    <xdr:to>
      <xdr:col>23</xdr:col>
      <xdr:colOff>119139</xdr:colOff>
      <xdr:row>98</xdr:row>
      <xdr:rowOff>140309</xdr:rowOff>
    </xdr:to>
    <xdr:cxnSp macro="">
      <xdr:nvCxnSpPr>
        <xdr:cNvPr id="116" name="直線コネクタ 115">
          <a:extLst>
            <a:ext uri="{FF2B5EF4-FFF2-40B4-BE49-F238E27FC236}">
              <a16:creationId xmlns:a16="http://schemas.microsoft.com/office/drawing/2014/main" id="{2920A19A-BAAB-484F-B809-F80CB6BA6579}"/>
            </a:ext>
          </a:extLst>
        </xdr:cNvPr>
        <xdr:cNvCxnSpPr/>
      </xdr:nvCxnSpPr>
      <xdr:spPr>
        <a:xfrm>
          <a:off x="4550229" y="27167497"/>
          <a:ext cx="77194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127160</xdr:colOff>
      <xdr:row>97</xdr:row>
      <xdr:rowOff>227648</xdr:rowOff>
    </xdr:from>
    <xdr:to>
      <xdr:col>23</xdr:col>
      <xdr:colOff>127160</xdr:colOff>
      <xdr:row>98</xdr:row>
      <xdr:rowOff>140694</xdr:rowOff>
    </xdr:to>
    <xdr:cxnSp macro="">
      <xdr:nvCxnSpPr>
        <xdr:cNvPr id="125" name="直線コネクタ 124">
          <a:extLst>
            <a:ext uri="{FF2B5EF4-FFF2-40B4-BE49-F238E27FC236}">
              <a16:creationId xmlns:a16="http://schemas.microsoft.com/office/drawing/2014/main" id="{DF9F00C9-42E8-4CD1-BA11-11C3AEA566CF}"/>
            </a:ext>
          </a:extLst>
        </xdr:cNvPr>
        <xdr:cNvCxnSpPr/>
      </xdr:nvCxnSpPr>
      <xdr:spPr>
        <a:xfrm>
          <a:off x="5330191" y="27016711"/>
          <a:ext cx="0" cy="151171"/>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147169</xdr:colOff>
      <xdr:row>97</xdr:row>
      <xdr:rowOff>217443</xdr:rowOff>
    </xdr:from>
    <xdr:to>
      <xdr:col>23</xdr:col>
      <xdr:colOff>147169</xdr:colOff>
      <xdr:row>98</xdr:row>
      <xdr:rowOff>154480</xdr:rowOff>
    </xdr:to>
    <xdr:cxnSp macro="">
      <xdr:nvCxnSpPr>
        <xdr:cNvPr id="126" name="直線コネクタ 125">
          <a:extLst>
            <a:ext uri="{FF2B5EF4-FFF2-40B4-BE49-F238E27FC236}">
              <a16:creationId xmlns:a16="http://schemas.microsoft.com/office/drawing/2014/main" id="{CFC01F13-57C2-408C-8A5E-747E31AEA573}"/>
            </a:ext>
          </a:extLst>
        </xdr:cNvPr>
        <xdr:cNvCxnSpPr/>
      </xdr:nvCxnSpPr>
      <xdr:spPr>
        <a:xfrm>
          <a:off x="5350200" y="27006506"/>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51355</xdr:colOff>
      <xdr:row>97</xdr:row>
      <xdr:rowOff>217443</xdr:rowOff>
    </xdr:from>
    <xdr:to>
      <xdr:col>24</xdr:col>
      <xdr:colOff>51355</xdr:colOff>
      <xdr:row>98</xdr:row>
      <xdr:rowOff>154480</xdr:rowOff>
    </xdr:to>
    <xdr:cxnSp macro="">
      <xdr:nvCxnSpPr>
        <xdr:cNvPr id="127" name="直線コネクタ 126">
          <a:extLst>
            <a:ext uri="{FF2B5EF4-FFF2-40B4-BE49-F238E27FC236}">
              <a16:creationId xmlns:a16="http://schemas.microsoft.com/office/drawing/2014/main" id="{7AF4A608-A869-463F-A9E8-BDD140E02A40}"/>
            </a:ext>
          </a:extLst>
        </xdr:cNvPr>
        <xdr:cNvCxnSpPr/>
      </xdr:nvCxnSpPr>
      <xdr:spPr>
        <a:xfrm>
          <a:off x="5480605" y="27006506"/>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146099</xdr:colOff>
      <xdr:row>98</xdr:row>
      <xdr:rowOff>71803</xdr:rowOff>
    </xdr:from>
    <xdr:to>
      <xdr:col>24</xdr:col>
      <xdr:colOff>46884</xdr:colOff>
      <xdr:row>98</xdr:row>
      <xdr:rowOff>71803</xdr:rowOff>
    </xdr:to>
    <xdr:cxnSp macro="">
      <xdr:nvCxnSpPr>
        <xdr:cNvPr id="512" name="直線コネクタ 511">
          <a:extLst>
            <a:ext uri="{FF2B5EF4-FFF2-40B4-BE49-F238E27FC236}">
              <a16:creationId xmlns:a16="http://schemas.microsoft.com/office/drawing/2014/main" id="{C3BEBF94-8926-4D21-9E71-88906A52C329}"/>
            </a:ext>
          </a:extLst>
        </xdr:cNvPr>
        <xdr:cNvCxnSpPr/>
      </xdr:nvCxnSpPr>
      <xdr:spPr>
        <a:xfrm>
          <a:off x="5349130" y="27098991"/>
          <a:ext cx="127004"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20</xdr:col>
      <xdr:colOff>200186</xdr:colOff>
      <xdr:row>101</xdr:row>
      <xdr:rowOff>10381</xdr:rowOff>
    </xdr:from>
    <xdr:to>
      <xdr:col>23</xdr:col>
      <xdr:colOff>75611</xdr:colOff>
      <xdr:row>101</xdr:row>
      <xdr:rowOff>236287</xdr:rowOff>
    </xdr:to>
    <xdr:sp macro="" textlink="">
      <xdr:nvSpPr>
        <xdr:cNvPr id="514" name="テキスト ボックス 513">
          <a:extLst>
            <a:ext uri="{FF2B5EF4-FFF2-40B4-BE49-F238E27FC236}">
              <a16:creationId xmlns:a16="http://schemas.microsoft.com/office/drawing/2014/main" id="{4FF5D5C0-DE68-4FFA-8776-B055E545E9E1}"/>
            </a:ext>
          </a:extLst>
        </xdr:cNvPr>
        <xdr:cNvSpPr txBox="1"/>
      </xdr:nvSpPr>
      <xdr:spPr>
        <a:xfrm>
          <a:off x="4838447" y="24369533"/>
          <a:ext cx="571164" cy="22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1.26m</a:t>
          </a:r>
          <a:endParaRPr kumimoji="1" lang="ja-JP" altLang="en-US" sz="1100">
            <a:solidFill>
              <a:sysClr val="windowText" lastClr="000000"/>
            </a:solidFill>
          </a:endParaRPr>
        </a:p>
      </xdr:txBody>
    </xdr:sp>
    <xdr:clientData/>
  </xdr:twoCellAnchor>
  <xdr:twoCellAnchor>
    <xdr:from>
      <xdr:col>23</xdr:col>
      <xdr:colOff>1014</xdr:colOff>
      <xdr:row>91</xdr:row>
      <xdr:rowOff>43756</xdr:rowOff>
    </xdr:from>
    <xdr:to>
      <xdr:col>25</xdr:col>
      <xdr:colOff>51452</xdr:colOff>
      <xdr:row>92</xdr:row>
      <xdr:rowOff>38910</xdr:rowOff>
    </xdr:to>
    <xdr:sp macro="" textlink="">
      <xdr:nvSpPr>
        <xdr:cNvPr id="515" name="テキスト ボックス 514">
          <a:extLst>
            <a:ext uri="{FF2B5EF4-FFF2-40B4-BE49-F238E27FC236}">
              <a16:creationId xmlns:a16="http://schemas.microsoft.com/office/drawing/2014/main" id="{2277577B-31F1-4BD6-8509-9AFF9E89D428}"/>
            </a:ext>
          </a:extLst>
        </xdr:cNvPr>
        <xdr:cNvSpPr txBox="1"/>
      </xdr:nvSpPr>
      <xdr:spPr>
        <a:xfrm>
          <a:off x="5204045" y="25404069"/>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23</xdr:col>
      <xdr:colOff>41355</xdr:colOff>
      <xdr:row>101</xdr:row>
      <xdr:rowOff>74293</xdr:rowOff>
    </xdr:from>
    <xdr:to>
      <xdr:col>25</xdr:col>
      <xdr:colOff>91793</xdr:colOff>
      <xdr:row>102</xdr:row>
      <xdr:rowOff>69447</xdr:rowOff>
    </xdr:to>
    <xdr:sp macro="" textlink="">
      <xdr:nvSpPr>
        <xdr:cNvPr id="516" name="テキスト ボックス 515">
          <a:extLst>
            <a:ext uri="{FF2B5EF4-FFF2-40B4-BE49-F238E27FC236}">
              <a16:creationId xmlns:a16="http://schemas.microsoft.com/office/drawing/2014/main" id="{A15000CA-30B3-46B4-B7F4-DA3405CC12BE}"/>
            </a:ext>
          </a:extLst>
        </xdr:cNvPr>
        <xdr:cNvSpPr txBox="1"/>
      </xdr:nvSpPr>
      <xdr:spPr>
        <a:xfrm>
          <a:off x="5244386" y="27815856"/>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22</xdr:col>
      <xdr:colOff>71439</xdr:colOff>
      <xdr:row>102</xdr:row>
      <xdr:rowOff>174753</xdr:rowOff>
    </xdr:from>
    <xdr:to>
      <xdr:col>24</xdr:col>
      <xdr:colOff>7136</xdr:colOff>
      <xdr:row>102</xdr:row>
      <xdr:rowOff>174753</xdr:rowOff>
    </xdr:to>
    <xdr:cxnSp macro="">
      <xdr:nvCxnSpPr>
        <xdr:cNvPr id="522" name="直線コネクタ 521">
          <a:extLst>
            <a:ext uri="{FF2B5EF4-FFF2-40B4-BE49-F238E27FC236}">
              <a16:creationId xmlns:a16="http://schemas.microsoft.com/office/drawing/2014/main" id="{99C3868F-7041-4D4E-A95C-5951BDE82D9E}"/>
            </a:ext>
          </a:extLst>
        </xdr:cNvPr>
        <xdr:cNvCxnSpPr/>
      </xdr:nvCxnSpPr>
      <xdr:spPr>
        <a:xfrm>
          <a:off x="5048252" y="28154441"/>
          <a:ext cx="38813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64952</xdr:colOff>
      <xdr:row>90</xdr:row>
      <xdr:rowOff>179094</xdr:rowOff>
    </xdr:from>
    <xdr:to>
      <xdr:col>28</xdr:col>
      <xdr:colOff>153250</xdr:colOff>
      <xdr:row>91</xdr:row>
      <xdr:rowOff>37908</xdr:rowOff>
    </xdr:to>
    <xdr:cxnSp macro="">
      <xdr:nvCxnSpPr>
        <xdr:cNvPr id="524" name="直線コネクタ 523">
          <a:extLst>
            <a:ext uri="{FF2B5EF4-FFF2-40B4-BE49-F238E27FC236}">
              <a16:creationId xmlns:a16="http://schemas.microsoft.com/office/drawing/2014/main" id="{C3600F22-312F-49C0-BADB-8C4F15E84706}"/>
            </a:ext>
          </a:extLst>
        </xdr:cNvPr>
        <xdr:cNvCxnSpPr/>
      </xdr:nvCxnSpPr>
      <xdr:spPr>
        <a:xfrm>
          <a:off x="6399077" y="25301282"/>
          <a:ext cx="88298"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20195</xdr:colOff>
      <xdr:row>90</xdr:row>
      <xdr:rowOff>177535</xdr:rowOff>
    </xdr:from>
    <xdr:to>
      <xdr:col>28</xdr:col>
      <xdr:colOff>115518</xdr:colOff>
      <xdr:row>91</xdr:row>
      <xdr:rowOff>39752</xdr:rowOff>
    </xdr:to>
    <xdr:cxnSp macro="">
      <xdr:nvCxnSpPr>
        <xdr:cNvPr id="525" name="直線コネクタ 524">
          <a:extLst>
            <a:ext uri="{FF2B5EF4-FFF2-40B4-BE49-F238E27FC236}">
              <a16:creationId xmlns:a16="http://schemas.microsoft.com/office/drawing/2014/main" id="{827CCB58-9334-4A2F-BC33-E2637E18D183}"/>
            </a:ext>
          </a:extLst>
        </xdr:cNvPr>
        <xdr:cNvCxnSpPr/>
      </xdr:nvCxnSpPr>
      <xdr:spPr>
        <a:xfrm>
          <a:off x="6354320" y="25299723"/>
          <a:ext cx="95323"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21110</xdr:colOff>
      <xdr:row>90</xdr:row>
      <xdr:rowOff>232065</xdr:rowOff>
    </xdr:from>
    <xdr:to>
      <xdr:col>28</xdr:col>
      <xdr:colOff>56555</xdr:colOff>
      <xdr:row>91</xdr:row>
      <xdr:rowOff>21863</xdr:rowOff>
    </xdr:to>
    <xdr:cxnSp macro="">
      <xdr:nvCxnSpPr>
        <xdr:cNvPr id="526" name="直線コネクタ 525">
          <a:extLst>
            <a:ext uri="{FF2B5EF4-FFF2-40B4-BE49-F238E27FC236}">
              <a16:creationId xmlns:a16="http://schemas.microsoft.com/office/drawing/2014/main" id="{88D71FBD-2F0F-4520-BA03-EE795853B9ED}"/>
            </a:ext>
          </a:extLst>
        </xdr:cNvPr>
        <xdr:cNvCxnSpPr/>
      </xdr:nvCxnSpPr>
      <xdr:spPr>
        <a:xfrm flipH="1">
          <a:off x="6355235" y="25354253"/>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45183</xdr:colOff>
      <xdr:row>91</xdr:row>
      <xdr:rowOff>15139</xdr:rowOff>
    </xdr:from>
    <xdr:to>
      <xdr:col>28</xdr:col>
      <xdr:colOff>75661</xdr:colOff>
      <xdr:row>91</xdr:row>
      <xdr:rowOff>39062</xdr:rowOff>
    </xdr:to>
    <xdr:cxnSp macro="">
      <xdr:nvCxnSpPr>
        <xdr:cNvPr id="527" name="直線コネクタ 526">
          <a:extLst>
            <a:ext uri="{FF2B5EF4-FFF2-40B4-BE49-F238E27FC236}">
              <a16:creationId xmlns:a16="http://schemas.microsoft.com/office/drawing/2014/main" id="{F7BA886D-EA0B-4631-BDE8-5E01672FF1B5}"/>
            </a:ext>
          </a:extLst>
        </xdr:cNvPr>
        <xdr:cNvCxnSpPr/>
      </xdr:nvCxnSpPr>
      <xdr:spPr>
        <a:xfrm flipH="1">
          <a:off x="6379308" y="25375452"/>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155139</xdr:colOff>
      <xdr:row>90</xdr:row>
      <xdr:rowOff>183561</xdr:rowOff>
    </xdr:from>
    <xdr:to>
      <xdr:col>28</xdr:col>
      <xdr:colOff>12082</xdr:colOff>
      <xdr:row>91</xdr:row>
      <xdr:rowOff>43303</xdr:rowOff>
    </xdr:to>
    <xdr:cxnSp macro="">
      <xdr:nvCxnSpPr>
        <xdr:cNvPr id="529" name="直線コネクタ 528">
          <a:extLst>
            <a:ext uri="{FF2B5EF4-FFF2-40B4-BE49-F238E27FC236}">
              <a16:creationId xmlns:a16="http://schemas.microsoft.com/office/drawing/2014/main" id="{7F198ED4-4CD0-4AA7-93CE-125ED9283229}"/>
            </a:ext>
          </a:extLst>
        </xdr:cNvPr>
        <xdr:cNvCxnSpPr/>
      </xdr:nvCxnSpPr>
      <xdr:spPr>
        <a:xfrm>
          <a:off x="6263045" y="25305749"/>
          <a:ext cx="83162"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119673</xdr:colOff>
      <xdr:row>90</xdr:row>
      <xdr:rowOff>185405</xdr:rowOff>
    </xdr:from>
    <xdr:to>
      <xdr:col>27</xdr:col>
      <xdr:colOff>204370</xdr:colOff>
      <xdr:row>91</xdr:row>
      <xdr:rowOff>45147</xdr:rowOff>
    </xdr:to>
    <xdr:cxnSp macro="">
      <xdr:nvCxnSpPr>
        <xdr:cNvPr id="532" name="直線コネクタ 531">
          <a:extLst>
            <a:ext uri="{FF2B5EF4-FFF2-40B4-BE49-F238E27FC236}">
              <a16:creationId xmlns:a16="http://schemas.microsoft.com/office/drawing/2014/main" id="{CF5BA3E3-1252-4942-851E-7FEB76C2421B}"/>
            </a:ext>
          </a:extLst>
        </xdr:cNvPr>
        <xdr:cNvCxnSpPr/>
      </xdr:nvCxnSpPr>
      <xdr:spPr>
        <a:xfrm>
          <a:off x="6227579" y="25307593"/>
          <a:ext cx="84697"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119709</xdr:colOff>
      <xdr:row>90</xdr:row>
      <xdr:rowOff>237133</xdr:rowOff>
    </xdr:from>
    <xdr:to>
      <xdr:col>27</xdr:col>
      <xdr:colOff>142951</xdr:colOff>
      <xdr:row>91</xdr:row>
      <xdr:rowOff>29734</xdr:rowOff>
    </xdr:to>
    <xdr:cxnSp macro="">
      <xdr:nvCxnSpPr>
        <xdr:cNvPr id="533" name="直線コネクタ 532">
          <a:extLst>
            <a:ext uri="{FF2B5EF4-FFF2-40B4-BE49-F238E27FC236}">
              <a16:creationId xmlns:a16="http://schemas.microsoft.com/office/drawing/2014/main" id="{5D06233B-FEFB-44E6-B582-3DCA19FE34EF}"/>
            </a:ext>
          </a:extLst>
        </xdr:cNvPr>
        <xdr:cNvCxnSpPr/>
      </xdr:nvCxnSpPr>
      <xdr:spPr>
        <a:xfrm flipH="1">
          <a:off x="6227615" y="25359321"/>
          <a:ext cx="2324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137612</xdr:colOff>
      <xdr:row>91</xdr:row>
      <xdr:rowOff>16205</xdr:rowOff>
    </xdr:from>
    <xdr:to>
      <xdr:col>27</xdr:col>
      <xdr:colOff>158867</xdr:colOff>
      <xdr:row>91</xdr:row>
      <xdr:rowOff>44457</xdr:rowOff>
    </xdr:to>
    <xdr:cxnSp macro="">
      <xdr:nvCxnSpPr>
        <xdr:cNvPr id="534" name="直線コネクタ 533">
          <a:extLst>
            <a:ext uri="{FF2B5EF4-FFF2-40B4-BE49-F238E27FC236}">
              <a16:creationId xmlns:a16="http://schemas.microsoft.com/office/drawing/2014/main" id="{53B0D10B-C850-4E6B-B605-63286AB07611}"/>
            </a:ext>
          </a:extLst>
        </xdr:cNvPr>
        <xdr:cNvCxnSpPr/>
      </xdr:nvCxnSpPr>
      <xdr:spPr>
        <a:xfrm flipH="1">
          <a:off x="6245518" y="25376518"/>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113599</xdr:colOff>
      <xdr:row>102</xdr:row>
      <xdr:rowOff>180959</xdr:rowOff>
    </xdr:from>
    <xdr:to>
      <xdr:col>30</xdr:col>
      <xdr:colOff>160525</xdr:colOff>
      <xdr:row>102</xdr:row>
      <xdr:rowOff>180959</xdr:rowOff>
    </xdr:to>
    <xdr:cxnSp macro="">
      <xdr:nvCxnSpPr>
        <xdr:cNvPr id="535" name="直線コネクタ 534">
          <a:extLst>
            <a:ext uri="{FF2B5EF4-FFF2-40B4-BE49-F238E27FC236}">
              <a16:creationId xmlns:a16="http://schemas.microsoft.com/office/drawing/2014/main" id="{C52ECAA3-DA53-4572-A51F-ED0645388DFA}"/>
            </a:ext>
          </a:extLst>
        </xdr:cNvPr>
        <xdr:cNvCxnSpPr/>
      </xdr:nvCxnSpPr>
      <xdr:spPr>
        <a:xfrm>
          <a:off x="6447724" y="28160647"/>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33084</xdr:colOff>
      <xdr:row>102</xdr:row>
      <xdr:rowOff>172831</xdr:rowOff>
    </xdr:from>
    <xdr:to>
      <xdr:col>30</xdr:col>
      <xdr:colOff>33084</xdr:colOff>
      <xdr:row>103</xdr:row>
      <xdr:rowOff>185456</xdr:rowOff>
    </xdr:to>
    <xdr:cxnSp macro="">
      <xdr:nvCxnSpPr>
        <xdr:cNvPr id="536" name="直線矢印コネクタ 535">
          <a:extLst>
            <a:ext uri="{FF2B5EF4-FFF2-40B4-BE49-F238E27FC236}">
              <a16:creationId xmlns:a16="http://schemas.microsoft.com/office/drawing/2014/main" id="{E9FFA298-AD87-42C5-950C-6B94FE344CBB}"/>
            </a:ext>
          </a:extLst>
        </xdr:cNvPr>
        <xdr:cNvCxnSpPr/>
      </xdr:nvCxnSpPr>
      <xdr:spPr>
        <a:xfrm>
          <a:off x="6819647" y="28152519"/>
          <a:ext cx="0" cy="250750"/>
        </a:xfrm>
        <a:prstGeom prst="straightConnector1">
          <a:avLst/>
        </a:prstGeom>
        <a:ln>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121036</xdr:colOff>
      <xdr:row>92</xdr:row>
      <xdr:rowOff>158550</xdr:rowOff>
    </xdr:from>
    <xdr:to>
      <xdr:col>27</xdr:col>
      <xdr:colOff>55561</xdr:colOff>
      <xdr:row>92</xdr:row>
      <xdr:rowOff>158550</xdr:rowOff>
    </xdr:to>
    <xdr:cxnSp macro="">
      <xdr:nvCxnSpPr>
        <xdr:cNvPr id="537" name="直線コネクタ 536">
          <a:extLst>
            <a:ext uri="{FF2B5EF4-FFF2-40B4-BE49-F238E27FC236}">
              <a16:creationId xmlns:a16="http://schemas.microsoft.com/office/drawing/2014/main" id="{B10BCE97-D32B-40B2-9CE7-5BAF8522DFA6}"/>
            </a:ext>
          </a:extLst>
        </xdr:cNvPr>
        <xdr:cNvCxnSpPr/>
      </xdr:nvCxnSpPr>
      <xdr:spPr>
        <a:xfrm>
          <a:off x="5550286" y="25756988"/>
          <a:ext cx="61318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42735</xdr:colOff>
      <xdr:row>92</xdr:row>
      <xdr:rowOff>154782</xdr:rowOff>
    </xdr:from>
    <xdr:to>
      <xdr:col>27</xdr:col>
      <xdr:colOff>42735</xdr:colOff>
      <xdr:row>100</xdr:row>
      <xdr:rowOff>69055</xdr:rowOff>
    </xdr:to>
    <xdr:cxnSp macro="">
      <xdr:nvCxnSpPr>
        <xdr:cNvPr id="538" name="直線コネクタ 537">
          <a:extLst>
            <a:ext uri="{FF2B5EF4-FFF2-40B4-BE49-F238E27FC236}">
              <a16:creationId xmlns:a16="http://schemas.microsoft.com/office/drawing/2014/main" id="{27AEF83F-F0C1-473E-8AC1-1B7EED131124}"/>
            </a:ext>
          </a:extLst>
        </xdr:cNvPr>
        <xdr:cNvCxnSpPr/>
      </xdr:nvCxnSpPr>
      <xdr:spPr>
        <a:xfrm>
          <a:off x="6150641" y="25753220"/>
          <a:ext cx="0" cy="1819273"/>
        </a:xfrm>
        <a:prstGeom prst="line">
          <a:avLst/>
        </a:prstGeom>
        <a:ln>
          <a:solidFill>
            <a:schemeClr val="tx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27955</xdr:colOff>
      <xdr:row>89</xdr:row>
      <xdr:rowOff>235742</xdr:rowOff>
    </xdr:from>
    <xdr:to>
      <xdr:col>30</xdr:col>
      <xdr:colOff>27955</xdr:colOff>
      <xdr:row>90</xdr:row>
      <xdr:rowOff>182849</xdr:rowOff>
    </xdr:to>
    <xdr:cxnSp macro="">
      <xdr:nvCxnSpPr>
        <xdr:cNvPr id="540" name="直線矢印コネクタ 539">
          <a:extLst>
            <a:ext uri="{FF2B5EF4-FFF2-40B4-BE49-F238E27FC236}">
              <a16:creationId xmlns:a16="http://schemas.microsoft.com/office/drawing/2014/main" id="{A62A8C64-BD99-4F47-93DC-86540E9D95AE}"/>
            </a:ext>
          </a:extLst>
        </xdr:cNvPr>
        <xdr:cNvCxnSpPr/>
      </xdr:nvCxnSpPr>
      <xdr:spPr>
        <a:xfrm>
          <a:off x="6814518" y="25119805"/>
          <a:ext cx="0" cy="18523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80413</xdr:colOff>
      <xdr:row>90</xdr:row>
      <xdr:rowOff>14126</xdr:rowOff>
    </xdr:from>
    <xdr:to>
      <xdr:col>31</xdr:col>
      <xdr:colOff>91114</xdr:colOff>
      <xdr:row>90</xdr:row>
      <xdr:rowOff>14126</xdr:rowOff>
    </xdr:to>
    <xdr:cxnSp macro="">
      <xdr:nvCxnSpPr>
        <xdr:cNvPr id="541" name="直線コネクタ 540">
          <a:extLst>
            <a:ext uri="{FF2B5EF4-FFF2-40B4-BE49-F238E27FC236}">
              <a16:creationId xmlns:a16="http://schemas.microsoft.com/office/drawing/2014/main" id="{318CF103-5124-47AF-AC35-A8E3508B7F06}"/>
            </a:ext>
          </a:extLst>
        </xdr:cNvPr>
        <xdr:cNvCxnSpPr/>
      </xdr:nvCxnSpPr>
      <xdr:spPr>
        <a:xfrm>
          <a:off x="6414538" y="25136314"/>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30</xdr:col>
      <xdr:colOff>123174</xdr:colOff>
      <xdr:row>89</xdr:row>
      <xdr:rowOff>190230</xdr:rowOff>
    </xdr:from>
    <xdr:to>
      <xdr:col>34</xdr:col>
      <xdr:colOff>124805</xdr:colOff>
      <xdr:row>90</xdr:row>
      <xdr:rowOff>205067</xdr:rowOff>
    </xdr:to>
    <xdr:sp macro="" textlink="">
      <xdr:nvSpPr>
        <xdr:cNvPr id="542" name="テキスト ボックス 541">
          <a:extLst>
            <a:ext uri="{FF2B5EF4-FFF2-40B4-BE49-F238E27FC236}">
              <a16:creationId xmlns:a16="http://schemas.microsoft.com/office/drawing/2014/main" id="{B9CD17ED-DF14-49B9-9926-105B1D924D05}"/>
            </a:ext>
          </a:extLst>
        </xdr:cNvPr>
        <xdr:cNvSpPr txBox="1"/>
      </xdr:nvSpPr>
      <xdr:spPr>
        <a:xfrm>
          <a:off x="6909737" y="21502418"/>
          <a:ext cx="906506" cy="25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0.56m</a:t>
          </a:r>
          <a:endParaRPr kumimoji="1" lang="ja-JP" altLang="en-US" sz="1100"/>
        </a:p>
      </xdr:txBody>
    </xdr:sp>
    <xdr:clientData/>
  </xdr:twoCellAnchor>
  <xdr:twoCellAnchor>
    <xdr:from>
      <xdr:col>24</xdr:col>
      <xdr:colOff>116603</xdr:colOff>
      <xdr:row>90</xdr:row>
      <xdr:rowOff>25016</xdr:rowOff>
    </xdr:from>
    <xdr:to>
      <xdr:col>24</xdr:col>
      <xdr:colOff>116603</xdr:colOff>
      <xdr:row>91</xdr:row>
      <xdr:rowOff>0</xdr:rowOff>
    </xdr:to>
    <xdr:cxnSp macro="">
      <xdr:nvCxnSpPr>
        <xdr:cNvPr id="547" name="直線コネクタ 546">
          <a:extLst>
            <a:ext uri="{FF2B5EF4-FFF2-40B4-BE49-F238E27FC236}">
              <a16:creationId xmlns:a16="http://schemas.microsoft.com/office/drawing/2014/main" id="{FC065133-0C5F-82EF-8D4D-822BAAC46B42}"/>
            </a:ext>
          </a:extLst>
        </xdr:cNvPr>
        <xdr:cNvCxnSpPr/>
      </xdr:nvCxnSpPr>
      <xdr:spPr>
        <a:xfrm>
          <a:off x="5545853" y="25147204"/>
          <a:ext cx="0" cy="21310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59531</xdr:colOff>
      <xdr:row>79</xdr:row>
      <xdr:rowOff>28560</xdr:rowOff>
    </xdr:from>
    <xdr:to>
      <xdr:col>24</xdr:col>
      <xdr:colOff>162906</xdr:colOff>
      <xdr:row>79</xdr:row>
      <xdr:rowOff>28560</xdr:rowOff>
    </xdr:to>
    <xdr:cxnSp macro="">
      <xdr:nvCxnSpPr>
        <xdr:cNvPr id="549" name="直線コネクタ 548">
          <a:extLst>
            <a:ext uri="{FF2B5EF4-FFF2-40B4-BE49-F238E27FC236}">
              <a16:creationId xmlns:a16="http://schemas.microsoft.com/office/drawing/2014/main" id="{13208D90-30C9-1398-E7FD-CF3BB31F1880}"/>
            </a:ext>
          </a:extLst>
        </xdr:cNvPr>
        <xdr:cNvCxnSpPr/>
      </xdr:nvCxnSpPr>
      <xdr:spPr>
        <a:xfrm>
          <a:off x="5262562" y="18959498"/>
          <a:ext cx="32959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196937</xdr:colOff>
      <xdr:row>79</xdr:row>
      <xdr:rowOff>157148</xdr:rowOff>
    </xdr:from>
    <xdr:to>
      <xdr:col>23</xdr:col>
      <xdr:colOff>17645</xdr:colOff>
      <xdr:row>79</xdr:row>
      <xdr:rowOff>157148</xdr:rowOff>
    </xdr:to>
    <xdr:cxnSp macro="">
      <xdr:nvCxnSpPr>
        <xdr:cNvPr id="550" name="直線コネクタ 549">
          <a:extLst>
            <a:ext uri="{FF2B5EF4-FFF2-40B4-BE49-F238E27FC236}">
              <a16:creationId xmlns:a16="http://schemas.microsoft.com/office/drawing/2014/main" id="{673B2306-9F9C-493B-9E3B-6FCB8DC4A00B}"/>
            </a:ext>
          </a:extLst>
        </xdr:cNvPr>
        <xdr:cNvCxnSpPr/>
      </xdr:nvCxnSpPr>
      <xdr:spPr>
        <a:xfrm>
          <a:off x="4721312" y="19088086"/>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57147</xdr:colOff>
      <xdr:row>103</xdr:row>
      <xdr:rowOff>65216</xdr:rowOff>
    </xdr:from>
    <xdr:to>
      <xdr:col>21</xdr:col>
      <xdr:colOff>219062</xdr:colOff>
      <xdr:row>103</xdr:row>
      <xdr:rowOff>65216</xdr:rowOff>
    </xdr:to>
    <xdr:cxnSp macro="">
      <xdr:nvCxnSpPr>
        <xdr:cNvPr id="554" name="直線コネクタ 553">
          <a:extLst>
            <a:ext uri="{FF2B5EF4-FFF2-40B4-BE49-F238E27FC236}">
              <a16:creationId xmlns:a16="http://schemas.microsoft.com/office/drawing/2014/main" id="{D9542A94-9DCA-45A0-81A2-88910EA1F6D3}"/>
            </a:ext>
          </a:extLst>
        </xdr:cNvPr>
        <xdr:cNvCxnSpPr/>
      </xdr:nvCxnSpPr>
      <xdr:spPr>
        <a:xfrm>
          <a:off x="4581522" y="28283029"/>
          <a:ext cx="38813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59252</xdr:colOff>
      <xdr:row>113</xdr:row>
      <xdr:rowOff>211375</xdr:rowOff>
    </xdr:from>
    <xdr:to>
      <xdr:col>26</xdr:col>
      <xdr:colOff>176214</xdr:colOff>
      <xdr:row>113</xdr:row>
      <xdr:rowOff>211375</xdr:rowOff>
    </xdr:to>
    <xdr:cxnSp macro="">
      <xdr:nvCxnSpPr>
        <xdr:cNvPr id="26" name="直線コネクタ 25">
          <a:extLst>
            <a:ext uri="{FF2B5EF4-FFF2-40B4-BE49-F238E27FC236}">
              <a16:creationId xmlns:a16="http://schemas.microsoft.com/office/drawing/2014/main" id="{6C480802-4D3F-4266-B120-73C19BA2CF4E}"/>
            </a:ext>
          </a:extLst>
        </xdr:cNvPr>
        <xdr:cNvCxnSpPr/>
      </xdr:nvCxnSpPr>
      <xdr:spPr>
        <a:xfrm>
          <a:off x="5488502" y="30858063"/>
          <a:ext cx="569400"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173754</xdr:colOff>
      <xdr:row>113</xdr:row>
      <xdr:rowOff>225040</xdr:rowOff>
    </xdr:from>
    <xdr:to>
      <xdr:col>26</xdr:col>
      <xdr:colOff>173754</xdr:colOff>
      <xdr:row>116</xdr:row>
      <xdr:rowOff>140494</xdr:rowOff>
    </xdr:to>
    <xdr:cxnSp macro="">
      <xdr:nvCxnSpPr>
        <xdr:cNvPr id="27" name="直線コネクタ 26">
          <a:extLst>
            <a:ext uri="{FF2B5EF4-FFF2-40B4-BE49-F238E27FC236}">
              <a16:creationId xmlns:a16="http://schemas.microsoft.com/office/drawing/2014/main" id="{B1CCD66B-4B0E-4C57-B318-2FC0A1E7FCFB}"/>
            </a:ext>
          </a:extLst>
        </xdr:cNvPr>
        <xdr:cNvCxnSpPr/>
      </xdr:nvCxnSpPr>
      <xdr:spPr>
        <a:xfrm>
          <a:off x="6055442" y="30871728"/>
          <a:ext cx="0" cy="62982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30</xdr:col>
      <xdr:colOff>37450</xdr:colOff>
      <xdr:row>115</xdr:row>
      <xdr:rowOff>20460</xdr:rowOff>
    </xdr:from>
    <xdr:to>
      <xdr:col>34</xdr:col>
      <xdr:colOff>39081</xdr:colOff>
      <xdr:row>116</xdr:row>
      <xdr:rowOff>35296</xdr:rowOff>
    </xdr:to>
    <xdr:sp macro="" textlink="">
      <xdr:nvSpPr>
        <xdr:cNvPr id="36" name="テキスト ボックス 35">
          <a:extLst>
            <a:ext uri="{FF2B5EF4-FFF2-40B4-BE49-F238E27FC236}">
              <a16:creationId xmlns:a16="http://schemas.microsoft.com/office/drawing/2014/main" id="{F1A09D35-C871-4E6D-AC6F-EFF604C69042}"/>
            </a:ext>
          </a:extLst>
        </xdr:cNvPr>
        <xdr:cNvSpPr txBox="1"/>
      </xdr:nvSpPr>
      <xdr:spPr>
        <a:xfrm>
          <a:off x="6760979" y="27261960"/>
          <a:ext cx="898102" cy="25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22</xdr:col>
      <xdr:colOff>125408</xdr:colOff>
      <xdr:row>124</xdr:row>
      <xdr:rowOff>5127</xdr:rowOff>
    </xdr:from>
    <xdr:to>
      <xdr:col>22</xdr:col>
      <xdr:colOff>125408</xdr:colOff>
      <xdr:row>126</xdr:row>
      <xdr:rowOff>114320</xdr:rowOff>
    </xdr:to>
    <xdr:cxnSp macro="">
      <xdr:nvCxnSpPr>
        <xdr:cNvPr id="98" name="直線矢印コネクタ 97">
          <a:extLst>
            <a:ext uri="{FF2B5EF4-FFF2-40B4-BE49-F238E27FC236}">
              <a16:creationId xmlns:a16="http://schemas.microsoft.com/office/drawing/2014/main" id="{3D8C8679-8DCD-4001-83F6-1F54554D4E8F}"/>
            </a:ext>
          </a:extLst>
        </xdr:cNvPr>
        <xdr:cNvCxnSpPr/>
      </xdr:nvCxnSpPr>
      <xdr:spPr>
        <a:xfrm>
          <a:off x="5102221" y="33271190"/>
          <a:ext cx="0" cy="5854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29</xdr:col>
      <xdr:colOff>96972</xdr:colOff>
      <xdr:row>119</xdr:row>
      <xdr:rowOff>114061</xdr:rowOff>
    </xdr:from>
    <xdr:to>
      <xdr:col>34</xdr:col>
      <xdr:colOff>7919</xdr:colOff>
      <xdr:row>120</xdr:row>
      <xdr:rowOff>132085</xdr:rowOff>
    </xdr:to>
    <xdr:sp macro="" textlink="">
      <xdr:nvSpPr>
        <xdr:cNvPr id="109" name="テキスト ボックス 108">
          <a:extLst>
            <a:ext uri="{FF2B5EF4-FFF2-40B4-BE49-F238E27FC236}">
              <a16:creationId xmlns:a16="http://schemas.microsoft.com/office/drawing/2014/main" id="{3493D29E-6C60-4534-84FD-04A573749D30}"/>
            </a:ext>
          </a:extLst>
        </xdr:cNvPr>
        <xdr:cNvSpPr txBox="1"/>
      </xdr:nvSpPr>
      <xdr:spPr>
        <a:xfrm>
          <a:off x="6596384" y="28296855"/>
          <a:ext cx="1031535" cy="253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１層 </a:t>
          </a:r>
          <a:r>
            <a:rPr kumimoji="1" lang="en-US" altLang="ja-JP" sz="1100"/>
            <a:t>3.80m</a:t>
          </a:r>
          <a:endParaRPr kumimoji="1" lang="ja-JP" altLang="en-US" sz="1100"/>
        </a:p>
      </xdr:txBody>
    </xdr:sp>
    <xdr:clientData/>
  </xdr:twoCellAnchor>
  <xdr:twoCellAnchor editAs="absolute">
    <xdr:from>
      <xdr:col>29</xdr:col>
      <xdr:colOff>83190</xdr:colOff>
      <xdr:row>124</xdr:row>
      <xdr:rowOff>119828</xdr:rowOff>
    </xdr:from>
    <xdr:to>
      <xdr:col>34</xdr:col>
      <xdr:colOff>26969</xdr:colOff>
      <xdr:row>125</xdr:row>
      <xdr:rowOff>116592</xdr:rowOff>
    </xdr:to>
    <xdr:sp macro="" textlink="">
      <xdr:nvSpPr>
        <xdr:cNvPr id="117" name="テキスト ボックス 116">
          <a:extLst>
            <a:ext uri="{FF2B5EF4-FFF2-40B4-BE49-F238E27FC236}">
              <a16:creationId xmlns:a16="http://schemas.microsoft.com/office/drawing/2014/main" id="{209702B5-6EA8-4D79-81DF-1733DBC08ED6}"/>
            </a:ext>
          </a:extLst>
        </xdr:cNvPr>
        <xdr:cNvSpPr txBox="1"/>
      </xdr:nvSpPr>
      <xdr:spPr>
        <a:xfrm>
          <a:off x="6582602" y="29479240"/>
          <a:ext cx="1064367" cy="232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a:t>
          </a:r>
          <a:r>
            <a:rPr kumimoji="1" lang="en-US" altLang="ja-JP" sz="1100"/>
            <a:t>-</a:t>
          </a:r>
          <a:r>
            <a:rPr kumimoji="1" lang="ja-JP" altLang="en-US" sz="1100"/>
            <a:t>２層 </a:t>
          </a:r>
          <a:r>
            <a:rPr kumimoji="1" lang="en-US" altLang="ja-JP" sz="1100"/>
            <a:t>1.20m</a:t>
          </a:r>
          <a:endParaRPr kumimoji="1" lang="ja-JP" altLang="en-US" sz="1100"/>
        </a:p>
      </xdr:txBody>
    </xdr:sp>
    <xdr:clientData/>
  </xdr:twoCellAnchor>
  <xdr:twoCellAnchor>
    <xdr:from>
      <xdr:col>23</xdr:col>
      <xdr:colOff>200343</xdr:colOff>
      <xdr:row>126</xdr:row>
      <xdr:rowOff>46814</xdr:rowOff>
    </xdr:from>
    <xdr:to>
      <xdr:col>24</xdr:col>
      <xdr:colOff>91420</xdr:colOff>
      <xdr:row>126</xdr:row>
      <xdr:rowOff>172535</xdr:rowOff>
    </xdr:to>
    <xdr:sp macro="" textlink="">
      <xdr:nvSpPr>
        <xdr:cNvPr id="513" name="楕円 512">
          <a:extLst>
            <a:ext uri="{FF2B5EF4-FFF2-40B4-BE49-F238E27FC236}">
              <a16:creationId xmlns:a16="http://schemas.microsoft.com/office/drawing/2014/main" id="{31F70C97-C5D2-4A66-871F-A3E1DF62EF8A}"/>
            </a:ext>
          </a:extLst>
        </xdr:cNvPr>
        <xdr:cNvSpPr/>
      </xdr:nvSpPr>
      <xdr:spPr>
        <a:xfrm>
          <a:off x="5403374" y="33789127"/>
          <a:ext cx="117296" cy="12572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168450</xdr:colOff>
      <xdr:row>114</xdr:row>
      <xdr:rowOff>137604</xdr:rowOff>
    </xdr:from>
    <xdr:to>
      <xdr:col>29</xdr:col>
      <xdr:colOff>168450</xdr:colOff>
      <xdr:row>116</xdr:row>
      <xdr:rowOff>132842</xdr:rowOff>
    </xdr:to>
    <xdr:cxnSp macro="">
      <xdr:nvCxnSpPr>
        <xdr:cNvPr id="519" name="直線矢印コネクタ 518">
          <a:extLst>
            <a:ext uri="{FF2B5EF4-FFF2-40B4-BE49-F238E27FC236}">
              <a16:creationId xmlns:a16="http://schemas.microsoft.com/office/drawing/2014/main" id="{711DD76F-BCD2-4508-9DCE-C9573066CE0A}"/>
            </a:ext>
          </a:extLst>
        </xdr:cNvPr>
        <xdr:cNvCxnSpPr/>
      </xdr:nvCxnSpPr>
      <xdr:spPr>
        <a:xfrm>
          <a:off x="6728794" y="31022417"/>
          <a:ext cx="0" cy="47148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168450</xdr:colOff>
      <xdr:row>116</xdr:row>
      <xdr:rowOff>121892</xdr:rowOff>
    </xdr:from>
    <xdr:to>
      <xdr:col>29</xdr:col>
      <xdr:colOff>168450</xdr:colOff>
      <xdr:row>123</xdr:row>
      <xdr:rowOff>233806</xdr:rowOff>
    </xdr:to>
    <xdr:cxnSp macro="">
      <xdr:nvCxnSpPr>
        <xdr:cNvPr id="539" name="直線矢印コネクタ 538">
          <a:extLst>
            <a:ext uri="{FF2B5EF4-FFF2-40B4-BE49-F238E27FC236}">
              <a16:creationId xmlns:a16="http://schemas.microsoft.com/office/drawing/2014/main" id="{4FE93F03-CCD2-4CE2-9358-C10E8779DCCB}"/>
            </a:ext>
          </a:extLst>
        </xdr:cNvPr>
        <xdr:cNvCxnSpPr/>
      </xdr:nvCxnSpPr>
      <xdr:spPr>
        <a:xfrm>
          <a:off x="6667862" y="27598716"/>
          <a:ext cx="0" cy="175917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173579</xdr:colOff>
      <xdr:row>124</xdr:row>
      <xdr:rowOff>260</xdr:rowOff>
    </xdr:from>
    <xdr:to>
      <xdr:col>29</xdr:col>
      <xdr:colOff>173579</xdr:colOff>
      <xdr:row>126</xdr:row>
      <xdr:rowOff>68977</xdr:rowOff>
    </xdr:to>
    <xdr:cxnSp macro="">
      <xdr:nvCxnSpPr>
        <xdr:cNvPr id="543" name="直線矢印コネクタ 542">
          <a:extLst>
            <a:ext uri="{FF2B5EF4-FFF2-40B4-BE49-F238E27FC236}">
              <a16:creationId xmlns:a16="http://schemas.microsoft.com/office/drawing/2014/main" id="{96DFD2AF-2B8E-43E5-AB61-5023B4768DCD}"/>
            </a:ext>
          </a:extLst>
        </xdr:cNvPr>
        <xdr:cNvCxnSpPr/>
      </xdr:nvCxnSpPr>
      <xdr:spPr>
        <a:xfrm>
          <a:off x="6733923" y="33266323"/>
          <a:ext cx="0" cy="54496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46475</xdr:colOff>
      <xdr:row>124</xdr:row>
      <xdr:rowOff>5127</xdr:rowOff>
    </xdr:from>
    <xdr:to>
      <xdr:col>20</xdr:col>
      <xdr:colOff>46475</xdr:colOff>
      <xdr:row>127</xdr:row>
      <xdr:rowOff>1188</xdr:rowOff>
    </xdr:to>
    <xdr:cxnSp macro="">
      <xdr:nvCxnSpPr>
        <xdr:cNvPr id="544" name="直線矢印コネクタ 543">
          <a:extLst>
            <a:ext uri="{FF2B5EF4-FFF2-40B4-BE49-F238E27FC236}">
              <a16:creationId xmlns:a16="http://schemas.microsoft.com/office/drawing/2014/main" id="{4AEDAAD3-C851-4FED-9EF2-112E1F69D551}"/>
            </a:ext>
          </a:extLst>
        </xdr:cNvPr>
        <xdr:cNvCxnSpPr/>
      </xdr:nvCxnSpPr>
      <xdr:spPr>
        <a:xfrm>
          <a:off x="4570850" y="33271190"/>
          <a:ext cx="0" cy="7104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18</xdr:col>
      <xdr:colOff>46685</xdr:colOff>
      <xdr:row>124</xdr:row>
      <xdr:rowOff>228965</xdr:rowOff>
    </xdr:from>
    <xdr:to>
      <xdr:col>20</xdr:col>
      <xdr:colOff>148329</xdr:colOff>
      <xdr:row>125</xdr:row>
      <xdr:rowOff>214677</xdr:rowOff>
    </xdr:to>
    <xdr:sp macro="" textlink="">
      <xdr:nvSpPr>
        <xdr:cNvPr id="545" name="テキスト ボックス 544">
          <a:extLst>
            <a:ext uri="{FF2B5EF4-FFF2-40B4-BE49-F238E27FC236}">
              <a16:creationId xmlns:a16="http://schemas.microsoft.com/office/drawing/2014/main" id="{63D705F1-D4CA-4C09-BC89-B538BF27C064}"/>
            </a:ext>
          </a:extLst>
        </xdr:cNvPr>
        <xdr:cNvSpPr txBox="1"/>
      </xdr:nvSpPr>
      <xdr:spPr>
        <a:xfrm>
          <a:off x="4080803" y="29588377"/>
          <a:ext cx="549879" cy="221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1.48m</a:t>
          </a:r>
          <a:endParaRPr kumimoji="1" lang="ja-JP" altLang="en-US" sz="1100">
            <a:solidFill>
              <a:sysClr val="windowText" lastClr="000000"/>
            </a:solidFill>
          </a:endParaRPr>
        </a:p>
      </xdr:txBody>
    </xdr:sp>
    <xdr:clientData/>
  </xdr:twoCellAnchor>
  <xdr:twoCellAnchor>
    <xdr:from>
      <xdr:col>24</xdr:col>
      <xdr:colOff>33455</xdr:colOff>
      <xdr:row>114</xdr:row>
      <xdr:rowOff>136357</xdr:rowOff>
    </xdr:from>
    <xdr:to>
      <xdr:col>31</xdr:col>
      <xdr:colOff>8565</xdr:colOff>
      <xdr:row>114</xdr:row>
      <xdr:rowOff>136357</xdr:rowOff>
    </xdr:to>
    <xdr:cxnSp macro="">
      <xdr:nvCxnSpPr>
        <xdr:cNvPr id="546" name="直線コネクタ 545">
          <a:extLst>
            <a:ext uri="{FF2B5EF4-FFF2-40B4-BE49-F238E27FC236}">
              <a16:creationId xmlns:a16="http://schemas.microsoft.com/office/drawing/2014/main" id="{761094E1-1A57-483B-9F4D-E600BADA3983}"/>
            </a:ext>
          </a:extLst>
        </xdr:cNvPr>
        <xdr:cNvCxnSpPr/>
      </xdr:nvCxnSpPr>
      <xdr:spPr>
        <a:xfrm>
          <a:off x="5462705" y="31021170"/>
          <a:ext cx="155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35452</xdr:colOff>
      <xdr:row>114</xdr:row>
      <xdr:rowOff>136261</xdr:rowOff>
    </xdr:from>
    <xdr:to>
      <xdr:col>24</xdr:col>
      <xdr:colOff>35452</xdr:colOff>
      <xdr:row>127</xdr:row>
      <xdr:rowOff>2842</xdr:rowOff>
    </xdr:to>
    <xdr:cxnSp macro="">
      <xdr:nvCxnSpPr>
        <xdr:cNvPr id="548" name="直線コネクタ 547">
          <a:extLst>
            <a:ext uri="{FF2B5EF4-FFF2-40B4-BE49-F238E27FC236}">
              <a16:creationId xmlns:a16="http://schemas.microsoft.com/office/drawing/2014/main" id="{FE110153-1C6B-481D-B106-83999EBDEF18}"/>
            </a:ext>
          </a:extLst>
        </xdr:cNvPr>
        <xdr:cNvCxnSpPr/>
      </xdr:nvCxnSpPr>
      <xdr:spPr>
        <a:xfrm>
          <a:off x="5464702" y="31021074"/>
          <a:ext cx="0" cy="2962206"/>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220908</xdr:colOff>
      <xdr:row>116</xdr:row>
      <xdr:rowOff>118900</xdr:rowOff>
    </xdr:from>
    <xdr:to>
      <xdr:col>31</xdr:col>
      <xdr:colOff>5390</xdr:colOff>
      <xdr:row>116</xdr:row>
      <xdr:rowOff>118900</xdr:rowOff>
    </xdr:to>
    <xdr:cxnSp macro="">
      <xdr:nvCxnSpPr>
        <xdr:cNvPr id="551" name="直線コネクタ 550">
          <a:extLst>
            <a:ext uri="{FF2B5EF4-FFF2-40B4-BE49-F238E27FC236}">
              <a16:creationId xmlns:a16="http://schemas.microsoft.com/office/drawing/2014/main" id="{BA0D8F05-3E81-41EA-A4A6-520A6D184FFA}"/>
            </a:ext>
          </a:extLst>
        </xdr:cNvPr>
        <xdr:cNvCxnSpPr/>
      </xdr:nvCxnSpPr>
      <xdr:spPr>
        <a:xfrm>
          <a:off x="6328814" y="31479963"/>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27348</xdr:colOff>
      <xdr:row>125</xdr:row>
      <xdr:rowOff>188228</xdr:rowOff>
    </xdr:from>
    <xdr:to>
      <xdr:col>34</xdr:col>
      <xdr:colOff>81522</xdr:colOff>
      <xdr:row>126</xdr:row>
      <xdr:rowOff>190779</xdr:rowOff>
    </xdr:to>
    <xdr:sp macro="" textlink="">
      <xdr:nvSpPr>
        <xdr:cNvPr id="552" name="テキスト ボックス 551">
          <a:extLst>
            <a:ext uri="{FF2B5EF4-FFF2-40B4-BE49-F238E27FC236}">
              <a16:creationId xmlns:a16="http://schemas.microsoft.com/office/drawing/2014/main" id="{57CC8312-4B88-4B73-9F3C-5161125387D4}"/>
            </a:ext>
          </a:extLst>
        </xdr:cNvPr>
        <xdr:cNvSpPr txBox="1"/>
      </xdr:nvSpPr>
      <xdr:spPr>
        <a:xfrm>
          <a:off x="6813911" y="33692416"/>
          <a:ext cx="959049" cy="240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0.06m</a:t>
          </a:r>
          <a:endParaRPr kumimoji="1" lang="ja-JP" altLang="en-US" sz="1100"/>
        </a:p>
      </xdr:txBody>
    </xdr:sp>
    <xdr:clientData/>
  </xdr:twoCellAnchor>
  <xdr:twoCellAnchor>
    <xdr:from>
      <xdr:col>19</xdr:col>
      <xdr:colOff>166167</xdr:colOff>
      <xdr:row>116</xdr:row>
      <xdr:rowOff>25548</xdr:rowOff>
    </xdr:from>
    <xdr:to>
      <xdr:col>23</xdr:col>
      <xdr:colOff>35614</xdr:colOff>
      <xdr:row>116</xdr:row>
      <xdr:rowOff>25548</xdr:rowOff>
    </xdr:to>
    <xdr:cxnSp macro="">
      <xdr:nvCxnSpPr>
        <xdr:cNvPr id="553" name="直線コネクタ 552">
          <a:extLst>
            <a:ext uri="{FF2B5EF4-FFF2-40B4-BE49-F238E27FC236}">
              <a16:creationId xmlns:a16="http://schemas.microsoft.com/office/drawing/2014/main" id="{A9CE3FCE-4C9F-4141-B87A-3E270A735BFF}"/>
            </a:ext>
          </a:extLst>
        </xdr:cNvPr>
        <xdr:cNvCxnSpPr/>
      </xdr:nvCxnSpPr>
      <xdr:spPr>
        <a:xfrm>
          <a:off x="4464323" y="31386611"/>
          <a:ext cx="7743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156141</xdr:colOff>
      <xdr:row>116</xdr:row>
      <xdr:rowOff>174265</xdr:rowOff>
    </xdr:from>
    <xdr:to>
      <xdr:col>23</xdr:col>
      <xdr:colOff>23207</xdr:colOff>
      <xdr:row>116</xdr:row>
      <xdr:rowOff>174265</xdr:rowOff>
    </xdr:to>
    <xdr:cxnSp macro="">
      <xdr:nvCxnSpPr>
        <xdr:cNvPr id="555" name="直線コネクタ 554">
          <a:extLst>
            <a:ext uri="{FF2B5EF4-FFF2-40B4-BE49-F238E27FC236}">
              <a16:creationId xmlns:a16="http://schemas.microsoft.com/office/drawing/2014/main" id="{6AA91394-1B5F-4AE3-B3EA-CAEA07BD048B}"/>
            </a:ext>
          </a:extLst>
        </xdr:cNvPr>
        <xdr:cNvCxnSpPr/>
      </xdr:nvCxnSpPr>
      <xdr:spPr>
        <a:xfrm>
          <a:off x="4454297" y="31535328"/>
          <a:ext cx="7719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31228</xdr:colOff>
      <xdr:row>116</xdr:row>
      <xdr:rowOff>30444</xdr:rowOff>
    </xdr:from>
    <xdr:to>
      <xdr:col>23</xdr:col>
      <xdr:colOff>31228</xdr:colOff>
      <xdr:row>116</xdr:row>
      <xdr:rowOff>174650</xdr:rowOff>
    </xdr:to>
    <xdr:cxnSp macro="">
      <xdr:nvCxnSpPr>
        <xdr:cNvPr id="556" name="直線コネクタ 555">
          <a:extLst>
            <a:ext uri="{FF2B5EF4-FFF2-40B4-BE49-F238E27FC236}">
              <a16:creationId xmlns:a16="http://schemas.microsoft.com/office/drawing/2014/main" id="{11F57F30-8EC0-4316-A80B-1FF865DD2699}"/>
            </a:ext>
          </a:extLst>
        </xdr:cNvPr>
        <xdr:cNvCxnSpPr/>
      </xdr:nvCxnSpPr>
      <xdr:spPr>
        <a:xfrm>
          <a:off x="5234259" y="31391507"/>
          <a:ext cx="0" cy="144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51237</xdr:colOff>
      <xdr:row>116</xdr:row>
      <xdr:rowOff>20239</xdr:rowOff>
    </xdr:from>
    <xdr:to>
      <xdr:col>23</xdr:col>
      <xdr:colOff>51237</xdr:colOff>
      <xdr:row>116</xdr:row>
      <xdr:rowOff>188436</xdr:rowOff>
    </xdr:to>
    <xdr:cxnSp macro="">
      <xdr:nvCxnSpPr>
        <xdr:cNvPr id="557" name="直線コネクタ 556">
          <a:extLst>
            <a:ext uri="{FF2B5EF4-FFF2-40B4-BE49-F238E27FC236}">
              <a16:creationId xmlns:a16="http://schemas.microsoft.com/office/drawing/2014/main" id="{AB374C22-01EB-4E42-9A80-EA2171B930E9}"/>
            </a:ext>
          </a:extLst>
        </xdr:cNvPr>
        <xdr:cNvCxnSpPr/>
      </xdr:nvCxnSpPr>
      <xdr:spPr>
        <a:xfrm>
          <a:off x="5254268" y="31381302"/>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181642</xdr:colOff>
      <xdr:row>116</xdr:row>
      <xdr:rowOff>20239</xdr:rowOff>
    </xdr:from>
    <xdr:to>
      <xdr:col>23</xdr:col>
      <xdr:colOff>181642</xdr:colOff>
      <xdr:row>116</xdr:row>
      <xdr:rowOff>188436</xdr:rowOff>
    </xdr:to>
    <xdr:cxnSp macro="">
      <xdr:nvCxnSpPr>
        <xdr:cNvPr id="558" name="直線コネクタ 557">
          <a:extLst>
            <a:ext uri="{FF2B5EF4-FFF2-40B4-BE49-F238E27FC236}">
              <a16:creationId xmlns:a16="http://schemas.microsoft.com/office/drawing/2014/main" id="{D04530DE-990E-4756-BB51-E7006F98F080}"/>
            </a:ext>
          </a:extLst>
        </xdr:cNvPr>
        <xdr:cNvCxnSpPr/>
      </xdr:nvCxnSpPr>
      <xdr:spPr>
        <a:xfrm>
          <a:off x="5384673" y="31381302"/>
          <a:ext cx="0" cy="16819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50167</xdr:colOff>
      <xdr:row>116</xdr:row>
      <xdr:rowOff>120727</xdr:rowOff>
    </xdr:from>
    <xdr:to>
      <xdr:col>23</xdr:col>
      <xdr:colOff>177171</xdr:colOff>
      <xdr:row>116</xdr:row>
      <xdr:rowOff>120727</xdr:rowOff>
    </xdr:to>
    <xdr:cxnSp macro="">
      <xdr:nvCxnSpPr>
        <xdr:cNvPr id="559" name="直線コネクタ 558">
          <a:extLst>
            <a:ext uri="{FF2B5EF4-FFF2-40B4-BE49-F238E27FC236}">
              <a16:creationId xmlns:a16="http://schemas.microsoft.com/office/drawing/2014/main" id="{2F3A4BA4-E55C-44B5-B3AC-527E2D6AF9F3}"/>
            </a:ext>
          </a:extLst>
        </xdr:cNvPr>
        <xdr:cNvCxnSpPr/>
      </xdr:nvCxnSpPr>
      <xdr:spPr>
        <a:xfrm>
          <a:off x="5253198" y="31481790"/>
          <a:ext cx="1270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176214</xdr:colOff>
      <xdr:row>124</xdr:row>
      <xdr:rowOff>5673</xdr:rowOff>
    </xdr:from>
    <xdr:to>
      <xdr:col>24</xdr:col>
      <xdr:colOff>15312</xdr:colOff>
      <xdr:row>124</xdr:row>
      <xdr:rowOff>5673</xdr:rowOff>
    </xdr:to>
    <xdr:cxnSp macro="">
      <xdr:nvCxnSpPr>
        <xdr:cNvPr id="560" name="直線コネクタ 559">
          <a:extLst>
            <a:ext uri="{FF2B5EF4-FFF2-40B4-BE49-F238E27FC236}">
              <a16:creationId xmlns:a16="http://schemas.microsoft.com/office/drawing/2014/main" id="{C5426DBC-8366-42EE-8CEB-13A8C10AA665}"/>
            </a:ext>
          </a:extLst>
        </xdr:cNvPr>
        <xdr:cNvCxnSpPr/>
      </xdr:nvCxnSpPr>
      <xdr:spPr>
        <a:xfrm>
          <a:off x="4248152" y="33271736"/>
          <a:ext cx="11964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78305</xdr:colOff>
      <xdr:row>124</xdr:row>
      <xdr:rowOff>8768</xdr:rowOff>
    </xdr:from>
    <xdr:to>
      <xdr:col>21</xdr:col>
      <xdr:colOff>168984</xdr:colOff>
      <xdr:row>124</xdr:row>
      <xdr:rowOff>81895</xdr:rowOff>
    </xdr:to>
    <xdr:cxnSp macro="">
      <xdr:nvCxnSpPr>
        <xdr:cNvPr id="561" name="直線コネクタ 560">
          <a:extLst>
            <a:ext uri="{FF2B5EF4-FFF2-40B4-BE49-F238E27FC236}">
              <a16:creationId xmlns:a16="http://schemas.microsoft.com/office/drawing/2014/main" id="{D19E2F26-7AD8-4B6B-A43C-47FE09D661DE}"/>
            </a:ext>
          </a:extLst>
        </xdr:cNvPr>
        <xdr:cNvCxnSpPr/>
      </xdr:nvCxnSpPr>
      <xdr:spPr>
        <a:xfrm>
          <a:off x="4828899" y="33274831"/>
          <a:ext cx="90679" cy="731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33548</xdr:colOff>
      <xdr:row>124</xdr:row>
      <xdr:rowOff>7209</xdr:rowOff>
    </xdr:from>
    <xdr:to>
      <xdr:col>21</xdr:col>
      <xdr:colOff>128871</xdr:colOff>
      <xdr:row>124</xdr:row>
      <xdr:rowOff>83739</xdr:rowOff>
    </xdr:to>
    <xdr:cxnSp macro="">
      <xdr:nvCxnSpPr>
        <xdr:cNvPr id="562" name="直線コネクタ 561">
          <a:extLst>
            <a:ext uri="{FF2B5EF4-FFF2-40B4-BE49-F238E27FC236}">
              <a16:creationId xmlns:a16="http://schemas.microsoft.com/office/drawing/2014/main" id="{9B9A639E-C427-4E28-A51C-F81EBC7CE683}"/>
            </a:ext>
          </a:extLst>
        </xdr:cNvPr>
        <xdr:cNvCxnSpPr/>
      </xdr:nvCxnSpPr>
      <xdr:spPr>
        <a:xfrm>
          <a:off x="4784142" y="33273272"/>
          <a:ext cx="95323" cy="765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34463</xdr:colOff>
      <xdr:row>124</xdr:row>
      <xdr:rowOff>37927</xdr:rowOff>
    </xdr:from>
    <xdr:to>
      <xdr:col>21</xdr:col>
      <xdr:colOff>69908</xdr:colOff>
      <xdr:row>124</xdr:row>
      <xdr:rowOff>65850</xdr:rowOff>
    </xdr:to>
    <xdr:cxnSp macro="">
      <xdr:nvCxnSpPr>
        <xdr:cNvPr id="563" name="直線コネクタ 562">
          <a:extLst>
            <a:ext uri="{FF2B5EF4-FFF2-40B4-BE49-F238E27FC236}">
              <a16:creationId xmlns:a16="http://schemas.microsoft.com/office/drawing/2014/main" id="{830E5114-0848-4277-9A44-D15012D03691}"/>
            </a:ext>
          </a:extLst>
        </xdr:cNvPr>
        <xdr:cNvCxnSpPr/>
      </xdr:nvCxnSpPr>
      <xdr:spPr>
        <a:xfrm flipH="1">
          <a:off x="4785057" y="33303990"/>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58536</xdr:colOff>
      <xdr:row>124</xdr:row>
      <xdr:rowOff>59126</xdr:rowOff>
    </xdr:from>
    <xdr:to>
      <xdr:col>21</xdr:col>
      <xdr:colOff>89014</xdr:colOff>
      <xdr:row>124</xdr:row>
      <xdr:rowOff>83049</xdr:rowOff>
    </xdr:to>
    <xdr:cxnSp macro="">
      <xdr:nvCxnSpPr>
        <xdr:cNvPr id="564" name="直線コネクタ 563">
          <a:extLst>
            <a:ext uri="{FF2B5EF4-FFF2-40B4-BE49-F238E27FC236}">
              <a16:creationId xmlns:a16="http://schemas.microsoft.com/office/drawing/2014/main" id="{7E2C427F-FCC8-47C7-8B65-854EA0034D21}"/>
            </a:ext>
          </a:extLst>
        </xdr:cNvPr>
        <xdr:cNvCxnSpPr/>
      </xdr:nvCxnSpPr>
      <xdr:spPr>
        <a:xfrm flipH="1">
          <a:off x="4809130" y="33325189"/>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170873</xdr:colOff>
      <xdr:row>124</xdr:row>
      <xdr:rowOff>13235</xdr:rowOff>
    </xdr:from>
    <xdr:to>
      <xdr:col>21</xdr:col>
      <xdr:colOff>25435</xdr:colOff>
      <xdr:row>124</xdr:row>
      <xdr:rowOff>87290</xdr:rowOff>
    </xdr:to>
    <xdr:cxnSp macro="">
      <xdr:nvCxnSpPr>
        <xdr:cNvPr id="565" name="直線コネクタ 564">
          <a:extLst>
            <a:ext uri="{FF2B5EF4-FFF2-40B4-BE49-F238E27FC236}">
              <a16:creationId xmlns:a16="http://schemas.microsoft.com/office/drawing/2014/main" id="{BBEAC87B-D293-4827-9401-BC65894B6B2A}"/>
            </a:ext>
          </a:extLst>
        </xdr:cNvPr>
        <xdr:cNvCxnSpPr/>
      </xdr:nvCxnSpPr>
      <xdr:spPr>
        <a:xfrm>
          <a:off x="4695248" y="33279298"/>
          <a:ext cx="80781" cy="740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133026</xdr:colOff>
      <xdr:row>124</xdr:row>
      <xdr:rowOff>15079</xdr:rowOff>
    </xdr:from>
    <xdr:to>
      <xdr:col>20</xdr:col>
      <xdr:colOff>217723</xdr:colOff>
      <xdr:row>124</xdr:row>
      <xdr:rowOff>89134</xdr:rowOff>
    </xdr:to>
    <xdr:cxnSp macro="">
      <xdr:nvCxnSpPr>
        <xdr:cNvPr id="566" name="直線コネクタ 565">
          <a:extLst>
            <a:ext uri="{FF2B5EF4-FFF2-40B4-BE49-F238E27FC236}">
              <a16:creationId xmlns:a16="http://schemas.microsoft.com/office/drawing/2014/main" id="{78FBD606-EE99-4C0F-886A-64AF4CFB65BD}"/>
            </a:ext>
          </a:extLst>
        </xdr:cNvPr>
        <xdr:cNvCxnSpPr/>
      </xdr:nvCxnSpPr>
      <xdr:spPr>
        <a:xfrm>
          <a:off x="4657401" y="33281142"/>
          <a:ext cx="84697" cy="740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133062</xdr:colOff>
      <xdr:row>124</xdr:row>
      <xdr:rowOff>42995</xdr:rowOff>
    </xdr:from>
    <xdr:to>
      <xdr:col>20</xdr:col>
      <xdr:colOff>158685</xdr:colOff>
      <xdr:row>124</xdr:row>
      <xdr:rowOff>73721</xdr:rowOff>
    </xdr:to>
    <xdr:cxnSp macro="">
      <xdr:nvCxnSpPr>
        <xdr:cNvPr id="567" name="直線コネクタ 566">
          <a:extLst>
            <a:ext uri="{FF2B5EF4-FFF2-40B4-BE49-F238E27FC236}">
              <a16:creationId xmlns:a16="http://schemas.microsoft.com/office/drawing/2014/main" id="{949EE03F-42C2-4E02-BAD0-AD05345DBE8C}"/>
            </a:ext>
          </a:extLst>
        </xdr:cNvPr>
        <xdr:cNvCxnSpPr/>
      </xdr:nvCxnSpPr>
      <xdr:spPr>
        <a:xfrm flipH="1">
          <a:off x="4657437" y="33309058"/>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153346</xdr:colOff>
      <xdr:row>124</xdr:row>
      <xdr:rowOff>60192</xdr:rowOff>
    </xdr:from>
    <xdr:to>
      <xdr:col>20</xdr:col>
      <xdr:colOff>174601</xdr:colOff>
      <xdr:row>124</xdr:row>
      <xdr:rowOff>88444</xdr:rowOff>
    </xdr:to>
    <xdr:cxnSp macro="">
      <xdr:nvCxnSpPr>
        <xdr:cNvPr id="568" name="直線コネクタ 567">
          <a:extLst>
            <a:ext uri="{FF2B5EF4-FFF2-40B4-BE49-F238E27FC236}">
              <a16:creationId xmlns:a16="http://schemas.microsoft.com/office/drawing/2014/main" id="{BD9A6FFF-FE6A-4306-B2AA-CFC78A433B2F}"/>
            </a:ext>
          </a:extLst>
        </xdr:cNvPr>
        <xdr:cNvCxnSpPr/>
      </xdr:nvCxnSpPr>
      <xdr:spPr>
        <a:xfrm flipH="1">
          <a:off x="4677721" y="33326255"/>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27875</xdr:colOff>
      <xdr:row>126</xdr:row>
      <xdr:rowOff>63017</xdr:rowOff>
    </xdr:from>
    <xdr:to>
      <xdr:col>30</xdr:col>
      <xdr:colOff>74801</xdr:colOff>
      <xdr:row>126</xdr:row>
      <xdr:rowOff>63017</xdr:rowOff>
    </xdr:to>
    <xdr:cxnSp macro="">
      <xdr:nvCxnSpPr>
        <xdr:cNvPr id="569" name="直線コネクタ 568">
          <a:extLst>
            <a:ext uri="{FF2B5EF4-FFF2-40B4-BE49-F238E27FC236}">
              <a16:creationId xmlns:a16="http://schemas.microsoft.com/office/drawing/2014/main" id="{8BE77080-8970-4A60-8202-902606765ECA}"/>
            </a:ext>
          </a:extLst>
        </xdr:cNvPr>
        <xdr:cNvCxnSpPr/>
      </xdr:nvCxnSpPr>
      <xdr:spPr>
        <a:xfrm>
          <a:off x="6362000" y="33805330"/>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16669</xdr:colOff>
      <xdr:row>124</xdr:row>
      <xdr:rowOff>5913</xdr:rowOff>
    </xdr:from>
    <xdr:to>
      <xdr:col>30</xdr:col>
      <xdr:colOff>191599</xdr:colOff>
      <xdr:row>124</xdr:row>
      <xdr:rowOff>5913</xdr:rowOff>
    </xdr:to>
    <xdr:cxnSp macro="">
      <xdr:nvCxnSpPr>
        <xdr:cNvPr id="570" name="直線コネクタ 569">
          <a:extLst>
            <a:ext uri="{FF2B5EF4-FFF2-40B4-BE49-F238E27FC236}">
              <a16:creationId xmlns:a16="http://schemas.microsoft.com/office/drawing/2014/main" id="{D92EF9D0-5053-4685-BA60-C79490585084}"/>
            </a:ext>
          </a:extLst>
        </xdr:cNvPr>
        <xdr:cNvCxnSpPr/>
      </xdr:nvCxnSpPr>
      <xdr:spPr>
        <a:xfrm>
          <a:off x="6350794" y="33271976"/>
          <a:ext cx="62736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170025</xdr:colOff>
      <xdr:row>121</xdr:row>
      <xdr:rowOff>184651</xdr:rowOff>
    </xdr:from>
    <xdr:to>
      <xdr:col>23</xdr:col>
      <xdr:colOff>43441</xdr:colOff>
      <xdr:row>121</xdr:row>
      <xdr:rowOff>184651</xdr:rowOff>
    </xdr:to>
    <xdr:cxnSp macro="">
      <xdr:nvCxnSpPr>
        <xdr:cNvPr id="571" name="直線コネクタ 570">
          <a:extLst>
            <a:ext uri="{FF2B5EF4-FFF2-40B4-BE49-F238E27FC236}">
              <a16:creationId xmlns:a16="http://schemas.microsoft.com/office/drawing/2014/main" id="{F1D9BCCE-2A52-4347-979E-D85DAE24D65F}"/>
            </a:ext>
          </a:extLst>
        </xdr:cNvPr>
        <xdr:cNvCxnSpPr/>
      </xdr:nvCxnSpPr>
      <xdr:spPr>
        <a:xfrm>
          <a:off x="4468181" y="32736339"/>
          <a:ext cx="77829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19</xdr:col>
      <xdr:colOff>166349</xdr:colOff>
      <xdr:row>122</xdr:row>
      <xdr:rowOff>102208</xdr:rowOff>
    </xdr:from>
    <xdr:to>
      <xdr:col>23</xdr:col>
      <xdr:colOff>33415</xdr:colOff>
      <xdr:row>122</xdr:row>
      <xdr:rowOff>102208</xdr:rowOff>
    </xdr:to>
    <xdr:cxnSp macro="">
      <xdr:nvCxnSpPr>
        <xdr:cNvPr id="572" name="直線コネクタ 571">
          <a:extLst>
            <a:ext uri="{FF2B5EF4-FFF2-40B4-BE49-F238E27FC236}">
              <a16:creationId xmlns:a16="http://schemas.microsoft.com/office/drawing/2014/main" id="{812CA30C-773E-4820-94EB-9BEBD5FDC550}"/>
            </a:ext>
          </a:extLst>
        </xdr:cNvPr>
        <xdr:cNvCxnSpPr/>
      </xdr:nvCxnSpPr>
      <xdr:spPr>
        <a:xfrm>
          <a:off x="4464505" y="32892021"/>
          <a:ext cx="771941"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41436</xdr:colOff>
      <xdr:row>121</xdr:row>
      <xdr:rowOff>189547</xdr:rowOff>
    </xdr:from>
    <xdr:to>
      <xdr:col>23</xdr:col>
      <xdr:colOff>41436</xdr:colOff>
      <xdr:row>122</xdr:row>
      <xdr:rowOff>102593</xdr:rowOff>
    </xdr:to>
    <xdr:cxnSp macro="">
      <xdr:nvCxnSpPr>
        <xdr:cNvPr id="573" name="直線コネクタ 572">
          <a:extLst>
            <a:ext uri="{FF2B5EF4-FFF2-40B4-BE49-F238E27FC236}">
              <a16:creationId xmlns:a16="http://schemas.microsoft.com/office/drawing/2014/main" id="{843D3939-F895-41BF-8864-F5C8E93A56DE}"/>
            </a:ext>
          </a:extLst>
        </xdr:cNvPr>
        <xdr:cNvCxnSpPr/>
      </xdr:nvCxnSpPr>
      <xdr:spPr>
        <a:xfrm>
          <a:off x="5244467" y="32741235"/>
          <a:ext cx="0" cy="151171"/>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61445</xdr:colOff>
      <xdr:row>121</xdr:row>
      <xdr:rowOff>179342</xdr:rowOff>
    </xdr:from>
    <xdr:to>
      <xdr:col>23</xdr:col>
      <xdr:colOff>61445</xdr:colOff>
      <xdr:row>122</xdr:row>
      <xdr:rowOff>116379</xdr:rowOff>
    </xdr:to>
    <xdr:cxnSp macro="">
      <xdr:nvCxnSpPr>
        <xdr:cNvPr id="574" name="直線コネクタ 573">
          <a:extLst>
            <a:ext uri="{FF2B5EF4-FFF2-40B4-BE49-F238E27FC236}">
              <a16:creationId xmlns:a16="http://schemas.microsoft.com/office/drawing/2014/main" id="{C4BD6DE0-67EA-4D9C-9D85-A58DB3630C65}"/>
            </a:ext>
          </a:extLst>
        </xdr:cNvPr>
        <xdr:cNvCxnSpPr/>
      </xdr:nvCxnSpPr>
      <xdr:spPr>
        <a:xfrm>
          <a:off x="5264476" y="32731030"/>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191850</xdr:colOff>
      <xdr:row>121</xdr:row>
      <xdr:rowOff>179342</xdr:rowOff>
    </xdr:from>
    <xdr:to>
      <xdr:col>23</xdr:col>
      <xdr:colOff>191850</xdr:colOff>
      <xdr:row>122</xdr:row>
      <xdr:rowOff>116379</xdr:rowOff>
    </xdr:to>
    <xdr:cxnSp macro="">
      <xdr:nvCxnSpPr>
        <xdr:cNvPr id="575" name="直線コネクタ 574">
          <a:extLst>
            <a:ext uri="{FF2B5EF4-FFF2-40B4-BE49-F238E27FC236}">
              <a16:creationId xmlns:a16="http://schemas.microsoft.com/office/drawing/2014/main" id="{00284563-D08D-41F2-B987-CD31564E8134}"/>
            </a:ext>
          </a:extLst>
        </xdr:cNvPr>
        <xdr:cNvCxnSpPr/>
      </xdr:nvCxnSpPr>
      <xdr:spPr>
        <a:xfrm>
          <a:off x="5394881" y="32731030"/>
          <a:ext cx="0" cy="175162"/>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60375</xdr:colOff>
      <xdr:row>122</xdr:row>
      <xdr:rowOff>33702</xdr:rowOff>
    </xdr:from>
    <xdr:to>
      <xdr:col>23</xdr:col>
      <xdr:colOff>187379</xdr:colOff>
      <xdr:row>122</xdr:row>
      <xdr:rowOff>33702</xdr:rowOff>
    </xdr:to>
    <xdr:cxnSp macro="">
      <xdr:nvCxnSpPr>
        <xdr:cNvPr id="128" name="直線コネクタ 127">
          <a:extLst>
            <a:ext uri="{FF2B5EF4-FFF2-40B4-BE49-F238E27FC236}">
              <a16:creationId xmlns:a16="http://schemas.microsoft.com/office/drawing/2014/main" id="{0AF87770-3A4A-4DAC-882A-406752D5C5EC}"/>
            </a:ext>
          </a:extLst>
        </xdr:cNvPr>
        <xdr:cNvCxnSpPr/>
      </xdr:nvCxnSpPr>
      <xdr:spPr>
        <a:xfrm>
          <a:off x="5263406" y="32823515"/>
          <a:ext cx="127004" cy="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20</xdr:col>
      <xdr:colOff>114462</xdr:colOff>
      <xdr:row>124</xdr:row>
      <xdr:rowOff>189151</xdr:rowOff>
    </xdr:from>
    <xdr:to>
      <xdr:col>22</xdr:col>
      <xdr:colOff>216105</xdr:colOff>
      <xdr:row>125</xdr:row>
      <xdr:rowOff>174862</xdr:rowOff>
    </xdr:to>
    <xdr:sp macro="" textlink="">
      <xdr:nvSpPr>
        <xdr:cNvPr id="129" name="テキスト ボックス 128">
          <a:extLst>
            <a:ext uri="{FF2B5EF4-FFF2-40B4-BE49-F238E27FC236}">
              <a16:creationId xmlns:a16="http://schemas.microsoft.com/office/drawing/2014/main" id="{3CA888D0-6D92-407E-BD2E-FAA197043D6D}"/>
            </a:ext>
          </a:extLst>
        </xdr:cNvPr>
        <xdr:cNvSpPr txBox="1"/>
      </xdr:nvSpPr>
      <xdr:spPr>
        <a:xfrm>
          <a:off x="4596815" y="29548563"/>
          <a:ext cx="549878" cy="221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1.26m</a:t>
          </a:r>
          <a:endParaRPr kumimoji="1" lang="ja-JP" altLang="en-US" sz="1100">
            <a:solidFill>
              <a:sysClr val="windowText" lastClr="000000"/>
            </a:solidFill>
          </a:endParaRPr>
        </a:p>
      </xdr:txBody>
    </xdr:sp>
    <xdr:clientData/>
  </xdr:twoCellAnchor>
  <xdr:twoCellAnchor>
    <xdr:from>
      <xdr:col>22</xdr:col>
      <xdr:colOff>141508</xdr:colOff>
      <xdr:row>115</xdr:row>
      <xdr:rowOff>5655</xdr:rowOff>
    </xdr:from>
    <xdr:to>
      <xdr:col>24</xdr:col>
      <xdr:colOff>191947</xdr:colOff>
      <xdr:row>116</xdr:row>
      <xdr:rowOff>809</xdr:rowOff>
    </xdr:to>
    <xdr:sp macro="" textlink="">
      <xdr:nvSpPr>
        <xdr:cNvPr id="130" name="テキスト ボックス 129">
          <a:extLst>
            <a:ext uri="{FF2B5EF4-FFF2-40B4-BE49-F238E27FC236}">
              <a16:creationId xmlns:a16="http://schemas.microsoft.com/office/drawing/2014/main" id="{0B10770B-32CE-45AE-916F-278188CD5550}"/>
            </a:ext>
          </a:extLst>
        </xdr:cNvPr>
        <xdr:cNvSpPr txBox="1"/>
      </xdr:nvSpPr>
      <xdr:spPr>
        <a:xfrm>
          <a:off x="5118321" y="31128593"/>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22</xdr:col>
      <xdr:colOff>181849</xdr:colOff>
      <xdr:row>125</xdr:row>
      <xdr:rowOff>12380</xdr:rowOff>
    </xdr:from>
    <xdr:to>
      <xdr:col>25</xdr:col>
      <xdr:colOff>6069</xdr:colOff>
      <xdr:row>126</xdr:row>
      <xdr:rowOff>7534</xdr:rowOff>
    </xdr:to>
    <xdr:sp macro="" textlink="">
      <xdr:nvSpPr>
        <xdr:cNvPr id="131" name="テキスト ボックス 130">
          <a:extLst>
            <a:ext uri="{FF2B5EF4-FFF2-40B4-BE49-F238E27FC236}">
              <a16:creationId xmlns:a16="http://schemas.microsoft.com/office/drawing/2014/main" id="{A1A3714B-B5FE-419C-B974-8E9175CEFBAC}"/>
            </a:ext>
          </a:extLst>
        </xdr:cNvPr>
        <xdr:cNvSpPr txBox="1"/>
      </xdr:nvSpPr>
      <xdr:spPr>
        <a:xfrm>
          <a:off x="5158662" y="33516568"/>
          <a:ext cx="502876"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21</xdr:col>
      <xdr:colOff>211934</xdr:colOff>
      <xdr:row>126</xdr:row>
      <xdr:rowOff>112840</xdr:rowOff>
    </xdr:from>
    <xdr:to>
      <xdr:col>23</xdr:col>
      <xdr:colOff>147631</xdr:colOff>
      <xdr:row>126</xdr:row>
      <xdr:rowOff>112840</xdr:rowOff>
    </xdr:to>
    <xdr:cxnSp macro="">
      <xdr:nvCxnSpPr>
        <xdr:cNvPr id="132" name="直線コネクタ 131">
          <a:extLst>
            <a:ext uri="{FF2B5EF4-FFF2-40B4-BE49-F238E27FC236}">
              <a16:creationId xmlns:a16="http://schemas.microsoft.com/office/drawing/2014/main" id="{7F26D7EE-CE42-49C2-9223-1E7F8AA85A4E}"/>
            </a:ext>
          </a:extLst>
        </xdr:cNvPr>
        <xdr:cNvCxnSpPr/>
      </xdr:nvCxnSpPr>
      <xdr:spPr>
        <a:xfrm>
          <a:off x="4962528" y="33855153"/>
          <a:ext cx="38813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205447</xdr:colOff>
      <xdr:row>114</xdr:row>
      <xdr:rowOff>140993</xdr:rowOff>
    </xdr:from>
    <xdr:to>
      <xdr:col>28</xdr:col>
      <xdr:colOff>67526</xdr:colOff>
      <xdr:row>114</xdr:row>
      <xdr:rowOff>237932</xdr:rowOff>
    </xdr:to>
    <xdr:cxnSp macro="">
      <xdr:nvCxnSpPr>
        <xdr:cNvPr id="133" name="直線コネクタ 132">
          <a:extLst>
            <a:ext uri="{FF2B5EF4-FFF2-40B4-BE49-F238E27FC236}">
              <a16:creationId xmlns:a16="http://schemas.microsoft.com/office/drawing/2014/main" id="{2F4374CC-5ABF-474B-B9E2-0CF1812576A5}"/>
            </a:ext>
          </a:extLst>
        </xdr:cNvPr>
        <xdr:cNvCxnSpPr/>
      </xdr:nvCxnSpPr>
      <xdr:spPr>
        <a:xfrm>
          <a:off x="6313353" y="31025806"/>
          <a:ext cx="88298" cy="969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160690</xdr:colOff>
      <xdr:row>114</xdr:row>
      <xdr:rowOff>139434</xdr:rowOff>
    </xdr:from>
    <xdr:to>
      <xdr:col>28</xdr:col>
      <xdr:colOff>29794</xdr:colOff>
      <xdr:row>115</xdr:row>
      <xdr:rowOff>1651</xdr:rowOff>
    </xdr:to>
    <xdr:cxnSp macro="">
      <xdr:nvCxnSpPr>
        <xdr:cNvPr id="134" name="直線コネクタ 133">
          <a:extLst>
            <a:ext uri="{FF2B5EF4-FFF2-40B4-BE49-F238E27FC236}">
              <a16:creationId xmlns:a16="http://schemas.microsoft.com/office/drawing/2014/main" id="{A2A71EF0-68AE-4E4B-918B-AA10533E0C57}"/>
            </a:ext>
          </a:extLst>
        </xdr:cNvPr>
        <xdr:cNvCxnSpPr/>
      </xdr:nvCxnSpPr>
      <xdr:spPr>
        <a:xfrm>
          <a:off x="6268596" y="31024247"/>
          <a:ext cx="95323" cy="1003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161605</xdr:colOff>
      <xdr:row>114</xdr:row>
      <xdr:rowOff>193964</xdr:rowOff>
    </xdr:from>
    <xdr:to>
      <xdr:col>27</xdr:col>
      <xdr:colOff>197050</xdr:colOff>
      <xdr:row>114</xdr:row>
      <xdr:rowOff>221887</xdr:rowOff>
    </xdr:to>
    <xdr:cxnSp macro="">
      <xdr:nvCxnSpPr>
        <xdr:cNvPr id="135" name="直線コネクタ 134">
          <a:extLst>
            <a:ext uri="{FF2B5EF4-FFF2-40B4-BE49-F238E27FC236}">
              <a16:creationId xmlns:a16="http://schemas.microsoft.com/office/drawing/2014/main" id="{FC04F57E-4536-4B46-BE24-44056B5DF2FC}"/>
            </a:ext>
          </a:extLst>
        </xdr:cNvPr>
        <xdr:cNvCxnSpPr/>
      </xdr:nvCxnSpPr>
      <xdr:spPr>
        <a:xfrm flipH="1">
          <a:off x="6269511" y="31078777"/>
          <a:ext cx="35445" cy="27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185678</xdr:colOff>
      <xdr:row>114</xdr:row>
      <xdr:rowOff>215163</xdr:rowOff>
    </xdr:from>
    <xdr:to>
      <xdr:col>27</xdr:col>
      <xdr:colOff>216156</xdr:colOff>
      <xdr:row>115</xdr:row>
      <xdr:rowOff>961</xdr:rowOff>
    </xdr:to>
    <xdr:cxnSp macro="">
      <xdr:nvCxnSpPr>
        <xdr:cNvPr id="136" name="直線コネクタ 135">
          <a:extLst>
            <a:ext uri="{FF2B5EF4-FFF2-40B4-BE49-F238E27FC236}">
              <a16:creationId xmlns:a16="http://schemas.microsoft.com/office/drawing/2014/main" id="{17F4F9AF-2064-43FA-BF65-0DAEA1598A67}"/>
            </a:ext>
          </a:extLst>
        </xdr:cNvPr>
        <xdr:cNvCxnSpPr/>
      </xdr:nvCxnSpPr>
      <xdr:spPr>
        <a:xfrm flipH="1">
          <a:off x="6293584" y="31099976"/>
          <a:ext cx="3047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69415</xdr:colOff>
      <xdr:row>114</xdr:row>
      <xdr:rowOff>145460</xdr:rowOff>
    </xdr:from>
    <xdr:to>
      <xdr:col>27</xdr:col>
      <xdr:colOff>152577</xdr:colOff>
      <xdr:row>115</xdr:row>
      <xdr:rowOff>5202</xdr:rowOff>
    </xdr:to>
    <xdr:cxnSp macro="">
      <xdr:nvCxnSpPr>
        <xdr:cNvPr id="137" name="直線コネクタ 136">
          <a:extLst>
            <a:ext uri="{FF2B5EF4-FFF2-40B4-BE49-F238E27FC236}">
              <a16:creationId xmlns:a16="http://schemas.microsoft.com/office/drawing/2014/main" id="{52AE0DFF-EDFA-4C64-BD7E-C76F1ADC5E86}"/>
            </a:ext>
          </a:extLst>
        </xdr:cNvPr>
        <xdr:cNvCxnSpPr/>
      </xdr:nvCxnSpPr>
      <xdr:spPr>
        <a:xfrm>
          <a:off x="6177321" y="31030273"/>
          <a:ext cx="83162"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33949</xdr:colOff>
      <xdr:row>114</xdr:row>
      <xdr:rowOff>147304</xdr:rowOff>
    </xdr:from>
    <xdr:to>
      <xdr:col>27</xdr:col>
      <xdr:colOff>118646</xdr:colOff>
      <xdr:row>115</xdr:row>
      <xdr:rowOff>7046</xdr:rowOff>
    </xdr:to>
    <xdr:cxnSp macro="">
      <xdr:nvCxnSpPr>
        <xdr:cNvPr id="138" name="直線コネクタ 137">
          <a:extLst>
            <a:ext uri="{FF2B5EF4-FFF2-40B4-BE49-F238E27FC236}">
              <a16:creationId xmlns:a16="http://schemas.microsoft.com/office/drawing/2014/main" id="{6DFCAF43-BE4A-417F-809F-C27983427E49}"/>
            </a:ext>
          </a:extLst>
        </xdr:cNvPr>
        <xdr:cNvCxnSpPr/>
      </xdr:nvCxnSpPr>
      <xdr:spPr>
        <a:xfrm>
          <a:off x="6141855" y="31032117"/>
          <a:ext cx="84697" cy="978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33985</xdr:colOff>
      <xdr:row>114</xdr:row>
      <xdr:rowOff>199032</xdr:rowOff>
    </xdr:from>
    <xdr:to>
      <xdr:col>27</xdr:col>
      <xdr:colOff>57227</xdr:colOff>
      <xdr:row>114</xdr:row>
      <xdr:rowOff>229758</xdr:rowOff>
    </xdr:to>
    <xdr:cxnSp macro="">
      <xdr:nvCxnSpPr>
        <xdr:cNvPr id="139" name="直線コネクタ 138">
          <a:extLst>
            <a:ext uri="{FF2B5EF4-FFF2-40B4-BE49-F238E27FC236}">
              <a16:creationId xmlns:a16="http://schemas.microsoft.com/office/drawing/2014/main" id="{03E90714-DD64-424A-B456-049B01010F8E}"/>
            </a:ext>
          </a:extLst>
        </xdr:cNvPr>
        <xdr:cNvCxnSpPr/>
      </xdr:nvCxnSpPr>
      <xdr:spPr>
        <a:xfrm flipH="1">
          <a:off x="6141891" y="31083845"/>
          <a:ext cx="2324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51888</xdr:colOff>
      <xdr:row>114</xdr:row>
      <xdr:rowOff>216229</xdr:rowOff>
    </xdr:from>
    <xdr:to>
      <xdr:col>27</xdr:col>
      <xdr:colOff>73143</xdr:colOff>
      <xdr:row>115</xdr:row>
      <xdr:rowOff>6356</xdr:rowOff>
    </xdr:to>
    <xdr:cxnSp macro="">
      <xdr:nvCxnSpPr>
        <xdr:cNvPr id="141" name="直線コネクタ 140">
          <a:extLst>
            <a:ext uri="{FF2B5EF4-FFF2-40B4-BE49-F238E27FC236}">
              <a16:creationId xmlns:a16="http://schemas.microsoft.com/office/drawing/2014/main" id="{01CFAFE9-2799-4154-BEBF-12F8F6102115}"/>
            </a:ext>
          </a:extLst>
        </xdr:cNvPr>
        <xdr:cNvCxnSpPr/>
      </xdr:nvCxnSpPr>
      <xdr:spPr>
        <a:xfrm flipH="1">
          <a:off x="6159794" y="31101042"/>
          <a:ext cx="21255"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27875</xdr:colOff>
      <xdr:row>126</xdr:row>
      <xdr:rowOff>119046</xdr:rowOff>
    </xdr:from>
    <xdr:to>
      <xdr:col>30</xdr:col>
      <xdr:colOff>74801</xdr:colOff>
      <xdr:row>126</xdr:row>
      <xdr:rowOff>119046</xdr:rowOff>
    </xdr:to>
    <xdr:cxnSp macro="">
      <xdr:nvCxnSpPr>
        <xdr:cNvPr id="142" name="直線コネクタ 141">
          <a:extLst>
            <a:ext uri="{FF2B5EF4-FFF2-40B4-BE49-F238E27FC236}">
              <a16:creationId xmlns:a16="http://schemas.microsoft.com/office/drawing/2014/main" id="{CEC18881-ECA3-41CC-AB53-30BA85934209}"/>
            </a:ext>
          </a:extLst>
        </xdr:cNvPr>
        <xdr:cNvCxnSpPr/>
      </xdr:nvCxnSpPr>
      <xdr:spPr>
        <a:xfrm>
          <a:off x="6362000" y="33861359"/>
          <a:ext cx="49936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173579</xdr:colOff>
      <xdr:row>126</xdr:row>
      <xdr:rowOff>110918</xdr:rowOff>
    </xdr:from>
    <xdr:to>
      <xdr:col>29</xdr:col>
      <xdr:colOff>173579</xdr:colOff>
      <xdr:row>127</xdr:row>
      <xdr:rowOff>123543</xdr:rowOff>
    </xdr:to>
    <xdr:cxnSp macro="">
      <xdr:nvCxnSpPr>
        <xdr:cNvPr id="143" name="直線矢印コネクタ 142">
          <a:extLst>
            <a:ext uri="{FF2B5EF4-FFF2-40B4-BE49-F238E27FC236}">
              <a16:creationId xmlns:a16="http://schemas.microsoft.com/office/drawing/2014/main" id="{4DFA9DB8-ED47-40E2-88AF-C88D3AA1338F}"/>
            </a:ext>
          </a:extLst>
        </xdr:cNvPr>
        <xdr:cNvCxnSpPr/>
      </xdr:nvCxnSpPr>
      <xdr:spPr>
        <a:xfrm>
          <a:off x="6733923" y="33853231"/>
          <a:ext cx="0" cy="250750"/>
        </a:xfrm>
        <a:prstGeom prst="straightConnector1">
          <a:avLst/>
        </a:prstGeom>
        <a:ln>
          <a:headEnd type="triangle"/>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35312</xdr:colOff>
      <xdr:row>116</xdr:row>
      <xdr:rowOff>120449</xdr:rowOff>
    </xdr:from>
    <xdr:to>
      <xdr:col>26</xdr:col>
      <xdr:colOff>196055</xdr:colOff>
      <xdr:row>116</xdr:row>
      <xdr:rowOff>120449</xdr:rowOff>
    </xdr:to>
    <xdr:cxnSp macro="">
      <xdr:nvCxnSpPr>
        <xdr:cNvPr id="145" name="直線コネクタ 144">
          <a:extLst>
            <a:ext uri="{FF2B5EF4-FFF2-40B4-BE49-F238E27FC236}">
              <a16:creationId xmlns:a16="http://schemas.microsoft.com/office/drawing/2014/main" id="{9E26149F-CCB1-4E81-A3D8-62AC0ECF4527}"/>
            </a:ext>
          </a:extLst>
        </xdr:cNvPr>
        <xdr:cNvCxnSpPr/>
      </xdr:nvCxnSpPr>
      <xdr:spPr>
        <a:xfrm>
          <a:off x="5464562" y="31481512"/>
          <a:ext cx="61318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183229</xdr:colOff>
      <xdr:row>116</xdr:row>
      <xdr:rowOff>116681</xdr:rowOff>
    </xdr:from>
    <xdr:to>
      <xdr:col>26</xdr:col>
      <xdr:colOff>183229</xdr:colOff>
      <xdr:row>118</xdr:row>
      <xdr:rowOff>190499</xdr:rowOff>
    </xdr:to>
    <xdr:cxnSp macro="">
      <xdr:nvCxnSpPr>
        <xdr:cNvPr id="146" name="直線コネクタ 145">
          <a:extLst>
            <a:ext uri="{FF2B5EF4-FFF2-40B4-BE49-F238E27FC236}">
              <a16:creationId xmlns:a16="http://schemas.microsoft.com/office/drawing/2014/main" id="{4D100110-F643-4AC4-B1F1-D9EF82016452}"/>
            </a:ext>
          </a:extLst>
        </xdr:cNvPr>
        <xdr:cNvCxnSpPr/>
      </xdr:nvCxnSpPr>
      <xdr:spPr>
        <a:xfrm>
          <a:off x="6064917" y="31477744"/>
          <a:ext cx="0" cy="550068"/>
        </a:xfrm>
        <a:prstGeom prst="line">
          <a:avLst/>
        </a:prstGeom>
        <a:ln>
          <a:solidFill>
            <a:schemeClr val="tx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29</xdr:col>
      <xdr:colOff>168450</xdr:colOff>
      <xdr:row>113</xdr:row>
      <xdr:rowOff>197641</xdr:rowOff>
    </xdr:from>
    <xdr:to>
      <xdr:col>29</xdr:col>
      <xdr:colOff>168450</xdr:colOff>
      <xdr:row>114</xdr:row>
      <xdr:rowOff>144748</xdr:rowOff>
    </xdr:to>
    <xdr:cxnSp macro="">
      <xdr:nvCxnSpPr>
        <xdr:cNvPr id="147" name="直線矢印コネクタ 146">
          <a:extLst>
            <a:ext uri="{FF2B5EF4-FFF2-40B4-BE49-F238E27FC236}">
              <a16:creationId xmlns:a16="http://schemas.microsoft.com/office/drawing/2014/main" id="{591E221F-F726-4E3B-A245-44E45D7ABF31}"/>
            </a:ext>
          </a:extLst>
        </xdr:cNvPr>
        <xdr:cNvCxnSpPr/>
      </xdr:nvCxnSpPr>
      <xdr:spPr>
        <a:xfrm>
          <a:off x="6728794" y="30844329"/>
          <a:ext cx="0" cy="18523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220908</xdr:colOff>
      <xdr:row>113</xdr:row>
      <xdr:rowOff>214150</xdr:rowOff>
    </xdr:from>
    <xdr:to>
      <xdr:col>31</xdr:col>
      <xdr:colOff>5390</xdr:colOff>
      <xdr:row>113</xdr:row>
      <xdr:rowOff>214150</xdr:rowOff>
    </xdr:to>
    <xdr:cxnSp macro="">
      <xdr:nvCxnSpPr>
        <xdr:cNvPr id="148" name="直線コネクタ 147">
          <a:extLst>
            <a:ext uri="{FF2B5EF4-FFF2-40B4-BE49-F238E27FC236}">
              <a16:creationId xmlns:a16="http://schemas.microsoft.com/office/drawing/2014/main" id="{2C5763D5-9BE5-4B6C-84F6-5B27AD0345F2}"/>
            </a:ext>
          </a:extLst>
        </xdr:cNvPr>
        <xdr:cNvCxnSpPr/>
      </xdr:nvCxnSpPr>
      <xdr:spPr>
        <a:xfrm>
          <a:off x="6328814" y="30860838"/>
          <a:ext cx="68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30</xdr:col>
      <xdr:colOff>13638</xdr:colOff>
      <xdr:row>113</xdr:row>
      <xdr:rowOff>129018</xdr:rowOff>
    </xdr:from>
    <xdr:to>
      <xdr:col>34</xdr:col>
      <xdr:colOff>15269</xdr:colOff>
      <xdr:row>114</xdr:row>
      <xdr:rowOff>143855</xdr:rowOff>
    </xdr:to>
    <xdr:sp macro="" textlink="">
      <xdr:nvSpPr>
        <xdr:cNvPr id="149" name="テキスト ボックス 148">
          <a:extLst>
            <a:ext uri="{FF2B5EF4-FFF2-40B4-BE49-F238E27FC236}">
              <a16:creationId xmlns:a16="http://schemas.microsoft.com/office/drawing/2014/main" id="{320C8853-2F21-4CCE-B329-9D8B32F9DF4C}"/>
            </a:ext>
          </a:extLst>
        </xdr:cNvPr>
        <xdr:cNvSpPr txBox="1"/>
      </xdr:nvSpPr>
      <xdr:spPr>
        <a:xfrm>
          <a:off x="6737167" y="26899871"/>
          <a:ext cx="898102" cy="25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0.56m</a:t>
          </a:r>
          <a:endParaRPr kumimoji="1" lang="ja-JP" altLang="en-US" sz="1100"/>
        </a:p>
      </xdr:txBody>
    </xdr:sp>
    <xdr:clientData/>
  </xdr:twoCellAnchor>
  <xdr:twoCellAnchor>
    <xdr:from>
      <xdr:col>24</xdr:col>
      <xdr:colOff>30879</xdr:colOff>
      <xdr:row>113</xdr:row>
      <xdr:rowOff>225040</xdr:rowOff>
    </xdr:from>
    <xdr:to>
      <xdr:col>24</xdr:col>
      <xdr:colOff>30879</xdr:colOff>
      <xdr:row>114</xdr:row>
      <xdr:rowOff>200024</xdr:rowOff>
    </xdr:to>
    <xdr:cxnSp macro="">
      <xdr:nvCxnSpPr>
        <xdr:cNvPr id="150" name="直線コネクタ 149">
          <a:extLst>
            <a:ext uri="{FF2B5EF4-FFF2-40B4-BE49-F238E27FC236}">
              <a16:creationId xmlns:a16="http://schemas.microsoft.com/office/drawing/2014/main" id="{C99F664D-A9DF-4024-8E04-9E83355DD9C2}"/>
            </a:ext>
          </a:extLst>
        </xdr:cNvPr>
        <xdr:cNvCxnSpPr/>
      </xdr:nvCxnSpPr>
      <xdr:spPr>
        <a:xfrm>
          <a:off x="5460129" y="30871728"/>
          <a:ext cx="0" cy="21310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19</xdr:col>
      <xdr:colOff>197642</xdr:colOff>
      <xdr:row>127</xdr:row>
      <xdr:rowOff>3303</xdr:rowOff>
    </xdr:from>
    <xdr:to>
      <xdr:col>21</xdr:col>
      <xdr:colOff>133338</xdr:colOff>
      <xdr:row>127</xdr:row>
      <xdr:rowOff>3303</xdr:rowOff>
    </xdr:to>
    <xdr:cxnSp macro="">
      <xdr:nvCxnSpPr>
        <xdr:cNvPr id="151" name="直線コネクタ 150">
          <a:extLst>
            <a:ext uri="{FF2B5EF4-FFF2-40B4-BE49-F238E27FC236}">
              <a16:creationId xmlns:a16="http://schemas.microsoft.com/office/drawing/2014/main" id="{E200577A-A084-40AF-92A8-5AEFBC1B0AD4}"/>
            </a:ext>
          </a:extLst>
        </xdr:cNvPr>
        <xdr:cNvCxnSpPr/>
      </xdr:nvCxnSpPr>
      <xdr:spPr>
        <a:xfrm>
          <a:off x="4495798" y="33983741"/>
          <a:ext cx="388134"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33058</xdr:colOff>
      <xdr:row>123</xdr:row>
      <xdr:rowOff>232805</xdr:rowOff>
    </xdr:from>
    <xdr:to>
      <xdr:col>26</xdr:col>
      <xdr:colOff>150020</xdr:colOff>
      <xdr:row>123</xdr:row>
      <xdr:rowOff>232805</xdr:rowOff>
    </xdr:to>
    <xdr:cxnSp macro="">
      <xdr:nvCxnSpPr>
        <xdr:cNvPr id="155" name="直線コネクタ 154">
          <a:extLst>
            <a:ext uri="{FF2B5EF4-FFF2-40B4-BE49-F238E27FC236}">
              <a16:creationId xmlns:a16="http://schemas.microsoft.com/office/drawing/2014/main" id="{20E1183D-11E0-4879-8B0D-6B15EE6840FB}"/>
            </a:ext>
          </a:extLst>
        </xdr:cNvPr>
        <xdr:cNvCxnSpPr/>
      </xdr:nvCxnSpPr>
      <xdr:spPr>
        <a:xfrm>
          <a:off x="5462308" y="33260743"/>
          <a:ext cx="569400"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183278</xdr:colOff>
      <xdr:row>118</xdr:row>
      <xdr:rowOff>202405</xdr:rowOff>
    </xdr:from>
    <xdr:to>
      <xdr:col>26</xdr:col>
      <xdr:colOff>183278</xdr:colOff>
      <xdr:row>123</xdr:row>
      <xdr:rowOff>221456</xdr:rowOff>
    </xdr:to>
    <xdr:cxnSp macro="">
      <xdr:nvCxnSpPr>
        <xdr:cNvPr id="156" name="直線コネクタ 155">
          <a:extLst>
            <a:ext uri="{FF2B5EF4-FFF2-40B4-BE49-F238E27FC236}">
              <a16:creationId xmlns:a16="http://schemas.microsoft.com/office/drawing/2014/main" id="{56C44D40-8142-426C-9089-1F88B1562597}"/>
            </a:ext>
          </a:extLst>
        </xdr:cNvPr>
        <xdr:cNvCxnSpPr/>
      </xdr:nvCxnSpPr>
      <xdr:spPr>
        <a:xfrm>
          <a:off x="6064966" y="32039718"/>
          <a:ext cx="0" cy="1209676"/>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162962</xdr:colOff>
      <xdr:row>53</xdr:row>
      <xdr:rowOff>142870</xdr:rowOff>
    </xdr:from>
    <xdr:to>
      <xdr:col>29</xdr:col>
      <xdr:colOff>162962</xdr:colOff>
      <xdr:row>67</xdr:row>
      <xdr:rowOff>95245</xdr:rowOff>
    </xdr:to>
    <xdr:cxnSp macro="">
      <xdr:nvCxnSpPr>
        <xdr:cNvPr id="240" name="直線コネクタ 239">
          <a:extLst>
            <a:ext uri="{FF2B5EF4-FFF2-40B4-BE49-F238E27FC236}">
              <a16:creationId xmlns:a16="http://schemas.microsoft.com/office/drawing/2014/main" id="{A59DBC5C-3986-87BF-03F7-E3EF676F6B00}"/>
            </a:ext>
          </a:extLst>
        </xdr:cNvPr>
        <xdr:cNvCxnSpPr/>
      </xdr:nvCxnSpPr>
      <xdr:spPr>
        <a:xfrm>
          <a:off x="6723306" y="12882558"/>
          <a:ext cx="0" cy="32861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152113</xdr:colOff>
      <xdr:row>53</xdr:row>
      <xdr:rowOff>143853</xdr:rowOff>
    </xdr:from>
    <xdr:to>
      <xdr:col>29</xdr:col>
      <xdr:colOff>154775</xdr:colOff>
      <xdr:row>53</xdr:row>
      <xdr:rowOff>143853</xdr:rowOff>
    </xdr:to>
    <xdr:cxnSp macro="">
      <xdr:nvCxnSpPr>
        <xdr:cNvPr id="242" name="直線コネクタ 241">
          <a:extLst>
            <a:ext uri="{FF2B5EF4-FFF2-40B4-BE49-F238E27FC236}">
              <a16:creationId xmlns:a16="http://schemas.microsoft.com/office/drawing/2014/main" id="{DD150B34-2E21-985C-2B14-D83E6E2DAA8E}"/>
            </a:ext>
          </a:extLst>
        </xdr:cNvPr>
        <xdr:cNvCxnSpPr/>
      </xdr:nvCxnSpPr>
      <xdr:spPr>
        <a:xfrm>
          <a:off x="6033801" y="12883541"/>
          <a:ext cx="68131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191194</xdr:colOff>
      <xdr:row>117</xdr:row>
      <xdr:rowOff>62851</xdr:rowOff>
    </xdr:from>
    <xdr:to>
      <xdr:col>25</xdr:col>
      <xdr:colOff>194165</xdr:colOff>
      <xdr:row>117</xdr:row>
      <xdr:rowOff>62851</xdr:rowOff>
    </xdr:to>
    <xdr:cxnSp macro="">
      <xdr:nvCxnSpPr>
        <xdr:cNvPr id="198" name="直線コネクタ 197">
          <a:extLst>
            <a:ext uri="{FF2B5EF4-FFF2-40B4-BE49-F238E27FC236}">
              <a16:creationId xmlns:a16="http://schemas.microsoft.com/office/drawing/2014/main" id="{F98BF9A2-F3F1-4093-BC53-67B076EA943B}"/>
            </a:ext>
          </a:extLst>
        </xdr:cNvPr>
        <xdr:cNvCxnSpPr/>
      </xdr:nvCxnSpPr>
      <xdr:spPr>
        <a:xfrm>
          <a:off x="5620444" y="28828351"/>
          <a:ext cx="229190"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13815</xdr:colOff>
      <xdr:row>113</xdr:row>
      <xdr:rowOff>213242</xdr:rowOff>
    </xdr:from>
    <xdr:to>
      <xdr:col>25</xdr:col>
      <xdr:colOff>13815</xdr:colOff>
      <xdr:row>117</xdr:row>
      <xdr:rowOff>59531</xdr:rowOff>
    </xdr:to>
    <xdr:cxnSp macro="">
      <xdr:nvCxnSpPr>
        <xdr:cNvPr id="199" name="直線コネクタ 198">
          <a:extLst>
            <a:ext uri="{FF2B5EF4-FFF2-40B4-BE49-F238E27FC236}">
              <a16:creationId xmlns:a16="http://schemas.microsoft.com/office/drawing/2014/main" id="{60A00CA0-D709-40E4-B096-644CF7271EDF}"/>
            </a:ext>
          </a:extLst>
        </xdr:cNvPr>
        <xdr:cNvCxnSpPr/>
      </xdr:nvCxnSpPr>
      <xdr:spPr>
        <a:xfrm>
          <a:off x="5669284" y="28026242"/>
          <a:ext cx="0" cy="798789"/>
        </a:xfrm>
        <a:prstGeom prst="line">
          <a:avLst/>
        </a:prstGeom>
        <a:ln w="952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22566</xdr:colOff>
      <xdr:row>114</xdr:row>
      <xdr:rowOff>182449</xdr:rowOff>
    </xdr:from>
    <xdr:to>
      <xdr:col>25</xdr:col>
      <xdr:colOff>187589</xdr:colOff>
      <xdr:row>115</xdr:row>
      <xdr:rowOff>201125</xdr:rowOff>
    </xdr:to>
    <xdr:sp macro="" textlink="">
      <xdr:nvSpPr>
        <xdr:cNvPr id="202" name="テキスト ボックス 201">
          <a:extLst>
            <a:ext uri="{FF2B5EF4-FFF2-40B4-BE49-F238E27FC236}">
              <a16:creationId xmlns:a16="http://schemas.microsoft.com/office/drawing/2014/main" id="{D1870FFA-3901-4922-A28B-2D082485A086}"/>
            </a:ext>
          </a:extLst>
        </xdr:cNvPr>
        <xdr:cNvSpPr txBox="1"/>
      </xdr:nvSpPr>
      <xdr:spPr>
        <a:xfrm>
          <a:off x="5451816" y="28257387"/>
          <a:ext cx="391242" cy="256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i="1" baseline="0">
              <a:solidFill>
                <a:srgbClr val="FF0000"/>
              </a:solidFill>
              <a:latin typeface="Times New Roman" panose="02020603050405020304" pitchFamily="18" charset="0"/>
            </a:rPr>
            <a:t>x</a:t>
          </a:r>
          <a:endParaRPr kumimoji="1" lang="ja-JP" altLang="en-US" sz="1100" b="0" i="1" baseline="0">
            <a:solidFill>
              <a:srgbClr val="FF0000"/>
            </a:solidFill>
            <a:latin typeface="Times New Roman" panose="02020603050405020304" pitchFamily="18" charset="0"/>
          </a:endParaRPr>
        </a:p>
      </xdr:txBody>
    </xdr:sp>
    <xdr:clientData/>
  </xdr:twoCellAnchor>
  <xdr:twoCellAnchor>
    <xdr:from>
      <xdr:col>26</xdr:col>
      <xdr:colOff>147313</xdr:colOff>
      <xdr:row>53</xdr:row>
      <xdr:rowOff>130624</xdr:rowOff>
    </xdr:from>
    <xdr:to>
      <xdr:col>26</xdr:col>
      <xdr:colOff>147313</xdr:colOff>
      <xdr:row>54</xdr:row>
      <xdr:rowOff>95244</xdr:rowOff>
    </xdr:to>
    <xdr:cxnSp macro="">
      <xdr:nvCxnSpPr>
        <xdr:cNvPr id="50" name="直線コネクタ 49">
          <a:extLst>
            <a:ext uri="{FF2B5EF4-FFF2-40B4-BE49-F238E27FC236}">
              <a16:creationId xmlns:a16="http://schemas.microsoft.com/office/drawing/2014/main" id="{F1C6249B-E32B-32C4-E9F8-8BA9CB52D03E}"/>
            </a:ext>
          </a:extLst>
        </xdr:cNvPr>
        <xdr:cNvCxnSpPr/>
      </xdr:nvCxnSpPr>
      <xdr:spPr>
        <a:xfrm>
          <a:off x="6029001" y="12870312"/>
          <a:ext cx="0" cy="20274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122085</xdr:colOff>
      <xdr:row>17</xdr:row>
      <xdr:rowOff>16325</xdr:rowOff>
    </xdr:from>
    <xdr:to>
      <xdr:col>32</xdr:col>
      <xdr:colOff>122085</xdr:colOff>
      <xdr:row>19</xdr:row>
      <xdr:rowOff>15506</xdr:rowOff>
    </xdr:to>
    <xdr:cxnSp macro="">
      <xdr:nvCxnSpPr>
        <xdr:cNvPr id="58" name="直線矢印コネクタ 57">
          <a:extLst>
            <a:ext uri="{FF2B5EF4-FFF2-40B4-BE49-F238E27FC236}">
              <a16:creationId xmlns:a16="http://schemas.microsoft.com/office/drawing/2014/main" id="{487A33EC-6269-4233-9B4A-814A468F4907}"/>
            </a:ext>
          </a:extLst>
        </xdr:cNvPr>
        <xdr:cNvCxnSpPr/>
      </xdr:nvCxnSpPr>
      <xdr:spPr>
        <a:xfrm>
          <a:off x="7437285" y="4140650"/>
          <a:ext cx="0" cy="47543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112569</xdr:colOff>
      <xdr:row>77</xdr:row>
      <xdr:rowOff>214310</xdr:rowOff>
    </xdr:from>
    <xdr:to>
      <xdr:col>29</xdr:col>
      <xdr:colOff>112569</xdr:colOff>
      <xdr:row>86</xdr:row>
      <xdr:rowOff>81524</xdr:rowOff>
    </xdr:to>
    <xdr:cxnSp macro="">
      <xdr:nvCxnSpPr>
        <xdr:cNvPr id="387" name="直線コネクタ 386">
          <a:extLst>
            <a:ext uri="{FF2B5EF4-FFF2-40B4-BE49-F238E27FC236}">
              <a16:creationId xmlns:a16="http://schemas.microsoft.com/office/drawing/2014/main" id="{68BFDA0F-8691-4D50-8B12-9303427C91F9}"/>
            </a:ext>
          </a:extLst>
        </xdr:cNvPr>
        <xdr:cNvCxnSpPr/>
      </xdr:nvCxnSpPr>
      <xdr:spPr>
        <a:xfrm>
          <a:off x="6672913" y="24145873"/>
          <a:ext cx="0" cy="201033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114202</xdr:colOff>
      <xdr:row>77</xdr:row>
      <xdr:rowOff>204122</xdr:rowOff>
    </xdr:from>
    <xdr:to>
      <xdr:col>29</xdr:col>
      <xdr:colOff>83344</xdr:colOff>
      <xdr:row>77</xdr:row>
      <xdr:rowOff>204122</xdr:rowOff>
    </xdr:to>
    <xdr:cxnSp macro="">
      <xdr:nvCxnSpPr>
        <xdr:cNvPr id="388" name="直線コネクタ 387">
          <a:extLst>
            <a:ext uri="{FF2B5EF4-FFF2-40B4-BE49-F238E27FC236}">
              <a16:creationId xmlns:a16="http://schemas.microsoft.com/office/drawing/2014/main" id="{80F7F049-D366-4A78-A9BD-24BA32F54888}"/>
            </a:ext>
          </a:extLst>
        </xdr:cNvPr>
        <xdr:cNvCxnSpPr/>
      </xdr:nvCxnSpPr>
      <xdr:spPr>
        <a:xfrm>
          <a:off x="5995890" y="24135685"/>
          <a:ext cx="647798"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83208</xdr:colOff>
      <xdr:row>78</xdr:row>
      <xdr:rowOff>9919</xdr:rowOff>
    </xdr:from>
    <xdr:to>
      <xdr:col>26</xdr:col>
      <xdr:colOff>83208</xdr:colOff>
      <xdr:row>78</xdr:row>
      <xdr:rowOff>209942</xdr:rowOff>
    </xdr:to>
    <xdr:cxnSp macro="">
      <xdr:nvCxnSpPr>
        <xdr:cNvPr id="402" name="直線コネクタ 401">
          <a:extLst>
            <a:ext uri="{FF2B5EF4-FFF2-40B4-BE49-F238E27FC236}">
              <a16:creationId xmlns:a16="http://schemas.microsoft.com/office/drawing/2014/main" id="{E72047FF-F0FC-4710-A265-8B31CBB9ED32}"/>
            </a:ext>
          </a:extLst>
        </xdr:cNvPr>
        <xdr:cNvCxnSpPr/>
      </xdr:nvCxnSpPr>
      <xdr:spPr>
        <a:xfrm>
          <a:off x="5964896" y="24179607"/>
          <a:ext cx="0" cy="200023"/>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138805</xdr:colOff>
      <xdr:row>117</xdr:row>
      <xdr:rowOff>74756</xdr:rowOff>
    </xdr:from>
    <xdr:to>
      <xdr:col>29</xdr:col>
      <xdr:colOff>176213</xdr:colOff>
      <xdr:row>117</xdr:row>
      <xdr:rowOff>74756</xdr:rowOff>
    </xdr:to>
    <xdr:cxnSp macro="">
      <xdr:nvCxnSpPr>
        <xdr:cNvPr id="525" name="直線コネクタ 524">
          <a:extLst>
            <a:ext uri="{FF2B5EF4-FFF2-40B4-BE49-F238E27FC236}">
              <a16:creationId xmlns:a16="http://schemas.microsoft.com/office/drawing/2014/main" id="{DA6FA659-58C7-74DC-AC8B-5E225D9864D3}"/>
            </a:ext>
          </a:extLst>
        </xdr:cNvPr>
        <xdr:cNvCxnSpPr/>
      </xdr:nvCxnSpPr>
      <xdr:spPr>
        <a:xfrm>
          <a:off x="6020493" y="28840256"/>
          <a:ext cx="716064"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202260</xdr:colOff>
      <xdr:row>17</xdr:row>
      <xdr:rowOff>13331</xdr:rowOff>
    </xdr:from>
    <xdr:to>
      <xdr:col>34</xdr:col>
      <xdr:colOff>79632</xdr:colOff>
      <xdr:row>17</xdr:row>
      <xdr:rowOff>13331</xdr:rowOff>
    </xdr:to>
    <xdr:cxnSp macro="">
      <xdr:nvCxnSpPr>
        <xdr:cNvPr id="21" name="直線コネクタ 20">
          <a:extLst>
            <a:ext uri="{FF2B5EF4-FFF2-40B4-BE49-F238E27FC236}">
              <a16:creationId xmlns:a16="http://schemas.microsoft.com/office/drawing/2014/main" id="{37E25C1D-0C5A-4CBF-A18E-9177791553E9}"/>
            </a:ext>
          </a:extLst>
        </xdr:cNvPr>
        <xdr:cNvCxnSpPr/>
      </xdr:nvCxnSpPr>
      <xdr:spPr>
        <a:xfrm>
          <a:off x="6145860" y="4137656"/>
          <a:ext cx="17061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145027</xdr:colOff>
      <xdr:row>17</xdr:row>
      <xdr:rowOff>24448</xdr:rowOff>
    </xdr:from>
    <xdr:to>
      <xdr:col>31</xdr:col>
      <xdr:colOff>9627</xdr:colOff>
      <xdr:row>17</xdr:row>
      <xdr:rowOff>87938</xdr:rowOff>
    </xdr:to>
    <xdr:cxnSp macro="">
      <xdr:nvCxnSpPr>
        <xdr:cNvPr id="32" name="直線コネクタ 31">
          <a:extLst>
            <a:ext uri="{FF2B5EF4-FFF2-40B4-BE49-F238E27FC236}">
              <a16:creationId xmlns:a16="http://schemas.microsoft.com/office/drawing/2014/main" id="{6A66EFBE-D93F-4CAF-A0FD-E2E7E424C62D}"/>
            </a:ext>
          </a:extLst>
        </xdr:cNvPr>
        <xdr:cNvCxnSpPr/>
      </xdr:nvCxnSpPr>
      <xdr:spPr>
        <a:xfrm>
          <a:off x="7003027" y="4148773"/>
          <a:ext cx="93200"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97709</xdr:colOff>
      <xdr:row>17</xdr:row>
      <xdr:rowOff>26292</xdr:rowOff>
    </xdr:from>
    <xdr:to>
      <xdr:col>30</xdr:col>
      <xdr:colOff>185806</xdr:colOff>
      <xdr:row>17</xdr:row>
      <xdr:rowOff>99307</xdr:rowOff>
    </xdr:to>
    <xdr:cxnSp macro="">
      <xdr:nvCxnSpPr>
        <xdr:cNvPr id="451" name="直線コネクタ 450">
          <a:extLst>
            <a:ext uri="{FF2B5EF4-FFF2-40B4-BE49-F238E27FC236}">
              <a16:creationId xmlns:a16="http://schemas.microsoft.com/office/drawing/2014/main" id="{45729D81-4550-47AD-B843-AA4ED29F3133}"/>
            </a:ext>
          </a:extLst>
        </xdr:cNvPr>
        <xdr:cNvCxnSpPr/>
      </xdr:nvCxnSpPr>
      <xdr:spPr>
        <a:xfrm>
          <a:off x="6955709" y="4150617"/>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97745</xdr:colOff>
      <xdr:row>17</xdr:row>
      <xdr:rowOff>59760</xdr:rowOff>
    </xdr:from>
    <xdr:to>
      <xdr:col>30</xdr:col>
      <xdr:colOff>128471</xdr:colOff>
      <xdr:row>17</xdr:row>
      <xdr:rowOff>83032</xdr:rowOff>
    </xdr:to>
    <xdr:cxnSp macro="">
      <xdr:nvCxnSpPr>
        <xdr:cNvPr id="498" name="直線コネクタ 497">
          <a:extLst>
            <a:ext uri="{FF2B5EF4-FFF2-40B4-BE49-F238E27FC236}">
              <a16:creationId xmlns:a16="http://schemas.microsoft.com/office/drawing/2014/main" id="{A9FDC197-B71C-4357-842F-CF5EEF3CB898}"/>
            </a:ext>
          </a:extLst>
        </xdr:cNvPr>
        <xdr:cNvCxnSpPr/>
      </xdr:nvCxnSpPr>
      <xdr:spPr>
        <a:xfrm flipH="1">
          <a:off x="6955745" y="4184085"/>
          <a:ext cx="30726" cy="232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119162</xdr:colOff>
      <xdr:row>17</xdr:row>
      <xdr:rowOff>79029</xdr:rowOff>
    </xdr:from>
    <xdr:to>
      <xdr:col>30</xdr:col>
      <xdr:colOff>149838</xdr:colOff>
      <xdr:row>17</xdr:row>
      <xdr:rowOff>89097</xdr:rowOff>
    </xdr:to>
    <xdr:cxnSp macro="">
      <xdr:nvCxnSpPr>
        <xdr:cNvPr id="502" name="直線コネクタ 501">
          <a:extLst>
            <a:ext uri="{FF2B5EF4-FFF2-40B4-BE49-F238E27FC236}">
              <a16:creationId xmlns:a16="http://schemas.microsoft.com/office/drawing/2014/main" id="{C3F8FADD-26DB-4572-9B4E-EC68D9A40555}"/>
            </a:ext>
          </a:extLst>
        </xdr:cNvPr>
        <xdr:cNvCxnSpPr/>
      </xdr:nvCxnSpPr>
      <xdr:spPr>
        <a:xfrm flipH="1">
          <a:off x="6977162" y="4203354"/>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61581</xdr:colOff>
      <xdr:row>17</xdr:row>
      <xdr:rowOff>18599</xdr:rowOff>
    </xdr:from>
    <xdr:to>
      <xdr:col>31</xdr:col>
      <xdr:colOff>152104</xdr:colOff>
      <xdr:row>17</xdr:row>
      <xdr:rowOff>92974</xdr:rowOff>
    </xdr:to>
    <xdr:cxnSp macro="">
      <xdr:nvCxnSpPr>
        <xdr:cNvPr id="507" name="直線コネクタ 506">
          <a:extLst>
            <a:ext uri="{FF2B5EF4-FFF2-40B4-BE49-F238E27FC236}">
              <a16:creationId xmlns:a16="http://schemas.microsoft.com/office/drawing/2014/main" id="{6A50B655-7305-472D-8803-52B8D84759B9}"/>
            </a:ext>
          </a:extLst>
        </xdr:cNvPr>
        <xdr:cNvCxnSpPr/>
      </xdr:nvCxnSpPr>
      <xdr:spPr>
        <a:xfrm>
          <a:off x="7148181" y="4142924"/>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14263</xdr:colOff>
      <xdr:row>17</xdr:row>
      <xdr:rowOff>20443</xdr:rowOff>
    </xdr:from>
    <xdr:to>
      <xdr:col>31</xdr:col>
      <xdr:colOff>103705</xdr:colOff>
      <xdr:row>17</xdr:row>
      <xdr:rowOff>89623</xdr:rowOff>
    </xdr:to>
    <xdr:cxnSp macro="">
      <xdr:nvCxnSpPr>
        <xdr:cNvPr id="508" name="直線コネクタ 507">
          <a:extLst>
            <a:ext uri="{FF2B5EF4-FFF2-40B4-BE49-F238E27FC236}">
              <a16:creationId xmlns:a16="http://schemas.microsoft.com/office/drawing/2014/main" id="{474D7D2F-AC3D-4566-BF06-5925D8B83C48}"/>
            </a:ext>
          </a:extLst>
        </xdr:cNvPr>
        <xdr:cNvCxnSpPr/>
      </xdr:nvCxnSpPr>
      <xdr:spPr>
        <a:xfrm>
          <a:off x="7100863" y="4144768"/>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14299</xdr:colOff>
      <xdr:row>17</xdr:row>
      <xdr:rowOff>47812</xdr:rowOff>
    </xdr:from>
    <xdr:to>
      <xdr:col>31</xdr:col>
      <xdr:colOff>45025</xdr:colOff>
      <xdr:row>17</xdr:row>
      <xdr:rowOff>88063</xdr:rowOff>
    </xdr:to>
    <xdr:cxnSp macro="">
      <xdr:nvCxnSpPr>
        <xdr:cNvPr id="93" name="直線コネクタ 92">
          <a:extLst>
            <a:ext uri="{FF2B5EF4-FFF2-40B4-BE49-F238E27FC236}">
              <a16:creationId xmlns:a16="http://schemas.microsoft.com/office/drawing/2014/main" id="{E6CEA98D-FE7B-471A-A6E9-55F34D63ECA8}"/>
            </a:ext>
          </a:extLst>
        </xdr:cNvPr>
        <xdr:cNvCxnSpPr/>
      </xdr:nvCxnSpPr>
      <xdr:spPr>
        <a:xfrm flipH="1">
          <a:off x="7100899" y="4172137"/>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34583</xdr:colOff>
      <xdr:row>17</xdr:row>
      <xdr:rowOff>74535</xdr:rowOff>
    </xdr:from>
    <xdr:to>
      <xdr:col>31</xdr:col>
      <xdr:colOff>65309</xdr:colOff>
      <xdr:row>17</xdr:row>
      <xdr:rowOff>94128</xdr:rowOff>
    </xdr:to>
    <xdr:cxnSp macro="">
      <xdr:nvCxnSpPr>
        <xdr:cNvPr id="94" name="直線コネクタ 93">
          <a:extLst>
            <a:ext uri="{FF2B5EF4-FFF2-40B4-BE49-F238E27FC236}">
              <a16:creationId xmlns:a16="http://schemas.microsoft.com/office/drawing/2014/main" id="{6F7B60DB-9F17-4E56-BD9E-A48C3B6B7CD2}"/>
            </a:ext>
          </a:extLst>
        </xdr:cNvPr>
        <xdr:cNvCxnSpPr/>
      </xdr:nvCxnSpPr>
      <xdr:spPr>
        <a:xfrm flipH="1">
          <a:off x="7121183" y="4198860"/>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94111</xdr:colOff>
      <xdr:row>17</xdr:row>
      <xdr:rowOff>5370</xdr:rowOff>
    </xdr:from>
    <xdr:to>
      <xdr:col>30</xdr:col>
      <xdr:colOff>96289</xdr:colOff>
      <xdr:row>29</xdr:row>
      <xdr:rowOff>10017</xdr:rowOff>
    </xdr:to>
    <xdr:cxnSp macro="">
      <xdr:nvCxnSpPr>
        <xdr:cNvPr id="515" name="直線コネクタ 514">
          <a:extLst>
            <a:ext uri="{FF2B5EF4-FFF2-40B4-BE49-F238E27FC236}">
              <a16:creationId xmlns:a16="http://schemas.microsoft.com/office/drawing/2014/main" id="{67E37A4D-2F52-44FA-88EA-9336DA9FBEC6}"/>
            </a:ext>
          </a:extLst>
        </xdr:cNvPr>
        <xdr:cNvCxnSpPr/>
      </xdr:nvCxnSpPr>
      <xdr:spPr>
        <a:xfrm>
          <a:off x="6266311" y="4129695"/>
          <a:ext cx="687978" cy="286214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214055</xdr:colOff>
      <xdr:row>29</xdr:row>
      <xdr:rowOff>3448</xdr:rowOff>
    </xdr:from>
    <xdr:to>
      <xdr:col>30</xdr:col>
      <xdr:colOff>95118</xdr:colOff>
      <xdr:row>29</xdr:row>
      <xdr:rowOff>5903</xdr:rowOff>
    </xdr:to>
    <xdr:cxnSp macro="">
      <xdr:nvCxnSpPr>
        <xdr:cNvPr id="516" name="直線コネクタ 515">
          <a:extLst>
            <a:ext uri="{FF2B5EF4-FFF2-40B4-BE49-F238E27FC236}">
              <a16:creationId xmlns:a16="http://schemas.microsoft.com/office/drawing/2014/main" id="{549AC74B-6902-4172-86EC-8ED34E6F815D}"/>
            </a:ext>
          </a:extLst>
        </xdr:cNvPr>
        <xdr:cNvCxnSpPr/>
      </xdr:nvCxnSpPr>
      <xdr:spPr>
        <a:xfrm flipV="1">
          <a:off x="6157655" y="6985273"/>
          <a:ext cx="795463" cy="2455"/>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111618</xdr:colOff>
      <xdr:row>30</xdr:row>
      <xdr:rowOff>19831</xdr:rowOff>
    </xdr:from>
    <xdr:to>
      <xdr:col>22</xdr:col>
      <xdr:colOff>39391</xdr:colOff>
      <xdr:row>30</xdr:row>
      <xdr:rowOff>235500</xdr:rowOff>
    </xdr:to>
    <xdr:cxnSp macro="">
      <xdr:nvCxnSpPr>
        <xdr:cNvPr id="522" name="直線コネクタ 521">
          <a:extLst>
            <a:ext uri="{FF2B5EF4-FFF2-40B4-BE49-F238E27FC236}">
              <a16:creationId xmlns:a16="http://schemas.microsoft.com/office/drawing/2014/main" id="{26B1A993-98AB-4A1D-B97A-B49757085AEA}"/>
            </a:ext>
          </a:extLst>
        </xdr:cNvPr>
        <xdr:cNvCxnSpPr/>
      </xdr:nvCxnSpPr>
      <xdr:spPr>
        <a:xfrm flipH="1">
          <a:off x="4912218" y="7239781"/>
          <a:ext cx="156373" cy="21566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222171</xdr:colOff>
      <xdr:row>17</xdr:row>
      <xdr:rowOff>13394</xdr:rowOff>
    </xdr:from>
    <xdr:to>
      <xdr:col>27</xdr:col>
      <xdr:colOff>94111</xdr:colOff>
      <xdr:row>17</xdr:row>
      <xdr:rowOff>13394</xdr:rowOff>
    </xdr:to>
    <xdr:cxnSp macro="">
      <xdr:nvCxnSpPr>
        <xdr:cNvPr id="524" name="直線コネクタ 523">
          <a:extLst>
            <a:ext uri="{FF2B5EF4-FFF2-40B4-BE49-F238E27FC236}">
              <a16:creationId xmlns:a16="http://schemas.microsoft.com/office/drawing/2014/main" id="{6D56751D-3692-4C9A-A179-3DF9C43C4E43}"/>
            </a:ext>
          </a:extLst>
        </xdr:cNvPr>
        <xdr:cNvCxnSpPr/>
      </xdr:nvCxnSpPr>
      <xdr:spPr>
        <a:xfrm>
          <a:off x="6165771" y="4137719"/>
          <a:ext cx="10054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204257</xdr:colOff>
      <xdr:row>17</xdr:row>
      <xdr:rowOff>2277</xdr:rowOff>
    </xdr:from>
    <xdr:to>
      <xdr:col>26</xdr:col>
      <xdr:colOff>204257</xdr:colOff>
      <xdr:row>33</xdr:row>
      <xdr:rowOff>47177</xdr:rowOff>
    </xdr:to>
    <xdr:cxnSp macro="">
      <xdr:nvCxnSpPr>
        <xdr:cNvPr id="526" name="直線コネクタ 525">
          <a:extLst>
            <a:ext uri="{FF2B5EF4-FFF2-40B4-BE49-F238E27FC236}">
              <a16:creationId xmlns:a16="http://schemas.microsoft.com/office/drawing/2014/main" id="{5EE4EE81-6C5C-406B-AE18-6CC5FC142DCA}"/>
            </a:ext>
          </a:extLst>
        </xdr:cNvPr>
        <xdr:cNvCxnSpPr/>
      </xdr:nvCxnSpPr>
      <xdr:spPr>
        <a:xfrm>
          <a:off x="6147857" y="4126602"/>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26</xdr:col>
      <xdr:colOff>217870</xdr:colOff>
      <xdr:row>19</xdr:row>
      <xdr:rowOff>8099</xdr:rowOff>
    </xdr:from>
    <xdr:to>
      <xdr:col>34</xdr:col>
      <xdr:colOff>70107</xdr:colOff>
      <xdr:row>19</xdr:row>
      <xdr:rowOff>8099</xdr:rowOff>
    </xdr:to>
    <xdr:cxnSp macro="">
      <xdr:nvCxnSpPr>
        <xdr:cNvPr id="527" name="直線コネクタ 526">
          <a:extLst>
            <a:ext uri="{FF2B5EF4-FFF2-40B4-BE49-F238E27FC236}">
              <a16:creationId xmlns:a16="http://schemas.microsoft.com/office/drawing/2014/main" id="{A0D75173-FA3E-485F-8A9F-2A6A21DC2ED8}"/>
            </a:ext>
          </a:extLst>
        </xdr:cNvPr>
        <xdr:cNvCxnSpPr/>
      </xdr:nvCxnSpPr>
      <xdr:spPr>
        <a:xfrm>
          <a:off x="6161470" y="4608674"/>
          <a:ext cx="168103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211374</xdr:colOff>
      <xdr:row>17</xdr:row>
      <xdr:rowOff>146828</xdr:rowOff>
    </xdr:from>
    <xdr:to>
      <xdr:col>35</xdr:col>
      <xdr:colOff>17807</xdr:colOff>
      <xdr:row>18</xdr:row>
      <xdr:rowOff>149969</xdr:rowOff>
    </xdr:to>
    <xdr:sp macro="" textlink="">
      <xdr:nvSpPr>
        <xdr:cNvPr id="533" name="テキスト ボックス 532">
          <a:extLst>
            <a:ext uri="{FF2B5EF4-FFF2-40B4-BE49-F238E27FC236}">
              <a16:creationId xmlns:a16="http://schemas.microsoft.com/office/drawing/2014/main" id="{A667FBE8-BFCF-4054-BA3C-04498E5917B9}"/>
            </a:ext>
          </a:extLst>
        </xdr:cNvPr>
        <xdr:cNvSpPr txBox="1"/>
      </xdr:nvSpPr>
      <xdr:spPr>
        <a:xfrm>
          <a:off x="7069374" y="4271153"/>
          <a:ext cx="949433"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32</xdr:col>
      <xdr:colOff>132634</xdr:colOff>
      <xdr:row>24</xdr:row>
      <xdr:rowOff>26651</xdr:rowOff>
    </xdr:from>
    <xdr:to>
      <xdr:col>34</xdr:col>
      <xdr:colOff>217150</xdr:colOff>
      <xdr:row>25</xdr:row>
      <xdr:rowOff>33332</xdr:rowOff>
    </xdr:to>
    <xdr:sp macro="" textlink="">
      <xdr:nvSpPr>
        <xdr:cNvPr id="534" name="テキスト ボックス 533">
          <a:extLst>
            <a:ext uri="{FF2B5EF4-FFF2-40B4-BE49-F238E27FC236}">
              <a16:creationId xmlns:a16="http://schemas.microsoft.com/office/drawing/2014/main" id="{A6D6BFAE-BCC1-48E8-920B-CD0D2EEC899A}"/>
            </a:ext>
          </a:extLst>
        </xdr:cNvPr>
        <xdr:cNvSpPr txBox="1"/>
      </xdr:nvSpPr>
      <xdr:spPr>
        <a:xfrm>
          <a:off x="7447834" y="5817851"/>
          <a:ext cx="541716" cy="24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26</xdr:col>
      <xdr:colOff>187917</xdr:colOff>
      <xdr:row>30</xdr:row>
      <xdr:rowOff>1669</xdr:rowOff>
    </xdr:from>
    <xdr:to>
      <xdr:col>34</xdr:col>
      <xdr:colOff>129979</xdr:colOff>
      <xdr:row>30</xdr:row>
      <xdr:rowOff>1669</xdr:rowOff>
    </xdr:to>
    <xdr:cxnSp macro="">
      <xdr:nvCxnSpPr>
        <xdr:cNvPr id="535" name="直線コネクタ 534">
          <a:extLst>
            <a:ext uri="{FF2B5EF4-FFF2-40B4-BE49-F238E27FC236}">
              <a16:creationId xmlns:a16="http://schemas.microsoft.com/office/drawing/2014/main" id="{C9DF5652-85FF-4ACD-869C-073E32AD939C}"/>
            </a:ext>
          </a:extLst>
        </xdr:cNvPr>
        <xdr:cNvCxnSpPr/>
      </xdr:nvCxnSpPr>
      <xdr:spPr>
        <a:xfrm>
          <a:off x="6131517" y="7221619"/>
          <a:ext cx="177086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196934</xdr:colOff>
      <xdr:row>28</xdr:row>
      <xdr:rowOff>205901</xdr:rowOff>
    </xdr:from>
    <xdr:to>
      <xdr:col>34</xdr:col>
      <xdr:colOff>219075</xdr:colOff>
      <xdr:row>29</xdr:row>
      <xdr:rowOff>232503</xdr:rowOff>
    </xdr:to>
    <xdr:sp macro="" textlink="">
      <xdr:nvSpPr>
        <xdr:cNvPr id="536" name="テキスト ボックス 535">
          <a:extLst>
            <a:ext uri="{FF2B5EF4-FFF2-40B4-BE49-F238E27FC236}">
              <a16:creationId xmlns:a16="http://schemas.microsoft.com/office/drawing/2014/main" id="{210DF212-BA0B-480B-95B9-4C040D1BFD22}"/>
            </a:ext>
          </a:extLst>
        </xdr:cNvPr>
        <xdr:cNvSpPr txBox="1"/>
      </xdr:nvSpPr>
      <xdr:spPr>
        <a:xfrm>
          <a:off x="7054934" y="6949601"/>
          <a:ext cx="936541" cy="26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0.50m</a:t>
          </a:r>
          <a:endParaRPr kumimoji="1" lang="ja-JP" altLang="en-US" sz="1100"/>
        </a:p>
      </xdr:txBody>
    </xdr:sp>
    <xdr:clientData/>
  </xdr:twoCellAnchor>
  <xdr:twoCellAnchor>
    <xdr:from>
      <xdr:col>30</xdr:col>
      <xdr:colOff>201903</xdr:colOff>
      <xdr:row>29</xdr:row>
      <xdr:rowOff>176098</xdr:rowOff>
    </xdr:from>
    <xdr:to>
      <xdr:col>35</xdr:col>
      <xdr:colOff>53422</xdr:colOff>
      <xdr:row>30</xdr:row>
      <xdr:rowOff>180780</xdr:rowOff>
    </xdr:to>
    <xdr:sp macro="" textlink="">
      <xdr:nvSpPr>
        <xdr:cNvPr id="537" name="テキスト ボックス 536">
          <a:extLst>
            <a:ext uri="{FF2B5EF4-FFF2-40B4-BE49-F238E27FC236}">
              <a16:creationId xmlns:a16="http://schemas.microsoft.com/office/drawing/2014/main" id="{08365186-D326-4618-BE3D-1B4CCBE794BF}"/>
            </a:ext>
          </a:extLst>
        </xdr:cNvPr>
        <xdr:cNvSpPr txBox="1"/>
      </xdr:nvSpPr>
      <xdr:spPr>
        <a:xfrm>
          <a:off x="7059903" y="7157923"/>
          <a:ext cx="994519"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0.31m</a:t>
          </a:r>
          <a:endParaRPr kumimoji="1" lang="ja-JP" altLang="en-US" sz="1100"/>
        </a:p>
      </xdr:txBody>
    </xdr:sp>
    <xdr:clientData/>
  </xdr:twoCellAnchor>
  <xdr:twoCellAnchor>
    <xdr:from>
      <xdr:col>22</xdr:col>
      <xdr:colOff>28403</xdr:colOff>
      <xdr:row>18</xdr:row>
      <xdr:rowOff>166726</xdr:rowOff>
    </xdr:from>
    <xdr:to>
      <xdr:col>25</xdr:col>
      <xdr:colOff>190080</xdr:colOff>
      <xdr:row>18</xdr:row>
      <xdr:rowOff>166726</xdr:rowOff>
    </xdr:to>
    <xdr:cxnSp macro="">
      <xdr:nvCxnSpPr>
        <xdr:cNvPr id="538" name="直線コネクタ 537">
          <a:extLst>
            <a:ext uri="{FF2B5EF4-FFF2-40B4-BE49-F238E27FC236}">
              <a16:creationId xmlns:a16="http://schemas.microsoft.com/office/drawing/2014/main" id="{BF4342C5-FCE5-471A-87C1-DC387B63575E}"/>
            </a:ext>
          </a:extLst>
        </xdr:cNvPr>
        <xdr:cNvCxnSpPr/>
      </xdr:nvCxnSpPr>
      <xdr:spPr>
        <a:xfrm>
          <a:off x="5057603" y="4529176"/>
          <a:ext cx="84747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18377</xdr:colOff>
      <xdr:row>19</xdr:row>
      <xdr:rowOff>88367</xdr:rowOff>
    </xdr:from>
    <xdr:to>
      <xdr:col>25</xdr:col>
      <xdr:colOff>177673</xdr:colOff>
      <xdr:row>19</xdr:row>
      <xdr:rowOff>88367</xdr:rowOff>
    </xdr:to>
    <xdr:cxnSp macro="">
      <xdr:nvCxnSpPr>
        <xdr:cNvPr id="539" name="直線コネクタ 538">
          <a:extLst>
            <a:ext uri="{FF2B5EF4-FFF2-40B4-BE49-F238E27FC236}">
              <a16:creationId xmlns:a16="http://schemas.microsoft.com/office/drawing/2014/main" id="{35D85CAD-24BE-4A90-9186-ABF4E3CDF17B}"/>
            </a:ext>
          </a:extLst>
        </xdr:cNvPr>
        <xdr:cNvCxnSpPr/>
      </xdr:nvCxnSpPr>
      <xdr:spPr>
        <a:xfrm>
          <a:off x="5047577" y="4688942"/>
          <a:ext cx="8450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185694</xdr:colOff>
      <xdr:row>18</xdr:row>
      <xdr:rowOff>171622</xdr:rowOff>
    </xdr:from>
    <xdr:to>
      <xdr:col>25</xdr:col>
      <xdr:colOff>185694</xdr:colOff>
      <xdr:row>19</xdr:row>
      <xdr:rowOff>88752</xdr:rowOff>
    </xdr:to>
    <xdr:cxnSp macro="">
      <xdr:nvCxnSpPr>
        <xdr:cNvPr id="540" name="直線コネクタ 539">
          <a:extLst>
            <a:ext uri="{FF2B5EF4-FFF2-40B4-BE49-F238E27FC236}">
              <a16:creationId xmlns:a16="http://schemas.microsoft.com/office/drawing/2014/main" id="{7554DC4B-0DB5-4977-B31C-B2EB6BB18F2A}"/>
            </a:ext>
          </a:extLst>
        </xdr:cNvPr>
        <xdr:cNvCxnSpPr/>
      </xdr:nvCxnSpPr>
      <xdr:spPr>
        <a:xfrm>
          <a:off x="5900694" y="4534072"/>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215289</xdr:colOff>
      <xdr:row>18</xdr:row>
      <xdr:rowOff>161417</xdr:rowOff>
    </xdr:from>
    <xdr:to>
      <xdr:col>25</xdr:col>
      <xdr:colOff>215289</xdr:colOff>
      <xdr:row>19</xdr:row>
      <xdr:rowOff>102538</xdr:rowOff>
    </xdr:to>
    <xdr:cxnSp macro="">
      <xdr:nvCxnSpPr>
        <xdr:cNvPr id="541" name="直線コネクタ 540">
          <a:extLst>
            <a:ext uri="{FF2B5EF4-FFF2-40B4-BE49-F238E27FC236}">
              <a16:creationId xmlns:a16="http://schemas.microsoft.com/office/drawing/2014/main" id="{A30F2F2A-E04A-4620-829E-67DC3EE1E5BF}"/>
            </a:ext>
          </a:extLst>
        </xdr:cNvPr>
        <xdr:cNvCxnSpPr/>
      </xdr:nvCxnSpPr>
      <xdr:spPr>
        <a:xfrm>
          <a:off x="5930289" y="4523867"/>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127334</xdr:colOff>
      <xdr:row>18</xdr:row>
      <xdr:rowOff>161417</xdr:rowOff>
    </xdr:from>
    <xdr:to>
      <xdr:col>26</xdr:col>
      <xdr:colOff>127334</xdr:colOff>
      <xdr:row>19</xdr:row>
      <xdr:rowOff>102538</xdr:rowOff>
    </xdr:to>
    <xdr:cxnSp macro="">
      <xdr:nvCxnSpPr>
        <xdr:cNvPr id="542" name="直線コネクタ 541">
          <a:extLst>
            <a:ext uri="{FF2B5EF4-FFF2-40B4-BE49-F238E27FC236}">
              <a16:creationId xmlns:a16="http://schemas.microsoft.com/office/drawing/2014/main" id="{3DDF2790-B55C-4C6C-8AFF-6072B8585301}"/>
            </a:ext>
          </a:extLst>
        </xdr:cNvPr>
        <xdr:cNvCxnSpPr/>
      </xdr:nvCxnSpPr>
      <xdr:spPr>
        <a:xfrm>
          <a:off x="6070934" y="4523867"/>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214219</xdr:colOff>
      <xdr:row>19</xdr:row>
      <xdr:rowOff>25223</xdr:rowOff>
    </xdr:from>
    <xdr:to>
      <xdr:col>26</xdr:col>
      <xdr:colOff>122863</xdr:colOff>
      <xdr:row>19</xdr:row>
      <xdr:rowOff>25223</xdr:rowOff>
    </xdr:to>
    <xdr:cxnSp macro="">
      <xdr:nvCxnSpPr>
        <xdr:cNvPr id="543" name="直線コネクタ 542">
          <a:extLst>
            <a:ext uri="{FF2B5EF4-FFF2-40B4-BE49-F238E27FC236}">
              <a16:creationId xmlns:a16="http://schemas.microsoft.com/office/drawing/2014/main" id="{04644419-7DDF-492A-B974-078693FB61A5}"/>
            </a:ext>
          </a:extLst>
        </xdr:cNvPr>
        <xdr:cNvCxnSpPr/>
      </xdr:nvCxnSpPr>
      <xdr:spPr>
        <a:xfrm>
          <a:off x="5929219" y="4625798"/>
          <a:ext cx="13724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12321</xdr:colOff>
      <xdr:row>30</xdr:row>
      <xdr:rowOff>3070</xdr:rowOff>
    </xdr:from>
    <xdr:to>
      <xdr:col>26</xdr:col>
      <xdr:colOff>184117</xdr:colOff>
      <xdr:row>30</xdr:row>
      <xdr:rowOff>3070</xdr:rowOff>
    </xdr:to>
    <xdr:cxnSp macro="">
      <xdr:nvCxnSpPr>
        <xdr:cNvPr id="544" name="直線コネクタ 543">
          <a:extLst>
            <a:ext uri="{FF2B5EF4-FFF2-40B4-BE49-F238E27FC236}">
              <a16:creationId xmlns:a16="http://schemas.microsoft.com/office/drawing/2014/main" id="{686015C0-0BE1-4D49-9E7D-F0900498D5AF}"/>
            </a:ext>
          </a:extLst>
        </xdr:cNvPr>
        <xdr:cNvCxnSpPr/>
      </xdr:nvCxnSpPr>
      <xdr:spPr>
        <a:xfrm>
          <a:off x="4355721" y="7223020"/>
          <a:ext cx="177199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94431</xdr:colOff>
      <xdr:row>30</xdr:row>
      <xdr:rowOff>25344</xdr:rowOff>
    </xdr:from>
    <xdr:to>
      <xdr:col>20</xdr:col>
      <xdr:colOff>184037</xdr:colOff>
      <xdr:row>30</xdr:row>
      <xdr:rowOff>110267</xdr:rowOff>
    </xdr:to>
    <xdr:cxnSp macro="">
      <xdr:nvCxnSpPr>
        <xdr:cNvPr id="545" name="直線コネクタ 544">
          <a:extLst>
            <a:ext uri="{FF2B5EF4-FFF2-40B4-BE49-F238E27FC236}">
              <a16:creationId xmlns:a16="http://schemas.microsoft.com/office/drawing/2014/main" id="{A2FA44BB-E1CA-4A94-9C7F-211B15545B4E}"/>
            </a:ext>
          </a:extLst>
        </xdr:cNvPr>
        <xdr:cNvCxnSpPr/>
      </xdr:nvCxnSpPr>
      <xdr:spPr>
        <a:xfrm>
          <a:off x="4666431" y="7245294"/>
          <a:ext cx="89606" cy="84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33799</xdr:colOff>
      <xdr:row>30</xdr:row>
      <xdr:rowOff>26587</xdr:rowOff>
    </xdr:from>
    <xdr:to>
      <xdr:col>20</xdr:col>
      <xdr:colOff>139825</xdr:colOff>
      <xdr:row>30</xdr:row>
      <xdr:rowOff>121636</xdr:rowOff>
    </xdr:to>
    <xdr:cxnSp macro="">
      <xdr:nvCxnSpPr>
        <xdr:cNvPr id="546" name="直線コネクタ 545">
          <a:extLst>
            <a:ext uri="{FF2B5EF4-FFF2-40B4-BE49-F238E27FC236}">
              <a16:creationId xmlns:a16="http://schemas.microsoft.com/office/drawing/2014/main" id="{B531BE83-5B4A-4322-8B32-D7D3F2C8C2FF}"/>
            </a:ext>
          </a:extLst>
        </xdr:cNvPr>
        <xdr:cNvCxnSpPr/>
      </xdr:nvCxnSpPr>
      <xdr:spPr>
        <a:xfrm>
          <a:off x="4605799" y="7246537"/>
          <a:ext cx="106026" cy="95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34714</xdr:colOff>
      <xdr:row>30</xdr:row>
      <xdr:rowOff>64148</xdr:rowOff>
    </xdr:from>
    <xdr:to>
      <xdr:col>20</xdr:col>
      <xdr:colOff>79684</xdr:colOff>
      <xdr:row>30</xdr:row>
      <xdr:rowOff>103747</xdr:rowOff>
    </xdr:to>
    <xdr:cxnSp macro="">
      <xdr:nvCxnSpPr>
        <xdr:cNvPr id="547" name="直線コネクタ 546">
          <a:extLst>
            <a:ext uri="{FF2B5EF4-FFF2-40B4-BE49-F238E27FC236}">
              <a16:creationId xmlns:a16="http://schemas.microsoft.com/office/drawing/2014/main" id="{0E6E8B0A-9938-4253-B113-C8BC6406C0D6}"/>
            </a:ext>
          </a:extLst>
        </xdr:cNvPr>
        <xdr:cNvCxnSpPr/>
      </xdr:nvCxnSpPr>
      <xdr:spPr>
        <a:xfrm flipH="1">
          <a:off x="4606714" y="7284098"/>
          <a:ext cx="44970" cy="39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68312</xdr:colOff>
      <xdr:row>30</xdr:row>
      <xdr:rowOff>97023</xdr:rowOff>
    </xdr:from>
    <xdr:to>
      <xdr:col>20</xdr:col>
      <xdr:colOff>99968</xdr:colOff>
      <xdr:row>30</xdr:row>
      <xdr:rowOff>120946</xdr:rowOff>
    </xdr:to>
    <xdr:cxnSp macro="">
      <xdr:nvCxnSpPr>
        <xdr:cNvPr id="548" name="直線コネクタ 547">
          <a:extLst>
            <a:ext uri="{FF2B5EF4-FFF2-40B4-BE49-F238E27FC236}">
              <a16:creationId xmlns:a16="http://schemas.microsoft.com/office/drawing/2014/main" id="{E9757EEE-C448-4DC7-935B-ECD5F532F2A4}"/>
            </a:ext>
          </a:extLst>
        </xdr:cNvPr>
        <xdr:cNvCxnSpPr/>
      </xdr:nvCxnSpPr>
      <xdr:spPr>
        <a:xfrm flipH="1">
          <a:off x="4640312" y="7316973"/>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176759</xdr:colOff>
      <xdr:row>30</xdr:row>
      <xdr:rowOff>23088</xdr:rowOff>
    </xdr:from>
    <xdr:to>
      <xdr:col>20</xdr:col>
      <xdr:colOff>35211</xdr:colOff>
      <xdr:row>30</xdr:row>
      <xdr:rowOff>125187</xdr:rowOff>
    </xdr:to>
    <xdr:cxnSp macro="">
      <xdr:nvCxnSpPr>
        <xdr:cNvPr id="549" name="直線コネクタ 548">
          <a:extLst>
            <a:ext uri="{FF2B5EF4-FFF2-40B4-BE49-F238E27FC236}">
              <a16:creationId xmlns:a16="http://schemas.microsoft.com/office/drawing/2014/main" id="{031F1C7D-4B09-4837-A80B-0EF060874FD3}"/>
            </a:ext>
          </a:extLst>
        </xdr:cNvPr>
        <xdr:cNvCxnSpPr/>
      </xdr:nvCxnSpPr>
      <xdr:spPr>
        <a:xfrm>
          <a:off x="4520159" y="7243038"/>
          <a:ext cx="87052" cy="1020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136368</xdr:colOff>
      <xdr:row>30</xdr:row>
      <xdr:rowOff>26362</xdr:rowOff>
    </xdr:from>
    <xdr:to>
      <xdr:col>19</xdr:col>
      <xdr:colOff>225990</xdr:colOff>
      <xdr:row>30</xdr:row>
      <xdr:rowOff>127031</xdr:rowOff>
    </xdr:to>
    <xdr:cxnSp macro="">
      <xdr:nvCxnSpPr>
        <xdr:cNvPr id="550" name="直線コネクタ 549">
          <a:extLst>
            <a:ext uri="{FF2B5EF4-FFF2-40B4-BE49-F238E27FC236}">
              <a16:creationId xmlns:a16="http://schemas.microsoft.com/office/drawing/2014/main" id="{1D5F5E33-9E9F-400D-9F74-DB0848440294}"/>
            </a:ext>
          </a:extLst>
        </xdr:cNvPr>
        <xdr:cNvCxnSpPr/>
      </xdr:nvCxnSpPr>
      <xdr:spPr>
        <a:xfrm>
          <a:off x="4479768" y="7246312"/>
          <a:ext cx="89622" cy="100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136404</xdr:colOff>
      <xdr:row>30</xdr:row>
      <xdr:rowOff>80892</xdr:rowOff>
    </xdr:from>
    <xdr:to>
      <xdr:col>19</xdr:col>
      <xdr:colOff>162027</xdr:colOff>
      <xdr:row>30</xdr:row>
      <xdr:rowOff>111618</xdr:rowOff>
    </xdr:to>
    <xdr:cxnSp macro="">
      <xdr:nvCxnSpPr>
        <xdr:cNvPr id="551" name="直線コネクタ 550">
          <a:extLst>
            <a:ext uri="{FF2B5EF4-FFF2-40B4-BE49-F238E27FC236}">
              <a16:creationId xmlns:a16="http://schemas.microsoft.com/office/drawing/2014/main" id="{C36314F2-26C2-40C8-9524-0666234DA25F}"/>
            </a:ext>
          </a:extLst>
        </xdr:cNvPr>
        <xdr:cNvCxnSpPr/>
      </xdr:nvCxnSpPr>
      <xdr:spPr>
        <a:xfrm flipH="1">
          <a:off x="4479804" y="7300842"/>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156688</xdr:colOff>
      <xdr:row>30</xdr:row>
      <xdr:rowOff>98089</xdr:rowOff>
    </xdr:from>
    <xdr:to>
      <xdr:col>19</xdr:col>
      <xdr:colOff>180487</xdr:colOff>
      <xdr:row>30</xdr:row>
      <xdr:rowOff>126341</xdr:rowOff>
    </xdr:to>
    <xdr:cxnSp macro="">
      <xdr:nvCxnSpPr>
        <xdr:cNvPr id="552" name="直線コネクタ 551">
          <a:extLst>
            <a:ext uri="{FF2B5EF4-FFF2-40B4-BE49-F238E27FC236}">
              <a16:creationId xmlns:a16="http://schemas.microsoft.com/office/drawing/2014/main" id="{B5B4FE58-09A8-42E8-92CE-108726390DC3}"/>
            </a:ext>
          </a:extLst>
        </xdr:cNvPr>
        <xdr:cNvCxnSpPr/>
      </xdr:nvCxnSpPr>
      <xdr:spPr>
        <a:xfrm flipH="1">
          <a:off x="4500088" y="7318039"/>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213894</xdr:colOff>
      <xdr:row>29</xdr:row>
      <xdr:rowOff>10140</xdr:rowOff>
    </xdr:from>
    <xdr:to>
      <xdr:col>34</xdr:col>
      <xdr:colOff>120454</xdr:colOff>
      <xdr:row>29</xdr:row>
      <xdr:rowOff>10140</xdr:rowOff>
    </xdr:to>
    <xdr:cxnSp macro="">
      <xdr:nvCxnSpPr>
        <xdr:cNvPr id="553" name="直線コネクタ 552">
          <a:extLst>
            <a:ext uri="{FF2B5EF4-FFF2-40B4-BE49-F238E27FC236}">
              <a16:creationId xmlns:a16="http://schemas.microsoft.com/office/drawing/2014/main" id="{8663FFE1-0E8A-4B6D-AAE8-BACD6EE6DEE6}"/>
            </a:ext>
          </a:extLst>
        </xdr:cNvPr>
        <xdr:cNvCxnSpPr/>
      </xdr:nvCxnSpPr>
      <xdr:spPr>
        <a:xfrm>
          <a:off x="6157494" y="6991965"/>
          <a:ext cx="173536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38611</xdr:colOff>
      <xdr:row>24</xdr:row>
      <xdr:rowOff>109475</xdr:rowOff>
    </xdr:from>
    <xdr:to>
      <xdr:col>25</xdr:col>
      <xdr:colOff>200288</xdr:colOff>
      <xdr:row>24</xdr:row>
      <xdr:rowOff>109475</xdr:rowOff>
    </xdr:to>
    <xdr:cxnSp macro="">
      <xdr:nvCxnSpPr>
        <xdr:cNvPr id="554" name="直線コネクタ 553">
          <a:extLst>
            <a:ext uri="{FF2B5EF4-FFF2-40B4-BE49-F238E27FC236}">
              <a16:creationId xmlns:a16="http://schemas.microsoft.com/office/drawing/2014/main" id="{FE744C97-EEA1-4FA7-8788-A840EAF3AF21}"/>
            </a:ext>
          </a:extLst>
        </xdr:cNvPr>
        <xdr:cNvCxnSpPr/>
      </xdr:nvCxnSpPr>
      <xdr:spPr>
        <a:xfrm>
          <a:off x="5067811" y="5900675"/>
          <a:ext cx="847477"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28585</xdr:colOff>
      <xdr:row>25</xdr:row>
      <xdr:rowOff>25518</xdr:rowOff>
    </xdr:from>
    <xdr:to>
      <xdr:col>25</xdr:col>
      <xdr:colOff>187881</xdr:colOff>
      <xdr:row>25</xdr:row>
      <xdr:rowOff>25518</xdr:rowOff>
    </xdr:to>
    <xdr:cxnSp macro="">
      <xdr:nvCxnSpPr>
        <xdr:cNvPr id="555" name="直線コネクタ 554">
          <a:extLst>
            <a:ext uri="{FF2B5EF4-FFF2-40B4-BE49-F238E27FC236}">
              <a16:creationId xmlns:a16="http://schemas.microsoft.com/office/drawing/2014/main" id="{C14E5CB5-CD68-4AF5-BBA7-6492284D35F9}"/>
            </a:ext>
          </a:extLst>
        </xdr:cNvPr>
        <xdr:cNvCxnSpPr/>
      </xdr:nvCxnSpPr>
      <xdr:spPr>
        <a:xfrm>
          <a:off x="5057785" y="6054843"/>
          <a:ext cx="845096"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195902</xdr:colOff>
      <xdr:row>24</xdr:row>
      <xdr:rowOff>114371</xdr:rowOff>
    </xdr:from>
    <xdr:to>
      <xdr:col>25</xdr:col>
      <xdr:colOff>195902</xdr:colOff>
      <xdr:row>25</xdr:row>
      <xdr:rowOff>25903</xdr:rowOff>
    </xdr:to>
    <xdr:cxnSp macro="">
      <xdr:nvCxnSpPr>
        <xdr:cNvPr id="556" name="直線コネクタ 555">
          <a:extLst>
            <a:ext uri="{FF2B5EF4-FFF2-40B4-BE49-F238E27FC236}">
              <a16:creationId xmlns:a16="http://schemas.microsoft.com/office/drawing/2014/main" id="{CA96F753-6908-4279-A7AC-6606B0CF5A2D}"/>
            </a:ext>
          </a:extLst>
        </xdr:cNvPr>
        <xdr:cNvCxnSpPr/>
      </xdr:nvCxnSpPr>
      <xdr:spPr>
        <a:xfrm>
          <a:off x="5910902" y="5905571"/>
          <a:ext cx="0" cy="1496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225497</xdr:colOff>
      <xdr:row>24</xdr:row>
      <xdr:rowOff>104166</xdr:rowOff>
    </xdr:from>
    <xdr:to>
      <xdr:col>25</xdr:col>
      <xdr:colOff>225497</xdr:colOff>
      <xdr:row>25</xdr:row>
      <xdr:rowOff>31597</xdr:rowOff>
    </xdr:to>
    <xdr:cxnSp macro="">
      <xdr:nvCxnSpPr>
        <xdr:cNvPr id="557" name="直線コネクタ 556">
          <a:extLst>
            <a:ext uri="{FF2B5EF4-FFF2-40B4-BE49-F238E27FC236}">
              <a16:creationId xmlns:a16="http://schemas.microsoft.com/office/drawing/2014/main" id="{203B2772-FAE1-473C-B3A8-4E83AD017DDE}"/>
            </a:ext>
          </a:extLst>
        </xdr:cNvPr>
        <xdr:cNvCxnSpPr/>
      </xdr:nvCxnSpPr>
      <xdr:spPr>
        <a:xfrm>
          <a:off x="5940497" y="5895366"/>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137542</xdr:colOff>
      <xdr:row>24</xdr:row>
      <xdr:rowOff>104166</xdr:rowOff>
    </xdr:from>
    <xdr:to>
      <xdr:col>26</xdr:col>
      <xdr:colOff>137542</xdr:colOff>
      <xdr:row>25</xdr:row>
      <xdr:rowOff>31597</xdr:rowOff>
    </xdr:to>
    <xdr:cxnSp macro="">
      <xdr:nvCxnSpPr>
        <xdr:cNvPr id="558" name="直線コネクタ 557">
          <a:extLst>
            <a:ext uri="{FF2B5EF4-FFF2-40B4-BE49-F238E27FC236}">
              <a16:creationId xmlns:a16="http://schemas.microsoft.com/office/drawing/2014/main" id="{C654B960-FE90-410C-81E7-6CC86B9617E9}"/>
            </a:ext>
          </a:extLst>
        </xdr:cNvPr>
        <xdr:cNvCxnSpPr/>
      </xdr:nvCxnSpPr>
      <xdr:spPr>
        <a:xfrm>
          <a:off x="6081142" y="5895366"/>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224427</xdr:colOff>
      <xdr:row>24</xdr:row>
      <xdr:rowOff>192337</xdr:rowOff>
    </xdr:from>
    <xdr:to>
      <xdr:col>26</xdr:col>
      <xdr:colOff>133071</xdr:colOff>
      <xdr:row>24</xdr:row>
      <xdr:rowOff>192337</xdr:rowOff>
    </xdr:to>
    <xdr:cxnSp macro="">
      <xdr:nvCxnSpPr>
        <xdr:cNvPr id="559" name="直線コネクタ 558">
          <a:extLst>
            <a:ext uri="{FF2B5EF4-FFF2-40B4-BE49-F238E27FC236}">
              <a16:creationId xmlns:a16="http://schemas.microsoft.com/office/drawing/2014/main" id="{A9A55D19-9E0E-4FF6-97EA-F70F71B5B861}"/>
            </a:ext>
          </a:extLst>
        </xdr:cNvPr>
        <xdr:cNvCxnSpPr/>
      </xdr:nvCxnSpPr>
      <xdr:spPr>
        <a:xfrm>
          <a:off x="5939427" y="5983537"/>
          <a:ext cx="137244"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193520</xdr:colOff>
      <xdr:row>24</xdr:row>
      <xdr:rowOff>198458</xdr:rowOff>
    </xdr:from>
    <xdr:to>
      <xdr:col>33</xdr:col>
      <xdr:colOff>4557</xdr:colOff>
      <xdr:row>24</xdr:row>
      <xdr:rowOff>198458</xdr:rowOff>
    </xdr:to>
    <xdr:cxnSp macro="">
      <xdr:nvCxnSpPr>
        <xdr:cNvPr id="560" name="直線コネクタ 559">
          <a:extLst>
            <a:ext uri="{FF2B5EF4-FFF2-40B4-BE49-F238E27FC236}">
              <a16:creationId xmlns:a16="http://schemas.microsoft.com/office/drawing/2014/main" id="{B7F40277-3908-43EE-9388-C339524797EC}"/>
            </a:ext>
          </a:extLst>
        </xdr:cNvPr>
        <xdr:cNvCxnSpPr/>
      </xdr:nvCxnSpPr>
      <xdr:spPr>
        <a:xfrm>
          <a:off x="6137120" y="5989658"/>
          <a:ext cx="141123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169575</xdr:colOff>
      <xdr:row>20</xdr:row>
      <xdr:rowOff>223727</xdr:rowOff>
    </xdr:from>
    <xdr:to>
      <xdr:col>34</xdr:col>
      <xdr:colOff>183461</xdr:colOff>
      <xdr:row>22</xdr:row>
      <xdr:rowOff>10067</xdr:rowOff>
    </xdr:to>
    <xdr:sp macro="" textlink="">
      <xdr:nvSpPr>
        <xdr:cNvPr id="562" name="テキスト ボックス 561">
          <a:extLst>
            <a:ext uri="{FF2B5EF4-FFF2-40B4-BE49-F238E27FC236}">
              <a16:creationId xmlns:a16="http://schemas.microsoft.com/office/drawing/2014/main" id="{D0CB74DA-BC5E-477E-802D-641900BD2E28}"/>
            </a:ext>
          </a:extLst>
        </xdr:cNvPr>
        <xdr:cNvSpPr txBox="1"/>
      </xdr:nvSpPr>
      <xdr:spPr>
        <a:xfrm>
          <a:off x="6798975" y="5062427"/>
          <a:ext cx="1156886" cy="262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 </a:t>
          </a:r>
          <a:r>
            <a:rPr kumimoji="1" lang="en-US" altLang="ja-JP" sz="1100"/>
            <a:t>2.80m</a:t>
          </a:r>
          <a:endParaRPr kumimoji="1" lang="ja-JP" altLang="en-US" sz="1100"/>
        </a:p>
      </xdr:txBody>
    </xdr:sp>
    <xdr:clientData/>
  </xdr:twoCellAnchor>
  <xdr:twoCellAnchor>
    <xdr:from>
      <xdr:col>29</xdr:col>
      <xdr:colOff>169574</xdr:colOff>
      <xdr:row>26</xdr:row>
      <xdr:rowOff>9842</xdr:rowOff>
    </xdr:from>
    <xdr:to>
      <xdr:col>34</xdr:col>
      <xdr:colOff>191744</xdr:colOff>
      <xdr:row>27</xdr:row>
      <xdr:rowOff>32237</xdr:rowOff>
    </xdr:to>
    <xdr:sp macro="" textlink="">
      <xdr:nvSpPr>
        <xdr:cNvPr id="563" name="テキスト ボックス 562">
          <a:extLst>
            <a:ext uri="{FF2B5EF4-FFF2-40B4-BE49-F238E27FC236}">
              <a16:creationId xmlns:a16="http://schemas.microsoft.com/office/drawing/2014/main" id="{AA5F1ACE-D246-4EFE-8A71-13EB6011F55C}"/>
            </a:ext>
          </a:extLst>
        </xdr:cNvPr>
        <xdr:cNvSpPr txBox="1"/>
      </xdr:nvSpPr>
      <xdr:spPr>
        <a:xfrm>
          <a:off x="6798974" y="6277292"/>
          <a:ext cx="1165170"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 </a:t>
          </a:r>
          <a:r>
            <a:rPr kumimoji="1" lang="en-US" altLang="ja-JP" sz="1100"/>
            <a:t>2.20m</a:t>
          </a:r>
          <a:endParaRPr kumimoji="1" lang="ja-JP" altLang="en-US" sz="1100"/>
        </a:p>
      </xdr:txBody>
    </xdr:sp>
    <xdr:clientData/>
  </xdr:twoCellAnchor>
  <xdr:twoCellAnchor>
    <xdr:from>
      <xdr:col>21</xdr:col>
      <xdr:colOff>84698</xdr:colOff>
      <xdr:row>31</xdr:row>
      <xdr:rowOff>19133</xdr:rowOff>
    </xdr:from>
    <xdr:to>
      <xdr:col>26</xdr:col>
      <xdr:colOff>203247</xdr:colOff>
      <xdr:row>31</xdr:row>
      <xdr:rowOff>19133</xdr:rowOff>
    </xdr:to>
    <xdr:cxnSp macro="">
      <xdr:nvCxnSpPr>
        <xdr:cNvPr id="564" name="直線コネクタ 563">
          <a:extLst>
            <a:ext uri="{FF2B5EF4-FFF2-40B4-BE49-F238E27FC236}">
              <a16:creationId xmlns:a16="http://schemas.microsoft.com/office/drawing/2014/main" id="{1DEE5160-31D2-4BFE-9EBE-A1D78C719E75}"/>
            </a:ext>
          </a:extLst>
        </xdr:cNvPr>
        <xdr:cNvCxnSpPr/>
      </xdr:nvCxnSpPr>
      <xdr:spPr>
        <a:xfrm>
          <a:off x="4885298" y="7477208"/>
          <a:ext cx="1261549"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130543</xdr:colOff>
      <xdr:row>30</xdr:row>
      <xdr:rowOff>63977</xdr:rowOff>
    </xdr:from>
    <xdr:to>
      <xdr:col>27</xdr:col>
      <xdr:colOff>29283</xdr:colOff>
      <xdr:row>30</xdr:row>
      <xdr:rowOff>187637</xdr:rowOff>
    </xdr:to>
    <xdr:sp macro="" textlink="">
      <xdr:nvSpPr>
        <xdr:cNvPr id="91" name="楕円 90">
          <a:extLst>
            <a:ext uri="{FF2B5EF4-FFF2-40B4-BE49-F238E27FC236}">
              <a16:creationId xmlns:a16="http://schemas.microsoft.com/office/drawing/2014/main" id="{80E290C9-ED44-4124-9171-2991988941C9}"/>
            </a:ext>
          </a:extLst>
        </xdr:cNvPr>
        <xdr:cNvSpPr/>
      </xdr:nvSpPr>
      <xdr:spPr>
        <a:xfrm>
          <a:off x="6074143" y="7283927"/>
          <a:ext cx="127340" cy="12366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43008</xdr:colOff>
      <xdr:row>30</xdr:row>
      <xdr:rowOff>119527</xdr:rowOff>
    </xdr:from>
    <xdr:to>
      <xdr:col>26</xdr:col>
      <xdr:colOff>74773</xdr:colOff>
      <xdr:row>30</xdr:row>
      <xdr:rowOff>119527</xdr:rowOff>
    </xdr:to>
    <xdr:cxnSp macro="">
      <xdr:nvCxnSpPr>
        <xdr:cNvPr id="41" name="直線矢印コネクタ 40">
          <a:extLst>
            <a:ext uri="{FF2B5EF4-FFF2-40B4-BE49-F238E27FC236}">
              <a16:creationId xmlns:a16="http://schemas.microsoft.com/office/drawing/2014/main" id="{25F61B25-AD57-47F4-98DB-C926B0F94072}"/>
            </a:ext>
          </a:extLst>
        </xdr:cNvPr>
        <xdr:cNvCxnSpPr/>
      </xdr:nvCxnSpPr>
      <xdr:spPr>
        <a:xfrm>
          <a:off x="5529408" y="7339477"/>
          <a:ext cx="488965"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122085</xdr:colOff>
      <xdr:row>19</xdr:row>
      <xdr:rowOff>8043</xdr:rowOff>
    </xdr:from>
    <xdr:to>
      <xdr:col>32</xdr:col>
      <xdr:colOff>122085</xdr:colOff>
      <xdr:row>24</xdr:row>
      <xdr:rowOff>197954</xdr:rowOff>
    </xdr:to>
    <xdr:cxnSp macro="">
      <xdr:nvCxnSpPr>
        <xdr:cNvPr id="531" name="直線矢印コネクタ 530">
          <a:extLst>
            <a:ext uri="{FF2B5EF4-FFF2-40B4-BE49-F238E27FC236}">
              <a16:creationId xmlns:a16="http://schemas.microsoft.com/office/drawing/2014/main" id="{58BDC897-E9E1-90B9-64F4-CA4723BE645D}"/>
            </a:ext>
          </a:extLst>
        </xdr:cNvPr>
        <xdr:cNvCxnSpPr/>
      </xdr:nvCxnSpPr>
      <xdr:spPr>
        <a:xfrm>
          <a:off x="7437285" y="4608618"/>
          <a:ext cx="0" cy="13805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122085</xdr:colOff>
      <xdr:row>24</xdr:row>
      <xdr:rowOff>188189</xdr:rowOff>
    </xdr:from>
    <xdr:to>
      <xdr:col>32</xdr:col>
      <xdr:colOff>122085</xdr:colOff>
      <xdr:row>29</xdr:row>
      <xdr:rowOff>9525</xdr:rowOff>
    </xdr:to>
    <xdr:cxnSp macro="">
      <xdr:nvCxnSpPr>
        <xdr:cNvPr id="561" name="直線矢印コネクタ 560">
          <a:extLst>
            <a:ext uri="{FF2B5EF4-FFF2-40B4-BE49-F238E27FC236}">
              <a16:creationId xmlns:a16="http://schemas.microsoft.com/office/drawing/2014/main" id="{DF046140-0C25-A62C-249B-8A7506217658}"/>
            </a:ext>
          </a:extLst>
        </xdr:cNvPr>
        <xdr:cNvCxnSpPr/>
      </xdr:nvCxnSpPr>
      <xdr:spPr>
        <a:xfrm>
          <a:off x="7437285" y="5979389"/>
          <a:ext cx="0" cy="10119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1158</xdr:colOff>
      <xdr:row>24</xdr:row>
      <xdr:rowOff>188189</xdr:rowOff>
    </xdr:from>
    <xdr:to>
      <xdr:col>24</xdr:col>
      <xdr:colOff>1158</xdr:colOff>
      <xdr:row>30</xdr:row>
      <xdr:rowOff>139976</xdr:rowOff>
    </xdr:to>
    <xdr:cxnSp macro="">
      <xdr:nvCxnSpPr>
        <xdr:cNvPr id="569" name="直線矢印コネクタ 568">
          <a:extLst>
            <a:ext uri="{FF2B5EF4-FFF2-40B4-BE49-F238E27FC236}">
              <a16:creationId xmlns:a16="http://schemas.microsoft.com/office/drawing/2014/main" id="{21654EE9-C85D-2A38-1405-01F88210B32F}"/>
            </a:ext>
          </a:extLst>
        </xdr:cNvPr>
        <xdr:cNvCxnSpPr/>
      </xdr:nvCxnSpPr>
      <xdr:spPr>
        <a:xfrm>
          <a:off x="5487558" y="5979389"/>
          <a:ext cx="0" cy="138053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122085</xdr:colOff>
      <xdr:row>28</xdr:row>
      <xdr:rowOff>216764</xdr:rowOff>
    </xdr:from>
    <xdr:to>
      <xdr:col>32</xdr:col>
      <xdr:colOff>122085</xdr:colOff>
      <xdr:row>30</xdr:row>
      <xdr:rowOff>0</xdr:rowOff>
    </xdr:to>
    <xdr:cxnSp macro="">
      <xdr:nvCxnSpPr>
        <xdr:cNvPr id="571" name="直線矢印コネクタ 570">
          <a:extLst>
            <a:ext uri="{FF2B5EF4-FFF2-40B4-BE49-F238E27FC236}">
              <a16:creationId xmlns:a16="http://schemas.microsoft.com/office/drawing/2014/main" id="{A0EAF090-9D1E-85D8-E205-CF88F8A04547}"/>
            </a:ext>
          </a:extLst>
        </xdr:cNvPr>
        <xdr:cNvCxnSpPr/>
      </xdr:nvCxnSpPr>
      <xdr:spPr>
        <a:xfrm>
          <a:off x="7437285" y="6960464"/>
          <a:ext cx="0" cy="2594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122085</xdr:colOff>
      <xdr:row>29</xdr:row>
      <xdr:rowOff>235814</xdr:rowOff>
    </xdr:from>
    <xdr:to>
      <xdr:col>32</xdr:col>
      <xdr:colOff>122085</xdr:colOff>
      <xdr:row>31</xdr:row>
      <xdr:rowOff>0</xdr:rowOff>
    </xdr:to>
    <xdr:cxnSp macro="">
      <xdr:nvCxnSpPr>
        <xdr:cNvPr id="573" name="直線矢印コネクタ 572">
          <a:extLst>
            <a:ext uri="{FF2B5EF4-FFF2-40B4-BE49-F238E27FC236}">
              <a16:creationId xmlns:a16="http://schemas.microsoft.com/office/drawing/2014/main" id="{6D79ED9D-CE2F-730F-B651-394C61D8E424}"/>
            </a:ext>
          </a:extLst>
        </xdr:cNvPr>
        <xdr:cNvCxnSpPr/>
      </xdr:nvCxnSpPr>
      <xdr:spPr>
        <a:xfrm>
          <a:off x="7437285" y="7217639"/>
          <a:ext cx="0" cy="2404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187917</xdr:colOff>
      <xdr:row>31</xdr:row>
      <xdr:rowOff>1669</xdr:rowOff>
    </xdr:from>
    <xdr:to>
      <xdr:col>34</xdr:col>
      <xdr:colOff>129979</xdr:colOff>
      <xdr:row>31</xdr:row>
      <xdr:rowOff>1669</xdr:rowOff>
    </xdr:to>
    <xdr:cxnSp macro="">
      <xdr:nvCxnSpPr>
        <xdr:cNvPr id="575" name="直線コネクタ 574">
          <a:extLst>
            <a:ext uri="{FF2B5EF4-FFF2-40B4-BE49-F238E27FC236}">
              <a16:creationId xmlns:a16="http://schemas.microsoft.com/office/drawing/2014/main" id="{8C1BF9C2-D733-D329-A68D-A8CED6CA3842}"/>
            </a:ext>
          </a:extLst>
        </xdr:cNvPr>
        <xdr:cNvCxnSpPr/>
      </xdr:nvCxnSpPr>
      <xdr:spPr>
        <a:xfrm>
          <a:off x="6131517" y="7459744"/>
          <a:ext cx="177086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32</xdr:col>
      <xdr:colOff>60167</xdr:colOff>
      <xdr:row>54</xdr:row>
      <xdr:rowOff>111570</xdr:rowOff>
    </xdr:from>
    <xdr:to>
      <xdr:col>32</xdr:col>
      <xdr:colOff>60167</xdr:colOff>
      <xdr:row>56</xdr:row>
      <xdr:rowOff>110751</xdr:rowOff>
    </xdr:to>
    <xdr:cxnSp macro="">
      <xdr:nvCxnSpPr>
        <xdr:cNvPr id="2" name="直線矢印コネクタ 1">
          <a:extLst>
            <a:ext uri="{FF2B5EF4-FFF2-40B4-BE49-F238E27FC236}">
              <a16:creationId xmlns:a16="http://schemas.microsoft.com/office/drawing/2014/main" id="{7F546CC0-42C2-48C2-9B7D-722739938CAE}"/>
            </a:ext>
          </a:extLst>
        </xdr:cNvPr>
        <xdr:cNvCxnSpPr/>
      </xdr:nvCxnSpPr>
      <xdr:spPr>
        <a:xfrm>
          <a:off x="7299167" y="13089383"/>
          <a:ext cx="0" cy="47543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140341</xdr:colOff>
      <xdr:row>54</xdr:row>
      <xdr:rowOff>108576</xdr:rowOff>
    </xdr:from>
    <xdr:to>
      <xdr:col>33</xdr:col>
      <xdr:colOff>59525</xdr:colOff>
      <xdr:row>54</xdr:row>
      <xdr:rowOff>108576</xdr:rowOff>
    </xdr:to>
    <xdr:cxnSp macro="">
      <xdr:nvCxnSpPr>
        <xdr:cNvPr id="3" name="直線コネクタ 2">
          <a:extLst>
            <a:ext uri="{FF2B5EF4-FFF2-40B4-BE49-F238E27FC236}">
              <a16:creationId xmlns:a16="http://schemas.microsoft.com/office/drawing/2014/main" id="{22A792A5-8946-44FA-86AB-ACEEF241C294}"/>
            </a:ext>
          </a:extLst>
        </xdr:cNvPr>
        <xdr:cNvCxnSpPr/>
      </xdr:nvCxnSpPr>
      <xdr:spPr>
        <a:xfrm>
          <a:off x="6022029" y="13086389"/>
          <a:ext cx="15027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83108</xdr:colOff>
      <xdr:row>54</xdr:row>
      <xdr:rowOff>119693</xdr:rowOff>
    </xdr:from>
    <xdr:to>
      <xdr:col>30</xdr:col>
      <xdr:colOff>173927</xdr:colOff>
      <xdr:row>54</xdr:row>
      <xdr:rowOff>183183</xdr:rowOff>
    </xdr:to>
    <xdr:cxnSp macro="">
      <xdr:nvCxnSpPr>
        <xdr:cNvPr id="4" name="直線コネクタ 3">
          <a:extLst>
            <a:ext uri="{FF2B5EF4-FFF2-40B4-BE49-F238E27FC236}">
              <a16:creationId xmlns:a16="http://schemas.microsoft.com/office/drawing/2014/main" id="{F333A525-049B-4181-AAD8-C9978491DA2E}"/>
            </a:ext>
          </a:extLst>
        </xdr:cNvPr>
        <xdr:cNvCxnSpPr/>
      </xdr:nvCxnSpPr>
      <xdr:spPr>
        <a:xfrm>
          <a:off x="6869671" y="13097506"/>
          <a:ext cx="90819"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35790</xdr:colOff>
      <xdr:row>54</xdr:row>
      <xdr:rowOff>121537</xdr:rowOff>
    </xdr:from>
    <xdr:to>
      <xdr:col>30</xdr:col>
      <xdr:colOff>123887</xdr:colOff>
      <xdr:row>54</xdr:row>
      <xdr:rowOff>194552</xdr:rowOff>
    </xdr:to>
    <xdr:cxnSp macro="">
      <xdr:nvCxnSpPr>
        <xdr:cNvPr id="5" name="直線コネクタ 4">
          <a:extLst>
            <a:ext uri="{FF2B5EF4-FFF2-40B4-BE49-F238E27FC236}">
              <a16:creationId xmlns:a16="http://schemas.microsoft.com/office/drawing/2014/main" id="{A0A6470C-18F7-4306-823B-A80E5D2068F0}"/>
            </a:ext>
          </a:extLst>
        </xdr:cNvPr>
        <xdr:cNvCxnSpPr/>
      </xdr:nvCxnSpPr>
      <xdr:spPr>
        <a:xfrm>
          <a:off x="6822353" y="13099350"/>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35826</xdr:colOff>
      <xdr:row>54</xdr:row>
      <xdr:rowOff>155005</xdr:rowOff>
    </xdr:from>
    <xdr:to>
      <xdr:col>30</xdr:col>
      <xdr:colOff>66552</xdr:colOff>
      <xdr:row>54</xdr:row>
      <xdr:rowOff>178277</xdr:rowOff>
    </xdr:to>
    <xdr:cxnSp macro="">
      <xdr:nvCxnSpPr>
        <xdr:cNvPr id="6" name="直線コネクタ 5">
          <a:extLst>
            <a:ext uri="{FF2B5EF4-FFF2-40B4-BE49-F238E27FC236}">
              <a16:creationId xmlns:a16="http://schemas.microsoft.com/office/drawing/2014/main" id="{2E2986EC-5475-4DC3-80E8-B98B9C698286}"/>
            </a:ext>
          </a:extLst>
        </xdr:cNvPr>
        <xdr:cNvCxnSpPr/>
      </xdr:nvCxnSpPr>
      <xdr:spPr>
        <a:xfrm flipH="1">
          <a:off x="6822389" y="13132818"/>
          <a:ext cx="30726" cy="232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57243</xdr:colOff>
      <xdr:row>54</xdr:row>
      <xdr:rowOff>174274</xdr:rowOff>
    </xdr:from>
    <xdr:to>
      <xdr:col>30</xdr:col>
      <xdr:colOff>87919</xdr:colOff>
      <xdr:row>54</xdr:row>
      <xdr:rowOff>184342</xdr:rowOff>
    </xdr:to>
    <xdr:cxnSp macro="">
      <xdr:nvCxnSpPr>
        <xdr:cNvPr id="7" name="直線コネクタ 6">
          <a:extLst>
            <a:ext uri="{FF2B5EF4-FFF2-40B4-BE49-F238E27FC236}">
              <a16:creationId xmlns:a16="http://schemas.microsoft.com/office/drawing/2014/main" id="{4CA4A133-C655-43EF-96F2-7D48807FBD4E}"/>
            </a:ext>
          </a:extLst>
        </xdr:cNvPr>
        <xdr:cNvCxnSpPr/>
      </xdr:nvCxnSpPr>
      <xdr:spPr>
        <a:xfrm flipH="1">
          <a:off x="6843806" y="13152087"/>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225881</xdr:colOff>
      <xdr:row>54</xdr:row>
      <xdr:rowOff>113844</xdr:rowOff>
    </xdr:from>
    <xdr:to>
      <xdr:col>31</xdr:col>
      <xdr:colOff>90186</xdr:colOff>
      <xdr:row>54</xdr:row>
      <xdr:rowOff>188219</xdr:rowOff>
    </xdr:to>
    <xdr:cxnSp macro="">
      <xdr:nvCxnSpPr>
        <xdr:cNvPr id="8" name="直線コネクタ 7">
          <a:extLst>
            <a:ext uri="{FF2B5EF4-FFF2-40B4-BE49-F238E27FC236}">
              <a16:creationId xmlns:a16="http://schemas.microsoft.com/office/drawing/2014/main" id="{C218EAB5-7DAC-4D51-A40F-823B9301F890}"/>
            </a:ext>
          </a:extLst>
        </xdr:cNvPr>
        <xdr:cNvCxnSpPr/>
      </xdr:nvCxnSpPr>
      <xdr:spPr>
        <a:xfrm>
          <a:off x="7012444" y="13091657"/>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178563</xdr:colOff>
      <xdr:row>54</xdr:row>
      <xdr:rowOff>115688</xdr:rowOff>
    </xdr:from>
    <xdr:to>
      <xdr:col>31</xdr:col>
      <xdr:colOff>41787</xdr:colOff>
      <xdr:row>54</xdr:row>
      <xdr:rowOff>184868</xdr:rowOff>
    </xdr:to>
    <xdr:cxnSp macro="">
      <xdr:nvCxnSpPr>
        <xdr:cNvPr id="9" name="直線コネクタ 8">
          <a:extLst>
            <a:ext uri="{FF2B5EF4-FFF2-40B4-BE49-F238E27FC236}">
              <a16:creationId xmlns:a16="http://schemas.microsoft.com/office/drawing/2014/main" id="{2B7636E8-4551-4CE4-B199-7C467D7C5036}"/>
            </a:ext>
          </a:extLst>
        </xdr:cNvPr>
        <xdr:cNvCxnSpPr/>
      </xdr:nvCxnSpPr>
      <xdr:spPr>
        <a:xfrm>
          <a:off x="6965126" y="13093501"/>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178599</xdr:colOff>
      <xdr:row>54</xdr:row>
      <xdr:rowOff>143057</xdr:rowOff>
    </xdr:from>
    <xdr:to>
      <xdr:col>30</xdr:col>
      <xdr:colOff>209325</xdr:colOff>
      <xdr:row>54</xdr:row>
      <xdr:rowOff>183308</xdr:rowOff>
    </xdr:to>
    <xdr:cxnSp macro="">
      <xdr:nvCxnSpPr>
        <xdr:cNvPr id="10" name="直線コネクタ 9">
          <a:extLst>
            <a:ext uri="{FF2B5EF4-FFF2-40B4-BE49-F238E27FC236}">
              <a16:creationId xmlns:a16="http://schemas.microsoft.com/office/drawing/2014/main" id="{9A9A9DA0-E660-4B88-9140-C71E9DB439BF}"/>
            </a:ext>
          </a:extLst>
        </xdr:cNvPr>
        <xdr:cNvCxnSpPr/>
      </xdr:nvCxnSpPr>
      <xdr:spPr>
        <a:xfrm flipH="1">
          <a:off x="6965162" y="13120870"/>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198883</xdr:colOff>
      <xdr:row>54</xdr:row>
      <xdr:rowOff>169780</xdr:rowOff>
    </xdr:from>
    <xdr:to>
      <xdr:col>31</xdr:col>
      <xdr:colOff>3391</xdr:colOff>
      <xdr:row>54</xdr:row>
      <xdr:rowOff>189373</xdr:rowOff>
    </xdr:to>
    <xdr:cxnSp macro="">
      <xdr:nvCxnSpPr>
        <xdr:cNvPr id="11" name="直線コネクタ 10">
          <a:extLst>
            <a:ext uri="{FF2B5EF4-FFF2-40B4-BE49-F238E27FC236}">
              <a16:creationId xmlns:a16="http://schemas.microsoft.com/office/drawing/2014/main" id="{21D6C0CC-B34D-4672-836F-13499F101D6A}"/>
            </a:ext>
          </a:extLst>
        </xdr:cNvPr>
        <xdr:cNvCxnSpPr/>
      </xdr:nvCxnSpPr>
      <xdr:spPr>
        <a:xfrm flipH="1">
          <a:off x="6985446" y="13147593"/>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142338</xdr:colOff>
      <xdr:row>54</xdr:row>
      <xdr:rowOff>97522</xdr:rowOff>
    </xdr:from>
    <xdr:to>
      <xdr:col>26</xdr:col>
      <xdr:colOff>142338</xdr:colOff>
      <xdr:row>70</xdr:row>
      <xdr:rowOff>142422</xdr:rowOff>
    </xdr:to>
    <xdr:cxnSp macro="">
      <xdr:nvCxnSpPr>
        <xdr:cNvPr id="16" name="直線コネクタ 15">
          <a:extLst>
            <a:ext uri="{FF2B5EF4-FFF2-40B4-BE49-F238E27FC236}">
              <a16:creationId xmlns:a16="http://schemas.microsoft.com/office/drawing/2014/main" id="{235F0E01-90F2-4FD9-819D-DE2A68CE35CE}"/>
            </a:ext>
          </a:extLst>
        </xdr:cNvPr>
        <xdr:cNvCxnSpPr/>
      </xdr:nvCxnSpPr>
      <xdr:spPr>
        <a:xfrm>
          <a:off x="6024026" y="13075335"/>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166681</xdr:colOff>
      <xdr:row>56</xdr:row>
      <xdr:rowOff>103344</xdr:rowOff>
    </xdr:from>
    <xdr:to>
      <xdr:col>33</xdr:col>
      <xdr:colOff>35712</xdr:colOff>
      <xdr:row>56</xdr:row>
      <xdr:rowOff>103344</xdr:rowOff>
    </xdr:to>
    <xdr:cxnSp macro="">
      <xdr:nvCxnSpPr>
        <xdr:cNvPr id="17" name="直線コネクタ 16">
          <a:extLst>
            <a:ext uri="{FF2B5EF4-FFF2-40B4-BE49-F238E27FC236}">
              <a16:creationId xmlns:a16="http://schemas.microsoft.com/office/drawing/2014/main" id="{B641651D-C34D-4430-925B-5E9791BC882C}"/>
            </a:ext>
          </a:extLst>
        </xdr:cNvPr>
        <xdr:cNvCxnSpPr/>
      </xdr:nvCxnSpPr>
      <xdr:spPr>
        <a:xfrm>
          <a:off x="6953244" y="13557407"/>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149455</xdr:colOff>
      <xdr:row>55</xdr:row>
      <xdr:rowOff>3948</xdr:rowOff>
    </xdr:from>
    <xdr:to>
      <xdr:col>34</xdr:col>
      <xdr:colOff>182107</xdr:colOff>
      <xdr:row>56</xdr:row>
      <xdr:rowOff>7089</xdr:rowOff>
    </xdr:to>
    <xdr:sp macro="" textlink="">
      <xdr:nvSpPr>
        <xdr:cNvPr id="18" name="テキスト ボックス 17">
          <a:extLst>
            <a:ext uri="{FF2B5EF4-FFF2-40B4-BE49-F238E27FC236}">
              <a16:creationId xmlns:a16="http://schemas.microsoft.com/office/drawing/2014/main" id="{2DFF3416-3EA3-42BB-A0E5-6796577F81D0}"/>
            </a:ext>
          </a:extLst>
        </xdr:cNvPr>
        <xdr:cNvSpPr txBox="1"/>
      </xdr:nvSpPr>
      <xdr:spPr>
        <a:xfrm>
          <a:off x="6936018" y="13219886"/>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32</xdr:col>
      <xdr:colOff>70716</xdr:colOff>
      <xdr:row>61</xdr:row>
      <xdr:rowOff>121896</xdr:rowOff>
    </xdr:from>
    <xdr:to>
      <xdr:col>34</xdr:col>
      <xdr:colOff>155231</xdr:colOff>
      <xdr:row>62</xdr:row>
      <xdr:rowOff>128577</xdr:rowOff>
    </xdr:to>
    <xdr:sp macro="" textlink="">
      <xdr:nvSpPr>
        <xdr:cNvPr id="19" name="テキスト ボックス 18">
          <a:extLst>
            <a:ext uri="{FF2B5EF4-FFF2-40B4-BE49-F238E27FC236}">
              <a16:creationId xmlns:a16="http://schemas.microsoft.com/office/drawing/2014/main" id="{7AD35A8B-DB67-4ED7-9B0F-5C9CFC6B4608}"/>
            </a:ext>
          </a:extLst>
        </xdr:cNvPr>
        <xdr:cNvSpPr txBox="1"/>
      </xdr:nvSpPr>
      <xdr:spPr>
        <a:xfrm>
          <a:off x="7309716" y="14766584"/>
          <a:ext cx="536953" cy="24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30</xdr:col>
      <xdr:colOff>119061</xdr:colOff>
      <xdr:row>67</xdr:row>
      <xdr:rowOff>96914</xdr:rowOff>
    </xdr:from>
    <xdr:to>
      <xdr:col>33</xdr:col>
      <xdr:colOff>44253</xdr:colOff>
      <xdr:row>67</xdr:row>
      <xdr:rowOff>96914</xdr:rowOff>
    </xdr:to>
    <xdr:cxnSp macro="">
      <xdr:nvCxnSpPr>
        <xdr:cNvPr id="20" name="直線コネクタ 19">
          <a:extLst>
            <a:ext uri="{FF2B5EF4-FFF2-40B4-BE49-F238E27FC236}">
              <a16:creationId xmlns:a16="http://schemas.microsoft.com/office/drawing/2014/main" id="{F482E41D-1B29-4C9A-AF4C-B43EF25EA793}"/>
            </a:ext>
          </a:extLst>
        </xdr:cNvPr>
        <xdr:cNvCxnSpPr/>
      </xdr:nvCxnSpPr>
      <xdr:spPr>
        <a:xfrm>
          <a:off x="6905624" y="16170352"/>
          <a:ext cx="60384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135015</xdr:colOff>
      <xdr:row>66</xdr:row>
      <xdr:rowOff>63021</xdr:rowOff>
    </xdr:from>
    <xdr:to>
      <xdr:col>34</xdr:col>
      <xdr:colOff>154775</xdr:colOff>
      <xdr:row>67</xdr:row>
      <xdr:rowOff>89623</xdr:rowOff>
    </xdr:to>
    <xdr:sp macro="" textlink="">
      <xdr:nvSpPr>
        <xdr:cNvPr id="22" name="テキスト ボックス 21">
          <a:extLst>
            <a:ext uri="{FF2B5EF4-FFF2-40B4-BE49-F238E27FC236}">
              <a16:creationId xmlns:a16="http://schemas.microsoft.com/office/drawing/2014/main" id="{32363913-CB38-4C28-8F77-B8576A89A732}"/>
            </a:ext>
          </a:extLst>
        </xdr:cNvPr>
        <xdr:cNvSpPr txBox="1"/>
      </xdr:nvSpPr>
      <xdr:spPr>
        <a:xfrm>
          <a:off x="6921578" y="15898334"/>
          <a:ext cx="924635" cy="26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0.50m</a:t>
          </a:r>
          <a:endParaRPr kumimoji="1" lang="ja-JP" altLang="en-US" sz="1100"/>
        </a:p>
      </xdr:txBody>
    </xdr:sp>
    <xdr:clientData/>
  </xdr:twoCellAnchor>
  <xdr:twoCellAnchor>
    <xdr:from>
      <xdr:col>30</xdr:col>
      <xdr:colOff>139984</xdr:colOff>
      <xdr:row>67</xdr:row>
      <xdr:rowOff>147518</xdr:rowOff>
    </xdr:from>
    <xdr:to>
      <xdr:col>34</xdr:col>
      <xdr:colOff>217722</xdr:colOff>
      <xdr:row>68</xdr:row>
      <xdr:rowOff>152200</xdr:rowOff>
    </xdr:to>
    <xdr:sp macro="" textlink="">
      <xdr:nvSpPr>
        <xdr:cNvPr id="23" name="テキスト ボックス 22">
          <a:extLst>
            <a:ext uri="{FF2B5EF4-FFF2-40B4-BE49-F238E27FC236}">
              <a16:creationId xmlns:a16="http://schemas.microsoft.com/office/drawing/2014/main" id="{FA052C9D-D933-46D9-AC31-38683D4B1BC4}"/>
            </a:ext>
          </a:extLst>
        </xdr:cNvPr>
        <xdr:cNvSpPr txBox="1"/>
      </xdr:nvSpPr>
      <xdr:spPr>
        <a:xfrm>
          <a:off x="6926547" y="16220956"/>
          <a:ext cx="982613"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0.75m</a:t>
          </a:r>
          <a:endParaRPr kumimoji="1" lang="ja-JP" altLang="en-US" sz="1100"/>
        </a:p>
      </xdr:txBody>
    </xdr:sp>
    <xdr:clientData/>
  </xdr:twoCellAnchor>
  <xdr:twoCellAnchor>
    <xdr:from>
      <xdr:col>21</xdr:col>
      <xdr:colOff>192703</xdr:colOff>
      <xdr:row>56</xdr:row>
      <xdr:rowOff>23846</xdr:rowOff>
    </xdr:from>
    <xdr:to>
      <xdr:col>25</xdr:col>
      <xdr:colOff>128161</xdr:colOff>
      <xdr:row>56</xdr:row>
      <xdr:rowOff>23846</xdr:rowOff>
    </xdr:to>
    <xdr:cxnSp macro="">
      <xdr:nvCxnSpPr>
        <xdr:cNvPr id="24" name="直線コネクタ 23">
          <a:extLst>
            <a:ext uri="{FF2B5EF4-FFF2-40B4-BE49-F238E27FC236}">
              <a16:creationId xmlns:a16="http://schemas.microsoft.com/office/drawing/2014/main" id="{5D96AEF0-9E69-4CF2-B1E4-22FBD9E781E0}"/>
            </a:ext>
          </a:extLst>
        </xdr:cNvPr>
        <xdr:cNvCxnSpPr/>
      </xdr:nvCxnSpPr>
      <xdr:spPr>
        <a:xfrm>
          <a:off x="4943297" y="13477909"/>
          <a:ext cx="8403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182677</xdr:colOff>
      <xdr:row>56</xdr:row>
      <xdr:rowOff>183612</xdr:rowOff>
    </xdr:from>
    <xdr:to>
      <xdr:col>25</xdr:col>
      <xdr:colOff>115754</xdr:colOff>
      <xdr:row>56</xdr:row>
      <xdr:rowOff>183612</xdr:rowOff>
    </xdr:to>
    <xdr:cxnSp macro="">
      <xdr:nvCxnSpPr>
        <xdr:cNvPr id="25" name="直線コネクタ 24">
          <a:extLst>
            <a:ext uri="{FF2B5EF4-FFF2-40B4-BE49-F238E27FC236}">
              <a16:creationId xmlns:a16="http://schemas.microsoft.com/office/drawing/2014/main" id="{A83AA967-7B92-483A-870B-F4995195F1A3}"/>
            </a:ext>
          </a:extLst>
        </xdr:cNvPr>
        <xdr:cNvCxnSpPr/>
      </xdr:nvCxnSpPr>
      <xdr:spPr>
        <a:xfrm>
          <a:off x="4933271" y="13637675"/>
          <a:ext cx="83795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123775</xdr:colOff>
      <xdr:row>56</xdr:row>
      <xdr:rowOff>28742</xdr:rowOff>
    </xdr:from>
    <xdr:to>
      <xdr:col>25</xdr:col>
      <xdr:colOff>123775</xdr:colOff>
      <xdr:row>56</xdr:row>
      <xdr:rowOff>183997</xdr:rowOff>
    </xdr:to>
    <xdr:cxnSp macro="">
      <xdr:nvCxnSpPr>
        <xdr:cNvPr id="26" name="直線コネクタ 25">
          <a:extLst>
            <a:ext uri="{FF2B5EF4-FFF2-40B4-BE49-F238E27FC236}">
              <a16:creationId xmlns:a16="http://schemas.microsoft.com/office/drawing/2014/main" id="{40E3B285-F426-4FBF-B910-53AFA3F735A6}"/>
            </a:ext>
          </a:extLst>
        </xdr:cNvPr>
        <xdr:cNvCxnSpPr/>
      </xdr:nvCxnSpPr>
      <xdr:spPr>
        <a:xfrm>
          <a:off x="5779244" y="13482805"/>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153370</xdr:colOff>
      <xdr:row>56</xdr:row>
      <xdr:rowOff>18537</xdr:rowOff>
    </xdr:from>
    <xdr:to>
      <xdr:col>25</xdr:col>
      <xdr:colOff>153370</xdr:colOff>
      <xdr:row>56</xdr:row>
      <xdr:rowOff>197783</xdr:rowOff>
    </xdr:to>
    <xdr:cxnSp macro="">
      <xdr:nvCxnSpPr>
        <xdr:cNvPr id="27" name="直線コネクタ 26">
          <a:extLst>
            <a:ext uri="{FF2B5EF4-FFF2-40B4-BE49-F238E27FC236}">
              <a16:creationId xmlns:a16="http://schemas.microsoft.com/office/drawing/2014/main" id="{BD2D3105-42C1-4C51-BF08-812DB274AB5D}"/>
            </a:ext>
          </a:extLst>
        </xdr:cNvPr>
        <xdr:cNvCxnSpPr/>
      </xdr:nvCxnSpPr>
      <xdr:spPr>
        <a:xfrm>
          <a:off x="5808839" y="13472600"/>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65415</xdr:colOff>
      <xdr:row>56</xdr:row>
      <xdr:rowOff>18537</xdr:rowOff>
    </xdr:from>
    <xdr:to>
      <xdr:col>26</xdr:col>
      <xdr:colOff>65415</xdr:colOff>
      <xdr:row>56</xdr:row>
      <xdr:rowOff>197783</xdr:rowOff>
    </xdr:to>
    <xdr:cxnSp macro="">
      <xdr:nvCxnSpPr>
        <xdr:cNvPr id="28" name="直線コネクタ 27">
          <a:extLst>
            <a:ext uri="{FF2B5EF4-FFF2-40B4-BE49-F238E27FC236}">
              <a16:creationId xmlns:a16="http://schemas.microsoft.com/office/drawing/2014/main" id="{931C66E0-0BEC-47B1-9CED-1D9FA377AAE4}"/>
            </a:ext>
          </a:extLst>
        </xdr:cNvPr>
        <xdr:cNvCxnSpPr/>
      </xdr:nvCxnSpPr>
      <xdr:spPr>
        <a:xfrm>
          <a:off x="5947103" y="13472600"/>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152300</xdr:colOff>
      <xdr:row>56</xdr:row>
      <xdr:rowOff>120468</xdr:rowOff>
    </xdr:from>
    <xdr:to>
      <xdr:col>26</xdr:col>
      <xdr:colOff>60944</xdr:colOff>
      <xdr:row>56</xdr:row>
      <xdr:rowOff>120468</xdr:rowOff>
    </xdr:to>
    <xdr:cxnSp macro="">
      <xdr:nvCxnSpPr>
        <xdr:cNvPr id="29" name="直線コネクタ 28">
          <a:extLst>
            <a:ext uri="{FF2B5EF4-FFF2-40B4-BE49-F238E27FC236}">
              <a16:creationId xmlns:a16="http://schemas.microsoft.com/office/drawing/2014/main" id="{30903223-E672-4640-9842-2BD1A5618FF5}"/>
            </a:ext>
          </a:extLst>
        </xdr:cNvPr>
        <xdr:cNvCxnSpPr/>
      </xdr:nvCxnSpPr>
      <xdr:spPr>
        <a:xfrm>
          <a:off x="5807769" y="13574531"/>
          <a:ext cx="1348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190501</xdr:colOff>
      <xdr:row>67</xdr:row>
      <xdr:rowOff>98315</xdr:rowOff>
    </xdr:from>
    <xdr:to>
      <xdr:col>26</xdr:col>
      <xdr:colOff>122198</xdr:colOff>
      <xdr:row>67</xdr:row>
      <xdr:rowOff>98315</xdr:rowOff>
    </xdr:to>
    <xdr:cxnSp macro="">
      <xdr:nvCxnSpPr>
        <xdr:cNvPr id="30" name="直線コネクタ 29">
          <a:extLst>
            <a:ext uri="{FF2B5EF4-FFF2-40B4-BE49-F238E27FC236}">
              <a16:creationId xmlns:a16="http://schemas.microsoft.com/office/drawing/2014/main" id="{6145A1E1-BBB3-400B-B7BF-21547D883220}"/>
            </a:ext>
          </a:extLst>
        </xdr:cNvPr>
        <xdr:cNvCxnSpPr/>
      </xdr:nvCxnSpPr>
      <xdr:spPr>
        <a:xfrm>
          <a:off x="4714876" y="16171753"/>
          <a:ext cx="12890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32503</xdr:colOff>
      <xdr:row>67</xdr:row>
      <xdr:rowOff>96777</xdr:rowOff>
    </xdr:from>
    <xdr:to>
      <xdr:col>22</xdr:col>
      <xdr:colOff>122109</xdr:colOff>
      <xdr:row>67</xdr:row>
      <xdr:rowOff>181700</xdr:rowOff>
    </xdr:to>
    <xdr:cxnSp macro="">
      <xdr:nvCxnSpPr>
        <xdr:cNvPr id="31" name="直線コネクタ 30">
          <a:extLst>
            <a:ext uri="{FF2B5EF4-FFF2-40B4-BE49-F238E27FC236}">
              <a16:creationId xmlns:a16="http://schemas.microsoft.com/office/drawing/2014/main" id="{C1CC8D0D-B50E-4074-BF9A-37FE9E4199FD}"/>
            </a:ext>
          </a:extLst>
        </xdr:cNvPr>
        <xdr:cNvCxnSpPr/>
      </xdr:nvCxnSpPr>
      <xdr:spPr>
        <a:xfrm>
          <a:off x="5009316" y="16170215"/>
          <a:ext cx="89606" cy="84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198090</xdr:colOff>
      <xdr:row>67</xdr:row>
      <xdr:rowOff>98020</xdr:rowOff>
    </xdr:from>
    <xdr:to>
      <xdr:col>22</xdr:col>
      <xdr:colOff>77897</xdr:colOff>
      <xdr:row>67</xdr:row>
      <xdr:rowOff>193069</xdr:rowOff>
    </xdr:to>
    <xdr:cxnSp macro="">
      <xdr:nvCxnSpPr>
        <xdr:cNvPr id="33" name="直線コネクタ 32">
          <a:extLst>
            <a:ext uri="{FF2B5EF4-FFF2-40B4-BE49-F238E27FC236}">
              <a16:creationId xmlns:a16="http://schemas.microsoft.com/office/drawing/2014/main" id="{C761AB08-E069-4EEA-BF53-DC2D9936EDA7}"/>
            </a:ext>
          </a:extLst>
        </xdr:cNvPr>
        <xdr:cNvCxnSpPr/>
      </xdr:nvCxnSpPr>
      <xdr:spPr>
        <a:xfrm>
          <a:off x="4948684" y="16171458"/>
          <a:ext cx="106026" cy="95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199005</xdr:colOff>
      <xdr:row>67</xdr:row>
      <xdr:rowOff>135581</xdr:rowOff>
    </xdr:from>
    <xdr:to>
      <xdr:col>22</xdr:col>
      <xdr:colOff>17756</xdr:colOff>
      <xdr:row>67</xdr:row>
      <xdr:rowOff>175180</xdr:rowOff>
    </xdr:to>
    <xdr:cxnSp macro="">
      <xdr:nvCxnSpPr>
        <xdr:cNvPr id="34" name="直線コネクタ 33">
          <a:extLst>
            <a:ext uri="{FF2B5EF4-FFF2-40B4-BE49-F238E27FC236}">
              <a16:creationId xmlns:a16="http://schemas.microsoft.com/office/drawing/2014/main" id="{96302B2D-1505-434A-AF47-C638F66D8C7B}"/>
            </a:ext>
          </a:extLst>
        </xdr:cNvPr>
        <xdr:cNvCxnSpPr/>
      </xdr:nvCxnSpPr>
      <xdr:spPr>
        <a:xfrm flipH="1">
          <a:off x="4949599" y="16209019"/>
          <a:ext cx="44970" cy="39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6384</xdr:colOff>
      <xdr:row>67</xdr:row>
      <xdr:rowOff>168456</xdr:rowOff>
    </xdr:from>
    <xdr:to>
      <xdr:col>22</xdr:col>
      <xdr:colOff>38040</xdr:colOff>
      <xdr:row>67</xdr:row>
      <xdr:rowOff>192379</xdr:rowOff>
    </xdr:to>
    <xdr:cxnSp macro="">
      <xdr:nvCxnSpPr>
        <xdr:cNvPr id="35" name="直線コネクタ 34">
          <a:extLst>
            <a:ext uri="{FF2B5EF4-FFF2-40B4-BE49-F238E27FC236}">
              <a16:creationId xmlns:a16="http://schemas.microsoft.com/office/drawing/2014/main" id="{3EE44953-F5B8-402B-8C33-1695D3FDCE59}"/>
            </a:ext>
          </a:extLst>
        </xdr:cNvPr>
        <xdr:cNvCxnSpPr/>
      </xdr:nvCxnSpPr>
      <xdr:spPr>
        <a:xfrm flipH="1">
          <a:off x="4983197" y="16241894"/>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114831</xdr:colOff>
      <xdr:row>67</xdr:row>
      <xdr:rowOff>94521</xdr:rowOff>
    </xdr:from>
    <xdr:to>
      <xdr:col>21</xdr:col>
      <xdr:colOff>199502</xdr:colOff>
      <xdr:row>67</xdr:row>
      <xdr:rowOff>196620</xdr:rowOff>
    </xdr:to>
    <xdr:cxnSp macro="">
      <xdr:nvCxnSpPr>
        <xdr:cNvPr id="36" name="直線コネクタ 35">
          <a:extLst>
            <a:ext uri="{FF2B5EF4-FFF2-40B4-BE49-F238E27FC236}">
              <a16:creationId xmlns:a16="http://schemas.microsoft.com/office/drawing/2014/main" id="{4910C2A2-CC10-4BE3-916C-BF96CEF90985}"/>
            </a:ext>
          </a:extLst>
        </xdr:cNvPr>
        <xdr:cNvCxnSpPr/>
      </xdr:nvCxnSpPr>
      <xdr:spPr>
        <a:xfrm>
          <a:off x="4865425" y="16167959"/>
          <a:ext cx="84671" cy="1020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74440</xdr:colOff>
      <xdr:row>67</xdr:row>
      <xdr:rowOff>97795</xdr:rowOff>
    </xdr:from>
    <xdr:to>
      <xdr:col>21</xdr:col>
      <xdr:colOff>161681</xdr:colOff>
      <xdr:row>67</xdr:row>
      <xdr:rowOff>198464</xdr:rowOff>
    </xdr:to>
    <xdr:cxnSp macro="">
      <xdr:nvCxnSpPr>
        <xdr:cNvPr id="37" name="直線コネクタ 36">
          <a:extLst>
            <a:ext uri="{FF2B5EF4-FFF2-40B4-BE49-F238E27FC236}">
              <a16:creationId xmlns:a16="http://schemas.microsoft.com/office/drawing/2014/main" id="{CEB2EE44-4854-4EAC-833E-FA0877E459C9}"/>
            </a:ext>
          </a:extLst>
        </xdr:cNvPr>
        <xdr:cNvCxnSpPr/>
      </xdr:nvCxnSpPr>
      <xdr:spPr>
        <a:xfrm>
          <a:off x="4825034" y="16171233"/>
          <a:ext cx="87241" cy="100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74476</xdr:colOff>
      <xdr:row>67</xdr:row>
      <xdr:rowOff>152325</xdr:rowOff>
    </xdr:from>
    <xdr:to>
      <xdr:col>21</xdr:col>
      <xdr:colOff>100099</xdr:colOff>
      <xdr:row>67</xdr:row>
      <xdr:rowOff>183051</xdr:rowOff>
    </xdr:to>
    <xdr:cxnSp macro="">
      <xdr:nvCxnSpPr>
        <xdr:cNvPr id="38" name="直線コネクタ 37">
          <a:extLst>
            <a:ext uri="{FF2B5EF4-FFF2-40B4-BE49-F238E27FC236}">
              <a16:creationId xmlns:a16="http://schemas.microsoft.com/office/drawing/2014/main" id="{122098C5-7206-433F-92A5-FF725A0D4078}"/>
            </a:ext>
          </a:extLst>
        </xdr:cNvPr>
        <xdr:cNvCxnSpPr/>
      </xdr:nvCxnSpPr>
      <xdr:spPr>
        <a:xfrm flipH="1">
          <a:off x="4825070" y="16225763"/>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94760</xdr:colOff>
      <xdr:row>67</xdr:row>
      <xdr:rowOff>169522</xdr:rowOff>
    </xdr:from>
    <xdr:to>
      <xdr:col>21</xdr:col>
      <xdr:colOff>118559</xdr:colOff>
      <xdr:row>67</xdr:row>
      <xdr:rowOff>197774</xdr:rowOff>
    </xdr:to>
    <xdr:cxnSp macro="">
      <xdr:nvCxnSpPr>
        <xdr:cNvPr id="39" name="直線コネクタ 38">
          <a:extLst>
            <a:ext uri="{FF2B5EF4-FFF2-40B4-BE49-F238E27FC236}">
              <a16:creationId xmlns:a16="http://schemas.microsoft.com/office/drawing/2014/main" id="{44B1905B-24C6-45D3-9CC9-1C9C09E7354C}"/>
            </a:ext>
          </a:extLst>
        </xdr:cNvPr>
        <xdr:cNvCxnSpPr/>
      </xdr:nvCxnSpPr>
      <xdr:spPr>
        <a:xfrm flipH="1">
          <a:off x="4845354" y="16242960"/>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130967</xdr:colOff>
      <xdr:row>66</xdr:row>
      <xdr:rowOff>86335</xdr:rowOff>
    </xdr:from>
    <xdr:to>
      <xdr:col>33</xdr:col>
      <xdr:colOff>37109</xdr:colOff>
      <xdr:row>66</xdr:row>
      <xdr:rowOff>86335</xdr:rowOff>
    </xdr:to>
    <xdr:cxnSp macro="">
      <xdr:nvCxnSpPr>
        <xdr:cNvPr id="40" name="直線コネクタ 39">
          <a:extLst>
            <a:ext uri="{FF2B5EF4-FFF2-40B4-BE49-F238E27FC236}">
              <a16:creationId xmlns:a16="http://schemas.microsoft.com/office/drawing/2014/main" id="{E0E4E73A-EEF4-4F83-BAB1-9CC972DB9AC9}"/>
            </a:ext>
          </a:extLst>
        </xdr:cNvPr>
        <xdr:cNvCxnSpPr/>
      </xdr:nvCxnSpPr>
      <xdr:spPr>
        <a:xfrm>
          <a:off x="6917530" y="15921648"/>
          <a:ext cx="58479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202911</xdr:colOff>
      <xdr:row>61</xdr:row>
      <xdr:rowOff>204720</xdr:rowOff>
    </xdr:from>
    <xdr:to>
      <xdr:col>25</xdr:col>
      <xdr:colOff>138369</xdr:colOff>
      <xdr:row>61</xdr:row>
      <xdr:rowOff>204720</xdr:rowOff>
    </xdr:to>
    <xdr:cxnSp macro="">
      <xdr:nvCxnSpPr>
        <xdr:cNvPr id="42" name="直線コネクタ 41">
          <a:extLst>
            <a:ext uri="{FF2B5EF4-FFF2-40B4-BE49-F238E27FC236}">
              <a16:creationId xmlns:a16="http://schemas.microsoft.com/office/drawing/2014/main" id="{7F5663DF-C2CD-49B6-AA87-EE9C9D4F965B}"/>
            </a:ext>
          </a:extLst>
        </xdr:cNvPr>
        <xdr:cNvCxnSpPr/>
      </xdr:nvCxnSpPr>
      <xdr:spPr>
        <a:xfrm>
          <a:off x="4953505" y="14849408"/>
          <a:ext cx="840333"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192885</xdr:colOff>
      <xdr:row>62</xdr:row>
      <xdr:rowOff>120763</xdr:rowOff>
    </xdr:from>
    <xdr:to>
      <xdr:col>25</xdr:col>
      <xdr:colOff>125962</xdr:colOff>
      <xdr:row>62</xdr:row>
      <xdr:rowOff>120763</xdr:rowOff>
    </xdr:to>
    <xdr:cxnSp macro="">
      <xdr:nvCxnSpPr>
        <xdr:cNvPr id="43" name="直線コネクタ 42">
          <a:extLst>
            <a:ext uri="{FF2B5EF4-FFF2-40B4-BE49-F238E27FC236}">
              <a16:creationId xmlns:a16="http://schemas.microsoft.com/office/drawing/2014/main" id="{0074B69E-1C7E-4FDB-ABAF-30356A360BF7}"/>
            </a:ext>
          </a:extLst>
        </xdr:cNvPr>
        <xdr:cNvCxnSpPr/>
      </xdr:nvCxnSpPr>
      <xdr:spPr>
        <a:xfrm>
          <a:off x="4943479" y="15003576"/>
          <a:ext cx="837952"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133983</xdr:colOff>
      <xdr:row>61</xdr:row>
      <xdr:rowOff>209616</xdr:rowOff>
    </xdr:from>
    <xdr:to>
      <xdr:col>25</xdr:col>
      <xdr:colOff>133983</xdr:colOff>
      <xdr:row>62</xdr:row>
      <xdr:rowOff>121148</xdr:rowOff>
    </xdr:to>
    <xdr:cxnSp macro="">
      <xdr:nvCxnSpPr>
        <xdr:cNvPr id="44" name="直線コネクタ 43">
          <a:extLst>
            <a:ext uri="{FF2B5EF4-FFF2-40B4-BE49-F238E27FC236}">
              <a16:creationId xmlns:a16="http://schemas.microsoft.com/office/drawing/2014/main" id="{41CEEF80-E3DD-4ED4-84D6-8CD6197AACCC}"/>
            </a:ext>
          </a:extLst>
        </xdr:cNvPr>
        <xdr:cNvCxnSpPr/>
      </xdr:nvCxnSpPr>
      <xdr:spPr>
        <a:xfrm>
          <a:off x="5789452" y="14854304"/>
          <a:ext cx="0" cy="1496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161197</xdr:colOff>
      <xdr:row>61</xdr:row>
      <xdr:rowOff>199411</xdr:rowOff>
    </xdr:from>
    <xdr:to>
      <xdr:col>25</xdr:col>
      <xdr:colOff>161197</xdr:colOff>
      <xdr:row>62</xdr:row>
      <xdr:rowOff>126842</xdr:rowOff>
    </xdr:to>
    <xdr:cxnSp macro="">
      <xdr:nvCxnSpPr>
        <xdr:cNvPr id="45" name="直線コネクタ 44">
          <a:extLst>
            <a:ext uri="{FF2B5EF4-FFF2-40B4-BE49-F238E27FC236}">
              <a16:creationId xmlns:a16="http://schemas.microsoft.com/office/drawing/2014/main" id="{A5CD3A81-ECBA-49AB-99B4-3A6BD182749E}"/>
            </a:ext>
          </a:extLst>
        </xdr:cNvPr>
        <xdr:cNvCxnSpPr/>
      </xdr:nvCxnSpPr>
      <xdr:spPr>
        <a:xfrm>
          <a:off x="5816666" y="14844099"/>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75623</xdr:colOff>
      <xdr:row>61</xdr:row>
      <xdr:rowOff>199411</xdr:rowOff>
    </xdr:from>
    <xdr:to>
      <xdr:col>26</xdr:col>
      <xdr:colOff>75623</xdr:colOff>
      <xdr:row>62</xdr:row>
      <xdr:rowOff>126842</xdr:rowOff>
    </xdr:to>
    <xdr:cxnSp macro="">
      <xdr:nvCxnSpPr>
        <xdr:cNvPr id="46" name="直線コネクタ 45">
          <a:extLst>
            <a:ext uri="{FF2B5EF4-FFF2-40B4-BE49-F238E27FC236}">
              <a16:creationId xmlns:a16="http://schemas.microsoft.com/office/drawing/2014/main" id="{B931A170-C77D-402E-8A31-BBF674CBFF5F}"/>
            </a:ext>
          </a:extLst>
        </xdr:cNvPr>
        <xdr:cNvCxnSpPr/>
      </xdr:nvCxnSpPr>
      <xdr:spPr>
        <a:xfrm>
          <a:off x="5957311" y="14844099"/>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160127</xdr:colOff>
      <xdr:row>62</xdr:row>
      <xdr:rowOff>49457</xdr:rowOff>
    </xdr:from>
    <xdr:to>
      <xdr:col>26</xdr:col>
      <xdr:colOff>71152</xdr:colOff>
      <xdr:row>62</xdr:row>
      <xdr:rowOff>49457</xdr:rowOff>
    </xdr:to>
    <xdr:cxnSp macro="">
      <xdr:nvCxnSpPr>
        <xdr:cNvPr id="49" name="直線コネクタ 48">
          <a:extLst>
            <a:ext uri="{FF2B5EF4-FFF2-40B4-BE49-F238E27FC236}">
              <a16:creationId xmlns:a16="http://schemas.microsoft.com/office/drawing/2014/main" id="{4372D725-9329-486A-B228-9A40A8EEA10C}"/>
            </a:ext>
          </a:extLst>
        </xdr:cNvPr>
        <xdr:cNvCxnSpPr/>
      </xdr:nvCxnSpPr>
      <xdr:spPr>
        <a:xfrm>
          <a:off x="5815596" y="14932270"/>
          <a:ext cx="137244"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130962</xdr:colOff>
      <xdr:row>62</xdr:row>
      <xdr:rowOff>55578</xdr:rowOff>
    </xdr:from>
    <xdr:to>
      <xdr:col>32</xdr:col>
      <xdr:colOff>168857</xdr:colOff>
      <xdr:row>62</xdr:row>
      <xdr:rowOff>55578</xdr:rowOff>
    </xdr:to>
    <xdr:cxnSp macro="">
      <xdr:nvCxnSpPr>
        <xdr:cNvPr id="51" name="直線コネクタ 50">
          <a:extLst>
            <a:ext uri="{FF2B5EF4-FFF2-40B4-BE49-F238E27FC236}">
              <a16:creationId xmlns:a16="http://schemas.microsoft.com/office/drawing/2014/main" id="{EA5AC149-CD38-4161-BC41-5C58963CC5FF}"/>
            </a:ext>
          </a:extLst>
        </xdr:cNvPr>
        <xdr:cNvCxnSpPr/>
      </xdr:nvCxnSpPr>
      <xdr:spPr>
        <a:xfrm>
          <a:off x="6917525" y="14938391"/>
          <a:ext cx="49033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107656</xdr:colOff>
      <xdr:row>58</xdr:row>
      <xdr:rowOff>80847</xdr:rowOff>
    </xdr:from>
    <xdr:to>
      <xdr:col>34</xdr:col>
      <xdr:colOff>121542</xdr:colOff>
      <xdr:row>59</xdr:row>
      <xdr:rowOff>105312</xdr:rowOff>
    </xdr:to>
    <xdr:sp macro="" textlink="">
      <xdr:nvSpPr>
        <xdr:cNvPr id="54" name="テキスト ボックス 53">
          <a:extLst>
            <a:ext uri="{FF2B5EF4-FFF2-40B4-BE49-F238E27FC236}">
              <a16:creationId xmlns:a16="http://schemas.microsoft.com/office/drawing/2014/main" id="{3E782BB8-A606-43BD-83AE-944C550C35D6}"/>
            </a:ext>
          </a:extLst>
        </xdr:cNvPr>
        <xdr:cNvSpPr txBox="1"/>
      </xdr:nvSpPr>
      <xdr:spPr>
        <a:xfrm>
          <a:off x="6668000" y="14011160"/>
          <a:ext cx="1144980" cy="262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 </a:t>
          </a:r>
          <a:r>
            <a:rPr kumimoji="1" lang="en-US" altLang="ja-JP" sz="1100"/>
            <a:t>2.80m</a:t>
          </a:r>
          <a:endParaRPr kumimoji="1" lang="ja-JP" altLang="en-US" sz="1100"/>
        </a:p>
      </xdr:txBody>
    </xdr:sp>
    <xdr:clientData/>
  </xdr:twoCellAnchor>
  <xdr:twoCellAnchor>
    <xdr:from>
      <xdr:col>29</xdr:col>
      <xdr:colOff>107655</xdr:colOff>
      <xdr:row>63</xdr:row>
      <xdr:rowOff>105087</xdr:rowOff>
    </xdr:from>
    <xdr:to>
      <xdr:col>34</xdr:col>
      <xdr:colOff>129825</xdr:colOff>
      <xdr:row>64</xdr:row>
      <xdr:rowOff>127482</xdr:rowOff>
    </xdr:to>
    <xdr:sp macro="" textlink="">
      <xdr:nvSpPr>
        <xdr:cNvPr id="59" name="テキスト ボックス 58">
          <a:extLst>
            <a:ext uri="{FF2B5EF4-FFF2-40B4-BE49-F238E27FC236}">
              <a16:creationId xmlns:a16="http://schemas.microsoft.com/office/drawing/2014/main" id="{CC37C394-E674-47DB-A8F5-AE34187B9003}"/>
            </a:ext>
          </a:extLst>
        </xdr:cNvPr>
        <xdr:cNvSpPr txBox="1"/>
      </xdr:nvSpPr>
      <xdr:spPr>
        <a:xfrm>
          <a:off x="6667999" y="15226025"/>
          <a:ext cx="1153264"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 </a:t>
          </a:r>
          <a:r>
            <a:rPr kumimoji="1" lang="en-US" altLang="ja-JP" sz="1100"/>
            <a:t>2.20m</a:t>
          </a:r>
          <a:endParaRPr kumimoji="1" lang="ja-JP" altLang="en-US" sz="1100"/>
        </a:p>
      </xdr:txBody>
    </xdr:sp>
    <xdr:clientData/>
  </xdr:twoCellAnchor>
  <xdr:twoCellAnchor>
    <xdr:from>
      <xdr:col>26</xdr:col>
      <xdr:colOff>68624</xdr:colOff>
      <xdr:row>68</xdr:row>
      <xdr:rowOff>206847</xdr:rowOff>
    </xdr:from>
    <xdr:to>
      <xdr:col>26</xdr:col>
      <xdr:colOff>193583</xdr:colOff>
      <xdr:row>69</xdr:row>
      <xdr:rowOff>92382</xdr:rowOff>
    </xdr:to>
    <xdr:sp macro="" textlink="">
      <xdr:nvSpPr>
        <xdr:cNvPr id="66" name="楕円 65">
          <a:extLst>
            <a:ext uri="{FF2B5EF4-FFF2-40B4-BE49-F238E27FC236}">
              <a16:creationId xmlns:a16="http://schemas.microsoft.com/office/drawing/2014/main" id="{D20C5149-6EA2-47C7-8E5F-3C6FEE1D6C61}"/>
            </a:ext>
          </a:extLst>
        </xdr:cNvPr>
        <xdr:cNvSpPr/>
      </xdr:nvSpPr>
      <xdr:spPr>
        <a:xfrm>
          <a:off x="5950312" y="16518410"/>
          <a:ext cx="124959" cy="12366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60167</xdr:colOff>
      <xdr:row>56</xdr:row>
      <xdr:rowOff>103288</xdr:rowOff>
    </xdr:from>
    <xdr:to>
      <xdr:col>32</xdr:col>
      <xdr:colOff>60167</xdr:colOff>
      <xdr:row>62</xdr:row>
      <xdr:rowOff>55074</xdr:rowOff>
    </xdr:to>
    <xdr:cxnSp macro="">
      <xdr:nvCxnSpPr>
        <xdr:cNvPr id="69" name="直線矢印コネクタ 68">
          <a:extLst>
            <a:ext uri="{FF2B5EF4-FFF2-40B4-BE49-F238E27FC236}">
              <a16:creationId xmlns:a16="http://schemas.microsoft.com/office/drawing/2014/main" id="{679F40B0-0383-4F64-B5EB-DBF5BEDD941E}"/>
            </a:ext>
          </a:extLst>
        </xdr:cNvPr>
        <xdr:cNvCxnSpPr/>
      </xdr:nvCxnSpPr>
      <xdr:spPr>
        <a:xfrm>
          <a:off x="7299167" y="13557351"/>
          <a:ext cx="0" cy="13805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60167</xdr:colOff>
      <xdr:row>62</xdr:row>
      <xdr:rowOff>45309</xdr:rowOff>
    </xdr:from>
    <xdr:to>
      <xdr:col>32</xdr:col>
      <xdr:colOff>60167</xdr:colOff>
      <xdr:row>66</xdr:row>
      <xdr:rowOff>104770</xdr:rowOff>
    </xdr:to>
    <xdr:cxnSp macro="">
      <xdr:nvCxnSpPr>
        <xdr:cNvPr id="81" name="直線矢印コネクタ 80">
          <a:extLst>
            <a:ext uri="{FF2B5EF4-FFF2-40B4-BE49-F238E27FC236}">
              <a16:creationId xmlns:a16="http://schemas.microsoft.com/office/drawing/2014/main" id="{832D5E45-2715-4E01-A308-9BAF6B3FA2E6}"/>
            </a:ext>
          </a:extLst>
        </xdr:cNvPr>
        <xdr:cNvCxnSpPr/>
      </xdr:nvCxnSpPr>
      <xdr:spPr>
        <a:xfrm>
          <a:off x="7299167" y="14928122"/>
          <a:ext cx="0" cy="10119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165459</xdr:colOff>
      <xdr:row>62</xdr:row>
      <xdr:rowOff>45309</xdr:rowOff>
    </xdr:from>
    <xdr:to>
      <xdr:col>23</xdr:col>
      <xdr:colOff>165459</xdr:colOff>
      <xdr:row>69</xdr:row>
      <xdr:rowOff>28570</xdr:rowOff>
    </xdr:to>
    <xdr:cxnSp macro="">
      <xdr:nvCxnSpPr>
        <xdr:cNvPr id="83" name="直線矢印コネクタ 82">
          <a:extLst>
            <a:ext uri="{FF2B5EF4-FFF2-40B4-BE49-F238E27FC236}">
              <a16:creationId xmlns:a16="http://schemas.microsoft.com/office/drawing/2014/main" id="{233C8C37-D5E7-4986-BE4C-303068088724}"/>
            </a:ext>
          </a:extLst>
        </xdr:cNvPr>
        <xdr:cNvCxnSpPr/>
      </xdr:nvCxnSpPr>
      <xdr:spPr>
        <a:xfrm>
          <a:off x="5368490" y="14928122"/>
          <a:ext cx="0" cy="16501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60167</xdr:colOff>
      <xdr:row>66</xdr:row>
      <xdr:rowOff>73884</xdr:rowOff>
    </xdr:from>
    <xdr:to>
      <xdr:col>32</xdr:col>
      <xdr:colOff>60167</xdr:colOff>
      <xdr:row>67</xdr:row>
      <xdr:rowOff>95245</xdr:rowOff>
    </xdr:to>
    <xdr:cxnSp macro="">
      <xdr:nvCxnSpPr>
        <xdr:cNvPr id="86" name="直線矢印コネクタ 85">
          <a:extLst>
            <a:ext uri="{FF2B5EF4-FFF2-40B4-BE49-F238E27FC236}">
              <a16:creationId xmlns:a16="http://schemas.microsoft.com/office/drawing/2014/main" id="{088F1D1E-BC49-463A-9561-76C7E617C4CD}"/>
            </a:ext>
          </a:extLst>
        </xdr:cNvPr>
        <xdr:cNvCxnSpPr/>
      </xdr:nvCxnSpPr>
      <xdr:spPr>
        <a:xfrm>
          <a:off x="7299167" y="15909197"/>
          <a:ext cx="0" cy="2594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60167</xdr:colOff>
      <xdr:row>67</xdr:row>
      <xdr:rowOff>92934</xdr:rowOff>
    </xdr:from>
    <xdr:to>
      <xdr:col>32</xdr:col>
      <xdr:colOff>60167</xdr:colOff>
      <xdr:row>69</xdr:row>
      <xdr:rowOff>28570</xdr:rowOff>
    </xdr:to>
    <xdr:cxnSp macro="">
      <xdr:nvCxnSpPr>
        <xdr:cNvPr id="87" name="直線矢印コネクタ 86">
          <a:extLst>
            <a:ext uri="{FF2B5EF4-FFF2-40B4-BE49-F238E27FC236}">
              <a16:creationId xmlns:a16="http://schemas.microsoft.com/office/drawing/2014/main" id="{EC219961-E325-4C73-915B-5C589A215E68}"/>
            </a:ext>
          </a:extLst>
        </xdr:cNvPr>
        <xdr:cNvCxnSpPr/>
      </xdr:nvCxnSpPr>
      <xdr:spPr>
        <a:xfrm>
          <a:off x="7299167" y="16166372"/>
          <a:ext cx="0" cy="4118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59530</xdr:colOff>
      <xdr:row>69</xdr:row>
      <xdr:rowOff>39764</xdr:rowOff>
    </xdr:from>
    <xdr:to>
      <xdr:col>33</xdr:col>
      <xdr:colOff>64293</xdr:colOff>
      <xdr:row>69</xdr:row>
      <xdr:rowOff>39764</xdr:rowOff>
    </xdr:to>
    <xdr:cxnSp macro="">
      <xdr:nvCxnSpPr>
        <xdr:cNvPr id="523" name="直線コネクタ 522">
          <a:extLst>
            <a:ext uri="{FF2B5EF4-FFF2-40B4-BE49-F238E27FC236}">
              <a16:creationId xmlns:a16="http://schemas.microsoft.com/office/drawing/2014/main" id="{E32413E9-92F2-4A29-97A2-9391249D7C9E}"/>
            </a:ext>
          </a:extLst>
        </xdr:cNvPr>
        <xdr:cNvCxnSpPr/>
      </xdr:nvCxnSpPr>
      <xdr:spPr>
        <a:xfrm>
          <a:off x="6846093" y="16589452"/>
          <a:ext cx="6834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183350</xdr:colOff>
      <xdr:row>60</xdr:row>
      <xdr:rowOff>180970</xdr:rowOff>
    </xdr:from>
    <xdr:to>
      <xdr:col>27</xdr:col>
      <xdr:colOff>2808</xdr:colOff>
      <xdr:row>61</xdr:row>
      <xdr:rowOff>176124</xdr:rowOff>
    </xdr:to>
    <xdr:sp macro="" textlink="">
      <xdr:nvSpPr>
        <xdr:cNvPr id="532" name="テキスト ボックス 531">
          <a:extLst>
            <a:ext uri="{FF2B5EF4-FFF2-40B4-BE49-F238E27FC236}">
              <a16:creationId xmlns:a16="http://schemas.microsoft.com/office/drawing/2014/main" id="{01D7232C-DFEB-4E2D-B4F7-770F2B5EF6DE}"/>
            </a:ext>
          </a:extLst>
        </xdr:cNvPr>
        <xdr:cNvSpPr txBox="1"/>
      </xdr:nvSpPr>
      <xdr:spPr>
        <a:xfrm>
          <a:off x="5612600" y="14587533"/>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24</xdr:col>
      <xdr:colOff>157016</xdr:colOff>
      <xdr:row>68</xdr:row>
      <xdr:rowOff>121019</xdr:rowOff>
    </xdr:from>
    <xdr:to>
      <xdr:col>26</xdr:col>
      <xdr:colOff>202692</xdr:colOff>
      <xdr:row>69</xdr:row>
      <xdr:rowOff>116173</xdr:rowOff>
    </xdr:to>
    <xdr:sp macro="" textlink="">
      <xdr:nvSpPr>
        <xdr:cNvPr id="565" name="テキスト ボックス 564">
          <a:extLst>
            <a:ext uri="{FF2B5EF4-FFF2-40B4-BE49-F238E27FC236}">
              <a16:creationId xmlns:a16="http://schemas.microsoft.com/office/drawing/2014/main" id="{6F564A29-BF7B-4094-91E9-7DEEE9BC199A}"/>
            </a:ext>
          </a:extLst>
        </xdr:cNvPr>
        <xdr:cNvSpPr txBox="1"/>
      </xdr:nvSpPr>
      <xdr:spPr>
        <a:xfrm>
          <a:off x="5586266" y="16432582"/>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21</xdr:col>
      <xdr:colOff>136230</xdr:colOff>
      <xdr:row>65</xdr:row>
      <xdr:rowOff>95562</xdr:rowOff>
    </xdr:from>
    <xdr:to>
      <xdr:col>24</xdr:col>
      <xdr:colOff>52382</xdr:colOff>
      <xdr:row>66</xdr:row>
      <xdr:rowOff>117957</xdr:rowOff>
    </xdr:to>
    <xdr:sp macro="" textlink="">
      <xdr:nvSpPr>
        <xdr:cNvPr id="567" name="テキスト ボックス 566">
          <a:extLst>
            <a:ext uri="{FF2B5EF4-FFF2-40B4-BE49-F238E27FC236}">
              <a16:creationId xmlns:a16="http://schemas.microsoft.com/office/drawing/2014/main" id="{F10ECFEB-0D34-99BC-6839-8DC46D674FAA}"/>
            </a:ext>
          </a:extLst>
        </xdr:cNvPr>
        <xdr:cNvSpPr txBox="1"/>
      </xdr:nvSpPr>
      <xdr:spPr>
        <a:xfrm>
          <a:off x="4886824" y="15692750"/>
          <a:ext cx="594808"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3.45m</a:t>
          </a:r>
          <a:endParaRPr kumimoji="1" lang="ja-JP" altLang="en-US" sz="1100"/>
        </a:p>
      </xdr:txBody>
    </xdr:sp>
    <xdr:clientData/>
  </xdr:twoCellAnchor>
  <xdr:twoCellAnchor>
    <xdr:from>
      <xdr:col>23</xdr:col>
      <xdr:colOff>23807</xdr:colOff>
      <xdr:row>69</xdr:row>
      <xdr:rowOff>39764</xdr:rowOff>
    </xdr:from>
    <xdr:to>
      <xdr:col>24</xdr:col>
      <xdr:colOff>138107</xdr:colOff>
      <xdr:row>69</xdr:row>
      <xdr:rowOff>39764</xdr:rowOff>
    </xdr:to>
    <xdr:cxnSp macro="">
      <xdr:nvCxnSpPr>
        <xdr:cNvPr id="568" name="直線コネクタ 567">
          <a:extLst>
            <a:ext uri="{FF2B5EF4-FFF2-40B4-BE49-F238E27FC236}">
              <a16:creationId xmlns:a16="http://schemas.microsoft.com/office/drawing/2014/main" id="{CA1463E1-01FE-6214-4E63-DE273DF12372}"/>
            </a:ext>
          </a:extLst>
        </xdr:cNvPr>
        <xdr:cNvCxnSpPr/>
      </xdr:nvCxnSpPr>
      <xdr:spPr>
        <a:xfrm>
          <a:off x="5226838" y="16589452"/>
          <a:ext cx="3405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152113</xdr:colOff>
      <xdr:row>67</xdr:row>
      <xdr:rowOff>96228</xdr:rowOff>
    </xdr:from>
    <xdr:to>
      <xdr:col>29</xdr:col>
      <xdr:colOff>154775</xdr:colOff>
      <xdr:row>67</xdr:row>
      <xdr:rowOff>96228</xdr:rowOff>
    </xdr:to>
    <xdr:cxnSp macro="">
      <xdr:nvCxnSpPr>
        <xdr:cNvPr id="149" name="直線コネクタ 148">
          <a:extLst>
            <a:ext uri="{FF2B5EF4-FFF2-40B4-BE49-F238E27FC236}">
              <a16:creationId xmlns:a16="http://schemas.microsoft.com/office/drawing/2014/main" id="{194F3942-DB87-B82A-3716-1B1490552DCD}"/>
            </a:ext>
          </a:extLst>
        </xdr:cNvPr>
        <xdr:cNvCxnSpPr/>
      </xdr:nvCxnSpPr>
      <xdr:spPr>
        <a:xfrm>
          <a:off x="6033801" y="16169666"/>
          <a:ext cx="68131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149455</xdr:colOff>
      <xdr:row>53</xdr:row>
      <xdr:rowOff>63479</xdr:rowOff>
    </xdr:from>
    <xdr:to>
      <xdr:col>34</xdr:col>
      <xdr:colOff>182107</xdr:colOff>
      <xdr:row>54</xdr:row>
      <xdr:rowOff>66620</xdr:rowOff>
    </xdr:to>
    <xdr:sp macro="" textlink="">
      <xdr:nvSpPr>
        <xdr:cNvPr id="57" name="テキスト ボックス 56">
          <a:extLst>
            <a:ext uri="{FF2B5EF4-FFF2-40B4-BE49-F238E27FC236}">
              <a16:creationId xmlns:a16="http://schemas.microsoft.com/office/drawing/2014/main" id="{CEDF4DAC-F8AB-D2D2-0906-A8252CC7BF1E}"/>
            </a:ext>
          </a:extLst>
        </xdr:cNvPr>
        <xdr:cNvSpPr txBox="1"/>
      </xdr:nvSpPr>
      <xdr:spPr>
        <a:xfrm>
          <a:off x="6936018" y="12803167"/>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0.55m</a:t>
          </a:r>
          <a:endParaRPr kumimoji="1" lang="ja-JP" altLang="en-US" sz="1100"/>
        </a:p>
      </xdr:txBody>
    </xdr:sp>
    <xdr:clientData/>
  </xdr:twoCellAnchor>
  <xdr:twoCellAnchor>
    <xdr:from>
      <xdr:col>32</xdr:col>
      <xdr:colOff>60167</xdr:colOff>
      <xdr:row>53</xdr:row>
      <xdr:rowOff>107155</xdr:rowOff>
    </xdr:from>
    <xdr:to>
      <xdr:col>32</xdr:col>
      <xdr:colOff>60167</xdr:colOff>
      <xdr:row>54</xdr:row>
      <xdr:rowOff>122657</xdr:rowOff>
    </xdr:to>
    <xdr:cxnSp macro="">
      <xdr:nvCxnSpPr>
        <xdr:cNvPr id="64" name="直線矢印コネクタ 63">
          <a:extLst>
            <a:ext uri="{FF2B5EF4-FFF2-40B4-BE49-F238E27FC236}">
              <a16:creationId xmlns:a16="http://schemas.microsoft.com/office/drawing/2014/main" id="{71866E1A-73FB-2213-6F62-42AF46BF29B8}"/>
            </a:ext>
          </a:extLst>
        </xdr:cNvPr>
        <xdr:cNvCxnSpPr/>
      </xdr:nvCxnSpPr>
      <xdr:spPr>
        <a:xfrm>
          <a:off x="7299167" y="12846843"/>
          <a:ext cx="0" cy="25362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166681</xdr:colOff>
      <xdr:row>53</xdr:row>
      <xdr:rowOff>115251</xdr:rowOff>
    </xdr:from>
    <xdr:to>
      <xdr:col>33</xdr:col>
      <xdr:colOff>35712</xdr:colOff>
      <xdr:row>53</xdr:row>
      <xdr:rowOff>115251</xdr:rowOff>
    </xdr:to>
    <xdr:cxnSp macro="">
      <xdr:nvCxnSpPr>
        <xdr:cNvPr id="96" name="直線コネクタ 95">
          <a:extLst>
            <a:ext uri="{FF2B5EF4-FFF2-40B4-BE49-F238E27FC236}">
              <a16:creationId xmlns:a16="http://schemas.microsoft.com/office/drawing/2014/main" id="{6D42D0A1-4D77-BD78-A8D4-28F67103C561}"/>
            </a:ext>
          </a:extLst>
        </xdr:cNvPr>
        <xdr:cNvCxnSpPr/>
      </xdr:nvCxnSpPr>
      <xdr:spPr>
        <a:xfrm>
          <a:off x="6953244" y="12854939"/>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112955</xdr:colOff>
      <xdr:row>86</xdr:row>
      <xdr:rowOff>83341</xdr:rowOff>
    </xdr:from>
    <xdr:to>
      <xdr:col>29</xdr:col>
      <xdr:colOff>112955</xdr:colOff>
      <xdr:row>91</xdr:row>
      <xdr:rowOff>152394</xdr:rowOff>
    </xdr:to>
    <xdr:cxnSp macro="">
      <xdr:nvCxnSpPr>
        <xdr:cNvPr id="98" name="直線コネクタ 97">
          <a:extLst>
            <a:ext uri="{FF2B5EF4-FFF2-40B4-BE49-F238E27FC236}">
              <a16:creationId xmlns:a16="http://schemas.microsoft.com/office/drawing/2014/main" id="{D51382F4-EEE5-446D-AB29-46318B365E7B}"/>
            </a:ext>
          </a:extLst>
        </xdr:cNvPr>
        <xdr:cNvCxnSpPr/>
      </xdr:nvCxnSpPr>
      <xdr:spPr>
        <a:xfrm>
          <a:off x="6673299" y="26158029"/>
          <a:ext cx="0" cy="125967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10160</xdr:colOff>
      <xdr:row>78</xdr:row>
      <xdr:rowOff>168719</xdr:rowOff>
    </xdr:from>
    <xdr:to>
      <xdr:col>32</xdr:col>
      <xdr:colOff>10160</xdr:colOff>
      <xdr:row>80</xdr:row>
      <xdr:rowOff>167900</xdr:rowOff>
    </xdr:to>
    <xdr:cxnSp macro="">
      <xdr:nvCxnSpPr>
        <xdr:cNvPr id="101" name="直線矢印コネクタ 100">
          <a:extLst>
            <a:ext uri="{FF2B5EF4-FFF2-40B4-BE49-F238E27FC236}">
              <a16:creationId xmlns:a16="http://schemas.microsoft.com/office/drawing/2014/main" id="{48EDBC4C-1532-489F-9CCB-922470DE0BAF}"/>
            </a:ext>
          </a:extLst>
        </xdr:cNvPr>
        <xdr:cNvCxnSpPr/>
      </xdr:nvCxnSpPr>
      <xdr:spPr>
        <a:xfrm>
          <a:off x="7249160" y="24338407"/>
          <a:ext cx="0" cy="47543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90334</xdr:colOff>
      <xdr:row>78</xdr:row>
      <xdr:rowOff>165725</xdr:rowOff>
    </xdr:from>
    <xdr:to>
      <xdr:col>33</xdr:col>
      <xdr:colOff>9518</xdr:colOff>
      <xdr:row>78</xdr:row>
      <xdr:rowOff>165725</xdr:rowOff>
    </xdr:to>
    <xdr:cxnSp macro="">
      <xdr:nvCxnSpPr>
        <xdr:cNvPr id="102" name="直線コネクタ 101">
          <a:extLst>
            <a:ext uri="{FF2B5EF4-FFF2-40B4-BE49-F238E27FC236}">
              <a16:creationId xmlns:a16="http://schemas.microsoft.com/office/drawing/2014/main" id="{14A48EF7-0B7B-4EC9-91A5-E260C8ADB0D7}"/>
            </a:ext>
          </a:extLst>
        </xdr:cNvPr>
        <xdr:cNvCxnSpPr/>
      </xdr:nvCxnSpPr>
      <xdr:spPr>
        <a:xfrm>
          <a:off x="5972022" y="24335413"/>
          <a:ext cx="15027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33101</xdr:colOff>
      <xdr:row>78</xdr:row>
      <xdr:rowOff>176842</xdr:rowOff>
    </xdr:from>
    <xdr:to>
      <xdr:col>30</xdr:col>
      <xdr:colOff>123920</xdr:colOff>
      <xdr:row>79</xdr:row>
      <xdr:rowOff>2207</xdr:rowOff>
    </xdr:to>
    <xdr:cxnSp macro="">
      <xdr:nvCxnSpPr>
        <xdr:cNvPr id="103" name="直線コネクタ 102">
          <a:extLst>
            <a:ext uri="{FF2B5EF4-FFF2-40B4-BE49-F238E27FC236}">
              <a16:creationId xmlns:a16="http://schemas.microsoft.com/office/drawing/2014/main" id="{22608F2B-3719-4AFB-AE6B-A2594E58547F}"/>
            </a:ext>
          </a:extLst>
        </xdr:cNvPr>
        <xdr:cNvCxnSpPr/>
      </xdr:nvCxnSpPr>
      <xdr:spPr>
        <a:xfrm>
          <a:off x="6819664" y="24346530"/>
          <a:ext cx="90819"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212002</xdr:colOff>
      <xdr:row>78</xdr:row>
      <xdr:rowOff>178686</xdr:rowOff>
    </xdr:from>
    <xdr:to>
      <xdr:col>30</xdr:col>
      <xdr:colOff>73880</xdr:colOff>
      <xdr:row>79</xdr:row>
      <xdr:rowOff>13576</xdr:rowOff>
    </xdr:to>
    <xdr:cxnSp macro="">
      <xdr:nvCxnSpPr>
        <xdr:cNvPr id="104" name="直線コネクタ 103">
          <a:extLst>
            <a:ext uri="{FF2B5EF4-FFF2-40B4-BE49-F238E27FC236}">
              <a16:creationId xmlns:a16="http://schemas.microsoft.com/office/drawing/2014/main" id="{91104958-B309-4A77-89C0-25B3EAA53D55}"/>
            </a:ext>
          </a:extLst>
        </xdr:cNvPr>
        <xdr:cNvCxnSpPr/>
      </xdr:nvCxnSpPr>
      <xdr:spPr>
        <a:xfrm>
          <a:off x="6772346" y="24348374"/>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212038</xdr:colOff>
      <xdr:row>78</xdr:row>
      <xdr:rowOff>212154</xdr:rowOff>
    </xdr:from>
    <xdr:to>
      <xdr:col>30</xdr:col>
      <xdr:colOff>16545</xdr:colOff>
      <xdr:row>78</xdr:row>
      <xdr:rowOff>235426</xdr:rowOff>
    </xdr:to>
    <xdr:cxnSp macro="">
      <xdr:nvCxnSpPr>
        <xdr:cNvPr id="105" name="直線コネクタ 104">
          <a:extLst>
            <a:ext uri="{FF2B5EF4-FFF2-40B4-BE49-F238E27FC236}">
              <a16:creationId xmlns:a16="http://schemas.microsoft.com/office/drawing/2014/main" id="{FA996612-AB8F-40A2-8F52-94B9D0044F10}"/>
            </a:ext>
          </a:extLst>
        </xdr:cNvPr>
        <xdr:cNvCxnSpPr/>
      </xdr:nvCxnSpPr>
      <xdr:spPr>
        <a:xfrm flipH="1">
          <a:off x="6772382" y="24381842"/>
          <a:ext cx="30726" cy="232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7236</xdr:colOff>
      <xdr:row>78</xdr:row>
      <xdr:rowOff>231423</xdr:rowOff>
    </xdr:from>
    <xdr:to>
      <xdr:col>30</xdr:col>
      <xdr:colOff>37912</xdr:colOff>
      <xdr:row>79</xdr:row>
      <xdr:rowOff>3366</xdr:rowOff>
    </xdr:to>
    <xdr:cxnSp macro="">
      <xdr:nvCxnSpPr>
        <xdr:cNvPr id="106" name="直線コネクタ 105">
          <a:extLst>
            <a:ext uri="{FF2B5EF4-FFF2-40B4-BE49-F238E27FC236}">
              <a16:creationId xmlns:a16="http://schemas.microsoft.com/office/drawing/2014/main" id="{EE91A141-CCDF-4D03-9193-91C87F17B795}"/>
            </a:ext>
          </a:extLst>
        </xdr:cNvPr>
        <xdr:cNvCxnSpPr/>
      </xdr:nvCxnSpPr>
      <xdr:spPr>
        <a:xfrm flipH="1">
          <a:off x="6793799" y="24401111"/>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175874</xdr:colOff>
      <xdr:row>78</xdr:row>
      <xdr:rowOff>170993</xdr:rowOff>
    </xdr:from>
    <xdr:to>
      <xdr:col>31</xdr:col>
      <xdr:colOff>40179</xdr:colOff>
      <xdr:row>79</xdr:row>
      <xdr:rowOff>7243</xdr:rowOff>
    </xdr:to>
    <xdr:cxnSp macro="">
      <xdr:nvCxnSpPr>
        <xdr:cNvPr id="107" name="直線コネクタ 106">
          <a:extLst>
            <a:ext uri="{FF2B5EF4-FFF2-40B4-BE49-F238E27FC236}">
              <a16:creationId xmlns:a16="http://schemas.microsoft.com/office/drawing/2014/main" id="{924AFDA1-7B75-4EEC-9160-2AD6A912C1AD}"/>
            </a:ext>
          </a:extLst>
        </xdr:cNvPr>
        <xdr:cNvCxnSpPr/>
      </xdr:nvCxnSpPr>
      <xdr:spPr>
        <a:xfrm>
          <a:off x="6962437" y="24340681"/>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128556</xdr:colOff>
      <xdr:row>78</xdr:row>
      <xdr:rowOff>172837</xdr:rowOff>
    </xdr:from>
    <xdr:to>
      <xdr:col>30</xdr:col>
      <xdr:colOff>217998</xdr:colOff>
      <xdr:row>79</xdr:row>
      <xdr:rowOff>3892</xdr:rowOff>
    </xdr:to>
    <xdr:cxnSp macro="">
      <xdr:nvCxnSpPr>
        <xdr:cNvPr id="108" name="直線コネクタ 107">
          <a:extLst>
            <a:ext uri="{FF2B5EF4-FFF2-40B4-BE49-F238E27FC236}">
              <a16:creationId xmlns:a16="http://schemas.microsoft.com/office/drawing/2014/main" id="{D189128E-D5E0-405B-99EE-B24CB743DE0F}"/>
            </a:ext>
          </a:extLst>
        </xdr:cNvPr>
        <xdr:cNvCxnSpPr/>
      </xdr:nvCxnSpPr>
      <xdr:spPr>
        <a:xfrm>
          <a:off x="6915119" y="24342525"/>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128592</xdr:colOff>
      <xdr:row>78</xdr:row>
      <xdr:rowOff>200206</xdr:rowOff>
    </xdr:from>
    <xdr:to>
      <xdr:col>30</xdr:col>
      <xdr:colOff>159318</xdr:colOff>
      <xdr:row>79</xdr:row>
      <xdr:rowOff>2332</xdr:rowOff>
    </xdr:to>
    <xdr:cxnSp macro="">
      <xdr:nvCxnSpPr>
        <xdr:cNvPr id="109" name="直線コネクタ 108">
          <a:extLst>
            <a:ext uri="{FF2B5EF4-FFF2-40B4-BE49-F238E27FC236}">
              <a16:creationId xmlns:a16="http://schemas.microsoft.com/office/drawing/2014/main" id="{1B1C5EA4-D946-4165-83AE-9C2618991354}"/>
            </a:ext>
          </a:extLst>
        </xdr:cNvPr>
        <xdr:cNvCxnSpPr/>
      </xdr:nvCxnSpPr>
      <xdr:spPr>
        <a:xfrm flipH="1">
          <a:off x="6915155" y="24369894"/>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148876</xdr:colOff>
      <xdr:row>78</xdr:row>
      <xdr:rowOff>226929</xdr:rowOff>
    </xdr:from>
    <xdr:to>
      <xdr:col>30</xdr:col>
      <xdr:colOff>179602</xdr:colOff>
      <xdr:row>79</xdr:row>
      <xdr:rowOff>8397</xdr:rowOff>
    </xdr:to>
    <xdr:cxnSp macro="">
      <xdr:nvCxnSpPr>
        <xdr:cNvPr id="110" name="直線コネクタ 109">
          <a:extLst>
            <a:ext uri="{FF2B5EF4-FFF2-40B4-BE49-F238E27FC236}">
              <a16:creationId xmlns:a16="http://schemas.microsoft.com/office/drawing/2014/main" id="{75FB074D-214F-48C5-AE14-F9B013CA3BA2}"/>
            </a:ext>
          </a:extLst>
        </xdr:cNvPr>
        <xdr:cNvCxnSpPr/>
      </xdr:nvCxnSpPr>
      <xdr:spPr>
        <a:xfrm flipH="1">
          <a:off x="6935439" y="24396617"/>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92331</xdr:colOff>
      <xdr:row>78</xdr:row>
      <xdr:rowOff>154671</xdr:rowOff>
    </xdr:from>
    <xdr:to>
      <xdr:col>26</xdr:col>
      <xdr:colOff>92331</xdr:colOff>
      <xdr:row>94</xdr:row>
      <xdr:rowOff>199571</xdr:rowOff>
    </xdr:to>
    <xdr:cxnSp macro="">
      <xdr:nvCxnSpPr>
        <xdr:cNvPr id="111" name="直線コネクタ 110">
          <a:extLst>
            <a:ext uri="{FF2B5EF4-FFF2-40B4-BE49-F238E27FC236}">
              <a16:creationId xmlns:a16="http://schemas.microsoft.com/office/drawing/2014/main" id="{D5071B2F-CDB4-4CC1-A081-CF424B8474C3}"/>
            </a:ext>
          </a:extLst>
        </xdr:cNvPr>
        <xdr:cNvCxnSpPr/>
      </xdr:nvCxnSpPr>
      <xdr:spPr>
        <a:xfrm>
          <a:off x="5974019" y="24324359"/>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116674</xdr:colOff>
      <xdr:row>80</xdr:row>
      <xdr:rowOff>160493</xdr:rowOff>
    </xdr:from>
    <xdr:to>
      <xdr:col>32</xdr:col>
      <xdr:colOff>211924</xdr:colOff>
      <xdr:row>80</xdr:row>
      <xdr:rowOff>160493</xdr:rowOff>
    </xdr:to>
    <xdr:cxnSp macro="">
      <xdr:nvCxnSpPr>
        <xdr:cNvPr id="112" name="直線コネクタ 111">
          <a:extLst>
            <a:ext uri="{FF2B5EF4-FFF2-40B4-BE49-F238E27FC236}">
              <a16:creationId xmlns:a16="http://schemas.microsoft.com/office/drawing/2014/main" id="{C1C76984-589B-440E-B502-48E6109BF5DE}"/>
            </a:ext>
          </a:extLst>
        </xdr:cNvPr>
        <xdr:cNvCxnSpPr/>
      </xdr:nvCxnSpPr>
      <xdr:spPr>
        <a:xfrm>
          <a:off x="6903237" y="24806431"/>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99448</xdr:colOff>
      <xdr:row>79</xdr:row>
      <xdr:rowOff>61097</xdr:rowOff>
    </xdr:from>
    <xdr:to>
      <xdr:col>34</xdr:col>
      <xdr:colOff>132100</xdr:colOff>
      <xdr:row>80</xdr:row>
      <xdr:rowOff>64238</xdr:rowOff>
    </xdr:to>
    <xdr:sp macro="" textlink="">
      <xdr:nvSpPr>
        <xdr:cNvPr id="120" name="テキスト ボックス 119">
          <a:extLst>
            <a:ext uri="{FF2B5EF4-FFF2-40B4-BE49-F238E27FC236}">
              <a16:creationId xmlns:a16="http://schemas.microsoft.com/office/drawing/2014/main" id="{63A84936-1BF4-43EB-A4E7-A715AF564E55}"/>
            </a:ext>
          </a:extLst>
        </xdr:cNvPr>
        <xdr:cNvSpPr txBox="1"/>
      </xdr:nvSpPr>
      <xdr:spPr>
        <a:xfrm>
          <a:off x="6886011" y="24468910"/>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32</xdr:col>
      <xdr:colOff>20709</xdr:colOff>
      <xdr:row>85</xdr:row>
      <xdr:rowOff>179045</xdr:rowOff>
    </xdr:from>
    <xdr:to>
      <xdr:col>34</xdr:col>
      <xdr:colOff>105224</xdr:colOff>
      <xdr:row>86</xdr:row>
      <xdr:rowOff>185726</xdr:rowOff>
    </xdr:to>
    <xdr:sp macro="" textlink="">
      <xdr:nvSpPr>
        <xdr:cNvPr id="528" name="テキスト ボックス 527">
          <a:extLst>
            <a:ext uri="{FF2B5EF4-FFF2-40B4-BE49-F238E27FC236}">
              <a16:creationId xmlns:a16="http://schemas.microsoft.com/office/drawing/2014/main" id="{F0FA4379-8C53-400E-8894-525F235B6BCD}"/>
            </a:ext>
          </a:extLst>
        </xdr:cNvPr>
        <xdr:cNvSpPr txBox="1"/>
      </xdr:nvSpPr>
      <xdr:spPr>
        <a:xfrm>
          <a:off x="7259709" y="26015608"/>
          <a:ext cx="536953" cy="24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30</xdr:col>
      <xdr:colOff>69054</xdr:colOff>
      <xdr:row>91</xdr:row>
      <xdr:rowOff>154063</xdr:rowOff>
    </xdr:from>
    <xdr:to>
      <xdr:col>32</xdr:col>
      <xdr:colOff>220465</xdr:colOff>
      <xdr:row>91</xdr:row>
      <xdr:rowOff>154063</xdr:rowOff>
    </xdr:to>
    <xdr:cxnSp macro="">
      <xdr:nvCxnSpPr>
        <xdr:cNvPr id="529" name="直線コネクタ 528">
          <a:extLst>
            <a:ext uri="{FF2B5EF4-FFF2-40B4-BE49-F238E27FC236}">
              <a16:creationId xmlns:a16="http://schemas.microsoft.com/office/drawing/2014/main" id="{26079A45-5676-406A-84A0-FD916E66C528}"/>
            </a:ext>
          </a:extLst>
        </xdr:cNvPr>
        <xdr:cNvCxnSpPr/>
      </xdr:nvCxnSpPr>
      <xdr:spPr>
        <a:xfrm>
          <a:off x="6855617" y="27419376"/>
          <a:ext cx="60384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85008</xdr:colOff>
      <xdr:row>90</xdr:row>
      <xdr:rowOff>120170</xdr:rowOff>
    </xdr:from>
    <xdr:to>
      <xdr:col>34</xdr:col>
      <xdr:colOff>104768</xdr:colOff>
      <xdr:row>91</xdr:row>
      <xdr:rowOff>146772</xdr:rowOff>
    </xdr:to>
    <xdr:sp macro="" textlink="">
      <xdr:nvSpPr>
        <xdr:cNvPr id="530" name="テキスト ボックス 529">
          <a:extLst>
            <a:ext uri="{FF2B5EF4-FFF2-40B4-BE49-F238E27FC236}">
              <a16:creationId xmlns:a16="http://schemas.microsoft.com/office/drawing/2014/main" id="{83716D96-C22F-4B29-8F11-EABDA1D12DB2}"/>
            </a:ext>
          </a:extLst>
        </xdr:cNvPr>
        <xdr:cNvSpPr txBox="1"/>
      </xdr:nvSpPr>
      <xdr:spPr>
        <a:xfrm>
          <a:off x="6871571" y="27147358"/>
          <a:ext cx="924635" cy="26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0.50m</a:t>
          </a:r>
          <a:endParaRPr kumimoji="1" lang="ja-JP" altLang="en-US" sz="1100"/>
        </a:p>
      </xdr:txBody>
    </xdr:sp>
    <xdr:clientData/>
  </xdr:twoCellAnchor>
  <xdr:twoCellAnchor>
    <xdr:from>
      <xdr:col>30</xdr:col>
      <xdr:colOff>89977</xdr:colOff>
      <xdr:row>91</xdr:row>
      <xdr:rowOff>204667</xdr:rowOff>
    </xdr:from>
    <xdr:to>
      <xdr:col>34</xdr:col>
      <xdr:colOff>167715</xdr:colOff>
      <xdr:row>92</xdr:row>
      <xdr:rowOff>209349</xdr:rowOff>
    </xdr:to>
    <xdr:sp macro="" textlink="">
      <xdr:nvSpPr>
        <xdr:cNvPr id="566" name="テキスト ボックス 565">
          <a:extLst>
            <a:ext uri="{FF2B5EF4-FFF2-40B4-BE49-F238E27FC236}">
              <a16:creationId xmlns:a16="http://schemas.microsoft.com/office/drawing/2014/main" id="{60E61811-5304-45C0-99D2-66C5BC91F8A2}"/>
            </a:ext>
          </a:extLst>
        </xdr:cNvPr>
        <xdr:cNvSpPr txBox="1"/>
      </xdr:nvSpPr>
      <xdr:spPr>
        <a:xfrm>
          <a:off x="6876540" y="27469980"/>
          <a:ext cx="982613"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0.75m</a:t>
          </a:r>
          <a:endParaRPr kumimoji="1" lang="ja-JP" altLang="en-US" sz="1100"/>
        </a:p>
      </xdr:txBody>
    </xdr:sp>
    <xdr:clientData/>
  </xdr:twoCellAnchor>
  <xdr:twoCellAnchor>
    <xdr:from>
      <xdr:col>21</xdr:col>
      <xdr:colOff>142696</xdr:colOff>
      <xdr:row>80</xdr:row>
      <xdr:rowOff>80995</xdr:rowOff>
    </xdr:from>
    <xdr:to>
      <xdr:col>25</xdr:col>
      <xdr:colOff>78154</xdr:colOff>
      <xdr:row>80</xdr:row>
      <xdr:rowOff>80995</xdr:rowOff>
    </xdr:to>
    <xdr:cxnSp macro="">
      <xdr:nvCxnSpPr>
        <xdr:cNvPr id="570" name="直線コネクタ 569">
          <a:extLst>
            <a:ext uri="{FF2B5EF4-FFF2-40B4-BE49-F238E27FC236}">
              <a16:creationId xmlns:a16="http://schemas.microsoft.com/office/drawing/2014/main" id="{2975C0BC-84CD-42D1-B424-DABC670C51B2}"/>
            </a:ext>
          </a:extLst>
        </xdr:cNvPr>
        <xdr:cNvCxnSpPr/>
      </xdr:nvCxnSpPr>
      <xdr:spPr>
        <a:xfrm>
          <a:off x="4893290" y="24726933"/>
          <a:ext cx="8403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132670</xdr:colOff>
      <xdr:row>81</xdr:row>
      <xdr:rowOff>2636</xdr:rowOff>
    </xdr:from>
    <xdr:to>
      <xdr:col>25</xdr:col>
      <xdr:colOff>65747</xdr:colOff>
      <xdr:row>81</xdr:row>
      <xdr:rowOff>2636</xdr:rowOff>
    </xdr:to>
    <xdr:cxnSp macro="">
      <xdr:nvCxnSpPr>
        <xdr:cNvPr id="572" name="直線コネクタ 571">
          <a:extLst>
            <a:ext uri="{FF2B5EF4-FFF2-40B4-BE49-F238E27FC236}">
              <a16:creationId xmlns:a16="http://schemas.microsoft.com/office/drawing/2014/main" id="{643BF639-9C0C-49FF-9CB5-6F8FF0D5A83A}"/>
            </a:ext>
          </a:extLst>
        </xdr:cNvPr>
        <xdr:cNvCxnSpPr/>
      </xdr:nvCxnSpPr>
      <xdr:spPr>
        <a:xfrm>
          <a:off x="4883264" y="24886699"/>
          <a:ext cx="83795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73768</xdr:colOff>
      <xdr:row>80</xdr:row>
      <xdr:rowOff>85891</xdr:rowOff>
    </xdr:from>
    <xdr:to>
      <xdr:col>25</xdr:col>
      <xdr:colOff>73768</xdr:colOff>
      <xdr:row>81</xdr:row>
      <xdr:rowOff>3021</xdr:rowOff>
    </xdr:to>
    <xdr:cxnSp macro="">
      <xdr:nvCxnSpPr>
        <xdr:cNvPr id="574" name="直線コネクタ 573">
          <a:extLst>
            <a:ext uri="{FF2B5EF4-FFF2-40B4-BE49-F238E27FC236}">
              <a16:creationId xmlns:a16="http://schemas.microsoft.com/office/drawing/2014/main" id="{7AE78AAC-B23F-4B48-926B-ADEA6CC54C65}"/>
            </a:ext>
          </a:extLst>
        </xdr:cNvPr>
        <xdr:cNvCxnSpPr/>
      </xdr:nvCxnSpPr>
      <xdr:spPr>
        <a:xfrm>
          <a:off x="5729237" y="24731829"/>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103363</xdr:colOff>
      <xdr:row>80</xdr:row>
      <xdr:rowOff>75686</xdr:rowOff>
    </xdr:from>
    <xdr:to>
      <xdr:col>25</xdr:col>
      <xdr:colOff>103363</xdr:colOff>
      <xdr:row>81</xdr:row>
      <xdr:rowOff>16807</xdr:rowOff>
    </xdr:to>
    <xdr:cxnSp macro="">
      <xdr:nvCxnSpPr>
        <xdr:cNvPr id="132" name="直線コネクタ 131">
          <a:extLst>
            <a:ext uri="{FF2B5EF4-FFF2-40B4-BE49-F238E27FC236}">
              <a16:creationId xmlns:a16="http://schemas.microsoft.com/office/drawing/2014/main" id="{F71E41ED-1EDF-43B0-A38B-FD934EDFE611}"/>
            </a:ext>
          </a:extLst>
        </xdr:cNvPr>
        <xdr:cNvCxnSpPr/>
      </xdr:nvCxnSpPr>
      <xdr:spPr>
        <a:xfrm>
          <a:off x="5758832" y="24721624"/>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15408</xdr:colOff>
      <xdr:row>80</xdr:row>
      <xdr:rowOff>75686</xdr:rowOff>
    </xdr:from>
    <xdr:to>
      <xdr:col>26</xdr:col>
      <xdr:colOff>15408</xdr:colOff>
      <xdr:row>81</xdr:row>
      <xdr:rowOff>16807</xdr:rowOff>
    </xdr:to>
    <xdr:cxnSp macro="">
      <xdr:nvCxnSpPr>
        <xdr:cNvPr id="134" name="直線コネクタ 133">
          <a:extLst>
            <a:ext uri="{FF2B5EF4-FFF2-40B4-BE49-F238E27FC236}">
              <a16:creationId xmlns:a16="http://schemas.microsoft.com/office/drawing/2014/main" id="{7B10C3B3-030A-43CE-8606-169A903660B8}"/>
            </a:ext>
          </a:extLst>
        </xdr:cNvPr>
        <xdr:cNvCxnSpPr/>
      </xdr:nvCxnSpPr>
      <xdr:spPr>
        <a:xfrm>
          <a:off x="5897096" y="24721624"/>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102293</xdr:colOff>
      <xdr:row>80</xdr:row>
      <xdr:rowOff>177617</xdr:rowOff>
    </xdr:from>
    <xdr:to>
      <xdr:col>26</xdr:col>
      <xdr:colOff>10937</xdr:colOff>
      <xdr:row>80</xdr:row>
      <xdr:rowOff>177617</xdr:rowOff>
    </xdr:to>
    <xdr:cxnSp macro="">
      <xdr:nvCxnSpPr>
        <xdr:cNvPr id="135" name="直線コネクタ 134">
          <a:extLst>
            <a:ext uri="{FF2B5EF4-FFF2-40B4-BE49-F238E27FC236}">
              <a16:creationId xmlns:a16="http://schemas.microsoft.com/office/drawing/2014/main" id="{0A7D64F9-F2D7-41A3-ABB4-D646941F0F4E}"/>
            </a:ext>
          </a:extLst>
        </xdr:cNvPr>
        <xdr:cNvCxnSpPr/>
      </xdr:nvCxnSpPr>
      <xdr:spPr>
        <a:xfrm>
          <a:off x="5757762" y="24823555"/>
          <a:ext cx="1348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140494</xdr:colOff>
      <xdr:row>91</xdr:row>
      <xdr:rowOff>155464</xdr:rowOff>
    </xdr:from>
    <xdr:to>
      <xdr:col>26</xdr:col>
      <xdr:colOff>72191</xdr:colOff>
      <xdr:row>91</xdr:row>
      <xdr:rowOff>155464</xdr:rowOff>
    </xdr:to>
    <xdr:cxnSp macro="">
      <xdr:nvCxnSpPr>
        <xdr:cNvPr id="136" name="直線コネクタ 135">
          <a:extLst>
            <a:ext uri="{FF2B5EF4-FFF2-40B4-BE49-F238E27FC236}">
              <a16:creationId xmlns:a16="http://schemas.microsoft.com/office/drawing/2014/main" id="{3276BAB5-B983-4CFF-BE7E-21FC7707A983}"/>
            </a:ext>
          </a:extLst>
        </xdr:cNvPr>
        <xdr:cNvCxnSpPr/>
      </xdr:nvCxnSpPr>
      <xdr:spPr>
        <a:xfrm>
          <a:off x="4664869" y="27420777"/>
          <a:ext cx="12890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208715</xdr:colOff>
      <xdr:row>91</xdr:row>
      <xdr:rowOff>153926</xdr:rowOff>
    </xdr:from>
    <xdr:to>
      <xdr:col>22</xdr:col>
      <xdr:colOff>72102</xdr:colOff>
      <xdr:row>92</xdr:row>
      <xdr:rowOff>724</xdr:rowOff>
    </xdr:to>
    <xdr:cxnSp macro="">
      <xdr:nvCxnSpPr>
        <xdr:cNvPr id="137" name="直線コネクタ 136">
          <a:extLst>
            <a:ext uri="{FF2B5EF4-FFF2-40B4-BE49-F238E27FC236}">
              <a16:creationId xmlns:a16="http://schemas.microsoft.com/office/drawing/2014/main" id="{96FB9768-7B3B-4DFD-BCFA-FA86EB371421}"/>
            </a:ext>
          </a:extLst>
        </xdr:cNvPr>
        <xdr:cNvCxnSpPr/>
      </xdr:nvCxnSpPr>
      <xdr:spPr>
        <a:xfrm>
          <a:off x="4959309" y="27419239"/>
          <a:ext cx="89606" cy="84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148083</xdr:colOff>
      <xdr:row>91</xdr:row>
      <xdr:rowOff>155169</xdr:rowOff>
    </xdr:from>
    <xdr:to>
      <xdr:col>22</xdr:col>
      <xdr:colOff>27890</xdr:colOff>
      <xdr:row>92</xdr:row>
      <xdr:rowOff>12093</xdr:rowOff>
    </xdr:to>
    <xdr:cxnSp macro="">
      <xdr:nvCxnSpPr>
        <xdr:cNvPr id="147" name="直線コネクタ 146">
          <a:extLst>
            <a:ext uri="{FF2B5EF4-FFF2-40B4-BE49-F238E27FC236}">
              <a16:creationId xmlns:a16="http://schemas.microsoft.com/office/drawing/2014/main" id="{400B9D1C-B4D1-4EF3-A41B-A57EE3FB9E1F}"/>
            </a:ext>
          </a:extLst>
        </xdr:cNvPr>
        <xdr:cNvCxnSpPr/>
      </xdr:nvCxnSpPr>
      <xdr:spPr>
        <a:xfrm>
          <a:off x="4898677" y="27420482"/>
          <a:ext cx="106026" cy="95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148998</xdr:colOff>
      <xdr:row>91</xdr:row>
      <xdr:rowOff>192730</xdr:rowOff>
    </xdr:from>
    <xdr:to>
      <xdr:col>21</xdr:col>
      <xdr:colOff>193968</xdr:colOff>
      <xdr:row>91</xdr:row>
      <xdr:rowOff>232329</xdr:rowOff>
    </xdr:to>
    <xdr:cxnSp macro="">
      <xdr:nvCxnSpPr>
        <xdr:cNvPr id="148" name="直線コネクタ 147">
          <a:extLst>
            <a:ext uri="{FF2B5EF4-FFF2-40B4-BE49-F238E27FC236}">
              <a16:creationId xmlns:a16="http://schemas.microsoft.com/office/drawing/2014/main" id="{38E3D3D0-6E39-4349-AA7D-1D63234815AD}"/>
            </a:ext>
          </a:extLst>
        </xdr:cNvPr>
        <xdr:cNvCxnSpPr/>
      </xdr:nvCxnSpPr>
      <xdr:spPr>
        <a:xfrm flipH="1">
          <a:off x="4899592" y="27458043"/>
          <a:ext cx="44970" cy="39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182596</xdr:colOff>
      <xdr:row>91</xdr:row>
      <xdr:rowOff>225605</xdr:rowOff>
    </xdr:from>
    <xdr:to>
      <xdr:col>21</xdr:col>
      <xdr:colOff>214252</xdr:colOff>
      <xdr:row>92</xdr:row>
      <xdr:rowOff>11403</xdr:rowOff>
    </xdr:to>
    <xdr:cxnSp macro="">
      <xdr:nvCxnSpPr>
        <xdr:cNvPr id="150" name="直線コネクタ 149">
          <a:extLst>
            <a:ext uri="{FF2B5EF4-FFF2-40B4-BE49-F238E27FC236}">
              <a16:creationId xmlns:a16="http://schemas.microsoft.com/office/drawing/2014/main" id="{AFA4E54C-4549-4730-B5C0-1285B4D4CF86}"/>
            </a:ext>
          </a:extLst>
        </xdr:cNvPr>
        <xdr:cNvCxnSpPr/>
      </xdr:nvCxnSpPr>
      <xdr:spPr>
        <a:xfrm flipH="1">
          <a:off x="4933190" y="27490918"/>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64824</xdr:colOff>
      <xdr:row>91</xdr:row>
      <xdr:rowOff>151670</xdr:rowOff>
    </xdr:from>
    <xdr:to>
      <xdr:col>21</xdr:col>
      <xdr:colOff>149495</xdr:colOff>
      <xdr:row>92</xdr:row>
      <xdr:rowOff>15644</xdr:rowOff>
    </xdr:to>
    <xdr:cxnSp macro="">
      <xdr:nvCxnSpPr>
        <xdr:cNvPr id="151" name="直線コネクタ 150">
          <a:extLst>
            <a:ext uri="{FF2B5EF4-FFF2-40B4-BE49-F238E27FC236}">
              <a16:creationId xmlns:a16="http://schemas.microsoft.com/office/drawing/2014/main" id="{6C0958A8-5293-49F1-B4AD-13815F5BDCED}"/>
            </a:ext>
          </a:extLst>
        </xdr:cNvPr>
        <xdr:cNvCxnSpPr/>
      </xdr:nvCxnSpPr>
      <xdr:spPr>
        <a:xfrm>
          <a:off x="4815418" y="27416983"/>
          <a:ext cx="84671" cy="1020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24433</xdr:colOff>
      <xdr:row>91</xdr:row>
      <xdr:rowOff>154944</xdr:rowOff>
    </xdr:from>
    <xdr:to>
      <xdr:col>21</xdr:col>
      <xdr:colOff>111674</xdr:colOff>
      <xdr:row>92</xdr:row>
      <xdr:rowOff>17488</xdr:rowOff>
    </xdr:to>
    <xdr:cxnSp macro="">
      <xdr:nvCxnSpPr>
        <xdr:cNvPr id="152" name="直線コネクタ 151">
          <a:extLst>
            <a:ext uri="{FF2B5EF4-FFF2-40B4-BE49-F238E27FC236}">
              <a16:creationId xmlns:a16="http://schemas.microsoft.com/office/drawing/2014/main" id="{37563A8C-1F14-416F-BA83-7F4672C97162}"/>
            </a:ext>
          </a:extLst>
        </xdr:cNvPr>
        <xdr:cNvCxnSpPr/>
      </xdr:nvCxnSpPr>
      <xdr:spPr>
        <a:xfrm>
          <a:off x="4775027" y="27420257"/>
          <a:ext cx="87241" cy="100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24469</xdr:colOff>
      <xdr:row>91</xdr:row>
      <xdr:rowOff>209474</xdr:rowOff>
    </xdr:from>
    <xdr:to>
      <xdr:col>21</xdr:col>
      <xdr:colOff>50092</xdr:colOff>
      <xdr:row>92</xdr:row>
      <xdr:rowOff>2075</xdr:rowOff>
    </xdr:to>
    <xdr:cxnSp macro="">
      <xdr:nvCxnSpPr>
        <xdr:cNvPr id="153" name="直線コネクタ 152">
          <a:extLst>
            <a:ext uri="{FF2B5EF4-FFF2-40B4-BE49-F238E27FC236}">
              <a16:creationId xmlns:a16="http://schemas.microsoft.com/office/drawing/2014/main" id="{9A4F0A1A-83DD-4D6C-BE19-D452A913C8FF}"/>
            </a:ext>
          </a:extLst>
        </xdr:cNvPr>
        <xdr:cNvCxnSpPr/>
      </xdr:nvCxnSpPr>
      <xdr:spPr>
        <a:xfrm flipH="1">
          <a:off x="4775063" y="27474787"/>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44753</xdr:colOff>
      <xdr:row>91</xdr:row>
      <xdr:rowOff>226671</xdr:rowOff>
    </xdr:from>
    <xdr:to>
      <xdr:col>21</xdr:col>
      <xdr:colOff>68552</xdr:colOff>
      <xdr:row>92</xdr:row>
      <xdr:rowOff>16798</xdr:rowOff>
    </xdr:to>
    <xdr:cxnSp macro="">
      <xdr:nvCxnSpPr>
        <xdr:cNvPr id="155" name="直線コネクタ 154">
          <a:extLst>
            <a:ext uri="{FF2B5EF4-FFF2-40B4-BE49-F238E27FC236}">
              <a16:creationId xmlns:a16="http://schemas.microsoft.com/office/drawing/2014/main" id="{5B5AE8BA-307A-48F9-8ED2-DD978FD05DA9}"/>
            </a:ext>
          </a:extLst>
        </xdr:cNvPr>
        <xdr:cNvCxnSpPr/>
      </xdr:nvCxnSpPr>
      <xdr:spPr>
        <a:xfrm flipH="1">
          <a:off x="4795347" y="27491984"/>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80960</xdr:colOff>
      <xdr:row>90</xdr:row>
      <xdr:rowOff>143484</xdr:rowOff>
    </xdr:from>
    <xdr:to>
      <xdr:col>32</xdr:col>
      <xdr:colOff>213321</xdr:colOff>
      <xdr:row>90</xdr:row>
      <xdr:rowOff>143484</xdr:rowOff>
    </xdr:to>
    <xdr:cxnSp macro="">
      <xdr:nvCxnSpPr>
        <xdr:cNvPr id="160" name="直線コネクタ 159">
          <a:extLst>
            <a:ext uri="{FF2B5EF4-FFF2-40B4-BE49-F238E27FC236}">
              <a16:creationId xmlns:a16="http://schemas.microsoft.com/office/drawing/2014/main" id="{BF82CBFC-A76B-4E64-9170-0ED26333637E}"/>
            </a:ext>
          </a:extLst>
        </xdr:cNvPr>
        <xdr:cNvCxnSpPr/>
      </xdr:nvCxnSpPr>
      <xdr:spPr>
        <a:xfrm>
          <a:off x="6867523" y="27170672"/>
          <a:ext cx="58479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152904</xdr:colOff>
      <xdr:row>86</xdr:row>
      <xdr:rowOff>23744</xdr:rowOff>
    </xdr:from>
    <xdr:to>
      <xdr:col>25</xdr:col>
      <xdr:colOff>88362</xdr:colOff>
      <xdr:row>86</xdr:row>
      <xdr:rowOff>23744</xdr:rowOff>
    </xdr:to>
    <xdr:cxnSp macro="">
      <xdr:nvCxnSpPr>
        <xdr:cNvPr id="164" name="直線コネクタ 163">
          <a:extLst>
            <a:ext uri="{FF2B5EF4-FFF2-40B4-BE49-F238E27FC236}">
              <a16:creationId xmlns:a16="http://schemas.microsoft.com/office/drawing/2014/main" id="{E9A01416-7C90-4147-B948-9E763E171092}"/>
            </a:ext>
          </a:extLst>
        </xdr:cNvPr>
        <xdr:cNvCxnSpPr/>
      </xdr:nvCxnSpPr>
      <xdr:spPr>
        <a:xfrm>
          <a:off x="4903498" y="26098432"/>
          <a:ext cx="840333"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142878</xdr:colOff>
      <xdr:row>86</xdr:row>
      <xdr:rowOff>177912</xdr:rowOff>
    </xdr:from>
    <xdr:to>
      <xdr:col>25</xdr:col>
      <xdr:colOff>75955</xdr:colOff>
      <xdr:row>86</xdr:row>
      <xdr:rowOff>177912</xdr:rowOff>
    </xdr:to>
    <xdr:cxnSp macro="">
      <xdr:nvCxnSpPr>
        <xdr:cNvPr id="166" name="直線コネクタ 165">
          <a:extLst>
            <a:ext uri="{FF2B5EF4-FFF2-40B4-BE49-F238E27FC236}">
              <a16:creationId xmlns:a16="http://schemas.microsoft.com/office/drawing/2014/main" id="{7FCAA168-B192-49AB-96AA-1974F17956C8}"/>
            </a:ext>
          </a:extLst>
        </xdr:cNvPr>
        <xdr:cNvCxnSpPr/>
      </xdr:nvCxnSpPr>
      <xdr:spPr>
        <a:xfrm>
          <a:off x="4893472" y="26252600"/>
          <a:ext cx="837952"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83976</xdr:colOff>
      <xdr:row>86</xdr:row>
      <xdr:rowOff>28640</xdr:rowOff>
    </xdr:from>
    <xdr:to>
      <xdr:col>25</xdr:col>
      <xdr:colOff>83976</xdr:colOff>
      <xdr:row>86</xdr:row>
      <xdr:rowOff>178297</xdr:rowOff>
    </xdr:to>
    <xdr:cxnSp macro="">
      <xdr:nvCxnSpPr>
        <xdr:cNvPr id="168" name="直線コネクタ 167">
          <a:extLst>
            <a:ext uri="{FF2B5EF4-FFF2-40B4-BE49-F238E27FC236}">
              <a16:creationId xmlns:a16="http://schemas.microsoft.com/office/drawing/2014/main" id="{D68BEC0B-2B1E-4173-8CB4-DDED3F80F507}"/>
            </a:ext>
          </a:extLst>
        </xdr:cNvPr>
        <xdr:cNvCxnSpPr/>
      </xdr:nvCxnSpPr>
      <xdr:spPr>
        <a:xfrm>
          <a:off x="5739445" y="26103328"/>
          <a:ext cx="0" cy="1496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111190</xdr:colOff>
      <xdr:row>86</xdr:row>
      <xdr:rowOff>18435</xdr:rowOff>
    </xdr:from>
    <xdr:to>
      <xdr:col>25</xdr:col>
      <xdr:colOff>111190</xdr:colOff>
      <xdr:row>86</xdr:row>
      <xdr:rowOff>183991</xdr:rowOff>
    </xdr:to>
    <xdr:cxnSp macro="">
      <xdr:nvCxnSpPr>
        <xdr:cNvPr id="169" name="直線コネクタ 168">
          <a:extLst>
            <a:ext uri="{FF2B5EF4-FFF2-40B4-BE49-F238E27FC236}">
              <a16:creationId xmlns:a16="http://schemas.microsoft.com/office/drawing/2014/main" id="{B6527B12-2AAF-4C17-B2CB-10B88036052A}"/>
            </a:ext>
          </a:extLst>
        </xdr:cNvPr>
        <xdr:cNvCxnSpPr/>
      </xdr:nvCxnSpPr>
      <xdr:spPr>
        <a:xfrm>
          <a:off x="5766659" y="26093123"/>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25616</xdr:colOff>
      <xdr:row>86</xdr:row>
      <xdr:rowOff>18435</xdr:rowOff>
    </xdr:from>
    <xdr:to>
      <xdr:col>26</xdr:col>
      <xdr:colOff>25616</xdr:colOff>
      <xdr:row>86</xdr:row>
      <xdr:rowOff>183991</xdr:rowOff>
    </xdr:to>
    <xdr:cxnSp macro="">
      <xdr:nvCxnSpPr>
        <xdr:cNvPr id="174" name="直線コネクタ 173">
          <a:extLst>
            <a:ext uri="{FF2B5EF4-FFF2-40B4-BE49-F238E27FC236}">
              <a16:creationId xmlns:a16="http://schemas.microsoft.com/office/drawing/2014/main" id="{D5939231-F527-406C-9604-71A16056B8BF}"/>
            </a:ext>
          </a:extLst>
        </xdr:cNvPr>
        <xdr:cNvCxnSpPr/>
      </xdr:nvCxnSpPr>
      <xdr:spPr>
        <a:xfrm>
          <a:off x="5907304" y="26093123"/>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110120</xdr:colOff>
      <xdr:row>86</xdr:row>
      <xdr:rowOff>106606</xdr:rowOff>
    </xdr:from>
    <xdr:to>
      <xdr:col>26</xdr:col>
      <xdr:colOff>21145</xdr:colOff>
      <xdr:row>86</xdr:row>
      <xdr:rowOff>106606</xdr:rowOff>
    </xdr:to>
    <xdr:cxnSp macro="">
      <xdr:nvCxnSpPr>
        <xdr:cNvPr id="176" name="直線コネクタ 175">
          <a:extLst>
            <a:ext uri="{FF2B5EF4-FFF2-40B4-BE49-F238E27FC236}">
              <a16:creationId xmlns:a16="http://schemas.microsoft.com/office/drawing/2014/main" id="{FAC17E94-7774-4F84-A1AF-715F5920E587}"/>
            </a:ext>
          </a:extLst>
        </xdr:cNvPr>
        <xdr:cNvCxnSpPr/>
      </xdr:nvCxnSpPr>
      <xdr:spPr>
        <a:xfrm>
          <a:off x="5765589" y="26181294"/>
          <a:ext cx="137244"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80955</xdr:colOff>
      <xdr:row>86</xdr:row>
      <xdr:rowOff>112727</xdr:rowOff>
    </xdr:from>
    <xdr:to>
      <xdr:col>32</xdr:col>
      <xdr:colOff>118850</xdr:colOff>
      <xdr:row>86</xdr:row>
      <xdr:rowOff>112727</xdr:rowOff>
    </xdr:to>
    <xdr:cxnSp macro="">
      <xdr:nvCxnSpPr>
        <xdr:cNvPr id="178" name="直線コネクタ 177">
          <a:extLst>
            <a:ext uri="{FF2B5EF4-FFF2-40B4-BE49-F238E27FC236}">
              <a16:creationId xmlns:a16="http://schemas.microsoft.com/office/drawing/2014/main" id="{55B40E2E-4B8F-4C29-8263-C3A3AB530591}"/>
            </a:ext>
          </a:extLst>
        </xdr:cNvPr>
        <xdr:cNvCxnSpPr/>
      </xdr:nvCxnSpPr>
      <xdr:spPr>
        <a:xfrm>
          <a:off x="6867518" y="26187415"/>
          <a:ext cx="49033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57649</xdr:colOff>
      <xdr:row>82</xdr:row>
      <xdr:rowOff>137996</xdr:rowOff>
    </xdr:from>
    <xdr:to>
      <xdr:col>34</xdr:col>
      <xdr:colOff>71535</xdr:colOff>
      <xdr:row>83</xdr:row>
      <xdr:rowOff>162461</xdr:rowOff>
    </xdr:to>
    <xdr:sp macro="" textlink="">
      <xdr:nvSpPr>
        <xdr:cNvPr id="179" name="テキスト ボックス 178">
          <a:extLst>
            <a:ext uri="{FF2B5EF4-FFF2-40B4-BE49-F238E27FC236}">
              <a16:creationId xmlns:a16="http://schemas.microsoft.com/office/drawing/2014/main" id="{6A4B58B6-E6BF-41F8-BD85-2305162949D1}"/>
            </a:ext>
          </a:extLst>
        </xdr:cNvPr>
        <xdr:cNvSpPr txBox="1"/>
      </xdr:nvSpPr>
      <xdr:spPr>
        <a:xfrm>
          <a:off x="6617993" y="25260184"/>
          <a:ext cx="1144980" cy="262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 </a:t>
          </a:r>
          <a:r>
            <a:rPr kumimoji="1" lang="en-US" altLang="ja-JP" sz="1100"/>
            <a:t>2.80m</a:t>
          </a:r>
          <a:endParaRPr kumimoji="1" lang="ja-JP" altLang="en-US" sz="1100"/>
        </a:p>
      </xdr:txBody>
    </xdr:sp>
    <xdr:clientData/>
  </xdr:twoCellAnchor>
  <xdr:twoCellAnchor>
    <xdr:from>
      <xdr:col>29</xdr:col>
      <xdr:colOff>57648</xdr:colOff>
      <xdr:row>87</xdr:row>
      <xdr:rowOff>162236</xdr:rowOff>
    </xdr:from>
    <xdr:to>
      <xdr:col>34</xdr:col>
      <xdr:colOff>79818</xdr:colOff>
      <xdr:row>88</xdr:row>
      <xdr:rowOff>184631</xdr:rowOff>
    </xdr:to>
    <xdr:sp macro="" textlink="">
      <xdr:nvSpPr>
        <xdr:cNvPr id="180" name="テキスト ボックス 179">
          <a:extLst>
            <a:ext uri="{FF2B5EF4-FFF2-40B4-BE49-F238E27FC236}">
              <a16:creationId xmlns:a16="http://schemas.microsoft.com/office/drawing/2014/main" id="{5E90F5CF-16B7-48C5-8ACB-184A4ECE4F51}"/>
            </a:ext>
          </a:extLst>
        </xdr:cNvPr>
        <xdr:cNvSpPr txBox="1"/>
      </xdr:nvSpPr>
      <xdr:spPr>
        <a:xfrm>
          <a:off x="6617992" y="26475049"/>
          <a:ext cx="1153264"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 </a:t>
          </a:r>
          <a:r>
            <a:rPr kumimoji="1" lang="en-US" altLang="ja-JP" sz="1100"/>
            <a:t>2.20m</a:t>
          </a:r>
          <a:endParaRPr kumimoji="1" lang="ja-JP" altLang="en-US" sz="1100"/>
        </a:p>
      </xdr:txBody>
    </xdr:sp>
    <xdr:clientData/>
  </xdr:twoCellAnchor>
  <xdr:twoCellAnchor>
    <xdr:from>
      <xdr:col>26</xdr:col>
      <xdr:colOff>18617</xdr:colOff>
      <xdr:row>93</xdr:row>
      <xdr:rowOff>25871</xdr:rowOff>
    </xdr:from>
    <xdr:to>
      <xdr:col>26</xdr:col>
      <xdr:colOff>143576</xdr:colOff>
      <xdr:row>93</xdr:row>
      <xdr:rowOff>149531</xdr:rowOff>
    </xdr:to>
    <xdr:sp macro="" textlink="">
      <xdr:nvSpPr>
        <xdr:cNvPr id="181" name="楕円 180">
          <a:extLst>
            <a:ext uri="{FF2B5EF4-FFF2-40B4-BE49-F238E27FC236}">
              <a16:creationId xmlns:a16="http://schemas.microsoft.com/office/drawing/2014/main" id="{447C6445-FB72-467B-81DF-4B76B99A6682}"/>
            </a:ext>
          </a:extLst>
        </xdr:cNvPr>
        <xdr:cNvSpPr/>
      </xdr:nvSpPr>
      <xdr:spPr>
        <a:xfrm>
          <a:off x="5900305" y="27767434"/>
          <a:ext cx="124959" cy="12366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10160</xdr:colOff>
      <xdr:row>80</xdr:row>
      <xdr:rowOff>160437</xdr:rowOff>
    </xdr:from>
    <xdr:to>
      <xdr:col>32</xdr:col>
      <xdr:colOff>10160</xdr:colOff>
      <xdr:row>86</xdr:row>
      <xdr:rowOff>112223</xdr:rowOff>
    </xdr:to>
    <xdr:cxnSp macro="">
      <xdr:nvCxnSpPr>
        <xdr:cNvPr id="182" name="直線矢印コネクタ 181">
          <a:extLst>
            <a:ext uri="{FF2B5EF4-FFF2-40B4-BE49-F238E27FC236}">
              <a16:creationId xmlns:a16="http://schemas.microsoft.com/office/drawing/2014/main" id="{20340BF9-219C-43E2-8551-1056C9070104}"/>
            </a:ext>
          </a:extLst>
        </xdr:cNvPr>
        <xdr:cNvCxnSpPr/>
      </xdr:nvCxnSpPr>
      <xdr:spPr>
        <a:xfrm>
          <a:off x="7249160" y="24806375"/>
          <a:ext cx="0" cy="13805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10160</xdr:colOff>
      <xdr:row>86</xdr:row>
      <xdr:rowOff>102458</xdr:rowOff>
    </xdr:from>
    <xdr:to>
      <xdr:col>32</xdr:col>
      <xdr:colOff>10160</xdr:colOff>
      <xdr:row>90</xdr:row>
      <xdr:rowOff>161919</xdr:rowOff>
    </xdr:to>
    <xdr:cxnSp macro="">
      <xdr:nvCxnSpPr>
        <xdr:cNvPr id="183" name="直線矢印コネクタ 182">
          <a:extLst>
            <a:ext uri="{FF2B5EF4-FFF2-40B4-BE49-F238E27FC236}">
              <a16:creationId xmlns:a16="http://schemas.microsoft.com/office/drawing/2014/main" id="{F38DFD05-81F9-47F4-9329-4295E9A0FDE6}"/>
            </a:ext>
          </a:extLst>
        </xdr:cNvPr>
        <xdr:cNvCxnSpPr/>
      </xdr:nvCxnSpPr>
      <xdr:spPr>
        <a:xfrm>
          <a:off x="7249160" y="26177146"/>
          <a:ext cx="0" cy="10119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115452</xdr:colOff>
      <xdr:row>86</xdr:row>
      <xdr:rowOff>102458</xdr:rowOff>
    </xdr:from>
    <xdr:to>
      <xdr:col>23</xdr:col>
      <xdr:colOff>115452</xdr:colOff>
      <xdr:row>93</xdr:row>
      <xdr:rowOff>85719</xdr:rowOff>
    </xdr:to>
    <xdr:cxnSp macro="">
      <xdr:nvCxnSpPr>
        <xdr:cNvPr id="184" name="直線矢印コネクタ 183">
          <a:extLst>
            <a:ext uri="{FF2B5EF4-FFF2-40B4-BE49-F238E27FC236}">
              <a16:creationId xmlns:a16="http://schemas.microsoft.com/office/drawing/2014/main" id="{57A8AC7F-2E0D-4674-89E0-FC86810F0A41}"/>
            </a:ext>
          </a:extLst>
        </xdr:cNvPr>
        <xdr:cNvCxnSpPr/>
      </xdr:nvCxnSpPr>
      <xdr:spPr>
        <a:xfrm>
          <a:off x="5318483" y="26177146"/>
          <a:ext cx="0" cy="16501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10160</xdr:colOff>
      <xdr:row>90</xdr:row>
      <xdr:rowOff>131033</xdr:rowOff>
    </xdr:from>
    <xdr:to>
      <xdr:col>32</xdr:col>
      <xdr:colOff>10160</xdr:colOff>
      <xdr:row>91</xdr:row>
      <xdr:rowOff>152394</xdr:rowOff>
    </xdr:to>
    <xdr:cxnSp macro="">
      <xdr:nvCxnSpPr>
        <xdr:cNvPr id="185" name="直線矢印コネクタ 184">
          <a:extLst>
            <a:ext uri="{FF2B5EF4-FFF2-40B4-BE49-F238E27FC236}">
              <a16:creationId xmlns:a16="http://schemas.microsoft.com/office/drawing/2014/main" id="{2A0C0842-5C9B-4AA5-8139-1D9729774AD6}"/>
            </a:ext>
          </a:extLst>
        </xdr:cNvPr>
        <xdr:cNvCxnSpPr/>
      </xdr:nvCxnSpPr>
      <xdr:spPr>
        <a:xfrm>
          <a:off x="7249160" y="27158221"/>
          <a:ext cx="0" cy="2594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10160</xdr:colOff>
      <xdr:row>91</xdr:row>
      <xdr:rowOff>150083</xdr:rowOff>
    </xdr:from>
    <xdr:to>
      <xdr:col>32</xdr:col>
      <xdr:colOff>10160</xdr:colOff>
      <xdr:row>93</xdr:row>
      <xdr:rowOff>85719</xdr:rowOff>
    </xdr:to>
    <xdr:cxnSp macro="">
      <xdr:nvCxnSpPr>
        <xdr:cNvPr id="186" name="直線矢印コネクタ 185">
          <a:extLst>
            <a:ext uri="{FF2B5EF4-FFF2-40B4-BE49-F238E27FC236}">
              <a16:creationId xmlns:a16="http://schemas.microsoft.com/office/drawing/2014/main" id="{0999BE28-5377-4353-80CD-A742CC9045C5}"/>
            </a:ext>
          </a:extLst>
        </xdr:cNvPr>
        <xdr:cNvCxnSpPr/>
      </xdr:nvCxnSpPr>
      <xdr:spPr>
        <a:xfrm>
          <a:off x="7249160" y="27415396"/>
          <a:ext cx="0" cy="4118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9523</xdr:colOff>
      <xdr:row>93</xdr:row>
      <xdr:rowOff>96913</xdr:rowOff>
    </xdr:from>
    <xdr:to>
      <xdr:col>33</xdr:col>
      <xdr:colOff>14286</xdr:colOff>
      <xdr:row>93</xdr:row>
      <xdr:rowOff>96913</xdr:rowOff>
    </xdr:to>
    <xdr:cxnSp macro="">
      <xdr:nvCxnSpPr>
        <xdr:cNvPr id="187" name="直線コネクタ 186">
          <a:extLst>
            <a:ext uri="{FF2B5EF4-FFF2-40B4-BE49-F238E27FC236}">
              <a16:creationId xmlns:a16="http://schemas.microsoft.com/office/drawing/2014/main" id="{FFB78347-75B2-4B24-934F-E8582CD3B7FC}"/>
            </a:ext>
          </a:extLst>
        </xdr:cNvPr>
        <xdr:cNvCxnSpPr/>
      </xdr:nvCxnSpPr>
      <xdr:spPr>
        <a:xfrm>
          <a:off x="6796086" y="27838476"/>
          <a:ext cx="6834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133343</xdr:colOff>
      <xdr:row>84</xdr:row>
      <xdr:rowOff>238119</xdr:rowOff>
    </xdr:from>
    <xdr:to>
      <xdr:col>26</xdr:col>
      <xdr:colOff>179019</xdr:colOff>
      <xdr:row>85</xdr:row>
      <xdr:rowOff>233273</xdr:rowOff>
    </xdr:to>
    <xdr:sp macro="" textlink="">
      <xdr:nvSpPr>
        <xdr:cNvPr id="188" name="テキスト ボックス 187">
          <a:extLst>
            <a:ext uri="{FF2B5EF4-FFF2-40B4-BE49-F238E27FC236}">
              <a16:creationId xmlns:a16="http://schemas.microsoft.com/office/drawing/2014/main" id="{94AF7FA3-65BF-4836-A839-7F870A0763AB}"/>
            </a:ext>
          </a:extLst>
        </xdr:cNvPr>
        <xdr:cNvSpPr txBox="1"/>
      </xdr:nvSpPr>
      <xdr:spPr>
        <a:xfrm>
          <a:off x="5562593" y="25836557"/>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24</xdr:col>
      <xdr:colOff>107009</xdr:colOff>
      <xdr:row>92</xdr:row>
      <xdr:rowOff>178168</xdr:rowOff>
    </xdr:from>
    <xdr:to>
      <xdr:col>26</xdr:col>
      <xdr:colOff>152685</xdr:colOff>
      <xdr:row>93</xdr:row>
      <xdr:rowOff>173322</xdr:rowOff>
    </xdr:to>
    <xdr:sp macro="" textlink="">
      <xdr:nvSpPr>
        <xdr:cNvPr id="189" name="テキスト ボックス 188">
          <a:extLst>
            <a:ext uri="{FF2B5EF4-FFF2-40B4-BE49-F238E27FC236}">
              <a16:creationId xmlns:a16="http://schemas.microsoft.com/office/drawing/2014/main" id="{F5B1841F-7C3E-42F6-A2E0-5B6D517876C7}"/>
            </a:ext>
          </a:extLst>
        </xdr:cNvPr>
        <xdr:cNvSpPr txBox="1"/>
      </xdr:nvSpPr>
      <xdr:spPr>
        <a:xfrm>
          <a:off x="5536259" y="27681606"/>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21</xdr:col>
      <xdr:colOff>86223</xdr:colOff>
      <xdr:row>89</xdr:row>
      <xdr:rowOff>152711</xdr:rowOff>
    </xdr:from>
    <xdr:to>
      <xdr:col>24</xdr:col>
      <xdr:colOff>2375</xdr:colOff>
      <xdr:row>90</xdr:row>
      <xdr:rowOff>175106</xdr:rowOff>
    </xdr:to>
    <xdr:sp macro="" textlink="">
      <xdr:nvSpPr>
        <xdr:cNvPr id="190" name="テキスト ボックス 189">
          <a:extLst>
            <a:ext uri="{FF2B5EF4-FFF2-40B4-BE49-F238E27FC236}">
              <a16:creationId xmlns:a16="http://schemas.microsoft.com/office/drawing/2014/main" id="{FB48690C-6B43-4597-B4F7-4D1972F4C5F9}"/>
            </a:ext>
          </a:extLst>
        </xdr:cNvPr>
        <xdr:cNvSpPr txBox="1"/>
      </xdr:nvSpPr>
      <xdr:spPr>
        <a:xfrm>
          <a:off x="4836817" y="26941774"/>
          <a:ext cx="594808"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3.45m</a:t>
          </a:r>
          <a:endParaRPr kumimoji="1" lang="ja-JP" altLang="en-US" sz="1100"/>
        </a:p>
      </xdr:txBody>
    </xdr:sp>
    <xdr:clientData/>
  </xdr:twoCellAnchor>
  <xdr:twoCellAnchor>
    <xdr:from>
      <xdr:col>22</xdr:col>
      <xdr:colOff>200018</xdr:colOff>
      <xdr:row>93</xdr:row>
      <xdr:rowOff>96913</xdr:rowOff>
    </xdr:from>
    <xdr:to>
      <xdr:col>24</xdr:col>
      <xdr:colOff>88100</xdr:colOff>
      <xdr:row>93</xdr:row>
      <xdr:rowOff>96913</xdr:rowOff>
    </xdr:to>
    <xdr:cxnSp macro="">
      <xdr:nvCxnSpPr>
        <xdr:cNvPr id="191" name="直線コネクタ 190">
          <a:extLst>
            <a:ext uri="{FF2B5EF4-FFF2-40B4-BE49-F238E27FC236}">
              <a16:creationId xmlns:a16="http://schemas.microsoft.com/office/drawing/2014/main" id="{17A3A085-33AA-45EE-90CD-C46A9A4B076E}"/>
            </a:ext>
          </a:extLst>
        </xdr:cNvPr>
        <xdr:cNvCxnSpPr/>
      </xdr:nvCxnSpPr>
      <xdr:spPr>
        <a:xfrm>
          <a:off x="5176831" y="27838476"/>
          <a:ext cx="3405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102106</xdr:colOff>
      <xdr:row>91</xdr:row>
      <xdr:rowOff>153377</xdr:rowOff>
    </xdr:from>
    <xdr:to>
      <xdr:col>29</xdr:col>
      <xdr:colOff>104768</xdr:colOff>
      <xdr:row>91</xdr:row>
      <xdr:rowOff>153377</xdr:rowOff>
    </xdr:to>
    <xdr:cxnSp macro="">
      <xdr:nvCxnSpPr>
        <xdr:cNvPr id="192" name="直線コネクタ 191">
          <a:extLst>
            <a:ext uri="{FF2B5EF4-FFF2-40B4-BE49-F238E27FC236}">
              <a16:creationId xmlns:a16="http://schemas.microsoft.com/office/drawing/2014/main" id="{76CFAE14-9CB5-4C08-B752-8713B028EBA8}"/>
            </a:ext>
          </a:extLst>
        </xdr:cNvPr>
        <xdr:cNvCxnSpPr/>
      </xdr:nvCxnSpPr>
      <xdr:spPr>
        <a:xfrm>
          <a:off x="5983794" y="27418690"/>
          <a:ext cx="68131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87542</xdr:colOff>
      <xdr:row>77</xdr:row>
      <xdr:rowOff>144441</xdr:rowOff>
    </xdr:from>
    <xdr:to>
      <xdr:col>34</xdr:col>
      <xdr:colOff>120194</xdr:colOff>
      <xdr:row>78</xdr:row>
      <xdr:rowOff>147582</xdr:rowOff>
    </xdr:to>
    <xdr:sp macro="" textlink="">
      <xdr:nvSpPr>
        <xdr:cNvPr id="193" name="テキスト ボックス 192">
          <a:extLst>
            <a:ext uri="{FF2B5EF4-FFF2-40B4-BE49-F238E27FC236}">
              <a16:creationId xmlns:a16="http://schemas.microsoft.com/office/drawing/2014/main" id="{43C755F1-567C-4FB1-92A5-D9FE8A657587}"/>
            </a:ext>
          </a:extLst>
        </xdr:cNvPr>
        <xdr:cNvSpPr txBox="1"/>
      </xdr:nvSpPr>
      <xdr:spPr>
        <a:xfrm>
          <a:off x="6874105" y="24076004"/>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0.55m</a:t>
          </a:r>
          <a:endParaRPr kumimoji="1" lang="ja-JP" altLang="en-US" sz="1100"/>
        </a:p>
      </xdr:txBody>
    </xdr:sp>
    <xdr:clientData/>
  </xdr:twoCellAnchor>
  <xdr:twoCellAnchor>
    <xdr:from>
      <xdr:col>32</xdr:col>
      <xdr:colOff>10160</xdr:colOff>
      <xdr:row>77</xdr:row>
      <xdr:rowOff>164304</xdr:rowOff>
    </xdr:from>
    <xdr:to>
      <xdr:col>32</xdr:col>
      <xdr:colOff>10160</xdr:colOff>
      <xdr:row>78</xdr:row>
      <xdr:rowOff>179806</xdr:rowOff>
    </xdr:to>
    <xdr:cxnSp macro="">
      <xdr:nvCxnSpPr>
        <xdr:cNvPr id="194" name="直線矢印コネクタ 193">
          <a:extLst>
            <a:ext uri="{FF2B5EF4-FFF2-40B4-BE49-F238E27FC236}">
              <a16:creationId xmlns:a16="http://schemas.microsoft.com/office/drawing/2014/main" id="{4D1BD6F6-C0B6-4F53-9614-0EA3234EB7F2}"/>
            </a:ext>
          </a:extLst>
        </xdr:cNvPr>
        <xdr:cNvCxnSpPr/>
      </xdr:nvCxnSpPr>
      <xdr:spPr>
        <a:xfrm>
          <a:off x="7249160" y="24095867"/>
          <a:ext cx="0" cy="25362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116674</xdr:colOff>
      <xdr:row>77</xdr:row>
      <xdr:rowOff>172400</xdr:rowOff>
    </xdr:from>
    <xdr:to>
      <xdr:col>32</xdr:col>
      <xdr:colOff>211924</xdr:colOff>
      <xdr:row>77</xdr:row>
      <xdr:rowOff>172400</xdr:rowOff>
    </xdr:to>
    <xdr:cxnSp macro="">
      <xdr:nvCxnSpPr>
        <xdr:cNvPr id="195" name="直線コネクタ 194">
          <a:extLst>
            <a:ext uri="{FF2B5EF4-FFF2-40B4-BE49-F238E27FC236}">
              <a16:creationId xmlns:a16="http://schemas.microsoft.com/office/drawing/2014/main" id="{81E6D25A-E158-49C3-BBC5-0D390249CA90}"/>
            </a:ext>
          </a:extLst>
        </xdr:cNvPr>
        <xdr:cNvCxnSpPr/>
      </xdr:nvCxnSpPr>
      <xdr:spPr>
        <a:xfrm>
          <a:off x="6903237" y="24103963"/>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102106</xdr:colOff>
      <xdr:row>86</xdr:row>
      <xdr:rowOff>93846</xdr:rowOff>
    </xdr:from>
    <xdr:to>
      <xdr:col>29</xdr:col>
      <xdr:colOff>104768</xdr:colOff>
      <xdr:row>86</xdr:row>
      <xdr:rowOff>93846</xdr:rowOff>
    </xdr:to>
    <xdr:cxnSp macro="">
      <xdr:nvCxnSpPr>
        <xdr:cNvPr id="277" name="直線コネクタ 276">
          <a:extLst>
            <a:ext uri="{FF2B5EF4-FFF2-40B4-BE49-F238E27FC236}">
              <a16:creationId xmlns:a16="http://schemas.microsoft.com/office/drawing/2014/main" id="{600DE8A1-DA0E-BA2F-A12B-3B3558103493}"/>
            </a:ext>
          </a:extLst>
        </xdr:cNvPr>
        <xdr:cNvCxnSpPr/>
      </xdr:nvCxnSpPr>
      <xdr:spPr>
        <a:xfrm>
          <a:off x="5983794" y="26168534"/>
          <a:ext cx="68131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172100</xdr:colOff>
      <xdr:row>105</xdr:row>
      <xdr:rowOff>95248</xdr:rowOff>
    </xdr:from>
    <xdr:to>
      <xdr:col>29</xdr:col>
      <xdr:colOff>172100</xdr:colOff>
      <xdr:row>113</xdr:row>
      <xdr:rowOff>176774</xdr:rowOff>
    </xdr:to>
    <xdr:cxnSp macro="">
      <xdr:nvCxnSpPr>
        <xdr:cNvPr id="278" name="直線コネクタ 277">
          <a:extLst>
            <a:ext uri="{FF2B5EF4-FFF2-40B4-BE49-F238E27FC236}">
              <a16:creationId xmlns:a16="http://schemas.microsoft.com/office/drawing/2014/main" id="{4235F08E-230F-41A2-9C99-E9B66918031A}"/>
            </a:ext>
          </a:extLst>
        </xdr:cNvPr>
        <xdr:cNvCxnSpPr/>
      </xdr:nvCxnSpPr>
      <xdr:spPr>
        <a:xfrm>
          <a:off x="6732444" y="26003248"/>
          <a:ext cx="0" cy="201033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173733</xdr:colOff>
      <xdr:row>105</xdr:row>
      <xdr:rowOff>85060</xdr:rowOff>
    </xdr:from>
    <xdr:to>
      <xdr:col>29</xdr:col>
      <xdr:colOff>142875</xdr:colOff>
      <xdr:row>105</xdr:row>
      <xdr:rowOff>85060</xdr:rowOff>
    </xdr:to>
    <xdr:cxnSp macro="">
      <xdr:nvCxnSpPr>
        <xdr:cNvPr id="279" name="直線コネクタ 278">
          <a:extLst>
            <a:ext uri="{FF2B5EF4-FFF2-40B4-BE49-F238E27FC236}">
              <a16:creationId xmlns:a16="http://schemas.microsoft.com/office/drawing/2014/main" id="{58B4F334-9CB7-4338-9BC8-4CA130730968}"/>
            </a:ext>
          </a:extLst>
        </xdr:cNvPr>
        <xdr:cNvCxnSpPr/>
      </xdr:nvCxnSpPr>
      <xdr:spPr>
        <a:xfrm>
          <a:off x="6055421" y="25993060"/>
          <a:ext cx="647798"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142739</xdr:colOff>
      <xdr:row>105</xdr:row>
      <xdr:rowOff>128982</xdr:rowOff>
    </xdr:from>
    <xdr:to>
      <xdr:col>26</xdr:col>
      <xdr:colOff>142739</xdr:colOff>
      <xdr:row>106</xdr:row>
      <xdr:rowOff>90880</xdr:rowOff>
    </xdr:to>
    <xdr:cxnSp macro="">
      <xdr:nvCxnSpPr>
        <xdr:cNvPr id="280" name="直線コネクタ 279">
          <a:extLst>
            <a:ext uri="{FF2B5EF4-FFF2-40B4-BE49-F238E27FC236}">
              <a16:creationId xmlns:a16="http://schemas.microsoft.com/office/drawing/2014/main" id="{5DFA9EA8-2E86-43B4-9889-98EE5438343A}"/>
            </a:ext>
          </a:extLst>
        </xdr:cNvPr>
        <xdr:cNvCxnSpPr/>
      </xdr:nvCxnSpPr>
      <xdr:spPr>
        <a:xfrm>
          <a:off x="6024427" y="26036982"/>
          <a:ext cx="0" cy="200023"/>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172486</xdr:colOff>
      <xdr:row>113</xdr:row>
      <xdr:rowOff>178591</xdr:rowOff>
    </xdr:from>
    <xdr:to>
      <xdr:col>29</xdr:col>
      <xdr:colOff>172486</xdr:colOff>
      <xdr:row>117</xdr:row>
      <xdr:rowOff>71437</xdr:rowOff>
    </xdr:to>
    <xdr:cxnSp macro="">
      <xdr:nvCxnSpPr>
        <xdr:cNvPr id="281" name="直線コネクタ 280">
          <a:extLst>
            <a:ext uri="{FF2B5EF4-FFF2-40B4-BE49-F238E27FC236}">
              <a16:creationId xmlns:a16="http://schemas.microsoft.com/office/drawing/2014/main" id="{F6174D1A-2AD1-4E65-A6B4-B3E1573CABE3}"/>
            </a:ext>
          </a:extLst>
        </xdr:cNvPr>
        <xdr:cNvCxnSpPr/>
      </xdr:nvCxnSpPr>
      <xdr:spPr>
        <a:xfrm>
          <a:off x="6732830" y="27991591"/>
          <a:ext cx="0" cy="84534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69691</xdr:colOff>
      <xdr:row>106</xdr:row>
      <xdr:rowOff>49657</xdr:rowOff>
    </xdr:from>
    <xdr:to>
      <xdr:col>32</xdr:col>
      <xdr:colOff>69691</xdr:colOff>
      <xdr:row>108</xdr:row>
      <xdr:rowOff>48838</xdr:rowOff>
    </xdr:to>
    <xdr:cxnSp macro="">
      <xdr:nvCxnSpPr>
        <xdr:cNvPr id="282" name="直線矢印コネクタ 281">
          <a:extLst>
            <a:ext uri="{FF2B5EF4-FFF2-40B4-BE49-F238E27FC236}">
              <a16:creationId xmlns:a16="http://schemas.microsoft.com/office/drawing/2014/main" id="{078DC0AE-2FD2-4322-8BA9-E7C164B70459}"/>
            </a:ext>
          </a:extLst>
        </xdr:cNvPr>
        <xdr:cNvCxnSpPr/>
      </xdr:nvCxnSpPr>
      <xdr:spPr>
        <a:xfrm>
          <a:off x="7308691" y="26195782"/>
          <a:ext cx="0" cy="47543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149865</xdr:colOff>
      <xdr:row>106</xdr:row>
      <xdr:rowOff>46663</xdr:rowOff>
    </xdr:from>
    <xdr:to>
      <xdr:col>33</xdr:col>
      <xdr:colOff>69049</xdr:colOff>
      <xdr:row>106</xdr:row>
      <xdr:rowOff>46663</xdr:rowOff>
    </xdr:to>
    <xdr:cxnSp macro="">
      <xdr:nvCxnSpPr>
        <xdr:cNvPr id="283" name="直線コネクタ 282">
          <a:extLst>
            <a:ext uri="{FF2B5EF4-FFF2-40B4-BE49-F238E27FC236}">
              <a16:creationId xmlns:a16="http://schemas.microsoft.com/office/drawing/2014/main" id="{491D2557-BD90-4AB9-8E52-0390C5822C7E}"/>
            </a:ext>
          </a:extLst>
        </xdr:cNvPr>
        <xdr:cNvCxnSpPr/>
      </xdr:nvCxnSpPr>
      <xdr:spPr>
        <a:xfrm>
          <a:off x="6031553" y="26192788"/>
          <a:ext cx="15027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92632</xdr:colOff>
      <xdr:row>106</xdr:row>
      <xdr:rowOff>57780</xdr:rowOff>
    </xdr:from>
    <xdr:to>
      <xdr:col>30</xdr:col>
      <xdr:colOff>183451</xdr:colOff>
      <xdr:row>106</xdr:row>
      <xdr:rowOff>121270</xdr:rowOff>
    </xdr:to>
    <xdr:cxnSp macro="">
      <xdr:nvCxnSpPr>
        <xdr:cNvPr id="284" name="直線コネクタ 283">
          <a:extLst>
            <a:ext uri="{FF2B5EF4-FFF2-40B4-BE49-F238E27FC236}">
              <a16:creationId xmlns:a16="http://schemas.microsoft.com/office/drawing/2014/main" id="{F97BCBBC-09CE-473E-BE06-5D54A164B01F}"/>
            </a:ext>
          </a:extLst>
        </xdr:cNvPr>
        <xdr:cNvCxnSpPr/>
      </xdr:nvCxnSpPr>
      <xdr:spPr>
        <a:xfrm>
          <a:off x="6879195" y="26203905"/>
          <a:ext cx="90819"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45314</xdr:colOff>
      <xdr:row>106</xdr:row>
      <xdr:rowOff>59624</xdr:rowOff>
    </xdr:from>
    <xdr:to>
      <xdr:col>30</xdr:col>
      <xdr:colOff>133411</xdr:colOff>
      <xdr:row>106</xdr:row>
      <xdr:rowOff>132639</xdr:rowOff>
    </xdr:to>
    <xdr:cxnSp macro="">
      <xdr:nvCxnSpPr>
        <xdr:cNvPr id="285" name="直線コネクタ 284">
          <a:extLst>
            <a:ext uri="{FF2B5EF4-FFF2-40B4-BE49-F238E27FC236}">
              <a16:creationId xmlns:a16="http://schemas.microsoft.com/office/drawing/2014/main" id="{BC6670E4-F72C-4593-A268-7B47154636DA}"/>
            </a:ext>
          </a:extLst>
        </xdr:cNvPr>
        <xdr:cNvCxnSpPr/>
      </xdr:nvCxnSpPr>
      <xdr:spPr>
        <a:xfrm>
          <a:off x="6831877" y="26205749"/>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45350</xdr:colOff>
      <xdr:row>106</xdr:row>
      <xdr:rowOff>93092</xdr:rowOff>
    </xdr:from>
    <xdr:to>
      <xdr:col>30</xdr:col>
      <xdr:colOff>76076</xdr:colOff>
      <xdr:row>106</xdr:row>
      <xdr:rowOff>116364</xdr:rowOff>
    </xdr:to>
    <xdr:cxnSp macro="">
      <xdr:nvCxnSpPr>
        <xdr:cNvPr id="286" name="直線コネクタ 285">
          <a:extLst>
            <a:ext uri="{FF2B5EF4-FFF2-40B4-BE49-F238E27FC236}">
              <a16:creationId xmlns:a16="http://schemas.microsoft.com/office/drawing/2014/main" id="{CF64884A-62F5-4047-A611-50106FC60AAC}"/>
            </a:ext>
          </a:extLst>
        </xdr:cNvPr>
        <xdr:cNvCxnSpPr/>
      </xdr:nvCxnSpPr>
      <xdr:spPr>
        <a:xfrm flipH="1">
          <a:off x="6831913" y="26239217"/>
          <a:ext cx="30726" cy="232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66767</xdr:colOff>
      <xdr:row>106</xdr:row>
      <xdr:rowOff>112361</xdr:rowOff>
    </xdr:from>
    <xdr:to>
      <xdr:col>30</xdr:col>
      <xdr:colOff>97443</xdr:colOff>
      <xdr:row>106</xdr:row>
      <xdr:rowOff>122429</xdr:rowOff>
    </xdr:to>
    <xdr:cxnSp macro="">
      <xdr:nvCxnSpPr>
        <xdr:cNvPr id="287" name="直線コネクタ 286">
          <a:extLst>
            <a:ext uri="{FF2B5EF4-FFF2-40B4-BE49-F238E27FC236}">
              <a16:creationId xmlns:a16="http://schemas.microsoft.com/office/drawing/2014/main" id="{B5AB042B-B314-461B-A4D5-B8BB7805914C}"/>
            </a:ext>
          </a:extLst>
        </xdr:cNvPr>
        <xdr:cNvCxnSpPr/>
      </xdr:nvCxnSpPr>
      <xdr:spPr>
        <a:xfrm flipH="1">
          <a:off x="6853330" y="26258486"/>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9187</xdr:colOff>
      <xdr:row>106</xdr:row>
      <xdr:rowOff>51931</xdr:rowOff>
    </xdr:from>
    <xdr:to>
      <xdr:col>31</xdr:col>
      <xdr:colOff>99710</xdr:colOff>
      <xdr:row>106</xdr:row>
      <xdr:rowOff>126306</xdr:rowOff>
    </xdr:to>
    <xdr:cxnSp macro="">
      <xdr:nvCxnSpPr>
        <xdr:cNvPr id="288" name="直線コネクタ 287">
          <a:extLst>
            <a:ext uri="{FF2B5EF4-FFF2-40B4-BE49-F238E27FC236}">
              <a16:creationId xmlns:a16="http://schemas.microsoft.com/office/drawing/2014/main" id="{85BD51A7-998E-47A8-9C40-C8F08897F410}"/>
            </a:ext>
          </a:extLst>
        </xdr:cNvPr>
        <xdr:cNvCxnSpPr/>
      </xdr:nvCxnSpPr>
      <xdr:spPr>
        <a:xfrm>
          <a:off x="7021968" y="26198056"/>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188087</xdr:colOff>
      <xdr:row>106</xdr:row>
      <xdr:rowOff>53775</xdr:rowOff>
    </xdr:from>
    <xdr:to>
      <xdr:col>31</xdr:col>
      <xdr:colOff>51311</xdr:colOff>
      <xdr:row>106</xdr:row>
      <xdr:rowOff>122955</xdr:rowOff>
    </xdr:to>
    <xdr:cxnSp macro="">
      <xdr:nvCxnSpPr>
        <xdr:cNvPr id="289" name="直線コネクタ 288">
          <a:extLst>
            <a:ext uri="{FF2B5EF4-FFF2-40B4-BE49-F238E27FC236}">
              <a16:creationId xmlns:a16="http://schemas.microsoft.com/office/drawing/2014/main" id="{931D20C0-91FC-44FF-A588-EEFDDE023D15}"/>
            </a:ext>
          </a:extLst>
        </xdr:cNvPr>
        <xdr:cNvCxnSpPr/>
      </xdr:nvCxnSpPr>
      <xdr:spPr>
        <a:xfrm>
          <a:off x="6974650" y="26199900"/>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188123</xdr:colOff>
      <xdr:row>106</xdr:row>
      <xdr:rowOff>81144</xdr:rowOff>
    </xdr:from>
    <xdr:to>
      <xdr:col>30</xdr:col>
      <xdr:colOff>218849</xdr:colOff>
      <xdr:row>106</xdr:row>
      <xdr:rowOff>121395</xdr:rowOff>
    </xdr:to>
    <xdr:cxnSp macro="">
      <xdr:nvCxnSpPr>
        <xdr:cNvPr id="290" name="直線コネクタ 289">
          <a:extLst>
            <a:ext uri="{FF2B5EF4-FFF2-40B4-BE49-F238E27FC236}">
              <a16:creationId xmlns:a16="http://schemas.microsoft.com/office/drawing/2014/main" id="{AE82E6E5-55D2-4730-A40A-15208FA1CB93}"/>
            </a:ext>
          </a:extLst>
        </xdr:cNvPr>
        <xdr:cNvCxnSpPr/>
      </xdr:nvCxnSpPr>
      <xdr:spPr>
        <a:xfrm flipH="1">
          <a:off x="6974686" y="26227269"/>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208407</xdr:colOff>
      <xdr:row>106</xdr:row>
      <xdr:rowOff>107867</xdr:rowOff>
    </xdr:from>
    <xdr:to>
      <xdr:col>31</xdr:col>
      <xdr:colOff>12915</xdr:colOff>
      <xdr:row>106</xdr:row>
      <xdr:rowOff>127460</xdr:rowOff>
    </xdr:to>
    <xdr:cxnSp macro="">
      <xdr:nvCxnSpPr>
        <xdr:cNvPr id="291" name="直線コネクタ 290">
          <a:extLst>
            <a:ext uri="{FF2B5EF4-FFF2-40B4-BE49-F238E27FC236}">
              <a16:creationId xmlns:a16="http://schemas.microsoft.com/office/drawing/2014/main" id="{887EF270-EBAF-46AA-9DCD-A1F17B973BF5}"/>
            </a:ext>
          </a:extLst>
        </xdr:cNvPr>
        <xdr:cNvCxnSpPr/>
      </xdr:nvCxnSpPr>
      <xdr:spPr>
        <a:xfrm flipH="1">
          <a:off x="6994970" y="26253992"/>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151862</xdr:colOff>
      <xdr:row>106</xdr:row>
      <xdr:rowOff>35609</xdr:rowOff>
    </xdr:from>
    <xdr:to>
      <xdr:col>26</xdr:col>
      <xdr:colOff>151862</xdr:colOff>
      <xdr:row>122</xdr:row>
      <xdr:rowOff>56696</xdr:rowOff>
    </xdr:to>
    <xdr:cxnSp macro="">
      <xdr:nvCxnSpPr>
        <xdr:cNvPr id="292" name="直線コネクタ 291">
          <a:extLst>
            <a:ext uri="{FF2B5EF4-FFF2-40B4-BE49-F238E27FC236}">
              <a16:creationId xmlns:a16="http://schemas.microsoft.com/office/drawing/2014/main" id="{D5EBA1E7-6EF9-4A31-83DC-BAA169EC6030}"/>
            </a:ext>
          </a:extLst>
        </xdr:cNvPr>
        <xdr:cNvCxnSpPr/>
      </xdr:nvCxnSpPr>
      <xdr:spPr>
        <a:xfrm>
          <a:off x="6033550" y="26181734"/>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176205</xdr:colOff>
      <xdr:row>108</xdr:row>
      <xdr:rowOff>41431</xdr:rowOff>
    </xdr:from>
    <xdr:to>
      <xdr:col>33</xdr:col>
      <xdr:colOff>45236</xdr:colOff>
      <xdr:row>108</xdr:row>
      <xdr:rowOff>41431</xdr:rowOff>
    </xdr:to>
    <xdr:cxnSp macro="">
      <xdr:nvCxnSpPr>
        <xdr:cNvPr id="293" name="直線コネクタ 292">
          <a:extLst>
            <a:ext uri="{FF2B5EF4-FFF2-40B4-BE49-F238E27FC236}">
              <a16:creationId xmlns:a16="http://schemas.microsoft.com/office/drawing/2014/main" id="{F4BB713F-13ED-44B6-B6D2-CFF3EFFD15A7}"/>
            </a:ext>
          </a:extLst>
        </xdr:cNvPr>
        <xdr:cNvCxnSpPr/>
      </xdr:nvCxnSpPr>
      <xdr:spPr>
        <a:xfrm>
          <a:off x="6962768" y="26663806"/>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158979</xdr:colOff>
      <xdr:row>106</xdr:row>
      <xdr:rowOff>180160</xdr:rowOff>
    </xdr:from>
    <xdr:to>
      <xdr:col>34</xdr:col>
      <xdr:colOff>191631</xdr:colOff>
      <xdr:row>107</xdr:row>
      <xdr:rowOff>183301</xdr:rowOff>
    </xdr:to>
    <xdr:sp macro="" textlink="">
      <xdr:nvSpPr>
        <xdr:cNvPr id="294" name="テキスト ボックス 293">
          <a:extLst>
            <a:ext uri="{FF2B5EF4-FFF2-40B4-BE49-F238E27FC236}">
              <a16:creationId xmlns:a16="http://schemas.microsoft.com/office/drawing/2014/main" id="{EE94EAF9-85AA-4DF3-BD37-1A0B39211098}"/>
            </a:ext>
          </a:extLst>
        </xdr:cNvPr>
        <xdr:cNvSpPr txBox="1"/>
      </xdr:nvSpPr>
      <xdr:spPr>
        <a:xfrm>
          <a:off x="6945542" y="26326285"/>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32</xdr:col>
      <xdr:colOff>80240</xdr:colOff>
      <xdr:row>113</xdr:row>
      <xdr:rowOff>36170</xdr:rowOff>
    </xdr:from>
    <xdr:to>
      <xdr:col>34</xdr:col>
      <xdr:colOff>164755</xdr:colOff>
      <xdr:row>114</xdr:row>
      <xdr:rowOff>42851</xdr:rowOff>
    </xdr:to>
    <xdr:sp macro="" textlink="">
      <xdr:nvSpPr>
        <xdr:cNvPr id="295" name="テキスト ボックス 294">
          <a:extLst>
            <a:ext uri="{FF2B5EF4-FFF2-40B4-BE49-F238E27FC236}">
              <a16:creationId xmlns:a16="http://schemas.microsoft.com/office/drawing/2014/main" id="{DBC0F50E-D1DE-456B-9590-3199F62ACAAB}"/>
            </a:ext>
          </a:extLst>
        </xdr:cNvPr>
        <xdr:cNvSpPr txBox="1"/>
      </xdr:nvSpPr>
      <xdr:spPr>
        <a:xfrm>
          <a:off x="7319240" y="27872983"/>
          <a:ext cx="536953" cy="24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30</xdr:col>
      <xdr:colOff>128585</xdr:colOff>
      <xdr:row>119</xdr:row>
      <xdr:rowOff>11188</xdr:rowOff>
    </xdr:from>
    <xdr:to>
      <xdr:col>33</xdr:col>
      <xdr:colOff>53777</xdr:colOff>
      <xdr:row>119</xdr:row>
      <xdr:rowOff>11188</xdr:rowOff>
    </xdr:to>
    <xdr:cxnSp macro="">
      <xdr:nvCxnSpPr>
        <xdr:cNvPr id="296" name="直線コネクタ 295">
          <a:extLst>
            <a:ext uri="{FF2B5EF4-FFF2-40B4-BE49-F238E27FC236}">
              <a16:creationId xmlns:a16="http://schemas.microsoft.com/office/drawing/2014/main" id="{F344843B-C8F0-46E3-BA8E-1A3CFDDA15F1}"/>
            </a:ext>
          </a:extLst>
        </xdr:cNvPr>
        <xdr:cNvCxnSpPr/>
      </xdr:nvCxnSpPr>
      <xdr:spPr>
        <a:xfrm>
          <a:off x="6915148" y="29276751"/>
          <a:ext cx="60384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144539</xdr:colOff>
      <xdr:row>117</xdr:row>
      <xdr:rowOff>215420</xdr:rowOff>
    </xdr:from>
    <xdr:to>
      <xdr:col>34</xdr:col>
      <xdr:colOff>164299</xdr:colOff>
      <xdr:row>119</xdr:row>
      <xdr:rowOff>3897</xdr:rowOff>
    </xdr:to>
    <xdr:sp macro="" textlink="">
      <xdr:nvSpPr>
        <xdr:cNvPr id="297" name="テキスト ボックス 296">
          <a:extLst>
            <a:ext uri="{FF2B5EF4-FFF2-40B4-BE49-F238E27FC236}">
              <a16:creationId xmlns:a16="http://schemas.microsoft.com/office/drawing/2014/main" id="{9C5DF410-5DD0-4106-8070-9FF51A33ABF3}"/>
            </a:ext>
          </a:extLst>
        </xdr:cNvPr>
        <xdr:cNvSpPr txBox="1"/>
      </xdr:nvSpPr>
      <xdr:spPr>
        <a:xfrm>
          <a:off x="6931102" y="29004733"/>
          <a:ext cx="924635" cy="26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0.50m</a:t>
          </a:r>
          <a:endParaRPr kumimoji="1" lang="ja-JP" altLang="en-US" sz="1100"/>
        </a:p>
      </xdr:txBody>
    </xdr:sp>
    <xdr:clientData/>
  </xdr:twoCellAnchor>
  <xdr:twoCellAnchor>
    <xdr:from>
      <xdr:col>30</xdr:col>
      <xdr:colOff>149508</xdr:colOff>
      <xdr:row>119</xdr:row>
      <xdr:rowOff>61792</xdr:rowOff>
    </xdr:from>
    <xdr:to>
      <xdr:col>35</xdr:col>
      <xdr:colOff>1028</xdr:colOff>
      <xdr:row>120</xdr:row>
      <xdr:rowOff>66474</xdr:rowOff>
    </xdr:to>
    <xdr:sp macro="" textlink="">
      <xdr:nvSpPr>
        <xdr:cNvPr id="298" name="テキスト ボックス 297">
          <a:extLst>
            <a:ext uri="{FF2B5EF4-FFF2-40B4-BE49-F238E27FC236}">
              <a16:creationId xmlns:a16="http://schemas.microsoft.com/office/drawing/2014/main" id="{D852911A-71E7-4B82-B127-34FB4976F252}"/>
            </a:ext>
          </a:extLst>
        </xdr:cNvPr>
        <xdr:cNvSpPr txBox="1"/>
      </xdr:nvSpPr>
      <xdr:spPr>
        <a:xfrm>
          <a:off x="6936071" y="29327355"/>
          <a:ext cx="982613"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0.75m</a:t>
          </a:r>
          <a:endParaRPr kumimoji="1" lang="ja-JP" altLang="en-US" sz="1100"/>
        </a:p>
      </xdr:txBody>
    </xdr:sp>
    <xdr:clientData/>
  </xdr:twoCellAnchor>
  <xdr:twoCellAnchor>
    <xdr:from>
      <xdr:col>21</xdr:col>
      <xdr:colOff>202227</xdr:colOff>
      <xdr:row>107</xdr:row>
      <xdr:rowOff>200058</xdr:rowOff>
    </xdr:from>
    <xdr:to>
      <xdr:col>25</xdr:col>
      <xdr:colOff>137685</xdr:colOff>
      <xdr:row>107</xdr:row>
      <xdr:rowOff>200058</xdr:rowOff>
    </xdr:to>
    <xdr:cxnSp macro="">
      <xdr:nvCxnSpPr>
        <xdr:cNvPr id="299" name="直線コネクタ 298">
          <a:extLst>
            <a:ext uri="{FF2B5EF4-FFF2-40B4-BE49-F238E27FC236}">
              <a16:creationId xmlns:a16="http://schemas.microsoft.com/office/drawing/2014/main" id="{EE29C4A0-1F62-440C-8787-9BE18520CAE0}"/>
            </a:ext>
          </a:extLst>
        </xdr:cNvPr>
        <xdr:cNvCxnSpPr/>
      </xdr:nvCxnSpPr>
      <xdr:spPr>
        <a:xfrm>
          <a:off x="4952821" y="26584308"/>
          <a:ext cx="8403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192201</xdr:colOff>
      <xdr:row>108</xdr:row>
      <xdr:rowOff>121699</xdr:rowOff>
    </xdr:from>
    <xdr:to>
      <xdr:col>25</xdr:col>
      <xdr:colOff>125278</xdr:colOff>
      <xdr:row>108</xdr:row>
      <xdr:rowOff>121699</xdr:rowOff>
    </xdr:to>
    <xdr:cxnSp macro="">
      <xdr:nvCxnSpPr>
        <xdr:cNvPr id="300" name="直線コネクタ 299">
          <a:extLst>
            <a:ext uri="{FF2B5EF4-FFF2-40B4-BE49-F238E27FC236}">
              <a16:creationId xmlns:a16="http://schemas.microsoft.com/office/drawing/2014/main" id="{84211139-5FE8-4CCC-8FBF-F78D5F8B62D0}"/>
            </a:ext>
          </a:extLst>
        </xdr:cNvPr>
        <xdr:cNvCxnSpPr/>
      </xdr:nvCxnSpPr>
      <xdr:spPr>
        <a:xfrm>
          <a:off x="4942795" y="26744074"/>
          <a:ext cx="83795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133299</xdr:colOff>
      <xdr:row>107</xdr:row>
      <xdr:rowOff>204954</xdr:rowOff>
    </xdr:from>
    <xdr:to>
      <xdr:col>25</xdr:col>
      <xdr:colOff>133299</xdr:colOff>
      <xdr:row>108</xdr:row>
      <xdr:rowOff>122084</xdr:rowOff>
    </xdr:to>
    <xdr:cxnSp macro="">
      <xdr:nvCxnSpPr>
        <xdr:cNvPr id="301" name="直線コネクタ 300">
          <a:extLst>
            <a:ext uri="{FF2B5EF4-FFF2-40B4-BE49-F238E27FC236}">
              <a16:creationId xmlns:a16="http://schemas.microsoft.com/office/drawing/2014/main" id="{C05155C7-587D-44B4-A3B5-C5C1DD0418B4}"/>
            </a:ext>
          </a:extLst>
        </xdr:cNvPr>
        <xdr:cNvCxnSpPr/>
      </xdr:nvCxnSpPr>
      <xdr:spPr>
        <a:xfrm>
          <a:off x="5788768" y="26589204"/>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162894</xdr:colOff>
      <xdr:row>107</xdr:row>
      <xdr:rowOff>194749</xdr:rowOff>
    </xdr:from>
    <xdr:to>
      <xdr:col>25</xdr:col>
      <xdr:colOff>162894</xdr:colOff>
      <xdr:row>108</xdr:row>
      <xdr:rowOff>135870</xdr:rowOff>
    </xdr:to>
    <xdr:cxnSp macro="">
      <xdr:nvCxnSpPr>
        <xdr:cNvPr id="302" name="直線コネクタ 301">
          <a:extLst>
            <a:ext uri="{FF2B5EF4-FFF2-40B4-BE49-F238E27FC236}">
              <a16:creationId xmlns:a16="http://schemas.microsoft.com/office/drawing/2014/main" id="{C2718517-2DC1-4C64-9576-A25C7F943142}"/>
            </a:ext>
          </a:extLst>
        </xdr:cNvPr>
        <xdr:cNvCxnSpPr/>
      </xdr:nvCxnSpPr>
      <xdr:spPr>
        <a:xfrm>
          <a:off x="5818363" y="26578999"/>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74939</xdr:colOff>
      <xdr:row>107</xdr:row>
      <xdr:rowOff>194749</xdr:rowOff>
    </xdr:from>
    <xdr:to>
      <xdr:col>26</xdr:col>
      <xdr:colOff>74939</xdr:colOff>
      <xdr:row>108</xdr:row>
      <xdr:rowOff>135870</xdr:rowOff>
    </xdr:to>
    <xdr:cxnSp macro="">
      <xdr:nvCxnSpPr>
        <xdr:cNvPr id="303" name="直線コネクタ 302">
          <a:extLst>
            <a:ext uri="{FF2B5EF4-FFF2-40B4-BE49-F238E27FC236}">
              <a16:creationId xmlns:a16="http://schemas.microsoft.com/office/drawing/2014/main" id="{B0746EA0-57A5-4C31-89CF-8CB97A4138C3}"/>
            </a:ext>
          </a:extLst>
        </xdr:cNvPr>
        <xdr:cNvCxnSpPr/>
      </xdr:nvCxnSpPr>
      <xdr:spPr>
        <a:xfrm>
          <a:off x="5956627" y="26578999"/>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161824</xdr:colOff>
      <xdr:row>108</xdr:row>
      <xdr:rowOff>58555</xdr:rowOff>
    </xdr:from>
    <xdr:to>
      <xdr:col>26</xdr:col>
      <xdr:colOff>70468</xdr:colOff>
      <xdr:row>108</xdr:row>
      <xdr:rowOff>58555</xdr:rowOff>
    </xdr:to>
    <xdr:cxnSp macro="">
      <xdr:nvCxnSpPr>
        <xdr:cNvPr id="304" name="直線コネクタ 303">
          <a:extLst>
            <a:ext uri="{FF2B5EF4-FFF2-40B4-BE49-F238E27FC236}">
              <a16:creationId xmlns:a16="http://schemas.microsoft.com/office/drawing/2014/main" id="{1C1D30F3-5133-4B5B-8F61-7E86D56C2EF7}"/>
            </a:ext>
          </a:extLst>
        </xdr:cNvPr>
        <xdr:cNvCxnSpPr/>
      </xdr:nvCxnSpPr>
      <xdr:spPr>
        <a:xfrm>
          <a:off x="5817293" y="26680930"/>
          <a:ext cx="1348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200025</xdr:colOff>
      <xdr:row>119</xdr:row>
      <xdr:rowOff>12589</xdr:rowOff>
    </xdr:from>
    <xdr:to>
      <xdr:col>26</xdr:col>
      <xdr:colOff>131722</xdr:colOff>
      <xdr:row>119</xdr:row>
      <xdr:rowOff>12589</xdr:rowOff>
    </xdr:to>
    <xdr:cxnSp macro="">
      <xdr:nvCxnSpPr>
        <xdr:cNvPr id="305" name="直線コネクタ 304">
          <a:extLst>
            <a:ext uri="{FF2B5EF4-FFF2-40B4-BE49-F238E27FC236}">
              <a16:creationId xmlns:a16="http://schemas.microsoft.com/office/drawing/2014/main" id="{58666B46-4D06-4826-ADE1-712E111C592B}"/>
            </a:ext>
          </a:extLst>
        </xdr:cNvPr>
        <xdr:cNvCxnSpPr/>
      </xdr:nvCxnSpPr>
      <xdr:spPr>
        <a:xfrm>
          <a:off x="4724400" y="29278152"/>
          <a:ext cx="12890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42027</xdr:colOff>
      <xdr:row>119</xdr:row>
      <xdr:rowOff>11051</xdr:rowOff>
    </xdr:from>
    <xdr:to>
      <xdr:col>22</xdr:col>
      <xdr:colOff>131633</xdr:colOff>
      <xdr:row>119</xdr:row>
      <xdr:rowOff>95974</xdr:rowOff>
    </xdr:to>
    <xdr:cxnSp macro="">
      <xdr:nvCxnSpPr>
        <xdr:cNvPr id="306" name="直線コネクタ 305">
          <a:extLst>
            <a:ext uri="{FF2B5EF4-FFF2-40B4-BE49-F238E27FC236}">
              <a16:creationId xmlns:a16="http://schemas.microsoft.com/office/drawing/2014/main" id="{41CF1CD7-D295-494F-BB78-64E5828804F5}"/>
            </a:ext>
          </a:extLst>
        </xdr:cNvPr>
        <xdr:cNvCxnSpPr/>
      </xdr:nvCxnSpPr>
      <xdr:spPr>
        <a:xfrm>
          <a:off x="5018840" y="29276614"/>
          <a:ext cx="89606" cy="84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207614</xdr:colOff>
      <xdr:row>119</xdr:row>
      <xdr:rowOff>12294</xdr:rowOff>
    </xdr:from>
    <xdr:to>
      <xdr:col>22</xdr:col>
      <xdr:colOff>87421</xdr:colOff>
      <xdr:row>119</xdr:row>
      <xdr:rowOff>107343</xdr:rowOff>
    </xdr:to>
    <xdr:cxnSp macro="">
      <xdr:nvCxnSpPr>
        <xdr:cNvPr id="307" name="直線コネクタ 306">
          <a:extLst>
            <a:ext uri="{FF2B5EF4-FFF2-40B4-BE49-F238E27FC236}">
              <a16:creationId xmlns:a16="http://schemas.microsoft.com/office/drawing/2014/main" id="{E681B13B-EEB0-4B9D-B292-66F83BA453BF}"/>
            </a:ext>
          </a:extLst>
        </xdr:cNvPr>
        <xdr:cNvCxnSpPr/>
      </xdr:nvCxnSpPr>
      <xdr:spPr>
        <a:xfrm>
          <a:off x="4958208" y="29277857"/>
          <a:ext cx="106026" cy="95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208529</xdr:colOff>
      <xdr:row>119</xdr:row>
      <xdr:rowOff>49855</xdr:rowOff>
    </xdr:from>
    <xdr:to>
      <xdr:col>22</xdr:col>
      <xdr:colOff>27280</xdr:colOff>
      <xdr:row>119</xdr:row>
      <xdr:rowOff>89454</xdr:rowOff>
    </xdr:to>
    <xdr:cxnSp macro="">
      <xdr:nvCxnSpPr>
        <xdr:cNvPr id="308" name="直線コネクタ 307">
          <a:extLst>
            <a:ext uri="{FF2B5EF4-FFF2-40B4-BE49-F238E27FC236}">
              <a16:creationId xmlns:a16="http://schemas.microsoft.com/office/drawing/2014/main" id="{D043E9DE-2EE4-4355-AF53-0BCE8BA3A2E9}"/>
            </a:ext>
          </a:extLst>
        </xdr:cNvPr>
        <xdr:cNvCxnSpPr/>
      </xdr:nvCxnSpPr>
      <xdr:spPr>
        <a:xfrm flipH="1">
          <a:off x="4959123" y="29315418"/>
          <a:ext cx="44970" cy="39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15908</xdr:colOff>
      <xdr:row>119</xdr:row>
      <xdr:rowOff>82730</xdr:rowOff>
    </xdr:from>
    <xdr:to>
      <xdr:col>22</xdr:col>
      <xdr:colOff>47564</xdr:colOff>
      <xdr:row>119</xdr:row>
      <xdr:rowOff>106653</xdr:rowOff>
    </xdr:to>
    <xdr:cxnSp macro="">
      <xdr:nvCxnSpPr>
        <xdr:cNvPr id="309" name="直線コネクタ 308">
          <a:extLst>
            <a:ext uri="{FF2B5EF4-FFF2-40B4-BE49-F238E27FC236}">
              <a16:creationId xmlns:a16="http://schemas.microsoft.com/office/drawing/2014/main" id="{824654C7-21FE-4236-B5E9-4D981FF9FA19}"/>
            </a:ext>
          </a:extLst>
        </xdr:cNvPr>
        <xdr:cNvCxnSpPr/>
      </xdr:nvCxnSpPr>
      <xdr:spPr>
        <a:xfrm flipH="1">
          <a:off x="4992721" y="29348293"/>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124355</xdr:colOff>
      <xdr:row>119</xdr:row>
      <xdr:rowOff>8795</xdr:rowOff>
    </xdr:from>
    <xdr:to>
      <xdr:col>21</xdr:col>
      <xdr:colOff>209026</xdr:colOff>
      <xdr:row>119</xdr:row>
      <xdr:rowOff>110894</xdr:rowOff>
    </xdr:to>
    <xdr:cxnSp macro="">
      <xdr:nvCxnSpPr>
        <xdr:cNvPr id="310" name="直線コネクタ 309">
          <a:extLst>
            <a:ext uri="{FF2B5EF4-FFF2-40B4-BE49-F238E27FC236}">
              <a16:creationId xmlns:a16="http://schemas.microsoft.com/office/drawing/2014/main" id="{64BD72EC-1583-4E9C-B9CC-486FF9E8A39E}"/>
            </a:ext>
          </a:extLst>
        </xdr:cNvPr>
        <xdr:cNvCxnSpPr/>
      </xdr:nvCxnSpPr>
      <xdr:spPr>
        <a:xfrm>
          <a:off x="4874949" y="29274358"/>
          <a:ext cx="84671" cy="1020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83964</xdr:colOff>
      <xdr:row>119</xdr:row>
      <xdr:rowOff>12069</xdr:rowOff>
    </xdr:from>
    <xdr:to>
      <xdr:col>21</xdr:col>
      <xdr:colOff>171205</xdr:colOff>
      <xdr:row>119</xdr:row>
      <xdr:rowOff>112738</xdr:rowOff>
    </xdr:to>
    <xdr:cxnSp macro="">
      <xdr:nvCxnSpPr>
        <xdr:cNvPr id="311" name="直線コネクタ 310">
          <a:extLst>
            <a:ext uri="{FF2B5EF4-FFF2-40B4-BE49-F238E27FC236}">
              <a16:creationId xmlns:a16="http://schemas.microsoft.com/office/drawing/2014/main" id="{7D18CABB-077C-449F-9A93-7CB039565E9D}"/>
            </a:ext>
          </a:extLst>
        </xdr:cNvPr>
        <xdr:cNvCxnSpPr/>
      </xdr:nvCxnSpPr>
      <xdr:spPr>
        <a:xfrm>
          <a:off x="4834558" y="29277632"/>
          <a:ext cx="87241" cy="100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84000</xdr:colOff>
      <xdr:row>119</xdr:row>
      <xdr:rowOff>66599</xdr:rowOff>
    </xdr:from>
    <xdr:to>
      <xdr:col>21</xdr:col>
      <xdr:colOff>109623</xdr:colOff>
      <xdr:row>119</xdr:row>
      <xdr:rowOff>97325</xdr:rowOff>
    </xdr:to>
    <xdr:cxnSp macro="">
      <xdr:nvCxnSpPr>
        <xdr:cNvPr id="312" name="直線コネクタ 311">
          <a:extLst>
            <a:ext uri="{FF2B5EF4-FFF2-40B4-BE49-F238E27FC236}">
              <a16:creationId xmlns:a16="http://schemas.microsoft.com/office/drawing/2014/main" id="{01AE365B-23B1-4274-8F51-950004F7AF83}"/>
            </a:ext>
          </a:extLst>
        </xdr:cNvPr>
        <xdr:cNvCxnSpPr/>
      </xdr:nvCxnSpPr>
      <xdr:spPr>
        <a:xfrm flipH="1">
          <a:off x="4834594" y="29332162"/>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104284</xdr:colOff>
      <xdr:row>119</xdr:row>
      <xdr:rowOff>83796</xdr:rowOff>
    </xdr:from>
    <xdr:to>
      <xdr:col>21</xdr:col>
      <xdr:colOff>128083</xdr:colOff>
      <xdr:row>119</xdr:row>
      <xdr:rowOff>112048</xdr:rowOff>
    </xdr:to>
    <xdr:cxnSp macro="">
      <xdr:nvCxnSpPr>
        <xdr:cNvPr id="313" name="直線コネクタ 312">
          <a:extLst>
            <a:ext uri="{FF2B5EF4-FFF2-40B4-BE49-F238E27FC236}">
              <a16:creationId xmlns:a16="http://schemas.microsoft.com/office/drawing/2014/main" id="{407C973B-0A76-4A50-ACAC-BA77F567DCC6}"/>
            </a:ext>
          </a:extLst>
        </xdr:cNvPr>
        <xdr:cNvCxnSpPr/>
      </xdr:nvCxnSpPr>
      <xdr:spPr>
        <a:xfrm flipH="1">
          <a:off x="4854878" y="29349359"/>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140491</xdr:colOff>
      <xdr:row>118</xdr:row>
      <xdr:rowOff>609</xdr:rowOff>
    </xdr:from>
    <xdr:to>
      <xdr:col>33</xdr:col>
      <xdr:colOff>46633</xdr:colOff>
      <xdr:row>118</xdr:row>
      <xdr:rowOff>609</xdr:rowOff>
    </xdr:to>
    <xdr:cxnSp macro="">
      <xdr:nvCxnSpPr>
        <xdr:cNvPr id="314" name="直線コネクタ 313">
          <a:extLst>
            <a:ext uri="{FF2B5EF4-FFF2-40B4-BE49-F238E27FC236}">
              <a16:creationId xmlns:a16="http://schemas.microsoft.com/office/drawing/2014/main" id="{5A7F8139-76AC-4991-9744-28BE930A7DFC}"/>
            </a:ext>
          </a:extLst>
        </xdr:cNvPr>
        <xdr:cNvCxnSpPr/>
      </xdr:nvCxnSpPr>
      <xdr:spPr>
        <a:xfrm>
          <a:off x="6927054" y="29028047"/>
          <a:ext cx="58479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212435</xdr:colOff>
      <xdr:row>113</xdr:row>
      <xdr:rowOff>118994</xdr:rowOff>
    </xdr:from>
    <xdr:to>
      <xdr:col>25</xdr:col>
      <xdr:colOff>147893</xdr:colOff>
      <xdr:row>113</xdr:row>
      <xdr:rowOff>118994</xdr:rowOff>
    </xdr:to>
    <xdr:cxnSp macro="">
      <xdr:nvCxnSpPr>
        <xdr:cNvPr id="316" name="直線コネクタ 315">
          <a:extLst>
            <a:ext uri="{FF2B5EF4-FFF2-40B4-BE49-F238E27FC236}">
              <a16:creationId xmlns:a16="http://schemas.microsoft.com/office/drawing/2014/main" id="{688DCBE5-B678-419A-BD35-AC648ECA7776}"/>
            </a:ext>
          </a:extLst>
        </xdr:cNvPr>
        <xdr:cNvCxnSpPr/>
      </xdr:nvCxnSpPr>
      <xdr:spPr>
        <a:xfrm>
          <a:off x="4963029" y="27955807"/>
          <a:ext cx="840333"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202409</xdr:colOff>
      <xdr:row>114</xdr:row>
      <xdr:rowOff>35037</xdr:rowOff>
    </xdr:from>
    <xdr:to>
      <xdr:col>25</xdr:col>
      <xdr:colOff>135486</xdr:colOff>
      <xdr:row>114</xdr:row>
      <xdr:rowOff>35037</xdr:rowOff>
    </xdr:to>
    <xdr:cxnSp macro="">
      <xdr:nvCxnSpPr>
        <xdr:cNvPr id="317" name="直線コネクタ 316">
          <a:extLst>
            <a:ext uri="{FF2B5EF4-FFF2-40B4-BE49-F238E27FC236}">
              <a16:creationId xmlns:a16="http://schemas.microsoft.com/office/drawing/2014/main" id="{C6F9CAAD-6D6B-4F4E-9851-AF8A09BF22F6}"/>
            </a:ext>
          </a:extLst>
        </xdr:cNvPr>
        <xdr:cNvCxnSpPr/>
      </xdr:nvCxnSpPr>
      <xdr:spPr>
        <a:xfrm>
          <a:off x="4953003" y="28109975"/>
          <a:ext cx="837952"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143507</xdr:colOff>
      <xdr:row>113</xdr:row>
      <xdr:rowOff>123890</xdr:rowOff>
    </xdr:from>
    <xdr:to>
      <xdr:col>25</xdr:col>
      <xdr:colOff>143507</xdr:colOff>
      <xdr:row>114</xdr:row>
      <xdr:rowOff>35422</xdr:rowOff>
    </xdr:to>
    <xdr:cxnSp macro="">
      <xdr:nvCxnSpPr>
        <xdr:cNvPr id="318" name="直線コネクタ 317">
          <a:extLst>
            <a:ext uri="{FF2B5EF4-FFF2-40B4-BE49-F238E27FC236}">
              <a16:creationId xmlns:a16="http://schemas.microsoft.com/office/drawing/2014/main" id="{48E77803-4C11-4E40-91CB-E70B406E5FF4}"/>
            </a:ext>
          </a:extLst>
        </xdr:cNvPr>
        <xdr:cNvCxnSpPr/>
      </xdr:nvCxnSpPr>
      <xdr:spPr>
        <a:xfrm>
          <a:off x="5798976" y="27960703"/>
          <a:ext cx="0" cy="1496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170721</xdr:colOff>
      <xdr:row>113</xdr:row>
      <xdr:rowOff>113685</xdr:rowOff>
    </xdr:from>
    <xdr:to>
      <xdr:col>25</xdr:col>
      <xdr:colOff>170721</xdr:colOff>
      <xdr:row>114</xdr:row>
      <xdr:rowOff>41116</xdr:rowOff>
    </xdr:to>
    <xdr:cxnSp macro="">
      <xdr:nvCxnSpPr>
        <xdr:cNvPr id="319" name="直線コネクタ 318">
          <a:extLst>
            <a:ext uri="{FF2B5EF4-FFF2-40B4-BE49-F238E27FC236}">
              <a16:creationId xmlns:a16="http://schemas.microsoft.com/office/drawing/2014/main" id="{B3E251FE-E2E2-4A49-9CBB-0990FB90A24B}"/>
            </a:ext>
          </a:extLst>
        </xdr:cNvPr>
        <xdr:cNvCxnSpPr/>
      </xdr:nvCxnSpPr>
      <xdr:spPr>
        <a:xfrm>
          <a:off x="5826190" y="27950498"/>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85147</xdr:colOff>
      <xdr:row>113</xdr:row>
      <xdr:rowOff>113685</xdr:rowOff>
    </xdr:from>
    <xdr:to>
      <xdr:col>26</xdr:col>
      <xdr:colOff>85147</xdr:colOff>
      <xdr:row>114</xdr:row>
      <xdr:rowOff>41116</xdr:rowOff>
    </xdr:to>
    <xdr:cxnSp macro="">
      <xdr:nvCxnSpPr>
        <xdr:cNvPr id="320" name="直線コネクタ 319">
          <a:extLst>
            <a:ext uri="{FF2B5EF4-FFF2-40B4-BE49-F238E27FC236}">
              <a16:creationId xmlns:a16="http://schemas.microsoft.com/office/drawing/2014/main" id="{F7C30143-86BD-4810-AFA4-640B39195455}"/>
            </a:ext>
          </a:extLst>
        </xdr:cNvPr>
        <xdr:cNvCxnSpPr/>
      </xdr:nvCxnSpPr>
      <xdr:spPr>
        <a:xfrm>
          <a:off x="5966835" y="27950498"/>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169651</xdr:colOff>
      <xdr:row>113</xdr:row>
      <xdr:rowOff>201856</xdr:rowOff>
    </xdr:from>
    <xdr:to>
      <xdr:col>26</xdr:col>
      <xdr:colOff>80676</xdr:colOff>
      <xdr:row>113</xdr:row>
      <xdr:rowOff>201856</xdr:rowOff>
    </xdr:to>
    <xdr:cxnSp macro="">
      <xdr:nvCxnSpPr>
        <xdr:cNvPr id="321" name="直線コネクタ 320">
          <a:extLst>
            <a:ext uri="{FF2B5EF4-FFF2-40B4-BE49-F238E27FC236}">
              <a16:creationId xmlns:a16="http://schemas.microsoft.com/office/drawing/2014/main" id="{3013A8F7-E981-49F4-9F71-13E72719E8BC}"/>
            </a:ext>
          </a:extLst>
        </xdr:cNvPr>
        <xdr:cNvCxnSpPr/>
      </xdr:nvCxnSpPr>
      <xdr:spPr>
        <a:xfrm>
          <a:off x="5825120" y="28038669"/>
          <a:ext cx="137244"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140486</xdr:colOff>
      <xdr:row>113</xdr:row>
      <xdr:rowOff>207977</xdr:rowOff>
    </xdr:from>
    <xdr:to>
      <xdr:col>32</xdr:col>
      <xdr:colOff>178381</xdr:colOff>
      <xdr:row>113</xdr:row>
      <xdr:rowOff>207977</xdr:rowOff>
    </xdr:to>
    <xdr:cxnSp macro="">
      <xdr:nvCxnSpPr>
        <xdr:cNvPr id="322" name="直線コネクタ 321">
          <a:extLst>
            <a:ext uri="{FF2B5EF4-FFF2-40B4-BE49-F238E27FC236}">
              <a16:creationId xmlns:a16="http://schemas.microsoft.com/office/drawing/2014/main" id="{03C571AB-2330-4CF5-9BF0-7ADEE0A9176B}"/>
            </a:ext>
          </a:extLst>
        </xdr:cNvPr>
        <xdr:cNvCxnSpPr/>
      </xdr:nvCxnSpPr>
      <xdr:spPr>
        <a:xfrm>
          <a:off x="6927049" y="28044790"/>
          <a:ext cx="49033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117180</xdr:colOff>
      <xdr:row>110</xdr:row>
      <xdr:rowOff>18934</xdr:rowOff>
    </xdr:from>
    <xdr:to>
      <xdr:col>34</xdr:col>
      <xdr:colOff>131066</xdr:colOff>
      <xdr:row>111</xdr:row>
      <xdr:rowOff>19586</xdr:rowOff>
    </xdr:to>
    <xdr:sp macro="" textlink="">
      <xdr:nvSpPr>
        <xdr:cNvPr id="323" name="テキスト ボックス 322">
          <a:extLst>
            <a:ext uri="{FF2B5EF4-FFF2-40B4-BE49-F238E27FC236}">
              <a16:creationId xmlns:a16="http://schemas.microsoft.com/office/drawing/2014/main" id="{2559C2DF-412B-406B-A92F-ECD4319D3199}"/>
            </a:ext>
          </a:extLst>
        </xdr:cNvPr>
        <xdr:cNvSpPr txBox="1"/>
      </xdr:nvSpPr>
      <xdr:spPr>
        <a:xfrm>
          <a:off x="6677524" y="27117559"/>
          <a:ext cx="1144980" cy="262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 </a:t>
          </a:r>
          <a:r>
            <a:rPr kumimoji="1" lang="en-US" altLang="ja-JP" sz="1100"/>
            <a:t>2.80m</a:t>
          </a:r>
          <a:endParaRPr kumimoji="1" lang="ja-JP" altLang="en-US" sz="1100"/>
        </a:p>
      </xdr:txBody>
    </xdr:sp>
    <xdr:clientData/>
  </xdr:twoCellAnchor>
  <xdr:twoCellAnchor>
    <xdr:from>
      <xdr:col>29</xdr:col>
      <xdr:colOff>117179</xdr:colOff>
      <xdr:row>115</xdr:row>
      <xdr:rowOff>19361</xdr:rowOff>
    </xdr:from>
    <xdr:to>
      <xdr:col>34</xdr:col>
      <xdr:colOff>139349</xdr:colOff>
      <xdr:row>116</xdr:row>
      <xdr:rowOff>41756</xdr:rowOff>
    </xdr:to>
    <xdr:sp macro="" textlink="">
      <xdr:nvSpPr>
        <xdr:cNvPr id="324" name="テキスト ボックス 323">
          <a:extLst>
            <a:ext uri="{FF2B5EF4-FFF2-40B4-BE49-F238E27FC236}">
              <a16:creationId xmlns:a16="http://schemas.microsoft.com/office/drawing/2014/main" id="{71D957C4-3B37-4B82-AE2D-2A56885E75F6}"/>
            </a:ext>
          </a:extLst>
        </xdr:cNvPr>
        <xdr:cNvSpPr txBox="1"/>
      </xdr:nvSpPr>
      <xdr:spPr>
        <a:xfrm>
          <a:off x="6677523" y="28332424"/>
          <a:ext cx="1153264"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 </a:t>
          </a:r>
          <a:r>
            <a:rPr kumimoji="1" lang="en-US" altLang="ja-JP" sz="1100"/>
            <a:t>2.20m</a:t>
          </a:r>
          <a:endParaRPr kumimoji="1" lang="ja-JP" altLang="en-US" sz="1100"/>
        </a:p>
      </xdr:txBody>
    </xdr:sp>
    <xdr:clientData/>
  </xdr:twoCellAnchor>
  <xdr:twoCellAnchor>
    <xdr:from>
      <xdr:col>26</xdr:col>
      <xdr:colOff>78148</xdr:colOff>
      <xdr:row>120</xdr:row>
      <xdr:rowOff>121121</xdr:rowOff>
    </xdr:from>
    <xdr:to>
      <xdr:col>26</xdr:col>
      <xdr:colOff>203107</xdr:colOff>
      <xdr:row>121</xdr:row>
      <xdr:rowOff>6656</xdr:rowOff>
    </xdr:to>
    <xdr:sp macro="" textlink="">
      <xdr:nvSpPr>
        <xdr:cNvPr id="325" name="楕円 324">
          <a:extLst>
            <a:ext uri="{FF2B5EF4-FFF2-40B4-BE49-F238E27FC236}">
              <a16:creationId xmlns:a16="http://schemas.microsoft.com/office/drawing/2014/main" id="{D8212EF7-956C-471E-A85B-87F79898A011}"/>
            </a:ext>
          </a:extLst>
        </xdr:cNvPr>
        <xdr:cNvSpPr/>
      </xdr:nvSpPr>
      <xdr:spPr>
        <a:xfrm>
          <a:off x="5959836" y="29624809"/>
          <a:ext cx="124959" cy="12366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69691</xdr:colOff>
      <xdr:row>108</xdr:row>
      <xdr:rowOff>41375</xdr:rowOff>
    </xdr:from>
    <xdr:to>
      <xdr:col>32</xdr:col>
      <xdr:colOff>69691</xdr:colOff>
      <xdr:row>113</xdr:row>
      <xdr:rowOff>207473</xdr:rowOff>
    </xdr:to>
    <xdr:cxnSp macro="">
      <xdr:nvCxnSpPr>
        <xdr:cNvPr id="326" name="直線矢印コネクタ 325">
          <a:extLst>
            <a:ext uri="{FF2B5EF4-FFF2-40B4-BE49-F238E27FC236}">
              <a16:creationId xmlns:a16="http://schemas.microsoft.com/office/drawing/2014/main" id="{F414C2C4-6F4A-475E-9B41-7AD93FE08983}"/>
            </a:ext>
          </a:extLst>
        </xdr:cNvPr>
        <xdr:cNvCxnSpPr/>
      </xdr:nvCxnSpPr>
      <xdr:spPr>
        <a:xfrm>
          <a:off x="7308691" y="26663750"/>
          <a:ext cx="0" cy="13805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69691</xdr:colOff>
      <xdr:row>113</xdr:row>
      <xdr:rowOff>197708</xdr:rowOff>
    </xdr:from>
    <xdr:to>
      <xdr:col>32</xdr:col>
      <xdr:colOff>69691</xdr:colOff>
      <xdr:row>118</xdr:row>
      <xdr:rowOff>19044</xdr:rowOff>
    </xdr:to>
    <xdr:cxnSp macro="">
      <xdr:nvCxnSpPr>
        <xdr:cNvPr id="327" name="直線矢印コネクタ 326">
          <a:extLst>
            <a:ext uri="{FF2B5EF4-FFF2-40B4-BE49-F238E27FC236}">
              <a16:creationId xmlns:a16="http://schemas.microsoft.com/office/drawing/2014/main" id="{9D35C6AF-8063-4742-936A-81FDE12E5B6B}"/>
            </a:ext>
          </a:extLst>
        </xdr:cNvPr>
        <xdr:cNvCxnSpPr/>
      </xdr:nvCxnSpPr>
      <xdr:spPr>
        <a:xfrm>
          <a:off x="7308691" y="28034521"/>
          <a:ext cx="0" cy="10119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174983</xdr:colOff>
      <xdr:row>113</xdr:row>
      <xdr:rowOff>197708</xdr:rowOff>
    </xdr:from>
    <xdr:to>
      <xdr:col>23</xdr:col>
      <xdr:colOff>174983</xdr:colOff>
      <xdr:row>120</xdr:row>
      <xdr:rowOff>180969</xdr:rowOff>
    </xdr:to>
    <xdr:cxnSp macro="">
      <xdr:nvCxnSpPr>
        <xdr:cNvPr id="328" name="直線矢印コネクタ 327">
          <a:extLst>
            <a:ext uri="{FF2B5EF4-FFF2-40B4-BE49-F238E27FC236}">
              <a16:creationId xmlns:a16="http://schemas.microsoft.com/office/drawing/2014/main" id="{078C870F-F18E-48E4-BBB8-64E42F725C49}"/>
            </a:ext>
          </a:extLst>
        </xdr:cNvPr>
        <xdr:cNvCxnSpPr/>
      </xdr:nvCxnSpPr>
      <xdr:spPr>
        <a:xfrm>
          <a:off x="5378014" y="28034521"/>
          <a:ext cx="0" cy="16501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69691</xdr:colOff>
      <xdr:row>117</xdr:row>
      <xdr:rowOff>226283</xdr:rowOff>
    </xdr:from>
    <xdr:to>
      <xdr:col>32</xdr:col>
      <xdr:colOff>69691</xdr:colOff>
      <xdr:row>119</xdr:row>
      <xdr:rowOff>9519</xdr:rowOff>
    </xdr:to>
    <xdr:cxnSp macro="">
      <xdr:nvCxnSpPr>
        <xdr:cNvPr id="329" name="直線矢印コネクタ 328">
          <a:extLst>
            <a:ext uri="{FF2B5EF4-FFF2-40B4-BE49-F238E27FC236}">
              <a16:creationId xmlns:a16="http://schemas.microsoft.com/office/drawing/2014/main" id="{4F6EA298-E6B7-41F9-87FF-6B69BCAA13DC}"/>
            </a:ext>
          </a:extLst>
        </xdr:cNvPr>
        <xdr:cNvCxnSpPr/>
      </xdr:nvCxnSpPr>
      <xdr:spPr>
        <a:xfrm>
          <a:off x="7308691" y="29015596"/>
          <a:ext cx="0" cy="2594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69691</xdr:colOff>
      <xdr:row>119</xdr:row>
      <xdr:rowOff>7208</xdr:rowOff>
    </xdr:from>
    <xdr:to>
      <xdr:col>32</xdr:col>
      <xdr:colOff>69691</xdr:colOff>
      <xdr:row>120</xdr:row>
      <xdr:rowOff>180969</xdr:rowOff>
    </xdr:to>
    <xdr:cxnSp macro="">
      <xdr:nvCxnSpPr>
        <xdr:cNvPr id="330" name="直線矢印コネクタ 329">
          <a:extLst>
            <a:ext uri="{FF2B5EF4-FFF2-40B4-BE49-F238E27FC236}">
              <a16:creationId xmlns:a16="http://schemas.microsoft.com/office/drawing/2014/main" id="{67555F5C-1D50-4CDC-B1AD-7FA3F386659E}"/>
            </a:ext>
          </a:extLst>
        </xdr:cNvPr>
        <xdr:cNvCxnSpPr/>
      </xdr:nvCxnSpPr>
      <xdr:spPr>
        <a:xfrm>
          <a:off x="7308691" y="29272771"/>
          <a:ext cx="0" cy="4118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69054</xdr:colOff>
      <xdr:row>120</xdr:row>
      <xdr:rowOff>192163</xdr:rowOff>
    </xdr:from>
    <xdr:to>
      <xdr:col>33</xdr:col>
      <xdr:colOff>73817</xdr:colOff>
      <xdr:row>120</xdr:row>
      <xdr:rowOff>192163</xdr:rowOff>
    </xdr:to>
    <xdr:cxnSp macro="">
      <xdr:nvCxnSpPr>
        <xdr:cNvPr id="331" name="直線コネクタ 330">
          <a:extLst>
            <a:ext uri="{FF2B5EF4-FFF2-40B4-BE49-F238E27FC236}">
              <a16:creationId xmlns:a16="http://schemas.microsoft.com/office/drawing/2014/main" id="{1F40AC9D-DBB9-4E96-B2DD-B89B53C3634C}"/>
            </a:ext>
          </a:extLst>
        </xdr:cNvPr>
        <xdr:cNvCxnSpPr/>
      </xdr:nvCxnSpPr>
      <xdr:spPr>
        <a:xfrm>
          <a:off x="6855617" y="29695851"/>
          <a:ext cx="6834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192874</xdr:colOff>
      <xdr:row>112</xdr:row>
      <xdr:rowOff>95244</xdr:rowOff>
    </xdr:from>
    <xdr:to>
      <xdr:col>27</xdr:col>
      <xdr:colOff>12332</xdr:colOff>
      <xdr:row>113</xdr:row>
      <xdr:rowOff>90398</xdr:rowOff>
    </xdr:to>
    <xdr:sp macro="" textlink="">
      <xdr:nvSpPr>
        <xdr:cNvPr id="332" name="テキスト ボックス 331">
          <a:extLst>
            <a:ext uri="{FF2B5EF4-FFF2-40B4-BE49-F238E27FC236}">
              <a16:creationId xmlns:a16="http://schemas.microsoft.com/office/drawing/2014/main" id="{789A641F-55D2-4BC3-9C5D-09E94E7E82F8}"/>
            </a:ext>
          </a:extLst>
        </xdr:cNvPr>
        <xdr:cNvSpPr txBox="1"/>
      </xdr:nvSpPr>
      <xdr:spPr>
        <a:xfrm>
          <a:off x="5622124" y="27693932"/>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24</xdr:col>
      <xdr:colOff>166540</xdr:colOff>
      <xdr:row>120</xdr:row>
      <xdr:rowOff>35293</xdr:rowOff>
    </xdr:from>
    <xdr:to>
      <xdr:col>26</xdr:col>
      <xdr:colOff>212216</xdr:colOff>
      <xdr:row>121</xdr:row>
      <xdr:rowOff>30447</xdr:rowOff>
    </xdr:to>
    <xdr:sp macro="" textlink="">
      <xdr:nvSpPr>
        <xdr:cNvPr id="333" name="テキスト ボックス 332">
          <a:extLst>
            <a:ext uri="{FF2B5EF4-FFF2-40B4-BE49-F238E27FC236}">
              <a16:creationId xmlns:a16="http://schemas.microsoft.com/office/drawing/2014/main" id="{99A874EA-C226-45A8-95A8-D8808EC1CBF9}"/>
            </a:ext>
          </a:extLst>
        </xdr:cNvPr>
        <xdr:cNvSpPr txBox="1"/>
      </xdr:nvSpPr>
      <xdr:spPr>
        <a:xfrm>
          <a:off x="5595790" y="29538981"/>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21</xdr:col>
      <xdr:colOff>145754</xdr:colOff>
      <xdr:row>117</xdr:row>
      <xdr:rowOff>9836</xdr:rowOff>
    </xdr:from>
    <xdr:to>
      <xdr:col>24</xdr:col>
      <xdr:colOff>61906</xdr:colOff>
      <xdr:row>118</xdr:row>
      <xdr:rowOff>32231</xdr:rowOff>
    </xdr:to>
    <xdr:sp macro="" textlink="">
      <xdr:nvSpPr>
        <xdr:cNvPr id="334" name="テキスト ボックス 333">
          <a:extLst>
            <a:ext uri="{FF2B5EF4-FFF2-40B4-BE49-F238E27FC236}">
              <a16:creationId xmlns:a16="http://schemas.microsoft.com/office/drawing/2014/main" id="{A122C1A6-B3DC-48BB-981B-53653DED3839}"/>
            </a:ext>
          </a:extLst>
        </xdr:cNvPr>
        <xdr:cNvSpPr txBox="1"/>
      </xdr:nvSpPr>
      <xdr:spPr>
        <a:xfrm>
          <a:off x="4896348" y="28799149"/>
          <a:ext cx="594808"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3.45m</a:t>
          </a:r>
          <a:endParaRPr kumimoji="1" lang="ja-JP" altLang="en-US" sz="1100"/>
        </a:p>
      </xdr:txBody>
    </xdr:sp>
    <xdr:clientData/>
  </xdr:twoCellAnchor>
  <xdr:twoCellAnchor>
    <xdr:from>
      <xdr:col>23</xdr:col>
      <xdr:colOff>33331</xdr:colOff>
      <xdr:row>120</xdr:row>
      <xdr:rowOff>192163</xdr:rowOff>
    </xdr:from>
    <xdr:to>
      <xdr:col>24</xdr:col>
      <xdr:colOff>147631</xdr:colOff>
      <xdr:row>120</xdr:row>
      <xdr:rowOff>192163</xdr:rowOff>
    </xdr:to>
    <xdr:cxnSp macro="">
      <xdr:nvCxnSpPr>
        <xdr:cNvPr id="335" name="直線コネクタ 334">
          <a:extLst>
            <a:ext uri="{FF2B5EF4-FFF2-40B4-BE49-F238E27FC236}">
              <a16:creationId xmlns:a16="http://schemas.microsoft.com/office/drawing/2014/main" id="{4D72B176-84EE-4604-AECE-0671223D5299}"/>
            </a:ext>
          </a:extLst>
        </xdr:cNvPr>
        <xdr:cNvCxnSpPr/>
      </xdr:nvCxnSpPr>
      <xdr:spPr>
        <a:xfrm>
          <a:off x="5236362" y="29695851"/>
          <a:ext cx="3405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147073</xdr:colOff>
      <xdr:row>105</xdr:row>
      <xdr:rowOff>25379</xdr:rowOff>
    </xdr:from>
    <xdr:to>
      <xdr:col>34</xdr:col>
      <xdr:colOff>179725</xdr:colOff>
      <xdr:row>106</xdr:row>
      <xdr:rowOff>28520</xdr:rowOff>
    </xdr:to>
    <xdr:sp macro="" textlink="">
      <xdr:nvSpPr>
        <xdr:cNvPr id="337" name="テキスト ボックス 336">
          <a:extLst>
            <a:ext uri="{FF2B5EF4-FFF2-40B4-BE49-F238E27FC236}">
              <a16:creationId xmlns:a16="http://schemas.microsoft.com/office/drawing/2014/main" id="{1BB51EEB-BC10-4301-A5AC-41EC6FD7AE2E}"/>
            </a:ext>
          </a:extLst>
        </xdr:cNvPr>
        <xdr:cNvSpPr txBox="1"/>
      </xdr:nvSpPr>
      <xdr:spPr>
        <a:xfrm>
          <a:off x="6933636" y="25933379"/>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0.55m</a:t>
          </a:r>
          <a:endParaRPr kumimoji="1" lang="ja-JP" altLang="en-US" sz="1100"/>
        </a:p>
      </xdr:txBody>
    </xdr:sp>
    <xdr:clientData/>
  </xdr:twoCellAnchor>
  <xdr:twoCellAnchor>
    <xdr:from>
      <xdr:col>32</xdr:col>
      <xdr:colOff>69691</xdr:colOff>
      <xdr:row>105</xdr:row>
      <xdr:rowOff>45242</xdr:rowOff>
    </xdr:from>
    <xdr:to>
      <xdr:col>32</xdr:col>
      <xdr:colOff>69691</xdr:colOff>
      <xdr:row>106</xdr:row>
      <xdr:rowOff>60744</xdr:rowOff>
    </xdr:to>
    <xdr:cxnSp macro="">
      <xdr:nvCxnSpPr>
        <xdr:cNvPr id="339" name="直線矢印コネクタ 338">
          <a:extLst>
            <a:ext uri="{FF2B5EF4-FFF2-40B4-BE49-F238E27FC236}">
              <a16:creationId xmlns:a16="http://schemas.microsoft.com/office/drawing/2014/main" id="{7256BF6B-CF56-48DF-A94B-12F67758DB96}"/>
            </a:ext>
          </a:extLst>
        </xdr:cNvPr>
        <xdr:cNvCxnSpPr/>
      </xdr:nvCxnSpPr>
      <xdr:spPr>
        <a:xfrm>
          <a:off x="7308691" y="25953242"/>
          <a:ext cx="0" cy="25362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176205</xdr:colOff>
      <xdr:row>105</xdr:row>
      <xdr:rowOff>53338</xdr:rowOff>
    </xdr:from>
    <xdr:to>
      <xdr:col>33</xdr:col>
      <xdr:colOff>45236</xdr:colOff>
      <xdr:row>105</xdr:row>
      <xdr:rowOff>53338</xdr:rowOff>
    </xdr:to>
    <xdr:cxnSp macro="">
      <xdr:nvCxnSpPr>
        <xdr:cNvPr id="340" name="直線コネクタ 339">
          <a:extLst>
            <a:ext uri="{FF2B5EF4-FFF2-40B4-BE49-F238E27FC236}">
              <a16:creationId xmlns:a16="http://schemas.microsoft.com/office/drawing/2014/main" id="{80979649-7A22-4627-9078-5F50A8B794CE}"/>
            </a:ext>
          </a:extLst>
        </xdr:cNvPr>
        <xdr:cNvCxnSpPr/>
      </xdr:nvCxnSpPr>
      <xdr:spPr>
        <a:xfrm>
          <a:off x="6962768" y="25961338"/>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161637</xdr:colOff>
      <xdr:row>113</xdr:row>
      <xdr:rowOff>189096</xdr:rowOff>
    </xdr:from>
    <xdr:to>
      <xdr:col>29</xdr:col>
      <xdr:colOff>164299</xdr:colOff>
      <xdr:row>113</xdr:row>
      <xdr:rowOff>189096</xdr:rowOff>
    </xdr:to>
    <xdr:cxnSp macro="">
      <xdr:nvCxnSpPr>
        <xdr:cNvPr id="341" name="直線コネクタ 340">
          <a:extLst>
            <a:ext uri="{FF2B5EF4-FFF2-40B4-BE49-F238E27FC236}">
              <a16:creationId xmlns:a16="http://schemas.microsoft.com/office/drawing/2014/main" id="{4DD6671E-5015-4036-A23E-0A85AC82D121}"/>
            </a:ext>
          </a:extLst>
        </xdr:cNvPr>
        <xdr:cNvCxnSpPr/>
      </xdr:nvCxnSpPr>
      <xdr:spPr>
        <a:xfrm>
          <a:off x="6043325" y="28025909"/>
          <a:ext cx="68131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191194</xdr:colOff>
      <xdr:row>113</xdr:row>
      <xdr:rowOff>205725</xdr:rowOff>
    </xdr:from>
    <xdr:to>
      <xdr:col>25</xdr:col>
      <xdr:colOff>194165</xdr:colOff>
      <xdr:row>113</xdr:row>
      <xdr:rowOff>205725</xdr:rowOff>
    </xdr:to>
    <xdr:cxnSp macro="">
      <xdr:nvCxnSpPr>
        <xdr:cNvPr id="343" name="直線コネクタ 342">
          <a:extLst>
            <a:ext uri="{FF2B5EF4-FFF2-40B4-BE49-F238E27FC236}">
              <a16:creationId xmlns:a16="http://schemas.microsoft.com/office/drawing/2014/main" id="{17A3C022-95D1-3282-5441-4590370F3171}"/>
            </a:ext>
          </a:extLst>
        </xdr:cNvPr>
        <xdr:cNvCxnSpPr/>
      </xdr:nvCxnSpPr>
      <xdr:spPr>
        <a:xfrm>
          <a:off x="5620444" y="28042538"/>
          <a:ext cx="229190"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173733</xdr:colOff>
      <xdr:row>119</xdr:row>
      <xdr:rowOff>13622</xdr:rowOff>
    </xdr:from>
    <xdr:to>
      <xdr:col>29</xdr:col>
      <xdr:colOff>142875</xdr:colOff>
      <xdr:row>119</xdr:row>
      <xdr:rowOff>13622</xdr:rowOff>
    </xdr:to>
    <xdr:cxnSp macro="">
      <xdr:nvCxnSpPr>
        <xdr:cNvPr id="345" name="直線コネクタ 344">
          <a:extLst>
            <a:ext uri="{FF2B5EF4-FFF2-40B4-BE49-F238E27FC236}">
              <a16:creationId xmlns:a16="http://schemas.microsoft.com/office/drawing/2014/main" id="{8BDF0D9A-5C02-37AE-3679-DA80429D7CB8}"/>
            </a:ext>
          </a:extLst>
        </xdr:cNvPr>
        <xdr:cNvCxnSpPr/>
      </xdr:nvCxnSpPr>
      <xdr:spPr>
        <a:xfrm>
          <a:off x="6055421" y="29279185"/>
          <a:ext cx="647798"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172100</xdr:colOff>
      <xdr:row>116</xdr:row>
      <xdr:rowOff>71437</xdr:rowOff>
    </xdr:from>
    <xdr:to>
      <xdr:col>29</xdr:col>
      <xdr:colOff>172100</xdr:colOff>
      <xdr:row>119</xdr:row>
      <xdr:rowOff>45805</xdr:rowOff>
    </xdr:to>
    <xdr:cxnSp macro="">
      <xdr:nvCxnSpPr>
        <xdr:cNvPr id="346" name="直線コネクタ 345">
          <a:extLst>
            <a:ext uri="{FF2B5EF4-FFF2-40B4-BE49-F238E27FC236}">
              <a16:creationId xmlns:a16="http://schemas.microsoft.com/office/drawing/2014/main" id="{55EABE3F-C22C-D300-2E85-37F5C02E00A1}"/>
            </a:ext>
          </a:extLst>
        </xdr:cNvPr>
        <xdr:cNvCxnSpPr/>
      </xdr:nvCxnSpPr>
      <xdr:spPr>
        <a:xfrm>
          <a:off x="6732444" y="28622625"/>
          <a:ext cx="0" cy="688743"/>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134470</xdr:colOff>
      <xdr:row>29</xdr:row>
      <xdr:rowOff>224118</xdr:rowOff>
    </xdr:from>
    <xdr:to>
      <xdr:col>7</xdr:col>
      <xdr:colOff>190500</xdr:colOff>
      <xdr:row>30</xdr:row>
      <xdr:rowOff>168088</xdr:rowOff>
    </xdr:to>
    <xdr:cxnSp macro="">
      <xdr:nvCxnSpPr>
        <xdr:cNvPr id="2" name="直線コネクタ 1">
          <a:extLst>
            <a:ext uri="{FF2B5EF4-FFF2-40B4-BE49-F238E27FC236}">
              <a16:creationId xmlns:a16="http://schemas.microsoft.com/office/drawing/2014/main" id="{0A39AE92-7254-4A76-879E-82E193A28EA4}"/>
            </a:ext>
          </a:extLst>
        </xdr:cNvPr>
        <xdr:cNvCxnSpPr/>
      </xdr:nvCxnSpPr>
      <xdr:spPr>
        <a:xfrm>
          <a:off x="1801345" y="7129743"/>
          <a:ext cx="56030" cy="1820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194553</xdr:colOff>
      <xdr:row>29</xdr:row>
      <xdr:rowOff>5443</xdr:rowOff>
    </xdr:from>
    <xdr:to>
      <xdr:col>8</xdr:col>
      <xdr:colOff>5442</xdr:colOff>
      <xdr:row>30</xdr:row>
      <xdr:rowOff>158075</xdr:rowOff>
    </xdr:to>
    <xdr:cxnSp macro="">
      <xdr:nvCxnSpPr>
        <xdr:cNvPr id="3" name="直線コネクタ 2">
          <a:extLst>
            <a:ext uri="{FF2B5EF4-FFF2-40B4-BE49-F238E27FC236}">
              <a16:creationId xmlns:a16="http://schemas.microsoft.com/office/drawing/2014/main" id="{1B600B67-B5D9-45AA-9D49-D73FBEB9E452}"/>
            </a:ext>
          </a:extLst>
        </xdr:cNvPr>
        <xdr:cNvCxnSpPr/>
      </xdr:nvCxnSpPr>
      <xdr:spPr>
        <a:xfrm flipV="1">
          <a:off x="1861428" y="6911068"/>
          <a:ext cx="49014" cy="39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134470</xdr:colOff>
      <xdr:row>32</xdr:row>
      <xdr:rowOff>224118</xdr:rowOff>
    </xdr:from>
    <xdr:to>
      <xdr:col>7</xdr:col>
      <xdr:colOff>190500</xdr:colOff>
      <xdr:row>33</xdr:row>
      <xdr:rowOff>168088</xdr:rowOff>
    </xdr:to>
    <xdr:cxnSp macro="">
      <xdr:nvCxnSpPr>
        <xdr:cNvPr id="4" name="直線コネクタ 3">
          <a:extLst>
            <a:ext uri="{FF2B5EF4-FFF2-40B4-BE49-F238E27FC236}">
              <a16:creationId xmlns:a16="http://schemas.microsoft.com/office/drawing/2014/main" id="{250C7321-D2BA-4622-BB32-94F0735D0E48}"/>
            </a:ext>
          </a:extLst>
        </xdr:cNvPr>
        <xdr:cNvCxnSpPr/>
      </xdr:nvCxnSpPr>
      <xdr:spPr>
        <a:xfrm>
          <a:off x="1801345" y="7844118"/>
          <a:ext cx="56030" cy="1820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194553</xdr:colOff>
      <xdr:row>32</xdr:row>
      <xdr:rowOff>5443</xdr:rowOff>
    </xdr:from>
    <xdr:to>
      <xdr:col>8</xdr:col>
      <xdr:colOff>5442</xdr:colOff>
      <xdr:row>33</xdr:row>
      <xdr:rowOff>158075</xdr:rowOff>
    </xdr:to>
    <xdr:cxnSp macro="">
      <xdr:nvCxnSpPr>
        <xdr:cNvPr id="5" name="直線コネクタ 4">
          <a:extLst>
            <a:ext uri="{FF2B5EF4-FFF2-40B4-BE49-F238E27FC236}">
              <a16:creationId xmlns:a16="http://schemas.microsoft.com/office/drawing/2014/main" id="{41F3EDBB-1F0F-4344-BD15-224716AFBDB2}"/>
            </a:ext>
          </a:extLst>
        </xdr:cNvPr>
        <xdr:cNvCxnSpPr/>
      </xdr:nvCxnSpPr>
      <xdr:spPr>
        <a:xfrm flipV="1">
          <a:off x="1861428" y="7625443"/>
          <a:ext cx="49014" cy="39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188720</xdr:colOff>
      <xdr:row>8</xdr:row>
      <xdr:rowOff>89510</xdr:rowOff>
    </xdr:from>
    <xdr:to>
      <xdr:col>24</xdr:col>
      <xdr:colOff>203584</xdr:colOff>
      <xdr:row>8</xdr:row>
      <xdr:rowOff>89510</xdr:rowOff>
    </xdr:to>
    <xdr:cxnSp macro="">
      <xdr:nvCxnSpPr>
        <xdr:cNvPr id="192" name="直線矢印コネクタ 191">
          <a:extLst>
            <a:ext uri="{FF2B5EF4-FFF2-40B4-BE49-F238E27FC236}">
              <a16:creationId xmlns:a16="http://schemas.microsoft.com/office/drawing/2014/main" id="{4F578217-AC43-4227-A3ED-BCEEF5F3A832}"/>
            </a:ext>
          </a:extLst>
        </xdr:cNvPr>
        <xdr:cNvCxnSpPr/>
      </xdr:nvCxnSpPr>
      <xdr:spPr>
        <a:xfrm>
          <a:off x="5391751" y="2256448"/>
          <a:ext cx="467302"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88874</xdr:colOff>
      <xdr:row>7</xdr:row>
      <xdr:rowOff>53205</xdr:rowOff>
    </xdr:from>
    <xdr:to>
      <xdr:col>24</xdr:col>
      <xdr:colOff>160928</xdr:colOff>
      <xdr:row>8</xdr:row>
      <xdr:rowOff>58767</xdr:rowOff>
    </xdr:to>
    <xdr:sp macro="" textlink="">
      <xdr:nvSpPr>
        <xdr:cNvPr id="193" name="テキスト ボックス 192">
          <a:extLst>
            <a:ext uri="{FF2B5EF4-FFF2-40B4-BE49-F238E27FC236}">
              <a16:creationId xmlns:a16="http://schemas.microsoft.com/office/drawing/2014/main" id="{CCAF67F4-6449-DF5A-6371-290C77B843BB}"/>
            </a:ext>
          </a:extLst>
        </xdr:cNvPr>
        <xdr:cNvSpPr txBox="1"/>
      </xdr:nvSpPr>
      <xdr:spPr>
        <a:xfrm>
          <a:off x="5291905" y="1958205"/>
          <a:ext cx="524491" cy="243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R</a:t>
          </a:r>
          <a:r>
            <a:rPr kumimoji="1" lang="en-US" altLang="ja-JP" sz="1100" baseline="-25000">
              <a:solidFill>
                <a:srgbClr val="FF0000"/>
              </a:solidFill>
            </a:rPr>
            <a:t>1</a:t>
          </a:r>
          <a:endParaRPr kumimoji="1" lang="ja-JP" altLang="en-US" sz="1100" baseline="-25000">
            <a:solidFill>
              <a:srgbClr val="FF0000"/>
            </a:solidFill>
          </a:endParaRPr>
        </a:p>
      </xdr:txBody>
    </xdr:sp>
    <xdr:clientData/>
  </xdr:twoCellAnchor>
  <xdr:twoCellAnchor>
    <xdr:from>
      <xdr:col>26</xdr:col>
      <xdr:colOff>14287</xdr:colOff>
      <xdr:row>117</xdr:row>
      <xdr:rowOff>88540</xdr:rowOff>
    </xdr:from>
    <xdr:to>
      <xdr:col>30</xdr:col>
      <xdr:colOff>121444</xdr:colOff>
      <xdr:row>117</xdr:row>
      <xdr:rowOff>88540</xdr:rowOff>
    </xdr:to>
    <xdr:cxnSp macro="">
      <xdr:nvCxnSpPr>
        <xdr:cNvPr id="3" name="直線コネクタ 2">
          <a:extLst>
            <a:ext uri="{FF2B5EF4-FFF2-40B4-BE49-F238E27FC236}">
              <a16:creationId xmlns:a16="http://schemas.microsoft.com/office/drawing/2014/main" id="{767606C9-1B73-CEE8-97C1-ED2C43A57F64}"/>
            </a:ext>
          </a:extLst>
        </xdr:cNvPr>
        <xdr:cNvCxnSpPr/>
      </xdr:nvCxnSpPr>
      <xdr:spPr>
        <a:xfrm>
          <a:off x="5957887" y="2719669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121</xdr:row>
      <xdr:rowOff>97607</xdr:rowOff>
    </xdr:from>
    <xdr:to>
      <xdr:col>30</xdr:col>
      <xdr:colOff>123825</xdr:colOff>
      <xdr:row>121</xdr:row>
      <xdr:rowOff>97607</xdr:rowOff>
    </xdr:to>
    <xdr:cxnSp macro="">
      <xdr:nvCxnSpPr>
        <xdr:cNvPr id="5" name="直線コネクタ 4">
          <a:extLst>
            <a:ext uri="{FF2B5EF4-FFF2-40B4-BE49-F238E27FC236}">
              <a16:creationId xmlns:a16="http://schemas.microsoft.com/office/drawing/2014/main" id="{247E0307-82E1-4847-8724-2C719FB83266}"/>
            </a:ext>
          </a:extLst>
        </xdr:cNvPr>
        <xdr:cNvCxnSpPr/>
      </xdr:nvCxnSpPr>
      <xdr:spPr>
        <a:xfrm>
          <a:off x="5957887" y="2815825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117</xdr:row>
      <xdr:rowOff>218964</xdr:rowOff>
    </xdr:from>
    <xdr:to>
      <xdr:col>27</xdr:col>
      <xdr:colOff>205458</xdr:colOff>
      <xdr:row>117</xdr:row>
      <xdr:rowOff>219879</xdr:rowOff>
    </xdr:to>
    <xdr:cxnSp macro="">
      <xdr:nvCxnSpPr>
        <xdr:cNvPr id="6" name="直線コネクタ 5">
          <a:extLst>
            <a:ext uri="{FF2B5EF4-FFF2-40B4-BE49-F238E27FC236}">
              <a16:creationId xmlns:a16="http://schemas.microsoft.com/office/drawing/2014/main" id="{E091636C-1F1A-9D66-6F17-7D9C09D8D28D}"/>
            </a:ext>
          </a:extLst>
        </xdr:cNvPr>
        <xdr:cNvCxnSpPr>
          <a:endCxn id="24" idx="0"/>
        </xdr:cNvCxnSpPr>
      </xdr:nvCxnSpPr>
      <xdr:spPr>
        <a:xfrm flipV="1">
          <a:off x="5957887" y="2732711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120</xdr:row>
      <xdr:rowOff>208574</xdr:rowOff>
    </xdr:from>
    <xdr:to>
      <xdr:col>27</xdr:col>
      <xdr:colOff>204788</xdr:colOff>
      <xdr:row>120</xdr:row>
      <xdr:rowOff>208574</xdr:rowOff>
    </xdr:to>
    <xdr:cxnSp macro="">
      <xdr:nvCxnSpPr>
        <xdr:cNvPr id="8" name="直線コネクタ 7">
          <a:extLst>
            <a:ext uri="{FF2B5EF4-FFF2-40B4-BE49-F238E27FC236}">
              <a16:creationId xmlns:a16="http://schemas.microsoft.com/office/drawing/2014/main" id="{0A387486-4489-84FC-427C-772BFF00C2C8}"/>
            </a:ext>
          </a:extLst>
        </xdr:cNvPr>
        <xdr:cNvCxnSpPr/>
      </xdr:nvCxnSpPr>
      <xdr:spPr>
        <a:xfrm>
          <a:off x="5957887" y="2803109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155463</xdr:colOff>
      <xdr:row>117</xdr:row>
      <xdr:rowOff>219879</xdr:rowOff>
    </xdr:from>
    <xdr:to>
      <xdr:col>30</xdr:col>
      <xdr:colOff>123825</xdr:colOff>
      <xdr:row>117</xdr:row>
      <xdr:rowOff>219879</xdr:rowOff>
    </xdr:to>
    <xdr:cxnSp macro="">
      <xdr:nvCxnSpPr>
        <xdr:cNvPr id="9" name="直線コネクタ 8">
          <a:extLst>
            <a:ext uri="{FF2B5EF4-FFF2-40B4-BE49-F238E27FC236}">
              <a16:creationId xmlns:a16="http://schemas.microsoft.com/office/drawing/2014/main" id="{7E00544E-4A21-38EC-A0E7-333DC0CEA9DB}"/>
            </a:ext>
          </a:extLst>
        </xdr:cNvPr>
        <xdr:cNvCxnSpPr/>
      </xdr:nvCxnSpPr>
      <xdr:spPr>
        <a:xfrm>
          <a:off x="6556263" y="2732802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157844</xdr:colOff>
      <xdr:row>120</xdr:row>
      <xdr:rowOff>208574</xdr:rowOff>
    </xdr:from>
    <xdr:to>
      <xdr:col>30</xdr:col>
      <xdr:colOff>121444</xdr:colOff>
      <xdr:row>120</xdr:row>
      <xdr:rowOff>208574</xdr:rowOff>
    </xdr:to>
    <xdr:cxnSp macro="">
      <xdr:nvCxnSpPr>
        <xdr:cNvPr id="10" name="直線コネクタ 9">
          <a:extLst>
            <a:ext uri="{FF2B5EF4-FFF2-40B4-BE49-F238E27FC236}">
              <a16:creationId xmlns:a16="http://schemas.microsoft.com/office/drawing/2014/main" id="{0BE810EB-C792-63F8-5AFB-BDB7C8674403}"/>
            </a:ext>
          </a:extLst>
        </xdr:cNvPr>
        <xdr:cNvCxnSpPr/>
      </xdr:nvCxnSpPr>
      <xdr:spPr>
        <a:xfrm>
          <a:off x="6558644" y="2803109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28028</xdr:colOff>
      <xdr:row>118</xdr:row>
      <xdr:rowOff>26630</xdr:rowOff>
    </xdr:from>
    <xdr:to>
      <xdr:col>28</xdr:col>
      <xdr:colOff>28028</xdr:colOff>
      <xdr:row>120</xdr:row>
      <xdr:rowOff>159978</xdr:rowOff>
    </xdr:to>
    <xdr:cxnSp macro="">
      <xdr:nvCxnSpPr>
        <xdr:cNvPr id="11" name="直線コネクタ 10">
          <a:extLst>
            <a:ext uri="{FF2B5EF4-FFF2-40B4-BE49-F238E27FC236}">
              <a16:creationId xmlns:a16="http://schemas.microsoft.com/office/drawing/2014/main" id="{558C6E26-0034-0929-14D3-FDB13F55C882}"/>
            </a:ext>
          </a:extLst>
        </xdr:cNvPr>
        <xdr:cNvCxnSpPr/>
      </xdr:nvCxnSpPr>
      <xdr:spPr>
        <a:xfrm>
          <a:off x="6428828" y="2737290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104679</xdr:colOff>
      <xdr:row>118</xdr:row>
      <xdr:rowOff>28422</xdr:rowOff>
    </xdr:from>
    <xdr:to>
      <xdr:col>28</xdr:col>
      <xdr:colOff>104679</xdr:colOff>
      <xdr:row>120</xdr:row>
      <xdr:rowOff>159978</xdr:rowOff>
    </xdr:to>
    <xdr:cxnSp macro="">
      <xdr:nvCxnSpPr>
        <xdr:cNvPr id="17" name="直線コネクタ 16">
          <a:extLst>
            <a:ext uri="{FF2B5EF4-FFF2-40B4-BE49-F238E27FC236}">
              <a16:creationId xmlns:a16="http://schemas.microsoft.com/office/drawing/2014/main" id="{FEA959C3-12D7-89A6-1343-A0405BB806A6}"/>
            </a:ext>
          </a:extLst>
        </xdr:cNvPr>
        <xdr:cNvCxnSpPr/>
      </xdr:nvCxnSpPr>
      <xdr:spPr>
        <a:xfrm>
          <a:off x="6505479" y="2737469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117</xdr:row>
      <xdr:rowOff>86187</xdr:rowOff>
    </xdr:from>
    <xdr:to>
      <xdr:col>26</xdr:col>
      <xdr:colOff>12437</xdr:colOff>
      <xdr:row>117</xdr:row>
      <xdr:rowOff>219568</xdr:rowOff>
    </xdr:to>
    <xdr:cxnSp macro="">
      <xdr:nvCxnSpPr>
        <xdr:cNvPr id="18" name="直線コネクタ 17">
          <a:extLst>
            <a:ext uri="{FF2B5EF4-FFF2-40B4-BE49-F238E27FC236}">
              <a16:creationId xmlns:a16="http://schemas.microsoft.com/office/drawing/2014/main" id="{532D20A2-A3F0-1DC8-F84A-28C8A2E84236}"/>
            </a:ext>
          </a:extLst>
        </xdr:cNvPr>
        <xdr:cNvCxnSpPr/>
      </xdr:nvCxnSpPr>
      <xdr:spPr>
        <a:xfrm>
          <a:off x="5956037"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17272</xdr:colOff>
      <xdr:row>120</xdr:row>
      <xdr:rowOff>205101</xdr:rowOff>
    </xdr:from>
    <xdr:to>
      <xdr:col>26</xdr:col>
      <xdr:colOff>17272</xdr:colOff>
      <xdr:row>121</xdr:row>
      <xdr:rowOff>99371</xdr:rowOff>
    </xdr:to>
    <xdr:cxnSp macro="">
      <xdr:nvCxnSpPr>
        <xdr:cNvPr id="21" name="直線コネクタ 20">
          <a:extLst>
            <a:ext uri="{FF2B5EF4-FFF2-40B4-BE49-F238E27FC236}">
              <a16:creationId xmlns:a16="http://schemas.microsoft.com/office/drawing/2014/main" id="{68C0669B-A834-4723-877B-B7D70B6241E7}"/>
            </a:ext>
          </a:extLst>
        </xdr:cNvPr>
        <xdr:cNvCxnSpPr/>
      </xdr:nvCxnSpPr>
      <xdr:spPr>
        <a:xfrm>
          <a:off x="5960872"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117</xdr:row>
      <xdr:rowOff>86187</xdr:rowOff>
    </xdr:from>
    <xdr:to>
      <xdr:col>30</xdr:col>
      <xdr:colOff>122443</xdr:colOff>
      <xdr:row>117</xdr:row>
      <xdr:rowOff>219568</xdr:rowOff>
    </xdr:to>
    <xdr:cxnSp macro="">
      <xdr:nvCxnSpPr>
        <xdr:cNvPr id="22" name="直線コネクタ 21">
          <a:extLst>
            <a:ext uri="{FF2B5EF4-FFF2-40B4-BE49-F238E27FC236}">
              <a16:creationId xmlns:a16="http://schemas.microsoft.com/office/drawing/2014/main" id="{EAAE8A5A-CD37-33F7-5053-16ABCA79889E}"/>
            </a:ext>
          </a:extLst>
        </xdr:cNvPr>
        <xdr:cNvCxnSpPr/>
      </xdr:nvCxnSpPr>
      <xdr:spPr>
        <a:xfrm>
          <a:off x="6980443"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121913</xdr:colOff>
      <xdr:row>120</xdr:row>
      <xdr:rowOff>205101</xdr:rowOff>
    </xdr:from>
    <xdr:to>
      <xdr:col>30</xdr:col>
      <xdr:colOff>121913</xdr:colOff>
      <xdr:row>121</xdr:row>
      <xdr:rowOff>99371</xdr:rowOff>
    </xdr:to>
    <xdr:cxnSp macro="">
      <xdr:nvCxnSpPr>
        <xdr:cNvPr id="23" name="直線コネクタ 22">
          <a:extLst>
            <a:ext uri="{FF2B5EF4-FFF2-40B4-BE49-F238E27FC236}">
              <a16:creationId xmlns:a16="http://schemas.microsoft.com/office/drawing/2014/main" id="{0CF43422-9DC2-9D51-85F0-409333010B43}"/>
            </a:ext>
          </a:extLst>
        </xdr:cNvPr>
        <xdr:cNvCxnSpPr/>
      </xdr:nvCxnSpPr>
      <xdr:spPr>
        <a:xfrm>
          <a:off x="6979913"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154211</xdr:colOff>
      <xdr:row>117</xdr:row>
      <xdr:rowOff>218964</xdr:rowOff>
    </xdr:from>
    <xdr:to>
      <xdr:col>28</xdr:col>
      <xdr:colOff>28105</xdr:colOff>
      <xdr:row>118</xdr:row>
      <xdr:rowOff>80725</xdr:rowOff>
    </xdr:to>
    <xdr:sp macro="" textlink="">
      <xdr:nvSpPr>
        <xdr:cNvPr id="24" name="円弧 23">
          <a:extLst>
            <a:ext uri="{FF2B5EF4-FFF2-40B4-BE49-F238E27FC236}">
              <a16:creationId xmlns:a16="http://schemas.microsoft.com/office/drawing/2014/main" id="{09C5242C-DC97-7CD9-5368-D8F80313E6D2}"/>
            </a:ext>
          </a:extLst>
        </xdr:cNvPr>
        <xdr:cNvSpPr/>
      </xdr:nvSpPr>
      <xdr:spPr>
        <a:xfrm>
          <a:off x="6326411" y="2732711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104308</xdr:colOff>
      <xdr:row>117</xdr:row>
      <xdr:rowOff>223294</xdr:rowOff>
    </xdr:from>
    <xdr:to>
      <xdr:col>28</xdr:col>
      <xdr:colOff>207172</xdr:colOff>
      <xdr:row>118</xdr:row>
      <xdr:rowOff>85055</xdr:rowOff>
    </xdr:to>
    <xdr:sp macro="" textlink="">
      <xdr:nvSpPr>
        <xdr:cNvPr id="27" name="円弧 26">
          <a:extLst>
            <a:ext uri="{FF2B5EF4-FFF2-40B4-BE49-F238E27FC236}">
              <a16:creationId xmlns:a16="http://schemas.microsoft.com/office/drawing/2014/main" id="{E77B665E-CDAB-43FB-9DEB-BCE471AACA66}"/>
            </a:ext>
          </a:extLst>
        </xdr:cNvPr>
        <xdr:cNvSpPr/>
      </xdr:nvSpPr>
      <xdr:spPr>
        <a:xfrm flipH="1">
          <a:off x="6505108" y="2733144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104303</xdr:colOff>
      <xdr:row>120</xdr:row>
      <xdr:rowOff>100447</xdr:rowOff>
    </xdr:from>
    <xdr:to>
      <xdr:col>28</xdr:col>
      <xdr:colOff>216692</xdr:colOff>
      <xdr:row>120</xdr:row>
      <xdr:rowOff>209439</xdr:rowOff>
    </xdr:to>
    <xdr:sp macro="" textlink="">
      <xdr:nvSpPr>
        <xdr:cNvPr id="30" name="円弧 29">
          <a:extLst>
            <a:ext uri="{FF2B5EF4-FFF2-40B4-BE49-F238E27FC236}">
              <a16:creationId xmlns:a16="http://schemas.microsoft.com/office/drawing/2014/main" id="{F232D400-1C8C-4A1B-8161-E24B5AF81364}"/>
            </a:ext>
          </a:extLst>
        </xdr:cNvPr>
        <xdr:cNvSpPr/>
      </xdr:nvSpPr>
      <xdr:spPr>
        <a:xfrm flipH="1" flipV="1">
          <a:off x="6505103" y="2792297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150018</xdr:colOff>
      <xdr:row>120</xdr:row>
      <xdr:rowOff>100446</xdr:rowOff>
    </xdr:from>
    <xdr:to>
      <xdr:col>28</xdr:col>
      <xdr:colOff>28102</xdr:colOff>
      <xdr:row>120</xdr:row>
      <xdr:rowOff>209438</xdr:rowOff>
    </xdr:to>
    <xdr:sp macro="" textlink="">
      <xdr:nvSpPr>
        <xdr:cNvPr id="34" name="円弧 33">
          <a:extLst>
            <a:ext uri="{FF2B5EF4-FFF2-40B4-BE49-F238E27FC236}">
              <a16:creationId xmlns:a16="http://schemas.microsoft.com/office/drawing/2014/main" id="{6D0BF304-18C9-4197-8F15-75B8C87E90F7}"/>
            </a:ext>
          </a:extLst>
        </xdr:cNvPr>
        <xdr:cNvSpPr/>
      </xdr:nvSpPr>
      <xdr:spPr>
        <a:xfrm flipV="1">
          <a:off x="6322218" y="2792297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xdr:colOff>
      <xdr:row>115</xdr:row>
      <xdr:rowOff>163348</xdr:rowOff>
    </xdr:from>
    <xdr:to>
      <xdr:col>30</xdr:col>
      <xdr:colOff>121443</xdr:colOff>
      <xdr:row>115</xdr:row>
      <xdr:rowOff>163348</xdr:rowOff>
    </xdr:to>
    <xdr:cxnSp macro="">
      <xdr:nvCxnSpPr>
        <xdr:cNvPr id="39" name="直線矢印コネクタ 38">
          <a:extLst>
            <a:ext uri="{FF2B5EF4-FFF2-40B4-BE49-F238E27FC236}">
              <a16:creationId xmlns:a16="http://schemas.microsoft.com/office/drawing/2014/main" id="{00891E7B-A581-D221-37C6-EFAD913D3D2A}"/>
            </a:ext>
          </a:extLst>
        </xdr:cNvPr>
        <xdr:cNvCxnSpPr/>
      </xdr:nvCxnSpPr>
      <xdr:spPr>
        <a:xfrm flipH="1">
          <a:off x="5963840" y="2679524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115</xdr:row>
      <xdr:rowOff>105340</xdr:rowOff>
    </xdr:from>
    <xdr:to>
      <xdr:col>30</xdr:col>
      <xdr:colOff>122443</xdr:colOff>
      <xdr:row>116</xdr:row>
      <xdr:rowOff>596</xdr:rowOff>
    </xdr:to>
    <xdr:cxnSp macro="">
      <xdr:nvCxnSpPr>
        <xdr:cNvPr id="43" name="直線コネクタ 42">
          <a:extLst>
            <a:ext uri="{FF2B5EF4-FFF2-40B4-BE49-F238E27FC236}">
              <a16:creationId xmlns:a16="http://schemas.microsoft.com/office/drawing/2014/main" id="{5CD517D8-A39E-ACF0-04BC-5269C4274D0C}"/>
            </a:ext>
          </a:extLst>
        </xdr:cNvPr>
        <xdr:cNvCxnSpPr/>
      </xdr:nvCxnSpPr>
      <xdr:spPr>
        <a:xfrm>
          <a:off x="6980443" y="2673724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115</xdr:row>
      <xdr:rowOff>111293</xdr:rowOff>
    </xdr:from>
    <xdr:to>
      <xdr:col>26</xdr:col>
      <xdr:colOff>12437</xdr:colOff>
      <xdr:row>116</xdr:row>
      <xdr:rowOff>4478</xdr:rowOff>
    </xdr:to>
    <xdr:cxnSp macro="">
      <xdr:nvCxnSpPr>
        <xdr:cNvPr id="44" name="直線コネクタ 43">
          <a:extLst>
            <a:ext uri="{FF2B5EF4-FFF2-40B4-BE49-F238E27FC236}">
              <a16:creationId xmlns:a16="http://schemas.microsoft.com/office/drawing/2014/main" id="{6684CADF-E3A6-57E7-E055-E2213C99D1F0}"/>
            </a:ext>
          </a:extLst>
        </xdr:cNvPr>
        <xdr:cNvCxnSpPr/>
      </xdr:nvCxnSpPr>
      <xdr:spPr>
        <a:xfrm>
          <a:off x="5956037" y="2674319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116</xdr:row>
      <xdr:rowOff>99387</xdr:rowOff>
    </xdr:from>
    <xdr:to>
      <xdr:col>30</xdr:col>
      <xdr:colOff>122443</xdr:colOff>
      <xdr:row>116</xdr:row>
      <xdr:rowOff>231474</xdr:rowOff>
    </xdr:to>
    <xdr:cxnSp macro="">
      <xdr:nvCxnSpPr>
        <xdr:cNvPr id="45" name="直線コネクタ 44">
          <a:extLst>
            <a:ext uri="{FF2B5EF4-FFF2-40B4-BE49-F238E27FC236}">
              <a16:creationId xmlns:a16="http://schemas.microsoft.com/office/drawing/2014/main" id="{41981C65-0262-084D-EB33-BC6D1D90E692}"/>
            </a:ext>
          </a:extLst>
        </xdr:cNvPr>
        <xdr:cNvCxnSpPr/>
      </xdr:nvCxnSpPr>
      <xdr:spPr>
        <a:xfrm>
          <a:off x="6980443"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110536</xdr:colOff>
      <xdr:row>116</xdr:row>
      <xdr:rowOff>99387</xdr:rowOff>
    </xdr:from>
    <xdr:to>
      <xdr:col>28</xdr:col>
      <xdr:colOff>110536</xdr:colOff>
      <xdr:row>116</xdr:row>
      <xdr:rowOff>231474</xdr:rowOff>
    </xdr:to>
    <xdr:cxnSp macro="">
      <xdr:nvCxnSpPr>
        <xdr:cNvPr id="46" name="直線コネクタ 45">
          <a:extLst>
            <a:ext uri="{FF2B5EF4-FFF2-40B4-BE49-F238E27FC236}">
              <a16:creationId xmlns:a16="http://schemas.microsoft.com/office/drawing/2014/main" id="{1BBEF615-EB6D-6DCB-DF64-917A02C8C806}"/>
            </a:ext>
          </a:extLst>
        </xdr:cNvPr>
        <xdr:cNvCxnSpPr/>
      </xdr:nvCxnSpPr>
      <xdr:spPr>
        <a:xfrm>
          <a:off x="6511336"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33145</xdr:colOff>
      <xdr:row>116</xdr:row>
      <xdr:rowOff>99387</xdr:rowOff>
    </xdr:from>
    <xdr:to>
      <xdr:col>28</xdr:col>
      <xdr:colOff>33145</xdr:colOff>
      <xdr:row>116</xdr:row>
      <xdr:rowOff>231474</xdr:rowOff>
    </xdr:to>
    <xdr:cxnSp macro="">
      <xdr:nvCxnSpPr>
        <xdr:cNvPr id="47" name="直線コネクタ 46">
          <a:extLst>
            <a:ext uri="{FF2B5EF4-FFF2-40B4-BE49-F238E27FC236}">
              <a16:creationId xmlns:a16="http://schemas.microsoft.com/office/drawing/2014/main" id="{BA818FC8-31FB-A811-BB16-D19702F85EDA}"/>
            </a:ext>
          </a:extLst>
        </xdr:cNvPr>
        <xdr:cNvCxnSpPr/>
      </xdr:nvCxnSpPr>
      <xdr:spPr>
        <a:xfrm>
          <a:off x="6433945"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116</xdr:row>
      <xdr:rowOff>117246</xdr:rowOff>
    </xdr:from>
    <xdr:to>
      <xdr:col>26</xdr:col>
      <xdr:colOff>12437</xdr:colOff>
      <xdr:row>117</xdr:row>
      <xdr:rowOff>9138</xdr:rowOff>
    </xdr:to>
    <xdr:cxnSp macro="">
      <xdr:nvCxnSpPr>
        <xdr:cNvPr id="48" name="直線コネクタ 47">
          <a:extLst>
            <a:ext uri="{FF2B5EF4-FFF2-40B4-BE49-F238E27FC236}">
              <a16:creationId xmlns:a16="http://schemas.microsoft.com/office/drawing/2014/main" id="{9595C7A6-708E-3626-7B0D-51DAF03A25A8}"/>
            </a:ext>
          </a:extLst>
        </xdr:cNvPr>
        <xdr:cNvCxnSpPr/>
      </xdr:nvCxnSpPr>
      <xdr:spPr>
        <a:xfrm>
          <a:off x="5956037" y="2698727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20240</xdr:colOff>
      <xdr:row>116</xdr:row>
      <xdr:rowOff>155324</xdr:rowOff>
    </xdr:from>
    <xdr:to>
      <xdr:col>28</xdr:col>
      <xdr:colOff>32147</xdr:colOff>
      <xdr:row>116</xdr:row>
      <xdr:rowOff>155324</xdr:rowOff>
    </xdr:to>
    <xdr:cxnSp macro="">
      <xdr:nvCxnSpPr>
        <xdr:cNvPr id="49" name="直線矢印コネクタ 48">
          <a:extLst>
            <a:ext uri="{FF2B5EF4-FFF2-40B4-BE49-F238E27FC236}">
              <a16:creationId xmlns:a16="http://schemas.microsoft.com/office/drawing/2014/main" id="{B0A2FCE6-69F3-3AF6-CB65-305DEC509A08}"/>
            </a:ext>
          </a:extLst>
        </xdr:cNvPr>
        <xdr:cNvCxnSpPr/>
      </xdr:nvCxnSpPr>
      <xdr:spPr>
        <a:xfrm flipH="1">
          <a:off x="5963840" y="2702534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109537</xdr:colOff>
      <xdr:row>116</xdr:row>
      <xdr:rowOff>155324</xdr:rowOff>
    </xdr:from>
    <xdr:to>
      <xdr:col>30</xdr:col>
      <xdr:colOff>121443</xdr:colOff>
      <xdr:row>116</xdr:row>
      <xdr:rowOff>155324</xdr:rowOff>
    </xdr:to>
    <xdr:cxnSp macro="">
      <xdr:nvCxnSpPr>
        <xdr:cNvPr id="51" name="直線矢印コネクタ 50">
          <a:extLst>
            <a:ext uri="{FF2B5EF4-FFF2-40B4-BE49-F238E27FC236}">
              <a16:creationId xmlns:a16="http://schemas.microsoft.com/office/drawing/2014/main" id="{36D7668B-4184-778B-AEBD-7A392B506D88}"/>
            </a:ext>
          </a:extLst>
        </xdr:cNvPr>
        <xdr:cNvCxnSpPr/>
      </xdr:nvCxnSpPr>
      <xdr:spPr>
        <a:xfrm flipH="1">
          <a:off x="6510337" y="2702534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1116</xdr:colOff>
      <xdr:row>117</xdr:row>
      <xdr:rowOff>93953</xdr:rowOff>
    </xdr:from>
    <xdr:to>
      <xdr:col>33</xdr:col>
      <xdr:colOff>1116</xdr:colOff>
      <xdr:row>121</xdr:row>
      <xdr:rowOff>105097</xdr:rowOff>
    </xdr:to>
    <xdr:cxnSp macro="">
      <xdr:nvCxnSpPr>
        <xdr:cNvPr id="53" name="直線矢印コネクタ 52">
          <a:extLst>
            <a:ext uri="{FF2B5EF4-FFF2-40B4-BE49-F238E27FC236}">
              <a16:creationId xmlns:a16="http://schemas.microsoft.com/office/drawing/2014/main" id="{E07E91C5-5168-7B06-894B-852C80751567}"/>
            </a:ext>
          </a:extLst>
        </xdr:cNvPr>
        <xdr:cNvCxnSpPr/>
      </xdr:nvCxnSpPr>
      <xdr:spPr>
        <a:xfrm flipV="1">
          <a:off x="7544916" y="2720210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74719</xdr:colOff>
      <xdr:row>117</xdr:row>
      <xdr:rowOff>88540</xdr:rowOff>
    </xdr:from>
    <xdr:to>
      <xdr:col>33</xdr:col>
      <xdr:colOff>67142</xdr:colOff>
      <xdr:row>117</xdr:row>
      <xdr:rowOff>88540</xdr:rowOff>
    </xdr:to>
    <xdr:cxnSp macro="">
      <xdr:nvCxnSpPr>
        <xdr:cNvPr id="60" name="直線コネクタ 59">
          <a:extLst>
            <a:ext uri="{FF2B5EF4-FFF2-40B4-BE49-F238E27FC236}">
              <a16:creationId xmlns:a16="http://schemas.microsoft.com/office/drawing/2014/main" id="{726D98FE-7E16-0D80-31C8-8ACF1475817E}"/>
            </a:ext>
          </a:extLst>
        </xdr:cNvPr>
        <xdr:cNvCxnSpPr/>
      </xdr:nvCxnSpPr>
      <xdr:spPr>
        <a:xfrm>
          <a:off x="738991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92037</xdr:colOff>
      <xdr:row>121</xdr:row>
      <xdr:rowOff>97607</xdr:rowOff>
    </xdr:from>
    <xdr:to>
      <xdr:col>33</xdr:col>
      <xdr:colOff>86841</xdr:colOff>
      <xdr:row>121</xdr:row>
      <xdr:rowOff>97607</xdr:rowOff>
    </xdr:to>
    <xdr:cxnSp macro="">
      <xdr:nvCxnSpPr>
        <xdr:cNvPr id="62" name="直線コネクタ 61">
          <a:extLst>
            <a:ext uri="{FF2B5EF4-FFF2-40B4-BE49-F238E27FC236}">
              <a16:creationId xmlns:a16="http://schemas.microsoft.com/office/drawing/2014/main" id="{9C959C12-12E9-0F3C-69DD-2B66947217C0}"/>
            </a:ext>
          </a:extLst>
        </xdr:cNvPr>
        <xdr:cNvCxnSpPr/>
      </xdr:nvCxnSpPr>
      <xdr:spPr>
        <a:xfrm>
          <a:off x="7407237" y="2815825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176640</xdr:colOff>
      <xdr:row>114</xdr:row>
      <xdr:rowOff>189530</xdr:rowOff>
    </xdr:from>
    <xdr:ext cx="270843" cy="254493"/>
    <xdr:sp macro="" textlink="">
      <xdr:nvSpPr>
        <xdr:cNvPr id="129" name="テキスト ボックス 128">
          <a:extLst>
            <a:ext uri="{FF2B5EF4-FFF2-40B4-BE49-F238E27FC236}">
              <a16:creationId xmlns:a16="http://schemas.microsoft.com/office/drawing/2014/main" id="{791710F5-B1C3-8D76-8CC5-B56050175AC2}"/>
            </a:ext>
          </a:extLst>
        </xdr:cNvPr>
        <xdr:cNvSpPr txBox="1"/>
      </xdr:nvSpPr>
      <xdr:spPr>
        <a:xfrm>
          <a:off x="6348840" y="2658330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28</xdr:col>
      <xdr:colOff>190504</xdr:colOff>
      <xdr:row>115</xdr:row>
      <xdr:rowOff>188560</xdr:rowOff>
    </xdr:from>
    <xdr:ext cx="285399" cy="254493"/>
    <xdr:sp macro="" textlink="">
      <xdr:nvSpPr>
        <xdr:cNvPr id="130" name="テキスト ボックス 129">
          <a:extLst>
            <a:ext uri="{FF2B5EF4-FFF2-40B4-BE49-F238E27FC236}">
              <a16:creationId xmlns:a16="http://schemas.microsoft.com/office/drawing/2014/main" id="{130C43FA-F4D6-460B-B72E-244CD662680B}"/>
            </a:ext>
          </a:extLst>
        </xdr:cNvPr>
        <xdr:cNvSpPr txBox="1"/>
      </xdr:nvSpPr>
      <xdr:spPr>
        <a:xfrm>
          <a:off x="6591304" y="2682046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26</xdr:col>
      <xdr:colOff>100447</xdr:colOff>
      <xdr:row>115</xdr:row>
      <xdr:rowOff>189437</xdr:rowOff>
    </xdr:from>
    <xdr:ext cx="285399" cy="254493"/>
    <xdr:sp macro="" textlink="">
      <xdr:nvSpPr>
        <xdr:cNvPr id="131" name="テキスト ボックス 130">
          <a:extLst>
            <a:ext uri="{FF2B5EF4-FFF2-40B4-BE49-F238E27FC236}">
              <a16:creationId xmlns:a16="http://schemas.microsoft.com/office/drawing/2014/main" id="{A6C0FEB6-480A-4ADC-927F-8CEFBFAFD336}"/>
            </a:ext>
          </a:extLst>
        </xdr:cNvPr>
        <xdr:cNvSpPr txBox="1"/>
      </xdr:nvSpPr>
      <xdr:spPr>
        <a:xfrm>
          <a:off x="6044047" y="2682133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32</xdr:col>
      <xdr:colOff>203733</xdr:colOff>
      <xdr:row>118</xdr:row>
      <xdr:rowOff>182602</xdr:rowOff>
    </xdr:from>
    <xdr:ext cx="286553" cy="254493"/>
    <xdr:sp macro="" textlink="">
      <xdr:nvSpPr>
        <xdr:cNvPr id="132" name="テキスト ボックス 131">
          <a:extLst>
            <a:ext uri="{FF2B5EF4-FFF2-40B4-BE49-F238E27FC236}">
              <a16:creationId xmlns:a16="http://schemas.microsoft.com/office/drawing/2014/main" id="{3C1FF360-3871-CDFF-F0A4-828F44747686}"/>
            </a:ext>
          </a:extLst>
        </xdr:cNvPr>
        <xdr:cNvSpPr txBox="1"/>
      </xdr:nvSpPr>
      <xdr:spPr>
        <a:xfrm>
          <a:off x="7518933" y="2752887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25</xdr:col>
      <xdr:colOff>193963</xdr:colOff>
      <xdr:row>119</xdr:row>
      <xdr:rowOff>76616</xdr:rowOff>
    </xdr:from>
    <xdr:to>
      <xdr:col>30</xdr:col>
      <xdr:colOff>202623</xdr:colOff>
      <xdr:row>119</xdr:row>
      <xdr:rowOff>76616</xdr:rowOff>
    </xdr:to>
    <xdr:cxnSp macro="">
      <xdr:nvCxnSpPr>
        <xdr:cNvPr id="133" name="直線コネクタ 132">
          <a:extLst>
            <a:ext uri="{FF2B5EF4-FFF2-40B4-BE49-F238E27FC236}">
              <a16:creationId xmlns:a16="http://schemas.microsoft.com/office/drawing/2014/main" id="{9AE52D44-10CA-7997-9907-F6A5AF8E76F2}"/>
            </a:ext>
          </a:extLst>
        </xdr:cNvPr>
        <xdr:cNvCxnSpPr/>
      </xdr:nvCxnSpPr>
      <xdr:spPr>
        <a:xfrm>
          <a:off x="5908963" y="2766101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64075</xdr:colOff>
      <xdr:row>117</xdr:row>
      <xdr:rowOff>7358</xdr:rowOff>
    </xdr:from>
    <xdr:to>
      <xdr:col>28</xdr:col>
      <xdr:colOff>68405</xdr:colOff>
      <xdr:row>121</xdr:row>
      <xdr:rowOff>211072</xdr:rowOff>
    </xdr:to>
    <xdr:cxnSp macro="">
      <xdr:nvCxnSpPr>
        <xdr:cNvPr id="136" name="直線コネクタ 135">
          <a:extLst>
            <a:ext uri="{FF2B5EF4-FFF2-40B4-BE49-F238E27FC236}">
              <a16:creationId xmlns:a16="http://schemas.microsoft.com/office/drawing/2014/main" id="{C9870582-D008-0F7A-683E-5B66EA7C6E92}"/>
            </a:ext>
          </a:extLst>
        </xdr:cNvPr>
        <xdr:cNvCxnSpPr/>
      </xdr:nvCxnSpPr>
      <xdr:spPr>
        <a:xfrm flipH="1">
          <a:off x="6464875" y="2711550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3574</xdr:colOff>
      <xdr:row>118</xdr:row>
      <xdr:rowOff>148830</xdr:rowOff>
    </xdr:from>
    <xdr:ext cx="768159" cy="328423"/>
    <xdr:sp macro="" textlink="">
      <xdr:nvSpPr>
        <xdr:cNvPr id="139" name="テキスト ボックス 138">
          <a:extLst>
            <a:ext uri="{FF2B5EF4-FFF2-40B4-BE49-F238E27FC236}">
              <a16:creationId xmlns:a16="http://schemas.microsoft.com/office/drawing/2014/main" id="{651CDA3F-066C-EDCF-4204-FA834B1B4700}"/>
            </a:ext>
          </a:extLst>
        </xdr:cNvPr>
        <xdr:cNvSpPr txBox="1"/>
      </xdr:nvSpPr>
      <xdr:spPr>
        <a:xfrm>
          <a:off x="5261374" y="2749510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26</xdr:col>
      <xdr:colOff>219077</xdr:colOff>
      <xdr:row>121</xdr:row>
      <xdr:rowOff>132160</xdr:rowOff>
    </xdr:from>
    <xdr:ext cx="760208" cy="328423"/>
    <xdr:sp macro="" textlink="">
      <xdr:nvSpPr>
        <xdr:cNvPr id="140" name="テキスト ボックス 139">
          <a:extLst>
            <a:ext uri="{FF2B5EF4-FFF2-40B4-BE49-F238E27FC236}">
              <a16:creationId xmlns:a16="http://schemas.microsoft.com/office/drawing/2014/main" id="{9DE3667C-1110-3448-D268-7505BBA9A4C9}"/>
            </a:ext>
          </a:extLst>
        </xdr:cNvPr>
        <xdr:cNvSpPr txBox="1"/>
      </xdr:nvSpPr>
      <xdr:spPr>
        <a:xfrm>
          <a:off x="6162677" y="2819281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30</xdr:col>
      <xdr:colOff>172689</xdr:colOff>
      <xdr:row>117</xdr:row>
      <xdr:rowOff>88540</xdr:rowOff>
    </xdr:from>
    <xdr:to>
      <xdr:col>31</xdr:col>
      <xdr:colOff>165112</xdr:colOff>
      <xdr:row>117</xdr:row>
      <xdr:rowOff>88540</xdr:rowOff>
    </xdr:to>
    <xdr:cxnSp macro="">
      <xdr:nvCxnSpPr>
        <xdr:cNvPr id="141" name="直線コネクタ 140">
          <a:extLst>
            <a:ext uri="{FF2B5EF4-FFF2-40B4-BE49-F238E27FC236}">
              <a16:creationId xmlns:a16="http://schemas.microsoft.com/office/drawing/2014/main" id="{1126B274-2AAC-6DC4-852A-93685B9043F8}"/>
            </a:ext>
          </a:extLst>
        </xdr:cNvPr>
        <xdr:cNvCxnSpPr/>
      </xdr:nvCxnSpPr>
      <xdr:spPr>
        <a:xfrm>
          <a:off x="703068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172689</xdr:colOff>
      <xdr:row>117</xdr:row>
      <xdr:rowOff>217807</xdr:rowOff>
    </xdr:from>
    <xdr:to>
      <xdr:col>31</xdr:col>
      <xdr:colOff>165112</xdr:colOff>
      <xdr:row>117</xdr:row>
      <xdr:rowOff>217807</xdr:rowOff>
    </xdr:to>
    <xdr:cxnSp macro="">
      <xdr:nvCxnSpPr>
        <xdr:cNvPr id="142" name="直線コネクタ 141">
          <a:extLst>
            <a:ext uri="{FF2B5EF4-FFF2-40B4-BE49-F238E27FC236}">
              <a16:creationId xmlns:a16="http://schemas.microsoft.com/office/drawing/2014/main" id="{A8BFDFD7-5F2A-0830-F34E-39BF4E8BD881}"/>
            </a:ext>
          </a:extLst>
        </xdr:cNvPr>
        <xdr:cNvCxnSpPr/>
      </xdr:nvCxnSpPr>
      <xdr:spPr>
        <a:xfrm>
          <a:off x="7030689" y="2732595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117</xdr:row>
      <xdr:rowOff>217778</xdr:rowOff>
    </xdr:from>
    <xdr:to>
      <xdr:col>31</xdr:col>
      <xdr:colOff>82759</xdr:colOff>
      <xdr:row>118</xdr:row>
      <xdr:rowOff>213632</xdr:rowOff>
    </xdr:to>
    <xdr:cxnSp macro="">
      <xdr:nvCxnSpPr>
        <xdr:cNvPr id="143" name="直線矢印コネクタ 142">
          <a:extLst>
            <a:ext uri="{FF2B5EF4-FFF2-40B4-BE49-F238E27FC236}">
              <a16:creationId xmlns:a16="http://schemas.microsoft.com/office/drawing/2014/main" id="{B7EC6E2F-E61E-2494-390F-C0FA60B87182}"/>
            </a:ext>
          </a:extLst>
        </xdr:cNvPr>
        <xdr:cNvCxnSpPr/>
      </xdr:nvCxnSpPr>
      <xdr:spPr>
        <a:xfrm flipV="1">
          <a:off x="7169359" y="2732592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116</xdr:row>
      <xdr:rowOff>93953</xdr:rowOff>
    </xdr:from>
    <xdr:to>
      <xdr:col>31</xdr:col>
      <xdr:colOff>82759</xdr:colOff>
      <xdr:row>117</xdr:row>
      <xdr:rowOff>89808</xdr:rowOff>
    </xdr:to>
    <xdr:cxnSp macro="">
      <xdr:nvCxnSpPr>
        <xdr:cNvPr id="145" name="直線矢印コネクタ 144">
          <a:extLst>
            <a:ext uri="{FF2B5EF4-FFF2-40B4-BE49-F238E27FC236}">
              <a16:creationId xmlns:a16="http://schemas.microsoft.com/office/drawing/2014/main" id="{953CDB0D-C1A1-E49C-7643-360728544488}"/>
            </a:ext>
          </a:extLst>
        </xdr:cNvPr>
        <xdr:cNvCxnSpPr/>
      </xdr:nvCxnSpPr>
      <xdr:spPr>
        <a:xfrm flipV="1">
          <a:off x="7169359" y="2696397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99102</xdr:colOff>
      <xdr:row>117</xdr:row>
      <xdr:rowOff>8055</xdr:rowOff>
    </xdr:from>
    <xdr:ext cx="254044" cy="254493"/>
    <xdr:sp macro="" textlink="">
      <xdr:nvSpPr>
        <xdr:cNvPr id="146" name="テキスト ボックス 145">
          <a:extLst>
            <a:ext uri="{FF2B5EF4-FFF2-40B4-BE49-F238E27FC236}">
              <a16:creationId xmlns:a16="http://schemas.microsoft.com/office/drawing/2014/main" id="{9881ABE2-86A3-13CB-666F-0E09F9C54C3F}"/>
            </a:ext>
          </a:extLst>
        </xdr:cNvPr>
        <xdr:cNvSpPr txBox="1"/>
      </xdr:nvSpPr>
      <xdr:spPr>
        <a:xfrm>
          <a:off x="7185702" y="2711620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22</xdr:col>
      <xdr:colOff>202230</xdr:colOff>
      <xdr:row>14</xdr:row>
      <xdr:rowOff>25101</xdr:rowOff>
    </xdr:from>
    <xdr:to>
      <xdr:col>24</xdr:col>
      <xdr:colOff>217094</xdr:colOff>
      <xdr:row>14</xdr:row>
      <xdr:rowOff>25101</xdr:rowOff>
    </xdr:to>
    <xdr:cxnSp macro="">
      <xdr:nvCxnSpPr>
        <xdr:cNvPr id="217" name="直線矢印コネクタ 216">
          <a:extLst>
            <a:ext uri="{FF2B5EF4-FFF2-40B4-BE49-F238E27FC236}">
              <a16:creationId xmlns:a16="http://schemas.microsoft.com/office/drawing/2014/main" id="{90DDE391-8420-4B20-B56F-596E5B4DAA11}"/>
            </a:ext>
          </a:extLst>
        </xdr:cNvPr>
        <xdr:cNvCxnSpPr/>
      </xdr:nvCxnSpPr>
      <xdr:spPr>
        <a:xfrm>
          <a:off x="5405261" y="3620789"/>
          <a:ext cx="467302"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96201</xdr:colOff>
      <xdr:row>12</xdr:row>
      <xdr:rowOff>226759</xdr:rowOff>
    </xdr:from>
    <xdr:to>
      <xdr:col>24</xdr:col>
      <xdr:colOff>168255</xdr:colOff>
      <xdr:row>13</xdr:row>
      <xdr:rowOff>232323</xdr:rowOff>
    </xdr:to>
    <xdr:sp macro="" textlink="">
      <xdr:nvSpPr>
        <xdr:cNvPr id="218" name="テキスト ボックス 217">
          <a:extLst>
            <a:ext uri="{FF2B5EF4-FFF2-40B4-BE49-F238E27FC236}">
              <a16:creationId xmlns:a16="http://schemas.microsoft.com/office/drawing/2014/main" id="{6EF7DB89-113D-D0FB-182F-689F29E77EEB}"/>
            </a:ext>
          </a:extLst>
        </xdr:cNvPr>
        <xdr:cNvSpPr txBox="1"/>
      </xdr:nvSpPr>
      <xdr:spPr>
        <a:xfrm>
          <a:off x="5299232" y="3346197"/>
          <a:ext cx="524491" cy="24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R</a:t>
          </a:r>
          <a:r>
            <a:rPr kumimoji="1" lang="ja-JP" altLang="en-US" sz="1100">
              <a:solidFill>
                <a:srgbClr val="FF0000"/>
              </a:solidFill>
            </a:rPr>
            <a:t>₂</a:t>
          </a:r>
          <a:endParaRPr kumimoji="1" lang="ja-JP" altLang="en-US" sz="1100" baseline="-25000">
            <a:solidFill>
              <a:srgbClr val="FF0000"/>
            </a:solidFill>
          </a:endParaRPr>
        </a:p>
      </xdr:txBody>
    </xdr:sp>
    <xdr:clientData/>
  </xdr:twoCellAnchor>
  <xdr:twoCellAnchor>
    <xdr:from>
      <xdr:col>28</xdr:col>
      <xdr:colOff>20086</xdr:colOff>
      <xdr:row>5</xdr:row>
      <xdr:rowOff>138922</xdr:rowOff>
    </xdr:from>
    <xdr:to>
      <xdr:col>28</xdr:col>
      <xdr:colOff>20086</xdr:colOff>
      <xdr:row>19</xdr:row>
      <xdr:rowOff>67484</xdr:rowOff>
    </xdr:to>
    <xdr:cxnSp macro="">
      <xdr:nvCxnSpPr>
        <xdr:cNvPr id="36" name="直線コネクタ 35">
          <a:extLst>
            <a:ext uri="{FF2B5EF4-FFF2-40B4-BE49-F238E27FC236}">
              <a16:creationId xmlns:a16="http://schemas.microsoft.com/office/drawing/2014/main" id="{B54FA5CD-66B6-4A0C-B3D6-C07762B69E0C}"/>
            </a:ext>
          </a:extLst>
        </xdr:cNvPr>
        <xdr:cNvCxnSpPr/>
      </xdr:nvCxnSpPr>
      <xdr:spPr>
        <a:xfrm>
          <a:off x="6580430" y="1567672"/>
          <a:ext cx="0" cy="32861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9238</xdr:colOff>
      <xdr:row>5</xdr:row>
      <xdr:rowOff>139905</xdr:rowOff>
    </xdr:from>
    <xdr:to>
      <xdr:col>28</xdr:col>
      <xdr:colOff>23812</xdr:colOff>
      <xdr:row>5</xdr:row>
      <xdr:rowOff>139905</xdr:rowOff>
    </xdr:to>
    <xdr:cxnSp macro="">
      <xdr:nvCxnSpPr>
        <xdr:cNvPr id="37" name="直線コネクタ 36">
          <a:extLst>
            <a:ext uri="{FF2B5EF4-FFF2-40B4-BE49-F238E27FC236}">
              <a16:creationId xmlns:a16="http://schemas.microsoft.com/office/drawing/2014/main" id="{E5D87C45-F5FA-4FCD-893D-AB59FD88341F}"/>
            </a:ext>
          </a:extLst>
        </xdr:cNvPr>
        <xdr:cNvCxnSpPr/>
      </xdr:nvCxnSpPr>
      <xdr:spPr>
        <a:xfrm>
          <a:off x="6117144" y="1568655"/>
          <a:ext cx="46701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26</xdr:col>
      <xdr:colOff>4438</xdr:colOff>
      <xdr:row>5</xdr:row>
      <xdr:rowOff>126676</xdr:rowOff>
    </xdr:from>
    <xdr:to>
      <xdr:col>26</xdr:col>
      <xdr:colOff>4438</xdr:colOff>
      <xdr:row>6</xdr:row>
      <xdr:rowOff>91296</xdr:rowOff>
    </xdr:to>
    <xdr:cxnSp macro="">
      <xdr:nvCxnSpPr>
        <xdr:cNvPr id="59" name="直線コネクタ 58">
          <a:extLst>
            <a:ext uri="{FF2B5EF4-FFF2-40B4-BE49-F238E27FC236}">
              <a16:creationId xmlns:a16="http://schemas.microsoft.com/office/drawing/2014/main" id="{9E70E0D2-230F-4E46-86E7-28FF3EB730DF}"/>
            </a:ext>
          </a:extLst>
        </xdr:cNvPr>
        <xdr:cNvCxnSpPr/>
      </xdr:nvCxnSpPr>
      <xdr:spPr>
        <a:xfrm>
          <a:off x="6112344" y="1555426"/>
          <a:ext cx="0" cy="20274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143510</xdr:colOff>
      <xdr:row>6</xdr:row>
      <xdr:rowOff>107622</xdr:rowOff>
    </xdr:from>
    <xdr:to>
      <xdr:col>31</xdr:col>
      <xdr:colOff>143510</xdr:colOff>
      <xdr:row>8</xdr:row>
      <xdr:rowOff>82990</xdr:rowOff>
    </xdr:to>
    <xdr:cxnSp macro="">
      <xdr:nvCxnSpPr>
        <xdr:cNvPr id="138" name="直線矢印コネクタ 137">
          <a:extLst>
            <a:ext uri="{FF2B5EF4-FFF2-40B4-BE49-F238E27FC236}">
              <a16:creationId xmlns:a16="http://schemas.microsoft.com/office/drawing/2014/main" id="{432BC667-FC8B-4BC4-9924-5DE5A5F86651}"/>
            </a:ext>
          </a:extLst>
        </xdr:cNvPr>
        <xdr:cNvCxnSpPr/>
      </xdr:nvCxnSpPr>
      <xdr:spPr>
        <a:xfrm>
          <a:off x="7382510" y="1774497"/>
          <a:ext cx="0" cy="47543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223684</xdr:colOff>
      <xdr:row>6</xdr:row>
      <xdr:rowOff>104628</xdr:rowOff>
    </xdr:from>
    <xdr:to>
      <xdr:col>32</xdr:col>
      <xdr:colOff>142868</xdr:colOff>
      <xdr:row>6</xdr:row>
      <xdr:rowOff>104628</xdr:rowOff>
    </xdr:to>
    <xdr:cxnSp macro="">
      <xdr:nvCxnSpPr>
        <xdr:cNvPr id="144" name="直線コネクタ 143">
          <a:extLst>
            <a:ext uri="{FF2B5EF4-FFF2-40B4-BE49-F238E27FC236}">
              <a16:creationId xmlns:a16="http://schemas.microsoft.com/office/drawing/2014/main" id="{77FB51A3-6C5C-4007-82E1-98D025FB9E36}"/>
            </a:ext>
          </a:extLst>
        </xdr:cNvPr>
        <xdr:cNvCxnSpPr/>
      </xdr:nvCxnSpPr>
      <xdr:spPr>
        <a:xfrm>
          <a:off x="6105372" y="1771503"/>
          <a:ext cx="15027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166451</xdr:colOff>
      <xdr:row>6</xdr:row>
      <xdr:rowOff>115745</xdr:rowOff>
    </xdr:from>
    <xdr:to>
      <xdr:col>30</xdr:col>
      <xdr:colOff>31052</xdr:colOff>
      <xdr:row>6</xdr:row>
      <xdr:rowOff>179235</xdr:rowOff>
    </xdr:to>
    <xdr:cxnSp macro="">
      <xdr:nvCxnSpPr>
        <xdr:cNvPr id="147" name="直線コネクタ 146">
          <a:extLst>
            <a:ext uri="{FF2B5EF4-FFF2-40B4-BE49-F238E27FC236}">
              <a16:creationId xmlns:a16="http://schemas.microsoft.com/office/drawing/2014/main" id="{52F77AD2-D8D1-45A1-8E6E-6D9A2312C9E7}"/>
            </a:ext>
          </a:extLst>
        </xdr:cNvPr>
        <xdr:cNvCxnSpPr/>
      </xdr:nvCxnSpPr>
      <xdr:spPr>
        <a:xfrm>
          <a:off x="6953014" y="1782620"/>
          <a:ext cx="90819" cy="634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119133</xdr:colOff>
      <xdr:row>6</xdr:row>
      <xdr:rowOff>117589</xdr:rowOff>
    </xdr:from>
    <xdr:to>
      <xdr:col>29</xdr:col>
      <xdr:colOff>207230</xdr:colOff>
      <xdr:row>6</xdr:row>
      <xdr:rowOff>190604</xdr:rowOff>
    </xdr:to>
    <xdr:cxnSp macro="">
      <xdr:nvCxnSpPr>
        <xdr:cNvPr id="148" name="直線コネクタ 147">
          <a:extLst>
            <a:ext uri="{FF2B5EF4-FFF2-40B4-BE49-F238E27FC236}">
              <a16:creationId xmlns:a16="http://schemas.microsoft.com/office/drawing/2014/main" id="{DD585963-1FD6-4598-9C0C-5CA0B323B81D}"/>
            </a:ext>
          </a:extLst>
        </xdr:cNvPr>
        <xdr:cNvCxnSpPr/>
      </xdr:nvCxnSpPr>
      <xdr:spPr>
        <a:xfrm>
          <a:off x="6905696" y="1784464"/>
          <a:ext cx="88097" cy="73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119169</xdr:colOff>
      <xdr:row>6</xdr:row>
      <xdr:rowOff>151057</xdr:rowOff>
    </xdr:from>
    <xdr:to>
      <xdr:col>29</xdr:col>
      <xdr:colOff>149895</xdr:colOff>
      <xdr:row>6</xdr:row>
      <xdr:rowOff>174329</xdr:rowOff>
    </xdr:to>
    <xdr:cxnSp macro="">
      <xdr:nvCxnSpPr>
        <xdr:cNvPr id="149" name="直線コネクタ 148">
          <a:extLst>
            <a:ext uri="{FF2B5EF4-FFF2-40B4-BE49-F238E27FC236}">
              <a16:creationId xmlns:a16="http://schemas.microsoft.com/office/drawing/2014/main" id="{DCC6BC9B-6B45-4782-B1B4-9F4F9514C2A5}"/>
            </a:ext>
          </a:extLst>
        </xdr:cNvPr>
        <xdr:cNvCxnSpPr/>
      </xdr:nvCxnSpPr>
      <xdr:spPr>
        <a:xfrm flipH="1">
          <a:off x="6905732" y="1817932"/>
          <a:ext cx="30726" cy="232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140586</xdr:colOff>
      <xdr:row>6</xdr:row>
      <xdr:rowOff>170326</xdr:rowOff>
    </xdr:from>
    <xdr:to>
      <xdr:col>29</xdr:col>
      <xdr:colOff>171262</xdr:colOff>
      <xdr:row>6</xdr:row>
      <xdr:rowOff>180394</xdr:rowOff>
    </xdr:to>
    <xdr:cxnSp macro="">
      <xdr:nvCxnSpPr>
        <xdr:cNvPr id="150" name="直線コネクタ 149">
          <a:extLst>
            <a:ext uri="{FF2B5EF4-FFF2-40B4-BE49-F238E27FC236}">
              <a16:creationId xmlns:a16="http://schemas.microsoft.com/office/drawing/2014/main" id="{3740252C-3141-410C-97DC-314CA515EA52}"/>
            </a:ext>
          </a:extLst>
        </xdr:cNvPr>
        <xdr:cNvCxnSpPr/>
      </xdr:nvCxnSpPr>
      <xdr:spPr>
        <a:xfrm flipH="1">
          <a:off x="6927149" y="1837201"/>
          <a:ext cx="30676" cy="100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83006</xdr:colOff>
      <xdr:row>6</xdr:row>
      <xdr:rowOff>109896</xdr:rowOff>
    </xdr:from>
    <xdr:to>
      <xdr:col>30</xdr:col>
      <xdr:colOff>173529</xdr:colOff>
      <xdr:row>6</xdr:row>
      <xdr:rowOff>184271</xdr:rowOff>
    </xdr:to>
    <xdr:cxnSp macro="">
      <xdr:nvCxnSpPr>
        <xdr:cNvPr id="151" name="直線コネクタ 150">
          <a:extLst>
            <a:ext uri="{FF2B5EF4-FFF2-40B4-BE49-F238E27FC236}">
              <a16:creationId xmlns:a16="http://schemas.microsoft.com/office/drawing/2014/main" id="{02E3C810-9066-44D5-ABB9-E477B7748F60}"/>
            </a:ext>
          </a:extLst>
        </xdr:cNvPr>
        <xdr:cNvCxnSpPr/>
      </xdr:nvCxnSpPr>
      <xdr:spPr>
        <a:xfrm>
          <a:off x="7095787" y="1776771"/>
          <a:ext cx="90523" cy="7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35688</xdr:colOff>
      <xdr:row>6</xdr:row>
      <xdr:rowOff>111740</xdr:rowOff>
    </xdr:from>
    <xdr:to>
      <xdr:col>30</xdr:col>
      <xdr:colOff>125130</xdr:colOff>
      <xdr:row>6</xdr:row>
      <xdr:rowOff>180920</xdr:rowOff>
    </xdr:to>
    <xdr:cxnSp macro="">
      <xdr:nvCxnSpPr>
        <xdr:cNvPr id="152" name="直線コネクタ 151">
          <a:extLst>
            <a:ext uri="{FF2B5EF4-FFF2-40B4-BE49-F238E27FC236}">
              <a16:creationId xmlns:a16="http://schemas.microsoft.com/office/drawing/2014/main" id="{159240F4-1D5F-47A2-BB45-5456A59F63E0}"/>
            </a:ext>
          </a:extLst>
        </xdr:cNvPr>
        <xdr:cNvCxnSpPr/>
      </xdr:nvCxnSpPr>
      <xdr:spPr>
        <a:xfrm>
          <a:off x="7048469" y="1778615"/>
          <a:ext cx="89442" cy="691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35724</xdr:colOff>
      <xdr:row>6</xdr:row>
      <xdr:rowOff>139109</xdr:rowOff>
    </xdr:from>
    <xdr:to>
      <xdr:col>30</xdr:col>
      <xdr:colOff>66450</xdr:colOff>
      <xdr:row>6</xdr:row>
      <xdr:rowOff>179360</xdr:rowOff>
    </xdr:to>
    <xdr:cxnSp macro="">
      <xdr:nvCxnSpPr>
        <xdr:cNvPr id="153" name="直線コネクタ 152">
          <a:extLst>
            <a:ext uri="{FF2B5EF4-FFF2-40B4-BE49-F238E27FC236}">
              <a16:creationId xmlns:a16="http://schemas.microsoft.com/office/drawing/2014/main" id="{86B61453-D181-4D3B-B7E3-F464938C9CB4}"/>
            </a:ext>
          </a:extLst>
        </xdr:cNvPr>
        <xdr:cNvCxnSpPr/>
      </xdr:nvCxnSpPr>
      <xdr:spPr>
        <a:xfrm flipH="1">
          <a:off x="7048505" y="1805984"/>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56008</xdr:colOff>
      <xdr:row>6</xdr:row>
      <xdr:rowOff>165832</xdr:rowOff>
    </xdr:from>
    <xdr:to>
      <xdr:col>30</xdr:col>
      <xdr:colOff>86734</xdr:colOff>
      <xdr:row>6</xdr:row>
      <xdr:rowOff>185425</xdr:rowOff>
    </xdr:to>
    <xdr:cxnSp macro="">
      <xdr:nvCxnSpPr>
        <xdr:cNvPr id="154" name="直線コネクタ 153">
          <a:extLst>
            <a:ext uri="{FF2B5EF4-FFF2-40B4-BE49-F238E27FC236}">
              <a16:creationId xmlns:a16="http://schemas.microsoft.com/office/drawing/2014/main" id="{62A22925-E06E-45F4-9BD6-87071AB13E47}"/>
            </a:ext>
          </a:extLst>
        </xdr:cNvPr>
        <xdr:cNvCxnSpPr/>
      </xdr:nvCxnSpPr>
      <xdr:spPr>
        <a:xfrm flipH="1">
          <a:off x="7068789" y="1832707"/>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225681</xdr:colOff>
      <xdr:row>6</xdr:row>
      <xdr:rowOff>93574</xdr:rowOff>
    </xdr:from>
    <xdr:to>
      <xdr:col>25</xdr:col>
      <xdr:colOff>225681</xdr:colOff>
      <xdr:row>22</xdr:row>
      <xdr:rowOff>114661</xdr:rowOff>
    </xdr:to>
    <xdr:cxnSp macro="">
      <xdr:nvCxnSpPr>
        <xdr:cNvPr id="155" name="直線コネクタ 154">
          <a:extLst>
            <a:ext uri="{FF2B5EF4-FFF2-40B4-BE49-F238E27FC236}">
              <a16:creationId xmlns:a16="http://schemas.microsoft.com/office/drawing/2014/main" id="{70192123-3CEB-4933-8AB1-586263DB9809}"/>
            </a:ext>
          </a:extLst>
        </xdr:cNvPr>
        <xdr:cNvCxnSpPr/>
      </xdr:nvCxnSpPr>
      <xdr:spPr>
        <a:xfrm>
          <a:off x="6107369" y="1760449"/>
          <a:ext cx="0" cy="385490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30</xdr:col>
      <xdr:colOff>23806</xdr:colOff>
      <xdr:row>8</xdr:row>
      <xdr:rowOff>75583</xdr:rowOff>
    </xdr:from>
    <xdr:to>
      <xdr:col>32</xdr:col>
      <xdr:colOff>119055</xdr:colOff>
      <xdr:row>8</xdr:row>
      <xdr:rowOff>75583</xdr:rowOff>
    </xdr:to>
    <xdr:cxnSp macro="">
      <xdr:nvCxnSpPr>
        <xdr:cNvPr id="156" name="直線コネクタ 155">
          <a:extLst>
            <a:ext uri="{FF2B5EF4-FFF2-40B4-BE49-F238E27FC236}">
              <a16:creationId xmlns:a16="http://schemas.microsoft.com/office/drawing/2014/main" id="{A0AB3258-789E-479E-B4E0-F5A829E86F10}"/>
            </a:ext>
          </a:extLst>
        </xdr:cNvPr>
        <xdr:cNvCxnSpPr/>
      </xdr:nvCxnSpPr>
      <xdr:spPr>
        <a:xfrm>
          <a:off x="7036587" y="2242521"/>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6580</xdr:colOff>
      <xdr:row>7</xdr:row>
      <xdr:rowOff>0</xdr:rowOff>
    </xdr:from>
    <xdr:to>
      <xdr:col>34</xdr:col>
      <xdr:colOff>39232</xdr:colOff>
      <xdr:row>7</xdr:row>
      <xdr:rowOff>241266</xdr:rowOff>
    </xdr:to>
    <xdr:sp macro="" textlink="">
      <xdr:nvSpPr>
        <xdr:cNvPr id="157" name="テキスト ボックス 156">
          <a:extLst>
            <a:ext uri="{FF2B5EF4-FFF2-40B4-BE49-F238E27FC236}">
              <a16:creationId xmlns:a16="http://schemas.microsoft.com/office/drawing/2014/main" id="{E0B62ACC-B1B9-48D9-BCD5-6987EB9D96CB}"/>
            </a:ext>
          </a:extLst>
        </xdr:cNvPr>
        <xdr:cNvSpPr txBox="1"/>
      </xdr:nvSpPr>
      <xdr:spPr>
        <a:xfrm>
          <a:off x="7019361" y="1905000"/>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31</xdr:col>
      <xdr:colOff>154059</xdr:colOff>
      <xdr:row>13</xdr:row>
      <xdr:rowOff>94135</xdr:rowOff>
    </xdr:from>
    <xdr:to>
      <xdr:col>34</xdr:col>
      <xdr:colOff>12356</xdr:colOff>
      <xdr:row>14</xdr:row>
      <xdr:rowOff>100816</xdr:rowOff>
    </xdr:to>
    <xdr:sp macro="" textlink="">
      <xdr:nvSpPr>
        <xdr:cNvPr id="158" name="テキスト ボックス 157">
          <a:extLst>
            <a:ext uri="{FF2B5EF4-FFF2-40B4-BE49-F238E27FC236}">
              <a16:creationId xmlns:a16="http://schemas.microsoft.com/office/drawing/2014/main" id="{5FDD7B4E-2AD0-4389-8468-233FCF522CA5}"/>
            </a:ext>
          </a:extLst>
        </xdr:cNvPr>
        <xdr:cNvSpPr txBox="1"/>
      </xdr:nvSpPr>
      <xdr:spPr>
        <a:xfrm>
          <a:off x="7393059" y="3451698"/>
          <a:ext cx="536953" cy="244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29</xdr:col>
      <xdr:colOff>202404</xdr:colOff>
      <xdr:row>19</xdr:row>
      <xdr:rowOff>69153</xdr:rowOff>
    </xdr:from>
    <xdr:to>
      <xdr:col>32</xdr:col>
      <xdr:colOff>127596</xdr:colOff>
      <xdr:row>19</xdr:row>
      <xdr:rowOff>69153</xdr:rowOff>
    </xdr:to>
    <xdr:cxnSp macro="">
      <xdr:nvCxnSpPr>
        <xdr:cNvPr id="159" name="直線コネクタ 158">
          <a:extLst>
            <a:ext uri="{FF2B5EF4-FFF2-40B4-BE49-F238E27FC236}">
              <a16:creationId xmlns:a16="http://schemas.microsoft.com/office/drawing/2014/main" id="{24B7D0E0-5504-40CD-BA97-35F62DF53046}"/>
            </a:ext>
          </a:extLst>
        </xdr:cNvPr>
        <xdr:cNvCxnSpPr/>
      </xdr:nvCxnSpPr>
      <xdr:spPr>
        <a:xfrm>
          <a:off x="6988967" y="4855466"/>
          <a:ext cx="60384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218358</xdr:colOff>
      <xdr:row>18</xdr:row>
      <xdr:rowOff>35260</xdr:rowOff>
    </xdr:from>
    <xdr:to>
      <xdr:col>34</xdr:col>
      <xdr:colOff>11900</xdr:colOff>
      <xdr:row>19</xdr:row>
      <xdr:rowOff>61862</xdr:rowOff>
    </xdr:to>
    <xdr:sp macro="" textlink="">
      <xdr:nvSpPr>
        <xdr:cNvPr id="160" name="テキスト ボックス 159">
          <a:extLst>
            <a:ext uri="{FF2B5EF4-FFF2-40B4-BE49-F238E27FC236}">
              <a16:creationId xmlns:a16="http://schemas.microsoft.com/office/drawing/2014/main" id="{873FAEC9-523B-4B52-9179-303496D9085E}"/>
            </a:ext>
          </a:extLst>
        </xdr:cNvPr>
        <xdr:cNvSpPr txBox="1"/>
      </xdr:nvSpPr>
      <xdr:spPr>
        <a:xfrm>
          <a:off x="7004921" y="4583448"/>
          <a:ext cx="924635" cy="26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0.50m</a:t>
          </a:r>
          <a:endParaRPr kumimoji="1" lang="ja-JP" altLang="en-US" sz="1100"/>
        </a:p>
      </xdr:txBody>
    </xdr:sp>
    <xdr:clientData/>
  </xdr:twoCellAnchor>
  <xdr:twoCellAnchor>
    <xdr:from>
      <xdr:col>29</xdr:col>
      <xdr:colOff>223327</xdr:colOff>
      <xdr:row>19</xdr:row>
      <xdr:rowOff>119757</xdr:rowOff>
    </xdr:from>
    <xdr:to>
      <xdr:col>34</xdr:col>
      <xdr:colOff>74847</xdr:colOff>
      <xdr:row>20</xdr:row>
      <xdr:rowOff>124439</xdr:rowOff>
    </xdr:to>
    <xdr:sp macro="" textlink="">
      <xdr:nvSpPr>
        <xdr:cNvPr id="161" name="テキスト ボックス 160">
          <a:extLst>
            <a:ext uri="{FF2B5EF4-FFF2-40B4-BE49-F238E27FC236}">
              <a16:creationId xmlns:a16="http://schemas.microsoft.com/office/drawing/2014/main" id="{C597E722-CFBE-4F11-8BAE-2E6E9E31582D}"/>
            </a:ext>
          </a:extLst>
        </xdr:cNvPr>
        <xdr:cNvSpPr txBox="1"/>
      </xdr:nvSpPr>
      <xdr:spPr>
        <a:xfrm>
          <a:off x="7009890" y="4906070"/>
          <a:ext cx="982613" cy="242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0.75m</a:t>
          </a:r>
          <a:endParaRPr kumimoji="1" lang="ja-JP" altLang="en-US" sz="1100"/>
        </a:p>
      </xdr:txBody>
    </xdr:sp>
    <xdr:clientData/>
  </xdr:twoCellAnchor>
  <xdr:twoCellAnchor>
    <xdr:from>
      <xdr:col>21</xdr:col>
      <xdr:colOff>49827</xdr:colOff>
      <xdr:row>7</xdr:row>
      <xdr:rowOff>258023</xdr:rowOff>
    </xdr:from>
    <xdr:to>
      <xdr:col>24</xdr:col>
      <xdr:colOff>211504</xdr:colOff>
      <xdr:row>7</xdr:row>
      <xdr:rowOff>258023</xdr:rowOff>
    </xdr:to>
    <xdr:cxnSp macro="">
      <xdr:nvCxnSpPr>
        <xdr:cNvPr id="162" name="直線コネクタ 161">
          <a:extLst>
            <a:ext uri="{FF2B5EF4-FFF2-40B4-BE49-F238E27FC236}">
              <a16:creationId xmlns:a16="http://schemas.microsoft.com/office/drawing/2014/main" id="{A745F414-AD49-40D9-8FCA-E2FF67897085}"/>
            </a:ext>
          </a:extLst>
        </xdr:cNvPr>
        <xdr:cNvCxnSpPr/>
      </xdr:nvCxnSpPr>
      <xdr:spPr>
        <a:xfrm>
          <a:off x="5026640" y="2163023"/>
          <a:ext cx="8403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39801</xdr:colOff>
      <xdr:row>8</xdr:row>
      <xdr:rowOff>155851</xdr:rowOff>
    </xdr:from>
    <xdr:to>
      <xdr:col>24</xdr:col>
      <xdr:colOff>199097</xdr:colOff>
      <xdr:row>8</xdr:row>
      <xdr:rowOff>155851</xdr:rowOff>
    </xdr:to>
    <xdr:cxnSp macro="">
      <xdr:nvCxnSpPr>
        <xdr:cNvPr id="163" name="直線コネクタ 162">
          <a:extLst>
            <a:ext uri="{FF2B5EF4-FFF2-40B4-BE49-F238E27FC236}">
              <a16:creationId xmlns:a16="http://schemas.microsoft.com/office/drawing/2014/main" id="{BE3480DF-BB49-4E91-9C5B-F1CA431709ED}"/>
            </a:ext>
          </a:extLst>
        </xdr:cNvPr>
        <xdr:cNvCxnSpPr/>
      </xdr:nvCxnSpPr>
      <xdr:spPr>
        <a:xfrm>
          <a:off x="5016614" y="2322789"/>
          <a:ext cx="83795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207118</xdr:colOff>
      <xdr:row>8</xdr:row>
      <xdr:rowOff>981</xdr:rowOff>
    </xdr:from>
    <xdr:to>
      <xdr:col>24</xdr:col>
      <xdr:colOff>207118</xdr:colOff>
      <xdr:row>8</xdr:row>
      <xdr:rowOff>156236</xdr:rowOff>
    </xdr:to>
    <xdr:cxnSp macro="">
      <xdr:nvCxnSpPr>
        <xdr:cNvPr id="164" name="直線コネクタ 163">
          <a:extLst>
            <a:ext uri="{FF2B5EF4-FFF2-40B4-BE49-F238E27FC236}">
              <a16:creationId xmlns:a16="http://schemas.microsoft.com/office/drawing/2014/main" id="{BB85E177-26C1-480A-A27E-74C2EB7C2E1E}"/>
            </a:ext>
          </a:extLst>
        </xdr:cNvPr>
        <xdr:cNvCxnSpPr/>
      </xdr:nvCxnSpPr>
      <xdr:spPr>
        <a:xfrm>
          <a:off x="5862587" y="2167919"/>
          <a:ext cx="0" cy="155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10494</xdr:colOff>
      <xdr:row>7</xdr:row>
      <xdr:rowOff>252714</xdr:rowOff>
    </xdr:from>
    <xdr:to>
      <xdr:col>25</xdr:col>
      <xdr:colOff>10494</xdr:colOff>
      <xdr:row>8</xdr:row>
      <xdr:rowOff>170022</xdr:rowOff>
    </xdr:to>
    <xdr:cxnSp macro="">
      <xdr:nvCxnSpPr>
        <xdr:cNvPr id="165" name="直線コネクタ 164">
          <a:extLst>
            <a:ext uri="{FF2B5EF4-FFF2-40B4-BE49-F238E27FC236}">
              <a16:creationId xmlns:a16="http://schemas.microsoft.com/office/drawing/2014/main" id="{76CEF631-D496-4B25-A4EB-4BA9267BCBD4}"/>
            </a:ext>
          </a:extLst>
        </xdr:cNvPr>
        <xdr:cNvCxnSpPr/>
      </xdr:nvCxnSpPr>
      <xdr:spPr>
        <a:xfrm>
          <a:off x="5892182" y="2157714"/>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148758</xdr:colOff>
      <xdr:row>7</xdr:row>
      <xdr:rowOff>252714</xdr:rowOff>
    </xdr:from>
    <xdr:to>
      <xdr:col>25</xdr:col>
      <xdr:colOff>148758</xdr:colOff>
      <xdr:row>8</xdr:row>
      <xdr:rowOff>170022</xdr:rowOff>
    </xdr:to>
    <xdr:cxnSp macro="">
      <xdr:nvCxnSpPr>
        <xdr:cNvPr id="166" name="直線コネクタ 165">
          <a:extLst>
            <a:ext uri="{FF2B5EF4-FFF2-40B4-BE49-F238E27FC236}">
              <a16:creationId xmlns:a16="http://schemas.microsoft.com/office/drawing/2014/main" id="{392B150F-F5D0-4831-84D5-66E6D8E46096}"/>
            </a:ext>
          </a:extLst>
        </xdr:cNvPr>
        <xdr:cNvCxnSpPr/>
      </xdr:nvCxnSpPr>
      <xdr:spPr>
        <a:xfrm>
          <a:off x="6030446" y="2157714"/>
          <a:ext cx="0" cy="1792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9424</xdr:colOff>
      <xdr:row>8</xdr:row>
      <xdr:rowOff>92707</xdr:rowOff>
    </xdr:from>
    <xdr:to>
      <xdr:col>25</xdr:col>
      <xdr:colOff>144287</xdr:colOff>
      <xdr:row>8</xdr:row>
      <xdr:rowOff>92707</xdr:rowOff>
    </xdr:to>
    <xdr:cxnSp macro="">
      <xdr:nvCxnSpPr>
        <xdr:cNvPr id="167" name="直線コネクタ 166">
          <a:extLst>
            <a:ext uri="{FF2B5EF4-FFF2-40B4-BE49-F238E27FC236}">
              <a16:creationId xmlns:a16="http://schemas.microsoft.com/office/drawing/2014/main" id="{C25A7ABA-F9EF-4740-996C-855431CCE985}"/>
            </a:ext>
          </a:extLst>
        </xdr:cNvPr>
        <xdr:cNvCxnSpPr/>
      </xdr:nvCxnSpPr>
      <xdr:spPr>
        <a:xfrm>
          <a:off x="5891112" y="2259645"/>
          <a:ext cx="1348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19</xdr:row>
      <xdr:rowOff>70554</xdr:rowOff>
    </xdr:from>
    <xdr:to>
      <xdr:col>25</xdr:col>
      <xdr:colOff>205541</xdr:colOff>
      <xdr:row>19</xdr:row>
      <xdr:rowOff>70554</xdr:rowOff>
    </xdr:to>
    <xdr:cxnSp macro="">
      <xdr:nvCxnSpPr>
        <xdr:cNvPr id="168" name="直線コネクタ 167">
          <a:extLst>
            <a:ext uri="{FF2B5EF4-FFF2-40B4-BE49-F238E27FC236}">
              <a16:creationId xmlns:a16="http://schemas.microsoft.com/office/drawing/2014/main" id="{9DAF93C2-5F71-4DC6-B12B-885D552F033E}"/>
            </a:ext>
          </a:extLst>
        </xdr:cNvPr>
        <xdr:cNvCxnSpPr/>
      </xdr:nvCxnSpPr>
      <xdr:spPr>
        <a:xfrm>
          <a:off x="4798219" y="4856867"/>
          <a:ext cx="128901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115846</xdr:colOff>
      <xdr:row>19</xdr:row>
      <xdr:rowOff>69016</xdr:rowOff>
    </xdr:from>
    <xdr:to>
      <xdr:col>21</xdr:col>
      <xdr:colOff>205452</xdr:colOff>
      <xdr:row>19</xdr:row>
      <xdr:rowOff>153939</xdr:rowOff>
    </xdr:to>
    <xdr:cxnSp macro="">
      <xdr:nvCxnSpPr>
        <xdr:cNvPr id="169" name="直線コネクタ 168">
          <a:extLst>
            <a:ext uri="{FF2B5EF4-FFF2-40B4-BE49-F238E27FC236}">
              <a16:creationId xmlns:a16="http://schemas.microsoft.com/office/drawing/2014/main" id="{D6C7B1DD-386A-42B5-8693-FDAD0F2DC588}"/>
            </a:ext>
          </a:extLst>
        </xdr:cNvPr>
        <xdr:cNvCxnSpPr/>
      </xdr:nvCxnSpPr>
      <xdr:spPr>
        <a:xfrm>
          <a:off x="5092659" y="4855329"/>
          <a:ext cx="89606" cy="84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55214</xdr:colOff>
      <xdr:row>19</xdr:row>
      <xdr:rowOff>70259</xdr:rowOff>
    </xdr:from>
    <xdr:to>
      <xdr:col>21</xdr:col>
      <xdr:colOff>161240</xdr:colOff>
      <xdr:row>19</xdr:row>
      <xdr:rowOff>165308</xdr:rowOff>
    </xdr:to>
    <xdr:cxnSp macro="">
      <xdr:nvCxnSpPr>
        <xdr:cNvPr id="170" name="直線コネクタ 169">
          <a:extLst>
            <a:ext uri="{FF2B5EF4-FFF2-40B4-BE49-F238E27FC236}">
              <a16:creationId xmlns:a16="http://schemas.microsoft.com/office/drawing/2014/main" id="{16B23A13-0305-49E7-8B0A-9B7351EDBC0F}"/>
            </a:ext>
          </a:extLst>
        </xdr:cNvPr>
        <xdr:cNvCxnSpPr/>
      </xdr:nvCxnSpPr>
      <xdr:spPr>
        <a:xfrm>
          <a:off x="5032027" y="4856572"/>
          <a:ext cx="106026" cy="95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56129</xdr:colOff>
      <xdr:row>19</xdr:row>
      <xdr:rowOff>107820</xdr:rowOff>
    </xdr:from>
    <xdr:to>
      <xdr:col>21</xdr:col>
      <xdr:colOff>101099</xdr:colOff>
      <xdr:row>19</xdr:row>
      <xdr:rowOff>147419</xdr:rowOff>
    </xdr:to>
    <xdr:cxnSp macro="">
      <xdr:nvCxnSpPr>
        <xdr:cNvPr id="174" name="直線コネクタ 173">
          <a:extLst>
            <a:ext uri="{FF2B5EF4-FFF2-40B4-BE49-F238E27FC236}">
              <a16:creationId xmlns:a16="http://schemas.microsoft.com/office/drawing/2014/main" id="{662A0D16-5D5E-494D-B421-3CEE57744F67}"/>
            </a:ext>
          </a:extLst>
        </xdr:cNvPr>
        <xdr:cNvCxnSpPr/>
      </xdr:nvCxnSpPr>
      <xdr:spPr>
        <a:xfrm flipH="1">
          <a:off x="5032942" y="4894133"/>
          <a:ext cx="44970" cy="395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89727</xdr:colOff>
      <xdr:row>19</xdr:row>
      <xdr:rowOff>140695</xdr:rowOff>
    </xdr:from>
    <xdr:to>
      <xdr:col>21</xdr:col>
      <xdr:colOff>121383</xdr:colOff>
      <xdr:row>19</xdr:row>
      <xdr:rowOff>164618</xdr:rowOff>
    </xdr:to>
    <xdr:cxnSp macro="">
      <xdr:nvCxnSpPr>
        <xdr:cNvPr id="176" name="直線コネクタ 175">
          <a:extLst>
            <a:ext uri="{FF2B5EF4-FFF2-40B4-BE49-F238E27FC236}">
              <a16:creationId xmlns:a16="http://schemas.microsoft.com/office/drawing/2014/main" id="{D6F2E4F9-2566-4856-92F8-406CA396C5C6}"/>
            </a:ext>
          </a:extLst>
        </xdr:cNvPr>
        <xdr:cNvCxnSpPr/>
      </xdr:nvCxnSpPr>
      <xdr:spPr>
        <a:xfrm flipH="1">
          <a:off x="5066540" y="4927008"/>
          <a:ext cx="3165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198174</xdr:colOff>
      <xdr:row>19</xdr:row>
      <xdr:rowOff>66760</xdr:rowOff>
    </xdr:from>
    <xdr:to>
      <xdr:col>21</xdr:col>
      <xdr:colOff>56626</xdr:colOff>
      <xdr:row>19</xdr:row>
      <xdr:rowOff>168859</xdr:rowOff>
    </xdr:to>
    <xdr:cxnSp macro="">
      <xdr:nvCxnSpPr>
        <xdr:cNvPr id="177" name="直線コネクタ 176">
          <a:extLst>
            <a:ext uri="{FF2B5EF4-FFF2-40B4-BE49-F238E27FC236}">
              <a16:creationId xmlns:a16="http://schemas.microsoft.com/office/drawing/2014/main" id="{78329439-4CC0-47FE-9373-8DF98C7E90F8}"/>
            </a:ext>
          </a:extLst>
        </xdr:cNvPr>
        <xdr:cNvCxnSpPr/>
      </xdr:nvCxnSpPr>
      <xdr:spPr>
        <a:xfrm>
          <a:off x="4948768" y="4853073"/>
          <a:ext cx="84671" cy="1020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157783</xdr:colOff>
      <xdr:row>19</xdr:row>
      <xdr:rowOff>70034</xdr:rowOff>
    </xdr:from>
    <xdr:to>
      <xdr:col>21</xdr:col>
      <xdr:colOff>18805</xdr:colOff>
      <xdr:row>19</xdr:row>
      <xdr:rowOff>170703</xdr:rowOff>
    </xdr:to>
    <xdr:cxnSp macro="">
      <xdr:nvCxnSpPr>
        <xdr:cNvPr id="178" name="直線コネクタ 177">
          <a:extLst>
            <a:ext uri="{FF2B5EF4-FFF2-40B4-BE49-F238E27FC236}">
              <a16:creationId xmlns:a16="http://schemas.microsoft.com/office/drawing/2014/main" id="{D056F300-572B-4286-82BB-AD7B60E6D510}"/>
            </a:ext>
          </a:extLst>
        </xdr:cNvPr>
        <xdr:cNvCxnSpPr/>
      </xdr:nvCxnSpPr>
      <xdr:spPr>
        <a:xfrm>
          <a:off x="4908377" y="4856347"/>
          <a:ext cx="87241" cy="1006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157819</xdr:colOff>
      <xdr:row>19</xdr:row>
      <xdr:rowOff>124564</xdr:rowOff>
    </xdr:from>
    <xdr:to>
      <xdr:col>20</xdr:col>
      <xdr:colOff>183442</xdr:colOff>
      <xdr:row>19</xdr:row>
      <xdr:rowOff>155290</xdr:rowOff>
    </xdr:to>
    <xdr:cxnSp macro="">
      <xdr:nvCxnSpPr>
        <xdr:cNvPr id="179" name="直線コネクタ 178">
          <a:extLst>
            <a:ext uri="{FF2B5EF4-FFF2-40B4-BE49-F238E27FC236}">
              <a16:creationId xmlns:a16="http://schemas.microsoft.com/office/drawing/2014/main" id="{DBBA191C-6124-4BD6-AC69-4192BDB09252}"/>
            </a:ext>
          </a:extLst>
        </xdr:cNvPr>
        <xdr:cNvCxnSpPr/>
      </xdr:nvCxnSpPr>
      <xdr:spPr>
        <a:xfrm flipH="1">
          <a:off x="4908413" y="4910877"/>
          <a:ext cx="2562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178103</xdr:colOff>
      <xdr:row>19</xdr:row>
      <xdr:rowOff>141761</xdr:rowOff>
    </xdr:from>
    <xdr:to>
      <xdr:col>20</xdr:col>
      <xdr:colOff>201902</xdr:colOff>
      <xdr:row>19</xdr:row>
      <xdr:rowOff>170013</xdr:rowOff>
    </xdr:to>
    <xdr:cxnSp macro="">
      <xdr:nvCxnSpPr>
        <xdr:cNvPr id="180" name="直線コネクタ 179">
          <a:extLst>
            <a:ext uri="{FF2B5EF4-FFF2-40B4-BE49-F238E27FC236}">
              <a16:creationId xmlns:a16="http://schemas.microsoft.com/office/drawing/2014/main" id="{A8EDCB52-8A40-464A-A672-9C9E738F3C6F}"/>
            </a:ext>
          </a:extLst>
        </xdr:cNvPr>
        <xdr:cNvCxnSpPr/>
      </xdr:nvCxnSpPr>
      <xdr:spPr>
        <a:xfrm flipH="1">
          <a:off x="4928697" y="4928074"/>
          <a:ext cx="23799"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214310</xdr:colOff>
      <xdr:row>18</xdr:row>
      <xdr:rowOff>58574</xdr:rowOff>
    </xdr:from>
    <xdr:to>
      <xdr:col>32</xdr:col>
      <xdr:colOff>120452</xdr:colOff>
      <xdr:row>18</xdr:row>
      <xdr:rowOff>58574</xdr:rowOff>
    </xdr:to>
    <xdr:cxnSp macro="">
      <xdr:nvCxnSpPr>
        <xdr:cNvPr id="181" name="直線コネクタ 180">
          <a:extLst>
            <a:ext uri="{FF2B5EF4-FFF2-40B4-BE49-F238E27FC236}">
              <a16:creationId xmlns:a16="http://schemas.microsoft.com/office/drawing/2014/main" id="{C8A72991-85F2-4ABB-AFEF-AA8F27A3426F}"/>
            </a:ext>
          </a:extLst>
        </xdr:cNvPr>
        <xdr:cNvCxnSpPr/>
      </xdr:nvCxnSpPr>
      <xdr:spPr>
        <a:xfrm>
          <a:off x="7000873" y="4606762"/>
          <a:ext cx="584798"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60035</xdr:colOff>
      <xdr:row>13</xdr:row>
      <xdr:rowOff>176959</xdr:rowOff>
    </xdr:from>
    <xdr:to>
      <xdr:col>24</xdr:col>
      <xdr:colOff>221712</xdr:colOff>
      <xdr:row>13</xdr:row>
      <xdr:rowOff>176959</xdr:rowOff>
    </xdr:to>
    <xdr:cxnSp macro="">
      <xdr:nvCxnSpPr>
        <xdr:cNvPr id="182" name="直線コネクタ 181">
          <a:extLst>
            <a:ext uri="{FF2B5EF4-FFF2-40B4-BE49-F238E27FC236}">
              <a16:creationId xmlns:a16="http://schemas.microsoft.com/office/drawing/2014/main" id="{99F4B6F9-E299-48DC-A6A1-4D07A7B81BA9}"/>
            </a:ext>
          </a:extLst>
        </xdr:cNvPr>
        <xdr:cNvCxnSpPr/>
      </xdr:nvCxnSpPr>
      <xdr:spPr>
        <a:xfrm>
          <a:off x="5036848" y="3534522"/>
          <a:ext cx="840333"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50009</xdr:colOff>
      <xdr:row>14</xdr:row>
      <xdr:rowOff>93002</xdr:rowOff>
    </xdr:from>
    <xdr:to>
      <xdr:col>24</xdr:col>
      <xdr:colOff>209305</xdr:colOff>
      <xdr:row>14</xdr:row>
      <xdr:rowOff>93002</xdr:rowOff>
    </xdr:to>
    <xdr:cxnSp macro="">
      <xdr:nvCxnSpPr>
        <xdr:cNvPr id="184" name="直線コネクタ 183">
          <a:extLst>
            <a:ext uri="{FF2B5EF4-FFF2-40B4-BE49-F238E27FC236}">
              <a16:creationId xmlns:a16="http://schemas.microsoft.com/office/drawing/2014/main" id="{9FBD1CC1-85FC-4CA9-8169-9E45CFC2F979}"/>
            </a:ext>
          </a:extLst>
        </xdr:cNvPr>
        <xdr:cNvCxnSpPr/>
      </xdr:nvCxnSpPr>
      <xdr:spPr>
        <a:xfrm>
          <a:off x="5026822" y="3688690"/>
          <a:ext cx="837952"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217326</xdr:colOff>
      <xdr:row>13</xdr:row>
      <xdr:rowOff>181855</xdr:rowOff>
    </xdr:from>
    <xdr:to>
      <xdr:col>24</xdr:col>
      <xdr:colOff>217326</xdr:colOff>
      <xdr:row>14</xdr:row>
      <xdr:rowOff>93387</xdr:rowOff>
    </xdr:to>
    <xdr:cxnSp macro="">
      <xdr:nvCxnSpPr>
        <xdr:cNvPr id="185" name="直線コネクタ 184">
          <a:extLst>
            <a:ext uri="{FF2B5EF4-FFF2-40B4-BE49-F238E27FC236}">
              <a16:creationId xmlns:a16="http://schemas.microsoft.com/office/drawing/2014/main" id="{611A13C4-1F11-422F-BD05-63F1C316FBAE}"/>
            </a:ext>
          </a:extLst>
        </xdr:cNvPr>
        <xdr:cNvCxnSpPr/>
      </xdr:nvCxnSpPr>
      <xdr:spPr>
        <a:xfrm>
          <a:off x="5872795" y="3539418"/>
          <a:ext cx="0" cy="149657"/>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18321</xdr:colOff>
      <xdr:row>13</xdr:row>
      <xdr:rowOff>171650</xdr:rowOff>
    </xdr:from>
    <xdr:to>
      <xdr:col>25</xdr:col>
      <xdr:colOff>18321</xdr:colOff>
      <xdr:row>14</xdr:row>
      <xdr:rowOff>99081</xdr:rowOff>
    </xdr:to>
    <xdr:cxnSp macro="">
      <xdr:nvCxnSpPr>
        <xdr:cNvPr id="189" name="直線コネクタ 188">
          <a:extLst>
            <a:ext uri="{FF2B5EF4-FFF2-40B4-BE49-F238E27FC236}">
              <a16:creationId xmlns:a16="http://schemas.microsoft.com/office/drawing/2014/main" id="{D7138010-38B4-4034-9515-D267B606E3FD}"/>
            </a:ext>
          </a:extLst>
        </xdr:cNvPr>
        <xdr:cNvCxnSpPr/>
      </xdr:nvCxnSpPr>
      <xdr:spPr>
        <a:xfrm>
          <a:off x="5900009" y="3529213"/>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158966</xdr:colOff>
      <xdr:row>13</xdr:row>
      <xdr:rowOff>171650</xdr:rowOff>
    </xdr:from>
    <xdr:to>
      <xdr:col>25</xdr:col>
      <xdr:colOff>158966</xdr:colOff>
      <xdr:row>14</xdr:row>
      <xdr:rowOff>99081</xdr:rowOff>
    </xdr:to>
    <xdr:cxnSp macro="">
      <xdr:nvCxnSpPr>
        <xdr:cNvPr id="190" name="直線コネクタ 189">
          <a:extLst>
            <a:ext uri="{FF2B5EF4-FFF2-40B4-BE49-F238E27FC236}">
              <a16:creationId xmlns:a16="http://schemas.microsoft.com/office/drawing/2014/main" id="{CDCF2246-2611-4A59-8953-F6C66FD86AE1}"/>
            </a:ext>
          </a:extLst>
        </xdr:cNvPr>
        <xdr:cNvCxnSpPr/>
      </xdr:nvCxnSpPr>
      <xdr:spPr>
        <a:xfrm>
          <a:off x="6040654" y="3529213"/>
          <a:ext cx="0" cy="165556"/>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17251</xdr:colOff>
      <xdr:row>14</xdr:row>
      <xdr:rowOff>21696</xdr:rowOff>
    </xdr:from>
    <xdr:to>
      <xdr:col>25</xdr:col>
      <xdr:colOff>154495</xdr:colOff>
      <xdr:row>14</xdr:row>
      <xdr:rowOff>21696</xdr:rowOff>
    </xdr:to>
    <xdr:cxnSp macro="">
      <xdr:nvCxnSpPr>
        <xdr:cNvPr id="191" name="直線コネクタ 190">
          <a:extLst>
            <a:ext uri="{FF2B5EF4-FFF2-40B4-BE49-F238E27FC236}">
              <a16:creationId xmlns:a16="http://schemas.microsoft.com/office/drawing/2014/main" id="{52FCCF36-A747-4C5E-BD46-1094E28B3916}"/>
            </a:ext>
          </a:extLst>
        </xdr:cNvPr>
        <xdr:cNvCxnSpPr/>
      </xdr:nvCxnSpPr>
      <xdr:spPr>
        <a:xfrm>
          <a:off x="5898939" y="3617384"/>
          <a:ext cx="137244" cy="0"/>
        </a:xfrm>
        <a:prstGeom prst="lin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214305</xdr:colOff>
      <xdr:row>14</xdr:row>
      <xdr:rowOff>27817</xdr:rowOff>
    </xdr:from>
    <xdr:to>
      <xdr:col>32</xdr:col>
      <xdr:colOff>25981</xdr:colOff>
      <xdr:row>14</xdr:row>
      <xdr:rowOff>27817</xdr:rowOff>
    </xdr:to>
    <xdr:cxnSp macro="">
      <xdr:nvCxnSpPr>
        <xdr:cNvPr id="194" name="直線コネクタ 193">
          <a:extLst>
            <a:ext uri="{FF2B5EF4-FFF2-40B4-BE49-F238E27FC236}">
              <a16:creationId xmlns:a16="http://schemas.microsoft.com/office/drawing/2014/main" id="{6E666013-FDB8-48CA-9581-42AB1414BF48}"/>
            </a:ext>
          </a:extLst>
        </xdr:cNvPr>
        <xdr:cNvCxnSpPr/>
      </xdr:nvCxnSpPr>
      <xdr:spPr>
        <a:xfrm>
          <a:off x="7000868" y="3623505"/>
          <a:ext cx="49033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190999</xdr:colOff>
      <xdr:row>10</xdr:row>
      <xdr:rowOff>53086</xdr:rowOff>
    </xdr:from>
    <xdr:to>
      <xdr:col>33</xdr:col>
      <xdr:colOff>204885</xdr:colOff>
      <xdr:row>11</xdr:row>
      <xdr:rowOff>77551</xdr:rowOff>
    </xdr:to>
    <xdr:sp macro="" textlink="">
      <xdr:nvSpPr>
        <xdr:cNvPr id="199" name="テキスト ボックス 198">
          <a:extLst>
            <a:ext uri="{FF2B5EF4-FFF2-40B4-BE49-F238E27FC236}">
              <a16:creationId xmlns:a16="http://schemas.microsoft.com/office/drawing/2014/main" id="{927C6028-314C-4BF2-B225-7E4CE082635E}"/>
            </a:ext>
          </a:extLst>
        </xdr:cNvPr>
        <xdr:cNvSpPr txBox="1"/>
      </xdr:nvSpPr>
      <xdr:spPr>
        <a:xfrm>
          <a:off x="6751343" y="2696274"/>
          <a:ext cx="1144980" cy="262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２－１層 </a:t>
          </a:r>
          <a:r>
            <a:rPr kumimoji="1" lang="en-US" altLang="ja-JP" sz="1100"/>
            <a:t>2.80m</a:t>
          </a:r>
          <a:endParaRPr kumimoji="1" lang="ja-JP" altLang="en-US" sz="1100"/>
        </a:p>
      </xdr:txBody>
    </xdr:sp>
    <xdr:clientData/>
  </xdr:twoCellAnchor>
  <xdr:twoCellAnchor>
    <xdr:from>
      <xdr:col>28</xdr:col>
      <xdr:colOff>190998</xdr:colOff>
      <xdr:row>15</xdr:row>
      <xdr:rowOff>77326</xdr:rowOff>
    </xdr:from>
    <xdr:to>
      <xdr:col>33</xdr:col>
      <xdr:colOff>213168</xdr:colOff>
      <xdr:row>16</xdr:row>
      <xdr:rowOff>99721</xdr:rowOff>
    </xdr:to>
    <xdr:sp macro="" textlink="">
      <xdr:nvSpPr>
        <xdr:cNvPr id="201" name="テキスト ボックス 200">
          <a:extLst>
            <a:ext uri="{FF2B5EF4-FFF2-40B4-BE49-F238E27FC236}">
              <a16:creationId xmlns:a16="http://schemas.microsoft.com/office/drawing/2014/main" id="{9D60D5C8-F66A-4187-B7CC-51070C998A7C}"/>
            </a:ext>
          </a:extLst>
        </xdr:cNvPr>
        <xdr:cNvSpPr txBox="1"/>
      </xdr:nvSpPr>
      <xdr:spPr>
        <a:xfrm>
          <a:off x="6751342" y="3911139"/>
          <a:ext cx="1153264"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２－２層 </a:t>
          </a:r>
          <a:r>
            <a:rPr kumimoji="1" lang="en-US" altLang="ja-JP" sz="1100"/>
            <a:t>2.20m</a:t>
          </a:r>
          <a:endParaRPr kumimoji="1" lang="ja-JP" altLang="en-US" sz="1100"/>
        </a:p>
      </xdr:txBody>
    </xdr:sp>
    <xdr:clientData/>
  </xdr:twoCellAnchor>
  <xdr:twoCellAnchor>
    <xdr:from>
      <xdr:col>25</xdr:col>
      <xdr:colOff>151967</xdr:colOff>
      <xdr:row>20</xdr:row>
      <xdr:rowOff>179086</xdr:rowOff>
    </xdr:from>
    <xdr:to>
      <xdr:col>26</xdr:col>
      <xdr:colOff>50708</xdr:colOff>
      <xdr:row>21</xdr:row>
      <xdr:rowOff>64621</xdr:rowOff>
    </xdr:to>
    <xdr:sp macro="" textlink="">
      <xdr:nvSpPr>
        <xdr:cNvPr id="207" name="楕円 206">
          <a:extLst>
            <a:ext uri="{FF2B5EF4-FFF2-40B4-BE49-F238E27FC236}">
              <a16:creationId xmlns:a16="http://schemas.microsoft.com/office/drawing/2014/main" id="{D682D925-9B73-41ED-B5B2-CB6E49C480FF}"/>
            </a:ext>
          </a:extLst>
        </xdr:cNvPr>
        <xdr:cNvSpPr/>
      </xdr:nvSpPr>
      <xdr:spPr>
        <a:xfrm>
          <a:off x="6033655" y="5203524"/>
          <a:ext cx="124959" cy="12366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143510</xdr:colOff>
      <xdr:row>8</xdr:row>
      <xdr:rowOff>75527</xdr:rowOff>
    </xdr:from>
    <xdr:to>
      <xdr:col>31</xdr:col>
      <xdr:colOff>143510</xdr:colOff>
      <xdr:row>14</xdr:row>
      <xdr:rowOff>27313</xdr:rowOff>
    </xdr:to>
    <xdr:cxnSp macro="">
      <xdr:nvCxnSpPr>
        <xdr:cNvPr id="212" name="直線矢印コネクタ 211">
          <a:extLst>
            <a:ext uri="{FF2B5EF4-FFF2-40B4-BE49-F238E27FC236}">
              <a16:creationId xmlns:a16="http://schemas.microsoft.com/office/drawing/2014/main" id="{AA5381D9-25E9-4337-A9C4-FCCE6479ABBB}"/>
            </a:ext>
          </a:extLst>
        </xdr:cNvPr>
        <xdr:cNvCxnSpPr/>
      </xdr:nvCxnSpPr>
      <xdr:spPr>
        <a:xfrm>
          <a:off x="7382510" y="2242465"/>
          <a:ext cx="0" cy="13805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143510</xdr:colOff>
      <xdr:row>14</xdr:row>
      <xdr:rowOff>17548</xdr:rowOff>
    </xdr:from>
    <xdr:to>
      <xdr:col>31</xdr:col>
      <xdr:colOff>143510</xdr:colOff>
      <xdr:row>18</xdr:row>
      <xdr:rowOff>77009</xdr:rowOff>
    </xdr:to>
    <xdr:cxnSp macro="">
      <xdr:nvCxnSpPr>
        <xdr:cNvPr id="213" name="直線矢印コネクタ 212">
          <a:extLst>
            <a:ext uri="{FF2B5EF4-FFF2-40B4-BE49-F238E27FC236}">
              <a16:creationId xmlns:a16="http://schemas.microsoft.com/office/drawing/2014/main" id="{D8D308B0-EF8F-41C9-B4F8-43B58D2B274B}"/>
            </a:ext>
          </a:extLst>
        </xdr:cNvPr>
        <xdr:cNvCxnSpPr/>
      </xdr:nvCxnSpPr>
      <xdr:spPr>
        <a:xfrm>
          <a:off x="7382510" y="3613236"/>
          <a:ext cx="0" cy="10119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22583</xdr:colOff>
      <xdr:row>14</xdr:row>
      <xdr:rowOff>17548</xdr:rowOff>
    </xdr:from>
    <xdr:to>
      <xdr:col>23</xdr:col>
      <xdr:colOff>22583</xdr:colOff>
      <xdr:row>21</xdr:row>
      <xdr:rowOff>809</xdr:rowOff>
    </xdr:to>
    <xdr:cxnSp macro="">
      <xdr:nvCxnSpPr>
        <xdr:cNvPr id="214" name="直線矢印コネクタ 213">
          <a:extLst>
            <a:ext uri="{FF2B5EF4-FFF2-40B4-BE49-F238E27FC236}">
              <a16:creationId xmlns:a16="http://schemas.microsoft.com/office/drawing/2014/main" id="{88D9E714-AE5D-4769-9662-54BD6ABC16CA}"/>
            </a:ext>
          </a:extLst>
        </xdr:cNvPr>
        <xdr:cNvCxnSpPr/>
      </xdr:nvCxnSpPr>
      <xdr:spPr>
        <a:xfrm>
          <a:off x="5451833" y="3613236"/>
          <a:ext cx="0" cy="165013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143510</xdr:colOff>
      <xdr:row>18</xdr:row>
      <xdr:rowOff>46123</xdr:rowOff>
    </xdr:from>
    <xdr:to>
      <xdr:col>31</xdr:col>
      <xdr:colOff>143510</xdr:colOff>
      <xdr:row>19</xdr:row>
      <xdr:rowOff>67484</xdr:rowOff>
    </xdr:to>
    <xdr:cxnSp macro="">
      <xdr:nvCxnSpPr>
        <xdr:cNvPr id="215" name="直線矢印コネクタ 214">
          <a:extLst>
            <a:ext uri="{FF2B5EF4-FFF2-40B4-BE49-F238E27FC236}">
              <a16:creationId xmlns:a16="http://schemas.microsoft.com/office/drawing/2014/main" id="{01D8EF0A-1CE1-44B9-B557-9D6BC28D838B}"/>
            </a:ext>
          </a:extLst>
        </xdr:cNvPr>
        <xdr:cNvCxnSpPr/>
      </xdr:nvCxnSpPr>
      <xdr:spPr>
        <a:xfrm>
          <a:off x="7382510" y="4594311"/>
          <a:ext cx="0" cy="2594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143510</xdr:colOff>
      <xdr:row>19</xdr:row>
      <xdr:rowOff>65173</xdr:rowOff>
    </xdr:from>
    <xdr:to>
      <xdr:col>31</xdr:col>
      <xdr:colOff>143510</xdr:colOff>
      <xdr:row>21</xdr:row>
      <xdr:rowOff>809</xdr:rowOff>
    </xdr:to>
    <xdr:cxnSp macro="">
      <xdr:nvCxnSpPr>
        <xdr:cNvPr id="216" name="直線矢印コネクタ 215">
          <a:extLst>
            <a:ext uri="{FF2B5EF4-FFF2-40B4-BE49-F238E27FC236}">
              <a16:creationId xmlns:a16="http://schemas.microsoft.com/office/drawing/2014/main" id="{0171AD44-8C5B-42F1-9382-295E1E0E03BE}"/>
            </a:ext>
          </a:extLst>
        </xdr:cNvPr>
        <xdr:cNvCxnSpPr/>
      </xdr:nvCxnSpPr>
      <xdr:spPr>
        <a:xfrm>
          <a:off x="7382510" y="4851486"/>
          <a:ext cx="0" cy="41188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142873</xdr:colOff>
      <xdr:row>21</xdr:row>
      <xdr:rowOff>12003</xdr:rowOff>
    </xdr:from>
    <xdr:to>
      <xdr:col>32</xdr:col>
      <xdr:colOff>147636</xdr:colOff>
      <xdr:row>21</xdr:row>
      <xdr:rowOff>12003</xdr:rowOff>
    </xdr:to>
    <xdr:cxnSp macro="">
      <xdr:nvCxnSpPr>
        <xdr:cNvPr id="219" name="直線コネクタ 218">
          <a:extLst>
            <a:ext uri="{FF2B5EF4-FFF2-40B4-BE49-F238E27FC236}">
              <a16:creationId xmlns:a16="http://schemas.microsoft.com/office/drawing/2014/main" id="{E9732952-8CEC-41E5-BFF0-33FE70BCF099}"/>
            </a:ext>
          </a:extLst>
        </xdr:cNvPr>
        <xdr:cNvCxnSpPr/>
      </xdr:nvCxnSpPr>
      <xdr:spPr>
        <a:xfrm>
          <a:off x="6929436" y="5274566"/>
          <a:ext cx="6834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40474</xdr:colOff>
      <xdr:row>12</xdr:row>
      <xdr:rowOff>153209</xdr:rowOff>
    </xdr:from>
    <xdr:to>
      <xdr:col>26</xdr:col>
      <xdr:colOff>86151</xdr:colOff>
      <xdr:row>13</xdr:row>
      <xdr:rowOff>148363</xdr:rowOff>
    </xdr:to>
    <xdr:sp macro="" textlink="">
      <xdr:nvSpPr>
        <xdr:cNvPr id="267" name="テキスト ボックス 266">
          <a:extLst>
            <a:ext uri="{FF2B5EF4-FFF2-40B4-BE49-F238E27FC236}">
              <a16:creationId xmlns:a16="http://schemas.microsoft.com/office/drawing/2014/main" id="{888C544C-EF71-4D35-907D-5F8984B147C5}"/>
            </a:ext>
          </a:extLst>
        </xdr:cNvPr>
        <xdr:cNvSpPr txBox="1"/>
      </xdr:nvSpPr>
      <xdr:spPr>
        <a:xfrm>
          <a:off x="5695943" y="3272647"/>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点</a:t>
          </a:r>
        </a:p>
      </xdr:txBody>
    </xdr:sp>
    <xdr:clientData/>
  </xdr:twoCellAnchor>
  <xdr:twoCellAnchor>
    <xdr:from>
      <xdr:col>24</xdr:col>
      <xdr:colOff>14140</xdr:colOff>
      <xdr:row>20</xdr:row>
      <xdr:rowOff>93258</xdr:rowOff>
    </xdr:from>
    <xdr:to>
      <xdr:col>26</xdr:col>
      <xdr:colOff>59817</xdr:colOff>
      <xdr:row>21</xdr:row>
      <xdr:rowOff>88412</xdr:rowOff>
    </xdr:to>
    <xdr:sp macro="" textlink="">
      <xdr:nvSpPr>
        <xdr:cNvPr id="268" name="テキスト ボックス 267">
          <a:extLst>
            <a:ext uri="{FF2B5EF4-FFF2-40B4-BE49-F238E27FC236}">
              <a16:creationId xmlns:a16="http://schemas.microsoft.com/office/drawing/2014/main" id="{AE80ECFF-E84F-442E-9A29-3D05462E900F}"/>
            </a:ext>
          </a:extLst>
        </xdr:cNvPr>
        <xdr:cNvSpPr txBox="1"/>
      </xdr:nvSpPr>
      <xdr:spPr>
        <a:xfrm>
          <a:off x="5669609" y="5117696"/>
          <a:ext cx="498114" cy="233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r>
            <a:rPr kumimoji="1" lang="ja-JP" altLang="en-US" sz="1100"/>
            <a:t>点</a:t>
          </a:r>
        </a:p>
      </xdr:txBody>
    </xdr:sp>
    <xdr:clientData/>
  </xdr:twoCellAnchor>
  <xdr:twoCellAnchor>
    <xdr:from>
      <xdr:col>20</xdr:col>
      <xdr:colOff>219573</xdr:colOff>
      <xdr:row>17</xdr:row>
      <xdr:rowOff>67801</xdr:rowOff>
    </xdr:from>
    <xdr:to>
      <xdr:col>23</xdr:col>
      <xdr:colOff>135725</xdr:colOff>
      <xdr:row>18</xdr:row>
      <xdr:rowOff>90196</xdr:rowOff>
    </xdr:to>
    <xdr:sp macro="" textlink="">
      <xdr:nvSpPr>
        <xdr:cNvPr id="269" name="テキスト ボックス 268">
          <a:extLst>
            <a:ext uri="{FF2B5EF4-FFF2-40B4-BE49-F238E27FC236}">
              <a16:creationId xmlns:a16="http://schemas.microsoft.com/office/drawing/2014/main" id="{6729BAA0-7B9E-4590-8FDA-BDCE18D0E94D}"/>
            </a:ext>
          </a:extLst>
        </xdr:cNvPr>
        <xdr:cNvSpPr txBox="1"/>
      </xdr:nvSpPr>
      <xdr:spPr>
        <a:xfrm>
          <a:off x="4970167" y="4377864"/>
          <a:ext cx="594808" cy="26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3.45m</a:t>
          </a:r>
          <a:endParaRPr kumimoji="1" lang="ja-JP" altLang="en-US" sz="1100"/>
        </a:p>
      </xdr:txBody>
    </xdr:sp>
    <xdr:clientData/>
  </xdr:twoCellAnchor>
  <xdr:twoCellAnchor>
    <xdr:from>
      <xdr:col>22</xdr:col>
      <xdr:colOff>107150</xdr:colOff>
      <xdr:row>21</xdr:row>
      <xdr:rowOff>12003</xdr:rowOff>
    </xdr:from>
    <xdr:to>
      <xdr:col>23</xdr:col>
      <xdr:colOff>221450</xdr:colOff>
      <xdr:row>21</xdr:row>
      <xdr:rowOff>12003</xdr:rowOff>
    </xdr:to>
    <xdr:cxnSp macro="">
      <xdr:nvCxnSpPr>
        <xdr:cNvPr id="270" name="直線コネクタ 269">
          <a:extLst>
            <a:ext uri="{FF2B5EF4-FFF2-40B4-BE49-F238E27FC236}">
              <a16:creationId xmlns:a16="http://schemas.microsoft.com/office/drawing/2014/main" id="{64A9AF1F-AD53-41C4-BEB6-2450E379A9D9}"/>
            </a:ext>
          </a:extLst>
        </xdr:cNvPr>
        <xdr:cNvCxnSpPr/>
      </xdr:nvCxnSpPr>
      <xdr:spPr>
        <a:xfrm>
          <a:off x="5310181" y="5274566"/>
          <a:ext cx="34051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9238</xdr:colOff>
      <xdr:row>19</xdr:row>
      <xdr:rowOff>68467</xdr:rowOff>
    </xdr:from>
    <xdr:to>
      <xdr:col>28</xdr:col>
      <xdr:colOff>23812</xdr:colOff>
      <xdr:row>19</xdr:row>
      <xdr:rowOff>68467</xdr:rowOff>
    </xdr:to>
    <xdr:cxnSp macro="">
      <xdr:nvCxnSpPr>
        <xdr:cNvPr id="271" name="直線コネクタ 270">
          <a:extLst>
            <a:ext uri="{FF2B5EF4-FFF2-40B4-BE49-F238E27FC236}">
              <a16:creationId xmlns:a16="http://schemas.microsoft.com/office/drawing/2014/main" id="{115B8AFE-841D-4FA2-A4BF-4AC85805D305}"/>
            </a:ext>
          </a:extLst>
        </xdr:cNvPr>
        <xdr:cNvCxnSpPr/>
      </xdr:nvCxnSpPr>
      <xdr:spPr>
        <a:xfrm>
          <a:off x="6117144" y="4854780"/>
          <a:ext cx="46701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6580</xdr:colOff>
      <xdr:row>5</xdr:row>
      <xdr:rowOff>59531</xdr:rowOff>
    </xdr:from>
    <xdr:to>
      <xdr:col>34</xdr:col>
      <xdr:colOff>39232</xdr:colOff>
      <xdr:row>6</xdr:row>
      <xdr:rowOff>62672</xdr:rowOff>
    </xdr:to>
    <xdr:sp macro="" textlink="">
      <xdr:nvSpPr>
        <xdr:cNvPr id="272" name="テキスト ボックス 271">
          <a:extLst>
            <a:ext uri="{FF2B5EF4-FFF2-40B4-BE49-F238E27FC236}">
              <a16:creationId xmlns:a16="http://schemas.microsoft.com/office/drawing/2014/main" id="{1061DF80-C113-4FA7-9158-EDBFB5415F86}"/>
            </a:ext>
          </a:extLst>
        </xdr:cNvPr>
        <xdr:cNvSpPr txBox="1"/>
      </xdr:nvSpPr>
      <xdr:spPr>
        <a:xfrm>
          <a:off x="7019361" y="1488281"/>
          <a:ext cx="937527"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０層 </a:t>
          </a:r>
          <a:r>
            <a:rPr kumimoji="1" lang="en-US" altLang="ja-JP" sz="1100"/>
            <a:t>0.55m</a:t>
          </a:r>
          <a:endParaRPr kumimoji="1" lang="ja-JP" altLang="en-US" sz="1100"/>
        </a:p>
      </xdr:txBody>
    </xdr:sp>
    <xdr:clientData/>
  </xdr:twoCellAnchor>
  <xdr:twoCellAnchor>
    <xdr:from>
      <xdr:col>31</xdr:col>
      <xdr:colOff>143510</xdr:colOff>
      <xdr:row>5</xdr:row>
      <xdr:rowOff>103207</xdr:rowOff>
    </xdr:from>
    <xdr:to>
      <xdr:col>31</xdr:col>
      <xdr:colOff>143510</xdr:colOff>
      <xdr:row>6</xdr:row>
      <xdr:rowOff>118709</xdr:rowOff>
    </xdr:to>
    <xdr:cxnSp macro="">
      <xdr:nvCxnSpPr>
        <xdr:cNvPr id="273" name="直線矢印コネクタ 272">
          <a:extLst>
            <a:ext uri="{FF2B5EF4-FFF2-40B4-BE49-F238E27FC236}">
              <a16:creationId xmlns:a16="http://schemas.microsoft.com/office/drawing/2014/main" id="{FA198807-0A66-40DE-8947-306D271ADF7C}"/>
            </a:ext>
          </a:extLst>
        </xdr:cNvPr>
        <xdr:cNvCxnSpPr/>
      </xdr:nvCxnSpPr>
      <xdr:spPr>
        <a:xfrm>
          <a:off x="7382510" y="1531957"/>
          <a:ext cx="0" cy="25362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23806</xdr:colOff>
      <xdr:row>5</xdr:row>
      <xdr:rowOff>111303</xdr:rowOff>
    </xdr:from>
    <xdr:to>
      <xdr:col>32</xdr:col>
      <xdr:colOff>119055</xdr:colOff>
      <xdr:row>5</xdr:row>
      <xdr:rowOff>111303</xdr:rowOff>
    </xdr:to>
    <xdr:cxnSp macro="">
      <xdr:nvCxnSpPr>
        <xdr:cNvPr id="274" name="直線コネクタ 273">
          <a:extLst>
            <a:ext uri="{FF2B5EF4-FFF2-40B4-BE49-F238E27FC236}">
              <a16:creationId xmlns:a16="http://schemas.microsoft.com/office/drawing/2014/main" id="{0542147D-7886-4E76-9222-1B729C197AFC}"/>
            </a:ext>
          </a:extLst>
        </xdr:cNvPr>
        <xdr:cNvCxnSpPr/>
      </xdr:nvCxnSpPr>
      <xdr:spPr>
        <a:xfrm>
          <a:off x="7036587" y="1540053"/>
          <a:ext cx="54768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14287</xdr:colOff>
      <xdr:row>76</xdr:row>
      <xdr:rowOff>88540</xdr:rowOff>
    </xdr:from>
    <xdr:to>
      <xdr:col>30</xdr:col>
      <xdr:colOff>121444</xdr:colOff>
      <xdr:row>76</xdr:row>
      <xdr:rowOff>88540</xdr:rowOff>
    </xdr:to>
    <xdr:cxnSp macro="">
      <xdr:nvCxnSpPr>
        <xdr:cNvPr id="4" name="直線コネクタ 3">
          <a:extLst>
            <a:ext uri="{FF2B5EF4-FFF2-40B4-BE49-F238E27FC236}">
              <a16:creationId xmlns:a16="http://schemas.microsoft.com/office/drawing/2014/main" id="{BFD721A9-FEB2-499C-8348-59C5DEAE64D3}"/>
            </a:ext>
          </a:extLst>
        </xdr:cNvPr>
        <xdr:cNvCxnSpPr/>
      </xdr:nvCxnSpPr>
      <xdr:spPr>
        <a:xfrm>
          <a:off x="6186487" y="3921724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80</xdr:row>
      <xdr:rowOff>97607</xdr:rowOff>
    </xdr:from>
    <xdr:to>
      <xdr:col>30</xdr:col>
      <xdr:colOff>123825</xdr:colOff>
      <xdr:row>80</xdr:row>
      <xdr:rowOff>97607</xdr:rowOff>
    </xdr:to>
    <xdr:cxnSp macro="">
      <xdr:nvCxnSpPr>
        <xdr:cNvPr id="5" name="直線コネクタ 4">
          <a:extLst>
            <a:ext uri="{FF2B5EF4-FFF2-40B4-BE49-F238E27FC236}">
              <a16:creationId xmlns:a16="http://schemas.microsoft.com/office/drawing/2014/main" id="{E9E2D73C-F108-418A-BAEB-9A3605DDDAF6}"/>
            </a:ext>
          </a:extLst>
        </xdr:cNvPr>
        <xdr:cNvCxnSpPr/>
      </xdr:nvCxnSpPr>
      <xdr:spPr>
        <a:xfrm>
          <a:off x="6186487" y="4017880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76</xdr:row>
      <xdr:rowOff>218964</xdr:rowOff>
    </xdr:from>
    <xdr:to>
      <xdr:col>27</xdr:col>
      <xdr:colOff>205458</xdr:colOff>
      <xdr:row>76</xdr:row>
      <xdr:rowOff>219879</xdr:rowOff>
    </xdr:to>
    <xdr:cxnSp macro="">
      <xdr:nvCxnSpPr>
        <xdr:cNvPr id="6" name="直線コネクタ 5">
          <a:extLst>
            <a:ext uri="{FF2B5EF4-FFF2-40B4-BE49-F238E27FC236}">
              <a16:creationId xmlns:a16="http://schemas.microsoft.com/office/drawing/2014/main" id="{DE4F6008-4B43-4D75-82AF-93F11966EDDC}"/>
            </a:ext>
          </a:extLst>
        </xdr:cNvPr>
        <xdr:cNvCxnSpPr>
          <a:endCxn id="16" idx="0"/>
        </xdr:cNvCxnSpPr>
      </xdr:nvCxnSpPr>
      <xdr:spPr>
        <a:xfrm flipV="1">
          <a:off x="6186487" y="3934766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79</xdr:row>
      <xdr:rowOff>208574</xdr:rowOff>
    </xdr:from>
    <xdr:to>
      <xdr:col>27</xdr:col>
      <xdr:colOff>204788</xdr:colOff>
      <xdr:row>79</xdr:row>
      <xdr:rowOff>208574</xdr:rowOff>
    </xdr:to>
    <xdr:cxnSp macro="">
      <xdr:nvCxnSpPr>
        <xdr:cNvPr id="7" name="直線コネクタ 6">
          <a:extLst>
            <a:ext uri="{FF2B5EF4-FFF2-40B4-BE49-F238E27FC236}">
              <a16:creationId xmlns:a16="http://schemas.microsoft.com/office/drawing/2014/main" id="{972ECA24-601D-402C-9A38-1527EA46F032}"/>
            </a:ext>
          </a:extLst>
        </xdr:cNvPr>
        <xdr:cNvCxnSpPr/>
      </xdr:nvCxnSpPr>
      <xdr:spPr>
        <a:xfrm>
          <a:off x="6186487" y="4005164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155463</xdr:colOff>
      <xdr:row>76</xdr:row>
      <xdr:rowOff>219879</xdr:rowOff>
    </xdr:from>
    <xdr:to>
      <xdr:col>30</xdr:col>
      <xdr:colOff>123825</xdr:colOff>
      <xdr:row>76</xdr:row>
      <xdr:rowOff>219879</xdr:rowOff>
    </xdr:to>
    <xdr:cxnSp macro="">
      <xdr:nvCxnSpPr>
        <xdr:cNvPr id="8" name="直線コネクタ 7">
          <a:extLst>
            <a:ext uri="{FF2B5EF4-FFF2-40B4-BE49-F238E27FC236}">
              <a16:creationId xmlns:a16="http://schemas.microsoft.com/office/drawing/2014/main" id="{34139977-3823-4E14-942E-BB597C5F8812}"/>
            </a:ext>
          </a:extLst>
        </xdr:cNvPr>
        <xdr:cNvCxnSpPr/>
      </xdr:nvCxnSpPr>
      <xdr:spPr>
        <a:xfrm>
          <a:off x="6784863" y="3934857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157844</xdr:colOff>
      <xdr:row>79</xdr:row>
      <xdr:rowOff>208574</xdr:rowOff>
    </xdr:from>
    <xdr:to>
      <xdr:col>30</xdr:col>
      <xdr:colOff>121444</xdr:colOff>
      <xdr:row>79</xdr:row>
      <xdr:rowOff>208574</xdr:rowOff>
    </xdr:to>
    <xdr:cxnSp macro="">
      <xdr:nvCxnSpPr>
        <xdr:cNvPr id="9" name="直線コネクタ 8">
          <a:extLst>
            <a:ext uri="{FF2B5EF4-FFF2-40B4-BE49-F238E27FC236}">
              <a16:creationId xmlns:a16="http://schemas.microsoft.com/office/drawing/2014/main" id="{2B6BD1E8-76D9-4832-AD5E-102B1B4DB67A}"/>
            </a:ext>
          </a:extLst>
        </xdr:cNvPr>
        <xdr:cNvCxnSpPr/>
      </xdr:nvCxnSpPr>
      <xdr:spPr>
        <a:xfrm>
          <a:off x="6787244" y="4005164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28028</xdr:colOff>
      <xdr:row>77</xdr:row>
      <xdr:rowOff>26630</xdr:rowOff>
    </xdr:from>
    <xdr:to>
      <xdr:col>28</xdr:col>
      <xdr:colOff>28028</xdr:colOff>
      <xdr:row>79</xdr:row>
      <xdr:rowOff>159978</xdr:rowOff>
    </xdr:to>
    <xdr:cxnSp macro="">
      <xdr:nvCxnSpPr>
        <xdr:cNvPr id="10" name="直線コネクタ 9">
          <a:extLst>
            <a:ext uri="{FF2B5EF4-FFF2-40B4-BE49-F238E27FC236}">
              <a16:creationId xmlns:a16="http://schemas.microsoft.com/office/drawing/2014/main" id="{A09AB5D4-569C-4C94-9299-8FFF2F4DCA87}"/>
            </a:ext>
          </a:extLst>
        </xdr:cNvPr>
        <xdr:cNvCxnSpPr/>
      </xdr:nvCxnSpPr>
      <xdr:spPr>
        <a:xfrm>
          <a:off x="6657428" y="3939345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104679</xdr:colOff>
      <xdr:row>77</xdr:row>
      <xdr:rowOff>28422</xdr:rowOff>
    </xdr:from>
    <xdr:to>
      <xdr:col>28</xdr:col>
      <xdr:colOff>104679</xdr:colOff>
      <xdr:row>79</xdr:row>
      <xdr:rowOff>159978</xdr:rowOff>
    </xdr:to>
    <xdr:cxnSp macro="">
      <xdr:nvCxnSpPr>
        <xdr:cNvPr id="11" name="直線コネクタ 10">
          <a:extLst>
            <a:ext uri="{FF2B5EF4-FFF2-40B4-BE49-F238E27FC236}">
              <a16:creationId xmlns:a16="http://schemas.microsoft.com/office/drawing/2014/main" id="{A5336622-0E77-4E68-935C-57AD4F0A2DAB}"/>
            </a:ext>
          </a:extLst>
        </xdr:cNvPr>
        <xdr:cNvCxnSpPr/>
      </xdr:nvCxnSpPr>
      <xdr:spPr>
        <a:xfrm>
          <a:off x="6734079" y="3939524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76</xdr:row>
      <xdr:rowOff>86187</xdr:rowOff>
    </xdr:from>
    <xdr:to>
      <xdr:col>26</xdr:col>
      <xdr:colOff>12437</xdr:colOff>
      <xdr:row>76</xdr:row>
      <xdr:rowOff>219568</xdr:rowOff>
    </xdr:to>
    <xdr:cxnSp macro="">
      <xdr:nvCxnSpPr>
        <xdr:cNvPr id="12" name="直線コネクタ 11">
          <a:extLst>
            <a:ext uri="{FF2B5EF4-FFF2-40B4-BE49-F238E27FC236}">
              <a16:creationId xmlns:a16="http://schemas.microsoft.com/office/drawing/2014/main" id="{3FF17810-1E41-42F6-A392-FB9FDE99C0E0}"/>
            </a:ext>
          </a:extLst>
        </xdr:cNvPr>
        <xdr:cNvCxnSpPr/>
      </xdr:nvCxnSpPr>
      <xdr:spPr>
        <a:xfrm>
          <a:off x="6184637" y="3921488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17272</xdr:colOff>
      <xdr:row>79</xdr:row>
      <xdr:rowOff>205101</xdr:rowOff>
    </xdr:from>
    <xdr:to>
      <xdr:col>26</xdr:col>
      <xdr:colOff>17272</xdr:colOff>
      <xdr:row>80</xdr:row>
      <xdr:rowOff>99371</xdr:rowOff>
    </xdr:to>
    <xdr:cxnSp macro="">
      <xdr:nvCxnSpPr>
        <xdr:cNvPr id="13" name="直線コネクタ 12">
          <a:extLst>
            <a:ext uri="{FF2B5EF4-FFF2-40B4-BE49-F238E27FC236}">
              <a16:creationId xmlns:a16="http://schemas.microsoft.com/office/drawing/2014/main" id="{E1FFA628-7C9B-4F68-9440-4E72918D08D3}"/>
            </a:ext>
          </a:extLst>
        </xdr:cNvPr>
        <xdr:cNvCxnSpPr/>
      </xdr:nvCxnSpPr>
      <xdr:spPr>
        <a:xfrm>
          <a:off x="6189472" y="4004817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76</xdr:row>
      <xdr:rowOff>86187</xdr:rowOff>
    </xdr:from>
    <xdr:to>
      <xdr:col>30</xdr:col>
      <xdr:colOff>122443</xdr:colOff>
      <xdr:row>76</xdr:row>
      <xdr:rowOff>219568</xdr:rowOff>
    </xdr:to>
    <xdr:cxnSp macro="">
      <xdr:nvCxnSpPr>
        <xdr:cNvPr id="14" name="直線コネクタ 13">
          <a:extLst>
            <a:ext uri="{FF2B5EF4-FFF2-40B4-BE49-F238E27FC236}">
              <a16:creationId xmlns:a16="http://schemas.microsoft.com/office/drawing/2014/main" id="{183A03C0-89BC-4772-8C17-D25E4F1D834C}"/>
            </a:ext>
          </a:extLst>
        </xdr:cNvPr>
        <xdr:cNvCxnSpPr/>
      </xdr:nvCxnSpPr>
      <xdr:spPr>
        <a:xfrm>
          <a:off x="7209043" y="3921488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121913</xdr:colOff>
      <xdr:row>79</xdr:row>
      <xdr:rowOff>205101</xdr:rowOff>
    </xdr:from>
    <xdr:to>
      <xdr:col>30</xdr:col>
      <xdr:colOff>121913</xdr:colOff>
      <xdr:row>80</xdr:row>
      <xdr:rowOff>99371</xdr:rowOff>
    </xdr:to>
    <xdr:cxnSp macro="">
      <xdr:nvCxnSpPr>
        <xdr:cNvPr id="15" name="直線コネクタ 14">
          <a:extLst>
            <a:ext uri="{FF2B5EF4-FFF2-40B4-BE49-F238E27FC236}">
              <a16:creationId xmlns:a16="http://schemas.microsoft.com/office/drawing/2014/main" id="{27EDE8D6-72D3-43C1-9DFD-9DCF2BF425D4}"/>
            </a:ext>
          </a:extLst>
        </xdr:cNvPr>
        <xdr:cNvCxnSpPr/>
      </xdr:nvCxnSpPr>
      <xdr:spPr>
        <a:xfrm>
          <a:off x="7208513" y="4004817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154211</xdr:colOff>
      <xdr:row>76</xdr:row>
      <xdr:rowOff>218964</xdr:rowOff>
    </xdr:from>
    <xdr:to>
      <xdr:col>28</xdr:col>
      <xdr:colOff>28105</xdr:colOff>
      <xdr:row>77</xdr:row>
      <xdr:rowOff>80725</xdr:rowOff>
    </xdr:to>
    <xdr:sp macro="" textlink="">
      <xdr:nvSpPr>
        <xdr:cNvPr id="16" name="円弧 15">
          <a:extLst>
            <a:ext uri="{FF2B5EF4-FFF2-40B4-BE49-F238E27FC236}">
              <a16:creationId xmlns:a16="http://schemas.microsoft.com/office/drawing/2014/main" id="{C95E86BB-24F0-45A0-9880-7CD7D436A64A}"/>
            </a:ext>
          </a:extLst>
        </xdr:cNvPr>
        <xdr:cNvSpPr/>
      </xdr:nvSpPr>
      <xdr:spPr>
        <a:xfrm>
          <a:off x="6555011" y="3934766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104308</xdr:colOff>
      <xdr:row>76</xdr:row>
      <xdr:rowOff>223294</xdr:rowOff>
    </xdr:from>
    <xdr:to>
      <xdr:col>28</xdr:col>
      <xdr:colOff>207172</xdr:colOff>
      <xdr:row>77</xdr:row>
      <xdr:rowOff>85055</xdr:rowOff>
    </xdr:to>
    <xdr:sp macro="" textlink="">
      <xdr:nvSpPr>
        <xdr:cNvPr id="17" name="円弧 16">
          <a:extLst>
            <a:ext uri="{FF2B5EF4-FFF2-40B4-BE49-F238E27FC236}">
              <a16:creationId xmlns:a16="http://schemas.microsoft.com/office/drawing/2014/main" id="{5CE2F36A-5847-4AE4-82BF-11D338B449A1}"/>
            </a:ext>
          </a:extLst>
        </xdr:cNvPr>
        <xdr:cNvSpPr/>
      </xdr:nvSpPr>
      <xdr:spPr>
        <a:xfrm flipH="1">
          <a:off x="6733708" y="3935199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104303</xdr:colOff>
      <xdr:row>79</xdr:row>
      <xdr:rowOff>100447</xdr:rowOff>
    </xdr:from>
    <xdr:to>
      <xdr:col>28</xdr:col>
      <xdr:colOff>216692</xdr:colOff>
      <xdr:row>79</xdr:row>
      <xdr:rowOff>209439</xdr:rowOff>
    </xdr:to>
    <xdr:sp macro="" textlink="">
      <xdr:nvSpPr>
        <xdr:cNvPr id="18" name="円弧 17">
          <a:extLst>
            <a:ext uri="{FF2B5EF4-FFF2-40B4-BE49-F238E27FC236}">
              <a16:creationId xmlns:a16="http://schemas.microsoft.com/office/drawing/2014/main" id="{37E386BF-F426-4A8F-8E43-3A9FC376F78E}"/>
            </a:ext>
          </a:extLst>
        </xdr:cNvPr>
        <xdr:cNvSpPr/>
      </xdr:nvSpPr>
      <xdr:spPr>
        <a:xfrm flipH="1" flipV="1">
          <a:off x="6733703" y="3994352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150018</xdr:colOff>
      <xdr:row>79</xdr:row>
      <xdr:rowOff>100446</xdr:rowOff>
    </xdr:from>
    <xdr:to>
      <xdr:col>28</xdr:col>
      <xdr:colOff>28102</xdr:colOff>
      <xdr:row>79</xdr:row>
      <xdr:rowOff>209438</xdr:rowOff>
    </xdr:to>
    <xdr:sp macro="" textlink="">
      <xdr:nvSpPr>
        <xdr:cNvPr id="19" name="円弧 18">
          <a:extLst>
            <a:ext uri="{FF2B5EF4-FFF2-40B4-BE49-F238E27FC236}">
              <a16:creationId xmlns:a16="http://schemas.microsoft.com/office/drawing/2014/main" id="{F85751AD-5BDE-4B2A-A387-77E8D5DD38A6}"/>
            </a:ext>
          </a:extLst>
        </xdr:cNvPr>
        <xdr:cNvSpPr/>
      </xdr:nvSpPr>
      <xdr:spPr>
        <a:xfrm flipV="1">
          <a:off x="6550818" y="3994352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xdr:colOff>
      <xdr:row>74</xdr:row>
      <xdr:rowOff>163348</xdr:rowOff>
    </xdr:from>
    <xdr:to>
      <xdr:col>30</xdr:col>
      <xdr:colOff>121443</xdr:colOff>
      <xdr:row>74</xdr:row>
      <xdr:rowOff>163348</xdr:rowOff>
    </xdr:to>
    <xdr:cxnSp macro="">
      <xdr:nvCxnSpPr>
        <xdr:cNvPr id="20" name="直線矢印コネクタ 19">
          <a:extLst>
            <a:ext uri="{FF2B5EF4-FFF2-40B4-BE49-F238E27FC236}">
              <a16:creationId xmlns:a16="http://schemas.microsoft.com/office/drawing/2014/main" id="{EC68F529-1121-4F9C-B080-A77B8CAF404F}"/>
            </a:ext>
          </a:extLst>
        </xdr:cNvPr>
        <xdr:cNvCxnSpPr/>
      </xdr:nvCxnSpPr>
      <xdr:spPr>
        <a:xfrm flipH="1">
          <a:off x="6192440" y="3881579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74</xdr:row>
      <xdr:rowOff>105340</xdr:rowOff>
    </xdr:from>
    <xdr:to>
      <xdr:col>30</xdr:col>
      <xdr:colOff>122443</xdr:colOff>
      <xdr:row>75</xdr:row>
      <xdr:rowOff>596</xdr:rowOff>
    </xdr:to>
    <xdr:cxnSp macro="">
      <xdr:nvCxnSpPr>
        <xdr:cNvPr id="21" name="直線コネクタ 20">
          <a:extLst>
            <a:ext uri="{FF2B5EF4-FFF2-40B4-BE49-F238E27FC236}">
              <a16:creationId xmlns:a16="http://schemas.microsoft.com/office/drawing/2014/main" id="{BD8E068C-D800-4037-ADFE-8C8CDA763472}"/>
            </a:ext>
          </a:extLst>
        </xdr:cNvPr>
        <xdr:cNvCxnSpPr/>
      </xdr:nvCxnSpPr>
      <xdr:spPr>
        <a:xfrm>
          <a:off x="7209043" y="3875779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74</xdr:row>
      <xdr:rowOff>111293</xdr:rowOff>
    </xdr:from>
    <xdr:to>
      <xdr:col>26</xdr:col>
      <xdr:colOff>12437</xdr:colOff>
      <xdr:row>75</xdr:row>
      <xdr:rowOff>4478</xdr:rowOff>
    </xdr:to>
    <xdr:cxnSp macro="">
      <xdr:nvCxnSpPr>
        <xdr:cNvPr id="22" name="直線コネクタ 21">
          <a:extLst>
            <a:ext uri="{FF2B5EF4-FFF2-40B4-BE49-F238E27FC236}">
              <a16:creationId xmlns:a16="http://schemas.microsoft.com/office/drawing/2014/main" id="{63B02129-676D-4836-B5C4-C1D8AF0C8DCA}"/>
            </a:ext>
          </a:extLst>
        </xdr:cNvPr>
        <xdr:cNvCxnSpPr/>
      </xdr:nvCxnSpPr>
      <xdr:spPr>
        <a:xfrm>
          <a:off x="6184637" y="3876374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75</xdr:row>
      <xdr:rowOff>99387</xdr:rowOff>
    </xdr:from>
    <xdr:to>
      <xdr:col>30</xdr:col>
      <xdr:colOff>122443</xdr:colOff>
      <xdr:row>75</xdr:row>
      <xdr:rowOff>231474</xdr:rowOff>
    </xdr:to>
    <xdr:cxnSp macro="">
      <xdr:nvCxnSpPr>
        <xdr:cNvPr id="23" name="直線コネクタ 22">
          <a:extLst>
            <a:ext uri="{FF2B5EF4-FFF2-40B4-BE49-F238E27FC236}">
              <a16:creationId xmlns:a16="http://schemas.microsoft.com/office/drawing/2014/main" id="{188E1E1D-8E5F-46DE-9FFE-D0E26C884D2E}"/>
            </a:ext>
          </a:extLst>
        </xdr:cNvPr>
        <xdr:cNvCxnSpPr/>
      </xdr:nvCxnSpPr>
      <xdr:spPr>
        <a:xfrm>
          <a:off x="7209043"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110536</xdr:colOff>
      <xdr:row>75</xdr:row>
      <xdr:rowOff>99387</xdr:rowOff>
    </xdr:from>
    <xdr:to>
      <xdr:col>28</xdr:col>
      <xdr:colOff>110536</xdr:colOff>
      <xdr:row>75</xdr:row>
      <xdr:rowOff>231474</xdr:rowOff>
    </xdr:to>
    <xdr:cxnSp macro="">
      <xdr:nvCxnSpPr>
        <xdr:cNvPr id="24" name="直線コネクタ 23">
          <a:extLst>
            <a:ext uri="{FF2B5EF4-FFF2-40B4-BE49-F238E27FC236}">
              <a16:creationId xmlns:a16="http://schemas.microsoft.com/office/drawing/2014/main" id="{4712811A-E8DF-4A87-8B46-98BB3B39E270}"/>
            </a:ext>
          </a:extLst>
        </xdr:cNvPr>
        <xdr:cNvCxnSpPr/>
      </xdr:nvCxnSpPr>
      <xdr:spPr>
        <a:xfrm>
          <a:off x="6739936"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33145</xdr:colOff>
      <xdr:row>75</xdr:row>
      <xdr:rowOff>99387</xdr:rowOff>
    </xdr:from>
    <xdr:to>
      <xdr:col>28</xdr:col>
      <xdr:colOff>33145</xdr:colOff>
      <xdr:row>75</xdr:row>
      <xdr:rowOff>231474</xdr:rowOff>
    </xdr:to>
    <xdr:cxnSp macro="">
      <xdr:nvCxnSpPr>
        <xdr:cNvPr id="25" name="直線コネクタ 24">
          <a:extLst>
            <a:ext uri="{FF2B5EF4-FFF2-40B4-BE49-F238E27FC236}">
              <a16:creationId xmlns:a16="http://schemas.microsoft.com/office/drawing/2014/main" id="{FDD5CD2D-A77A-4731-ADF5-BAAECB8B130D}"/>
            </a:ext>
          </a:extLst>
        </xdr:cNvPr>
        <xdr:cNvCxnSpPr/>
      </xdr:nvCxnSpPr>
      <xdr:spPr>
        <a:xfrm>
          <a:off x="6662545"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75</xdr:row>
      <xdr:rowOff>117246</xdr:rowOff>
    </xdr:from>
    <xdr:to>
      <xdr:col>26</xdr:col>
      <xdr:colOff>12437</xdr:colOff>
      <xdr:row>76</xdr:row>
      <xdr:rowOff>9138</xdr:rowOff>
    </xdr:to>
    <xdr:cxnSp macro="">
      <xdr:nvCxnSpPr>
        <xdr:cNvPr id="26" name="直線コネクタ 25">
          <a:extLst>
            <a:ext uri="{FF2B5EF4-FFF2-40B4-BE49-F238E27FC236}">
              <a16:creationId xmlns:a16="http://schemas.microsoft.com/office/drawing/2014/main" id="{C79540F7-322D-4E75-A643-7B9F5E906351}"/>
            </a:ext>
          </a:extLst>
        </xdr:cNvPr>
        <xdr:cNvCxnSpPr/>
      </xdr:nvCxnSpPr>
      <xdr:spPr>
        <a:xfrm>
          <a:off x="6184637" y="3900782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20240</xdr:colOff>
      <xdr:row>75</xdr:row>
      <xdr:rowOff>155324</xdr:rowOff>
    </xdr:from>
    <xdr:to>
      <xdr:col>28</xdr:col>
      <xdr:colOff>32147</xdr:colOff>
      <xdr:row>75</xdr:row>
      <xdr:rowOff>155324</xdr:rowOff>
    </xdr:to>
    <xdr:cxnSp macro="">
      <xdr:nvCxnSpPr>
        <xdr:cNvPr id="27" name="直線矢印コネクタ 26">
          <a:extLst>
            <a:ext uri="{FF2B5EF4-FFF2-40B4-BE49-F238E27FC236}">
              <a16:creationId xmlns:a16="http://schemas.microsoft.com/office/drawing/2014/main" id="{79318D03-50DA-4804-8ADA-D0C4324891A0}"/>
            </a:ext>
          </a:extLst>
        </xdr:cNvPr>
        <xdr:cNvCxnSpPr/>
      </xdr:nvCxnSpPr>
      <xdr:spPr>
        <a:xfrm flipH="1">
          <a:off x="6192440" y="3904589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109537</xdr:colOff>
      <xdr:row>75</xdr:row>
      <xdr:rowOff>155324</xdr:rowOff>
    </xdr:from>
    <xdr:to>
      <xdr:col>30</xdr:col>
      <xdr:colOff>121443</xdr:colOff>
      <xdr:row>75</xdr:row>
      <xdr:rowOff>155324</xdr:rowOff>
    </xdr:to>
    <xdr:cxnSp macro="">
      <xdr:nvCxnSpPr>
        <xdr:cNvPr id="28" name="直線矢印コネクタ 27">
          <a:extLst>
            <a:ext uri="{FF2B5EF4-FFF2-40B4-BE49-F238E27FC236}">
              <a16:creationId xmlns:a16="http://schemas.microsoft.com/office/drawing/2014/main" id="{19B44017-4BC3-4D52-AAAB-AB43F0B9E608}"/>
            </a:ext>
          </a:extLst>
        </xdr:cNvPr>
        <xdr:cNvCxnSpPr/>
      </xdr:nvCxnSpPr>
      <xdr:spPr>
        <a:xfrm flipH="1">
          <a:off x="6738937" y="3904589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1116</xdr:colOff>
      <xdr:row>76</xdr:row>
      <xdr:rowOff>93953</xdr:rowOff>
    </xdr:from>
    <xdr:to>
      <xdr:col>33</xdr:col>
      <xdr:colOff>1116</xdr:colOff>
      <xdr:row>80</xdr:row>
      <xdr:rowOff>105097</xdr:rowOff>
    </xdr:to>
    <xdr:cxnSp macro="">
      <xdr:nvCxnSpPr>
        <xdr:cNvPr id="29" name="直線矢印コネクタ 28">
          <a:extLst>
            <a:ext uri="{FF2B5EF4-FFF2-40B4-BE49-F238E27FC236}">
              <a16:creationId xmlns:a16="http://schemas.microsoft.com/office/drawing/2014/main" id="{23ABEF3C-B0DE-4703-A52D-C1033885282E}"/>
            </a:ext>
          </a:extLst>
        </xdr:cNvPr>
        <xdr:cNvCxnSpPr/>
      </xdr:nvCxnSpPr>
      <xdr:spPr>
        <a:xfrm flipV="1">
          <a:off x="7773516" y="3922265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74719</xdr:colOff>
      <xdr:row>76</xdr:row>
      <xdr:rowOff>88540</xdr:rowOff>
    </xdr:from>
    <xdr:to>
      <xdr:col>33</xdr:col>
      <xdr:colOff>67142</xdr:colOff>
      <xdr:row>76</xdr:row>
      <xdr:rowOff>88540</xdr:rowOff>
    </xdr:to>
    <xdr:cxnSp macro="">
      <xdr:nvCxnSpPr>
        <xdr:cNvPr id="30" name="直線コネクタ 29">
          <a:extLst>
            <a:ext uri="{FF2B5EF4-FFF2-40B4-BE49-F238E27FC236}">
              <a16:creationId xmlns:a16="http://schemas.microsoft.com/office/drawing/2014/main" id="{C59537F3-355B-490A-942D-FC9D81256E13}"/>
            </a:ext>
          </a:extLst>
        </xdr:cNvPr>
        <xdr:cNvCxnSpPr/>
      </xdr:nvCxnSpPr>
      <xdr:spPr>
        <a:xfrm>
          <a:off x="7618519" y="3921724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92037</xdr:colOff>
      <xdr:row>80</xdr:row>
      <xdr:rowOff>97607</xdr:rowOff>
    </xdr:from>
    <xdr:to>
      <xdr:col>33</xdr:col>
      <xdr:colOff>86841</xdr:colOff>
      <xdr:row>80</xdr:row>
      <xdr:rowOff>97607</xdr:rowOff>
    </xdr:to>
    <xdr:cxnSp macro="">
      <xdr:nvCxnSpPr>
        <xdr:cNvPr id="31" name="直線コネクタ 30">
          <a:extLst>
            <a:ext uri="{FF2B5EF4-FFF2-40B4-BE49-F238E27FC236}">
              <a16:creationId xmlns:a16="http://schemas.microsoft.com/office/drawing/2014/main" id="{431499B2-710F-4953-A755-CF18826FFCC3}"/>
            </a:ext>
          </a:extLst>
        </xdr:cNvPr>
        <xdr:cNvCxnSpPr/>
      </xdr:nvCxnSpPr>
      <xdr:spPr>
        <a:xfrm>
          <a:off x="7635837" y="4017880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176640</xdr:colOff>
      <xdr:row>73</xdr:row>
      <xdr:rowOff>189530</xdr:rowOff>
    </xdr:from>
    <xdr:ext cx="270843" cy="254493"/>
    <xdr:sp macro="" textlink="">
      <xdr:nvSpPr>
        <xdr:cNvPr id="32" name="テキスト ボックス 31">
          <a:extLst>
            <a:ext uri="{FF2B5EF4-FFF2-40B4-BE49-F238E27FC236}">
              <a16:creationId xmlns:a16="http://schemas.microsoft.com/office/drawing/2014/main" id="{5EEB7244-FCF1-4DDC-853A-6E9CADD4B7B9}"/>
            </a:ext>
          </a:extLst>
        </xdr:cNvPr>
        <xdr:cNvSpPr txBox="1"/>
      </xdr:nvSpPr>
      <xdr:spPr>
        <a:xfrm>
          <a:off x="6577440" y="3860385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28</xdr:col>
      <xdr:colOff>190504</xdr:colOff>
      <xdr:row>74</xdr:row>
      <xdr:rowOff>188560</xdr:rowOff>
    </xdr:from>
    <xdr:ext cx="285399" cy="254493"/>
    <xdr:sp macro="" textlink="">
      <xdr:nvSpPr>
        <xdr:cNvPr id="33" name="テキスト ボックス 32">
          <a:extLst>
            <a:ext uri="{FF2B5EF4-FFF2-40B4-BE49-F238E27FC236}">
              <a16:creationId xmlns:a16="http://schemas.microsoft.com/office/drawing/2014/main" id="{AE76EB48-CC7F-454E-9DB9-E20F56510307}"/>
            </a:ext>
          </a:extLst>
        </xdr:cNvPr>
        <xdr:cNvSpPr txBox="1"/>
      </xdr:nvSpPr>
      <xdr:spPr>
        <a:xfrm>
          <a:off x="6819904" y="3884101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26</xdr:col>
      <xdr:colOff>100447</xdr:colOff>
      <xdr:row>74</xdr:row>
      <xdr:rowOff>189437</xdr:rowOff>
    </xdr:from>
    <xdr:ext cx="285399" cy="254493"/>
    <xdr:sp macro="" textlink="">
      <xdr:nvSpPr>
        <xdr:cNvPr id="34" name="テキスト ボックス 33">
          <a:extLst>
            <a:ext uri="{FF2B5EF4-FFF2-40B4-BE49-F238E27FC236}">
              <a16:creationId xmlns:a16="http://schemas.microsoft.com/office/drawing/2014/main" id="{C98966FF-39AF-42E6-834F-C48C498B9FDF}"/>
            </a:ext>
          </a:extLst>
        </xdr:cNvPr>
        <xdr:cNvSpPr txBox="1"/>
      </xdr:nvSpPr>
      <xdr:spPr>
        <a:xfrm>
          <a:off x="6272647" y="3884188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32</xdr:col>
      <xdr:colOff>203733</xdr:colOff>
      <xdr:row>77</xdr:row>
      <xdr:rowOff>182602</xdr:rowOff>
    </xdr:from>
    <xdr:ext cx="286553" cy="254493"/>
    <xdr:sp macro="" textlink="">
      <xdr:nvSpPr>
        <xdr:cNvPr id="35" name="テキスト ボックス 34">
          <a:extLst>
            <a:ext uri="{FF2B5EF4-FFF2-40B4-BE49-F238E27FC236}">
              <a16:creationId xmlns:a16="http://schemas.microsoft.com/office/drawing/2014/main" id="{66A80235-3BD5-4699-8C7D-2280A64A1708}"/>
            </a:ext>
          </a:extLst>
        </xdr:cNvPr>
        <xdr:cNvSpPr txBox="1"/>
      </xdr:nvSpPr>
      <xdr:spPr>
        <a:xfrm>
          <a:off x="7747533" y="3954942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25</xdr:col>
      <xdr:colOff>193963</xdr:colOff>
      <xdr:row>78</xdr:row>
      <xdr:rowOff>76616</xdr:rowOff>
    </xdr:from>
    <xdr:to>
      <xdr:col>30</xdr:col>
      <xdr:colOff>202623</xdr:colOff>
      <xdr:row>78</xdr:row>
      <xdr:rowOff>76616</xdr:rowOff>
    </xdr:to>
    <xdr:cxnSp macro="">
      <xdr:nvCxnSpPr>
        <xdr:cNvPr id="36" name="直線コネクタ 35">
          <a:extLst>
            <a:ext uri="{FF2B5EF4-FFF2-40B4-BE49-F238E27FC236}">
              <a16:creationId xmlns:a16="http://schemas.microsoft.com/office/drawing/2014/main" id="{1EA372B0-888F-46FF-A8F7-BE84CB134CD5}"/>
            </a:ext>
          </a:extLst>
        </xdr:cNvPr>
        <xdr:cNvCxnSpPr/>
      </xdr:nvCxnSpPr>
      <xdr:spPr>
        <a:xfrm>
          <a:off x="6137563" y="3968156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64075</xdr:colOff>
      <xdr:row>76</xdr:row>
      <xdr:rowOff>7358</xdr:rowOff>
    </xdr:from>
    <xdr:to>
      <xdr:col>28</xdr:col>
      <xdr:colOff>68405</xdr:colOff>
      <xdr:row>80</xdr:row>
      <xdr:rowOff>211072</xdr:rowOff>
    </xdr:to>
    <xdr:cxnSp macro="">
      <xdr:nvCxnSpPr>
        <xdr:cNvPr id="37" name="直線コネクタ 36">
          <a:extLst>
            <a:ext uri="{FF2B5EF4-FFF2-40B4-BE49-F238E27FC236}">
              <a16:creationId xmlns:a16="http://schemas.microsoft.com/office/drawing/2014/main" id="{A26FFB43-364F-42C7-B162-72D978212A4D}"/>
            </a:ext>
          </a:extLst>
        </xdr:cNvPr>
        <xdr:cNvCxnSpPr/>
      </xdr:nvCxnSpPr>
      <xdr:spPr>
        <a:xfrm flipH="1">
          <a:off x="6693475" y="3913605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3574</xdr:colOff>
      <xdr:row>77</xdr:row>
      <xdr:rowOff>148830</xdr:rowOff>
    </xdr:from>
    <xdr:ext cx="768159" cy="328423"/>
    <xdr:sp macro="" textlink="">
      <xdr:nvSpPr>
        <xdr:cNvPr id="38" name="テキスト ボックス 37">
          <a:extLst>
            <a:ext uri="{FF2B5EF4-FFF2-40B4-BE49-F238E27FC236}">
              <a16:creationId xmlns:a16="http://schemas.microsoft.com/office/drawing/2014/main" id="{B126436B-6FB7-4F85-9E26-0BA894B8F045}"/>
            </a:ext>
          </a:extLst>
        </xdr:cNvPr>
        <xdr:cNvSpPr txBox="1"/>
      </xdr:nvSpPr>
      <xdr:spPr>
        <a:xfrm>
          <a:off x="5489974" y="3951565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26</xdr:col>
      <xdr:colOff>219077</xdr:colOff>
      <xdr:row>80</xdr:row>
      <xdr:rowOff>132160</xdr:rowOff>
    </xdr:from>
    <xdr:ext cx="760208" cy="328423"/>
    <xdr:sp macro="" textlink="">
      <xdr:nvSpPr>
        <xdr:cNvPr id="39" name="テキスト ボックス 38">
          <a:extLst>
            <a:ext uri="{FF2B5EF4-FFF2-40B4-BE49-F238E27FC236}">
              <a16:creationId xmlns:a16="http://schemas.microsoft.com/office/drawing/2014/main" id="{9A05B75C-8A02-4893-8D69-8D61D9CC5CEC}"/>
            </a:ext>
          </a:extLst>
        </xdr:cNvPr>
        <xdr:cNvSpPr txBox="1"/>
      </xdr:nvSpPr>
      <xdr:spPr>
        <a:xfrm>
          <a:off x="6391277" y="4021336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30</xdr:col>
      <xdr:colOff>172689</xdr:colOff>
      <xdr:row>76</xdr:row>
      <xdr:rowOff>88540</xdr:rowOff>
    </xdr:from>
    <xdr:to>
      <xdr:col>31</xdr:col>
      <xdr:colOff>165112</xdr:colOff>
      <xdr:row>76</xdr:row>
      <xdr:rowOff>88540</xdr:rowOff>
    </xdr:to>
    <xdr:cxnSp macro="">
      <xdr:nvCxnSpPr>
        <xdr:cNvPr id="40" name="直線コネクタ 39">
          <a:extLst>
            <a:ext uri="{FF2B5EF4-FFF2-40B4-BE49-F238E27FC236}">
              <a16:creationId xmlns:a16="http://schemas.microsoft.com/office/drawing/2014/main" id="{0E841579-7848-467A-A0F6-9A5AF71FA842}"/>
            </a:ext>
          </a:extLst>
        </xdr:cNvPr>
        <xdr:cNvCxnSpPr/>
      </xdr:nvCxnSpPr>
      <xdr:spPr>
        <a:xfrm>
          <a:off x="7259289" y="3921724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172689</xdr:colOff>
      <xdr:row>76</xdr:row>
      <xdr:rowOff>217807</xdr:rowOff>
    </xdr:from>
    <xdr:to>
      <xdr:col>31</xdr:col>
      <xdr:colOff>165112</xdr:colOff>
      <xdr:row>76</xdr:row>
      <xdr:rowOff>217807</xdr:rowOff>
    </xdr:to>
    <xdr:cxnSp macro="">
      <xdr:nvCxnSpPr>
        <xdr:cNvPr id="41" name="直線コネクタ 40">
          <a:extLst>
            <a:ext uri="{FF2B5EF4-FFF2-40B4-BE49-F238E27FC236}">
              <a16:creationId xmlns:a16="http://schemas.microsoft.com/office/drawing/2014/main" id="{E703466D-B6F4-43DC-9EEE-DD8D68351C33}"/>
            </a:ext>
          </a:extLst>
        </xdr:cNvPr>
        <xdr:cNvCxnSpPr/>
      </xdr:nvCxnSpPr>
      <xdr:spPr>
        <a:xfrm>
          <a:off x="7259289" y="3934650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76</xdr:row>
      <xdr:rowOff>217778</xdr:rowOff>
    </xdr:from>
    <xdr:to>
      <xdr:col>31</xdr:col>
      <xdr:colOff>82759</xdr:colOff>
      <xdr:row>77</xdr:row>
      <xdr:rowOff>213632</xdr:rowOff>
    </xdr:to>
    <xdr:cxnSp macro="">
      <xdr:nvCxnSpPr>
        <xdr:cNvPr id="42" name="直線矢印コネクタ 41">
          <a:extLst>
            <a:ext uri="{FF2B5EF4-FFF2-40B4-BE49-F238E27FC236}">
              <a16:creationId xmlns:a16="http://schemas.microsoft.com/office/drawing/2014/main" id="{A92289EA-10E4-4233-A36E-3549CD2CE7E8}"/>
            </a:ext>
          </a:extLst>
        </xdr:cNvPr>
        <xdr:cNvCxnSpPr/>
      </xdr:nvCxnSpPr>
      <xdr:spPr>
        <a:xfrm flipV="1">
          <a:off x="7397959" y="3934647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75</xdr:row>
      <xdr:rowOff>93953</xdr:rowOff>
    </xdr:from>
    <xdr:to>
      <xdr:col>31</xdr:col>
      <xdr:colOff>82759</xdr:colOff>
      <xdr:row>76</xdr:row>
      <xdr:rowOff>89808</xdr:rowOff>
    </xdr:to>
    <xdr:cxnSp macro="">
      <xdr:nvCxnSpPr>
        <xdr:cNvPr id="43" name="直線矢印コネクタ 42">
          <a:extLst>
            <a:ext uri="{FF2B5EF4-FFF2-40B4-BE49-F238E27FC236}">
              <a16:creationId xmlns:a16="http://schemas.microsoft.com/office/drawing/2014/main" id="{EF58E233-9623-4087-B58E-294A5AC66FE4}"/>
            </a:ext>
          </a:extLst>
        </xdr:cNvPr>
        <xdr:cNvCxnSpPr/>
      </xdr:nvCxnSpPr>
      <xdr:spPr>
        <a:xfrm flipV="1">
          <a:off x="7397959" y="3898452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99102</xdr:colOff>
      <xdr:row>76</xdr:row>
      <xdr:rowOff>8055</xdr:rowOff>
    </xdr:from>
    <xdr:ext cx="254044" cy="254493"/>
    <xdr:sp macro="" textlink="">
      <xdr:nvSpPr>
        <xdr:cNvPr id="44" name="テキスト ボックス 43">
          <a:extLst>
            <a:ext uri="{FF2B5EF4-FFF2-40B4-BE49-F238E27FC236}">
              <a16:creationId xmlns:a16="http://schemas.microsoft.com/office/drawing/2014/main" id="{D4406A09-C1F7-4665-92DB-CBCA8D65CDC5}"/>
            </a:ext>
          </a:extLst>
        </xdr:cNvPr>
        <xdr:cNvSpPr txBox="1"/>
      </xdr:nvSpPr>
      <xdr:spPr>
        <a:xfrm>
          <a:off x="7414302" y="3913675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673044</xdr:colOff>
      <xdr:row>180</xdr:row>
      <xdr:rowOff>133053</xdr:rowOff>
    </xdr:from>
    <xdr:to>
      <xdr:col>5</xdr:col>
      <xdr:colOff>302591</xdr:colOff>
      <xdr:row>180</xdr:row>
      <xdr:rowOff>133053</xdr:rowOff>
    </xdr:to>
    <xdr:cxnSp macro="">
      <xdr:nvCxnSpPr>
        <xdr:cNvPr id="2" name="直線コネクタ 1">
          <a:extLst>
            <a:ext uri="{FF2B5EF4-FFF2-40B4-BE49-F238E27FC236}">
              <a16:creationId xmlns:a16="http://schemas.microsoft.com/office/drawing/2014/main" id="{3EF0C12D-DB71-49AF-BFDC-7F798C89EFEF}"/>
            </a:ext>
          </a:extLst>
        </xdr:cNvPr>
        <xdr:cNvCxnSpPr/>
      </xdr:nvCxnSpPr>
      <xdr:spPr>
        <a:xfrm>
          <a:off x="2730444" y="45005328"/>
          <a:ext cx="100114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184</xdr:row>
      <xdr:rowOff>114906</xdr:rowOff>
    </xdr:from>
    <xdr:to>
      <xdr:col>5</xdr:col>
      <xdr:colOff>304972</xdr:colOff>
      <xdr:row>184</xdr:row>
      <xdr:rowOff>114906</xdr:rowOff>
    </xdr:to>
    <xdr:cxnSp macro="">
      <xdr:nvCxnSpPr>
        <xdr:cNvPr id="3" name="直線コネクタ 2">
          <a:extLst>
            <a:ext uri="{FF2B5EF4-FFF2-40B4-BE49-F238E27FC236}">
              <a16:creationId xmlns:a16="http://schemas.microsoft.com/office/drawing/2014/main" id="{5DC0DC1F-2B25-4006-AF5B-012D36F8E593}"/>
            </a:ext>
          </a:extLst>
        </xdr:cNvPr>
        <xdr:cNvCxnSpPr/>
      </xdr:nvCxnSpPr>
      <xdr:spPr>
        <a:xfrm>
          <a:off x="2730444" y="45939681"/>
          <a:ext cx="10035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181</xdr:row>
      <xdr:rowOff>18548</xdr:rowOff>
    </xdr:from>
    <xdr:to>
      <xdr:col>4</xdr:col>
      <xdr:colOff>401912</xdr:colOff>
      <xdr:row>181</xdr:row>
      <xdr:rowOff>19463</xdr:rowOff>
    </xdr:to>
    <xdr:cxnSp macro="">
      <xdr:nvCxnSpPr>
        <xdr:cNvPr id="4" name="直線コネクタ 3">
          <a:extLst>
            <a:ext uri="{FF2B5EF4-FFF2-40B4-BE49-F238E27FC236}">
              <a16:creationId xmlns:a16="http://schemas.microsoft.com/office/drawing/2014/main" id="{D5931AA0-8DEE-4737-8502-B0CFA2752511}"/>
            </a:ext>
          </a:extLst>
        </xdr:cNvPr>
        <xdr:cNvCxnSpPr>
          <a:endCxn id="14" idx="0"/>
        </xdr:cNvCxnSpPr>
      </xdr:nvCxnSpPr>
      <xdr:spPr>
        <a:xfrm flipV="1">
          <a:off x="2730444" y="45128948"/>
          <a:ext cx="414668"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673044</xdr:colOff>
      <xdr:row>183</xdr:row>
      <xdr:rowOff>225873</xdr:rowOff>
    </xdr:from>
    <xdr:to>
      <xdr:col>4</xdr:col>
      <xdr:colOff>401242</xdr:colOff>
      <xdr:row>183</xdr:row>
      <xdr:rowOff>225873</xdr:rowOff>
    </xdr:to>
    <xdr:cxnSp macro="">
      <xdr:nvCxnSpPr>
        <xdr:cNvPr id="5" name="直線コネクタ 4">
          <a:extLst>
            <a:ext uri="{FF2B5EF4-FFF2-40B4-BE49-F238E27FC236}">
              <a16:creationId xmlns:a16="http://schemas.microsoft.com/office/drawing/2014/main" id="{CE6246F3-4D28-4EF5-9698-8AF1768ED9BD}"/>
            </a:ext>
          </a:extLst>
        </xdr:cNvPr>
        <xdr:cNvCxnSpPr/>
      </xdr:nvCxnSpPr>
      <xdr:spPr>
        <a:xfrm>
          <a:off x="2730444" y="45812523"/>
          <a:ext cx="41399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575415</xdr:colOff>
      <xdr:row>181</xdr:row>
      <xdr:rowOff>19463</xdr:rowOff>
    </xdr:from>
    <xdr:to>
      <xdr:col>5</xdr:col>
      <xdr:colOff>304972</xdr:colOff>
      <xdr:row>181</xdr:row>
      <xdr:rowOff>19463</xdr:rowOff>
    </xdr:to>
    <xdr:cxnSp macro="">
      <xdr:nvCxnSpPr>
        <xdr:cNvPr id="6" name="直線コネクタ 5">
          <a:extLst>
            <a:ext uri="{FF2B5EF4-FFF2-40B4-BE49-F238E27FC236}">
              <a16:creationId xmlns:a16="http://schemas.microsoft.com/office/drawing/2014/main" id="{86CFF7CB-D2F4-41C0-A953-D323E203DF8E}"/>
            </a:ext>
          </a:extLst>
        </xdr:cNvPr>
        <xdr:cNvCxnSpPr/>
      </xdr:nvCxnSpPr>
      <xdr:spPr>
        <a:xfrm>
          <a:off x="3318615" y="45129863"/>
          <a:ext cx="4153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577796</xdr:colOff>
      <xdr:row>183</xdr:row>
      <xdr:rowOff>225873</xdr:rowOff>
    </xdr:from>
    <xdr:to>
      <xdr:col>5</xdr:col>
      <xdr:colOff>302591</xdr:colOff>
      <xdr:row>183</xdr:row>
      <xdr:rowOff>225873</xdr:rowOff>
    </xdr:to>
    <xdr:cxnSp macro="">
      <xdr:nvCxnSpPr>
        <xdr:cNvPr id="7" name="直線コネクタ 6">
          <a:extLst>
            <a:ext uri="{FF2B5EF4-FFF2-40B4-BE49-F238E27FC236}">
              <a16:creationId xmlns:a16="http://schemas.microsoft.com/office/drawing/2014/main" id="{14070F2E-E515-4CC1-9893-10B657B0BA38}"/>
            </a:ext>
          </a:extLst>
        </xdr:cNvPr>
        <xdr:cNvCxnSpPr/>
      </xdr:nvCxnSpPr>
      <xdr:spPr>
        <a:xfrm>
          <a:off x="3320996" y="45812523"/>
          <a:ext cx="4105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447980</xdr:colOff>
      <xdr:row>181</xdr:row>
      <xdr:rowOff>64339</xdr:rowOff>
    </xdr:from>
    <xdr:to>
      <xdr:col>4</xdr:col>
      <xdr:colOff>447980</xdr:colOff>
      <xdr:row>183</xdr:row>
      <xdr:rowOff>184080</xdr:rowOff>
    </xdr:to>
    <xdr:cxnSp macro="">
      <xdr:nvCxnSpPr>
        <xdr:cNvPr id="8" name="直線コネクタ 7">
          <a:extLst>
            <a:ext uri="{FF2B5EF4-FFF2-40B4-BE49-F238E27FC236}">
              <a16:creationId xmlns:a16="http://schemas.microsoft.com/office/drawing/2014/main" id="{2E4DDBF5-729F-4871-AB72-7A1D1D90A7F7}"/>
            </a:ext>
          </a:extLst>
        </xdr:cNvPr>
        <xdr:cNvCxnSpPr/>
      </xdr:nvCxnSpPr>
      <xdr:spPr>
        <a:xfrm>
          <a:off x="3191180" y="45174739"/>
          <a:ext cx="0" cy="5959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524631</xdr:colOff>
      <xdr:row>181</xdr:row>
      <xdr:rowOff>66131</xdr:rowOff>
    </xdr:from>
    <xdr:to>
      <xdr:col>4</xdr:col>
      <xdr:colOff>524631</xdr:colOff>
      <xdr:row>183</xdr:row>
      <xdr:rowOff>184080</xdr:rowOff>
    </xdr:to>
    <xdr:cxnSp macro="">
      <xdr:nvCxnSpPr>
        <xdr:cNvPr id="9" name="直線コネクタ 8">
          <a:extLst>
            <a:ext uri="{FF2B5EF4-FFF2-40B4-BE49-F238E27FC236}">
              <a16:creationId xmlns:a16="http://schemas.microsoft.com/office/drawing/2014/main" id="{5452A949-C4CD-44CF-B784-EA79C0E5DFED}"/>
            </a:ext>
          </a:extLst>
        </xdr:cNvPr>
        <xdr:cNvCxnSpPr/>
      </xdr:nvCxnSpPr>
      <xdr:spPr>
        <a:xfrm>
          <a:off x="3267831" y="45176531"/>
          <a:ext cx="0" cy="594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671194</xdr:colOff>
      <xdr:row>180</xdr:row>
      <xdr:rowOff>121175</xdr:rowOff>
    </xdr:from>
    <xdr:to>
      <xdr:col>3</xdr:col>
      <xdr:colOff>671194</xdr:colOff>
      <xdr:row>181</xdr:row>
      <xdr:rowOff>19152</xdr:rowOff>
    </xdr:to>
    <xdr:cxnSp macro="">
      <xdr:nvCxnSpPr>
        <xdr:cNvPr id="10" name="直線コネクタ 9">
          <a:extLst>
            <a:ext uri="{FF2B5EF4-FFF2-40B4-BE49-F238E27FC236}">
              <a16:creationId xmlns:a16="http://schemas.microsoft.com/office/drawing/2014/main" id="{C891E933-8FA7-42D2-9D9E-69A7BDC0DD21}"/>
            </a:ext>
          </a:extLst>
        </xdr:cNvPr>
        <xdr:cNvCxnSpPr/>
      </xdr:nvCxnSpPr>
      <xdr:spPr>
        <a:xfrm>
          <a:off x="2728594" y="44993450"/>
          <a:ext cx="0" cy="1361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676029</xdr:colOff>
      <xdr:row>183</xdr:row>
      <xdr:rowOff>222400</xdr:rowOff>
    </xdr:from>
    <xdr:to>
      <xdr:col>3</xdr:col>
      <xdr:colOff>676029</xdr:colOff>
      <xdr:row>184</xdr:row>
      <xdr:rowOff>107145</xdr:rowOff>
    </xdr:to>
    <xdr:cxnSp macro="">
      <xdr:nvCxnSpPr>
        <xdr:cNvPr id="11" name="直線コネクタ 10">
          <a:extLst>
            <a:ext uri="{FF2B5EF4-FFF2-40B4-BE49-F238E27FC236}">
              <a16:creationId xmlns:a16="http://schemas.microsoft.com/office/drawing/2014/main" id="{E80F65CC-AF83-4C9F-A57B-62883489DEF2}"/>
            </a:ext>
          </a:extLst>
        </xdr:cNvPr>
        <xdr:cNvCxnSpPr/>
      </xdr:nvCxnSpPr>
      <xdr:spPr>
        <a:xfrm>
          <a:off x="2733429" y="45809050"/>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303590</xdr:colOff>
      <xdr:row>180</xdr:row>
      <xdr:rowOff>121175</xdr:rowOff>
    </xdr:from>
    <xdr:to>
      <xdr:col>5</xdr:col>
      <xdr:colOff>303590</xdr:colOff>
      <xdr:row>181</xdr:row>
      <xdr:rowOff>19152</xdr:rowOff>
    </xdr:to>
    <xdr:cxnSp macro="">
      <xdr:nvCxnSpPr>
        <xdr:cNvPr id="12" name="直線コネクタ 11">
          <a:extLst>
            <a:ext uri="{FF2B5EF4-FFF2-40B4-BE49-F238E27FC236}">
              <a16:creationId xmlns:a16="http://schemas.microsoft.com/office/drawing/2014/main" id="{571DA753-7DC1-4E39-B8D5-6353FF790D19}"/>
            </a:ext>
          </a:extLst>
        </xdr:cNvPr>
        <xdr:cNvCxnSpPr/>
      </xdr:nvCxnSpPr>
      <xdr:spPr>
        <a:xfrm>
          <a:off x="3732590" y="44993450"/>
          <a:ext cx="0" cy="1361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303060</xdr:colOff>
      <xdr:row>183</xdr:row>
      <xdr:rowOff>222400</xdr:rowOff>
    </xdr:from>
    <xdr:to>
      <xdr:col>5</xdr:col>
      <xdr:colOff>303060</xdr:colOff>
      <xdr:row>184</xdr:row>
      <xdr:rowOff>107145</xdr:rowOff>
    </xdr:to>
    <xdr:cxnSp macro="">
      <xdr:nvCxnSpPr>
        <xdr:cNvPr id="13" name="直線コネクタ 12">
          <a:extLst>
            <a:ext uri="{FF2B5EF4-FFF2-40B4-BE49-F238E27FC236}">
              <a16:creationId xmlns:a16="http://schemas.microsoft.com/office/drawing/2014/main" id="{36816B0B-FA71-46ED-8971-E3D4C6D75C0C}"/>
            </a:ext>
          </a:extLst>
        </xdr:cNvPr>
        <xdr:cNvCxnSpPr/>
      </xdr:nvCxnSpPr>
      <xdr:spPr>
        <a:xfrm>
          <a:off x="3732060" y="45809050"/>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350665</xdr:colOff>
      <xdr:row>181</xdr:row>
      <xdr:rowOff>18548</xdr:rowOff>
    </xdr:from>
    <xdr:to>
      <xdr:col>4</xdr:col>
      <xdr:colOff>448057</xdr:colOff>
      <xdr:row>181</xdr:row>
      <xdr:rowOff>118434</xdr:rowOff>
    </xdr:to>
    <xdr:sp macro="" textlink="">
      <xdr:nvSpPr>
        <xdr:cNvPr id="14" name="円弧 13">
          <a:extLst>
            <a:ext uri="{FF2B5EF4-FFF2-40B4-BE49-F238E27FC236}">
              <a16:creationId xmlns:a16="http://schemas.microsoft.com/office/drawing/2014/main" id="{D37FF15F-FEB6-4DEF-8C27-72FA0E8713AA}"/>
            </a:ext>
          </a:extLst>
        </xdr:cNvPr>
        <xdr:cNvSpPr/>
      </xdr:nvSpPr>
      <xdr:spPr>
        <a:xfrm>
          <a:off x="3093865" y="45128948"/>
          <a:ext cx="97392"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524260</xdr:colOff>
      <xdr:row>181</xdr:row>
      <xdr:rowOff>13353</xdr:rowOff>
    </xdr:from>
    <xdr:to>
      <xdr:col>4</xdr:col>
      <xdr:colOff>627124</xdr:colOff>
      <xdr:row>181</xdr:row>
      <xdr:rowOff>122764</xdr:rowOff>
    </xdr:to>
    <xdr:sp macro="" textlink="">
      <xdr:nvSpPr>
        <xdr:cNvPr id="15" name="円弧 14">
          <a:extLst>
            <a:ext uri="{FF2B5EF4-FFF2-40B4-BE49-F238E27FC236}">
              <a16:creationId xmlns:a16="http://schemas.microsoft.com/office/drawing/2014/main" id="{D8E4CB03-2C9E-4DE8-88BD-AEFA46BB9543}"/>
            </a:ext>
          </a:extLst>
        </xdr:cNvPr>
        <xdr:cNvSpPr/>
      </xdr:nvSpPr>
      <xdr:spPr>
        <a:xfrm flipH="1">
          <a:off x="3267460" y="45123753"/>
          <a:ext cx="102864" cy="109411"/>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524255</xdr:colOff>
      <xdr:row>183</xdr:row>
      <xdr:rowOff>124549</xdr:rowOff>
    </xdr:from>
    <xdr:to>
      <xdr:col>4</xdr:col>
      <xdr:colOff>636644</xdr:colOff>
      <xdr:row>183</xdr:row>
      <xdr:rowOff>226738</xdr:rowOff>
    </xdr:to>
    <xdr:sp macro="" textlink="">
      <xdr:nvSpPr>
        <xdr:cNvPr id="16" name="円弧 15">
          <a:extLst>
            <a:ext uri="{FF2B5EF4-FFF2-40B4-BE49-F238E27FC236}">
              <a16:creationId xmlns:a16="http://schemas.microsoft.com/office/drawing/2014/main" id="{F73951F6-8BEA-4A8F-811F-784CFD7AA822}"/>
            </a:ext>
          </a:extLst>
        </xdr:cNvPr>
        <xdr:cNvSpPr/>
      </xdr:nvSpPr>
      <xdr:spPr>
        <a:xfrm flipH="1" flipV="1">
          <a:off x="3267455" y="45711199"/>
          <a:ext cx="112389" cy="102189"/>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346472</xdr:colOff>
      <xdr:row>183</xdr:row>
      <xdr:rowOff>124548</xdr:rowOff>
    </xdr:from>
    <xdr:to>
      <xdr:col>4</xdr:col>
      <xdr:colOff>448054</xdr:colOff>
      <xdr:row>183</xdr:row>
      <xdr:rowOff>226737</xdr:rowOff>
    </xdr:to>
    <xdr:sp macro="" textlink="">
      <xdr:nvSpPr>
        <xdr:cNvPr id="17" name="円弧 16">
          <a:extLst>
            <a:ext uri="{FF2B5EF4-FFF2-40B4-BE49-F238E27FC236}">
              <a16:creationId xmlns:a16="http://schemas.microsoft.com/office/drawing/2014/main" id="{D31DBCD4-1C85-496F-A0A7-B9EDEF151AA3}"/>
            </a:ext>
          </a:extLst>
        </xdr:cNvPr>
        <xdr:cNvSpPr/>
      </xdr:nvSpPr>
      <xdr:spPr>
        <a:xfrm flipV="1">
          <a:off x="3089672" y="45711198"/>
          <a:ext cx="101582" cy="102189"/>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678997</xdr:colOff>
      <xdr:row>178</xdr:row>
      <xdr:rowOff>221468</xdr:rowOff>
    </xdr:from>
    <xdr:to>
      <xdr:col>5</xdr:col>
      <xdr:colOff>302590</xdr:colOff>
      <xdr:row>178</xdr:row>
      <xdr:rowOff>221468</xdr:rowOff>
    </xdr:to>
    <xdr:cxnSp macro="">
      <xdr:nvCxnSpPr>
        <xdr:cNvPr id="18" name="直線矢印コネクタ 17">
          <a:extLst>
            <a:ext uri="{FF2B5EF4-FFF2-40B4-BE49-F238E27FC236}">
              <a16:creationId xmlns:a16="http://schemas.microsoft.com/office/drawing/2014/main" id="{3CCB8E40-31AD-4D51-9D88-5E491C7CBFE1}"/>
            </a:ext>
          </a:extLst>
        </xdr:cNvPr>
        <xdr:cNvCxnSpPr/>
      </xdr:nvCxnSpPr>
      <xdr:spPr>
        <a:xfrm flipH="1">
          <a:off x="2736397" y="44617493"/>
          <a:ext cx="99519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303590</xdr:colOff>
      <xdr:row>178</xdr:row>
      <xdr:rowOff>163460</xdr:rowOff>
    </xdr:from>
    <xdr:to>
      <xdr:col>5</xdr:col>
      <xdr:colOff>303590</xdr:colOff>
      <xdr:row>179</xdr:row>
      <xdr:rowOff>51913</xdr:rowOff>
    </xdr:to>
    <xdr:cxnSp macro="">
      <xdr:nvCxnSpPr>
        <xdr:cNvPr id="19" name="直線コネクタ 18">
          <a:extLst>
            <a:ext uri="{FF2B5EF4-FFF2-40B4-BE49-F238E27FC236}">
              <a16:creationId xmlns:a16="http://schemas.microsoft.com/office/drawing/2014/main" id="{263DAC2F-872F-423F-8DEC-BD611354AFE5}"/>
            </a:ext>
          </a:extLst>
        </xdr:cNvPr>
        <xdr:cNvCxnSpPr/>
      </xdr:nvCxnSpPr>
      <xdr:spPr>
        <a:xfrm>
          <a:off x="3732590" y="44559485"/>
          <a:ext cx="0" cy="1265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671194</xdr:colOff>
      <xdr:row>178</xdr:row>
      <xdr:rowOff>169413</xdr:rowOff>
    </xdr:from>
    <xdr:to>
      <xdr:col>3</xdr:col>
      <xdr:colOff>671194</xdr:colOff>
      <xdr:row>179</xdr:row>
      <xdr:rowOff>55795</xdr:rowOff>
    </xdr:to>
    <xdr:cxnSp macro="">
      <xdr:nvCxnSpPr>
        <xdr:cNvPr id="20" name="直線コネクタ 19">
          <a:extLst>
            <a:ext uri="{FF2B5EF4-FFF2-40B4-BE49-F238E27FC236}">
              <a16:creationId xmlns:a16="http://schemas.microsoft.com/office/drawing/2014/main" id="{F5138282-0346-4A24-9BF8-CF5E600B098B}"/>
            </a:ext>
          </a:extLst>
        </xdr:cNvPr>
        <xdr:cNvCxnSpPr/>
      </xdr:nvCxnSpPr>
      <xdr:spPr>
        <a:xfrm>
          <a:off x="2728594" y="44565438"/>
          <a:ext cx="0" cy="1245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169676</xdr:colOff>
      <xdr:row>180</xdr:row>
      <xdr:rowOff>138466</xdr:rowOff>
    </xdr:from>
    <xdr:to>
      <xdr:col>6</xdr:col>
      <xdr:colOff>169676</xdr:colOff>
      <xdr:row>184</xdr:row>
      <xdr:rowOff>122396</xdr:rowOff>
    </xdr:to>
    <xdr:cxnSp macro="">
      <xdr:nvCxnSpPr>
        <xdr:cNvPr id="21" name="直線矢印コネクタ 20">
          <a:extLst>
            <a:ext uri="{FF2B5EF4-FFF2-40B4-BE49-F238E27FC236}">
              <a16:creationId xmlns:a16="http://schemas.microsoft.com/office/drawing/2014/main" id="{C7B730ED-33AF-4E56-ACB6-4B655458C8EE}"/>
            </a:ext>
          </a:extLst>
        </xdr:cNvPr>
        <xdr:cNvCxnSpPr/>
      </xdr:nvCxnSpPr>
      <xdr:spPr>
        <a:xfrm flipV="1">
          <a:off x="4284476" y="45010741"/>
          <a:ext cx="0" cy="93643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17060</xdr:colOff>
      <xdr:row>180</xdr:row>
      <xdr:rowOff>133053</xdr:rowOff>
    </xdr:from>
    <xdr:to>
      <xdr:col>6</xdr:col>
      <xdr:colOff>232980</xdr:colOff>
      <xdr:row>180</xdr:row>
      <xdr:rowOff>133053</xdr:rowOff>
    </xdr:to>
    <xdr:cxnSp macro="">
      <xdr:nvCxnSpPr>
        <xdr:cNvPr id="22" name="直線コネクタ 21">
          <a:extLst>
            <a:ext uri="{FF2B5EF4-FFF2-40B4-BE49-F238E27FC236}">
              <a16:creationId xmlns:a16="http://schemas.microsoft.com/office/drawing/2014/main" id="{C9259504-2985-4B1F-954B-3791D31D977D}"/>
            </a:ext>
          </a:extLst>
        </xdr:cNvPr>
        <xdr:cNvCxnSpPr/>
      </xdr:nvCxnSpPr>
      <xdr:spPr>
        <a:xfrm>
          <a:off x="4131860" y="45005328"/>
          <a:ext cx="2159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34378</xdr:colOff>
      <xdr:row>184</xdr:row>
      <xdr:rowOff>114906</xdr:rowOff>
    </xdr:from>
    <xdr:to>
      <xdr:col>6</xdr:col>
      <xdr:colOff>252679</xdr:colOff>
      <xdr:row>184</xdr:row>
      <xdr:rowOff>114906</xdr:rowOff>
    </xdr:to>
    <xdr:cxnSp macro="">
      <xdr:nvCxnSpPr>
        <xdr:cNvPr id="23" name="直線コネクタ 22">
          <a:extLst>
            <a:ext uri="{FF2B5EF4-FFF2-40B4-BE49-F238E27FC236}">
              <a16:creationId xmlns:a16="http://schemas.microsoft.com/office/drawing/2014/main" id="{BBC7B3C8-CA83-4A5B-82D4-213356C7C8CA}"/>
            </a:ext>
          </a:extLst>
        </xdr:cNvPr>
        <xdr:cNvCxnSpPr/>
      </xdr:nvCxnSpPr>
      <xdr:spPr>
        <a:xfrm>
          <a:off x="4149178" y="45939681"/>
          <a:ext cx="218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373094</xdr:colOff>
      <xdr:row>178</xdr:row>
      <xdr:rowOff>0</xdr:rowOff>
    </xdr:from>
    <xdr:ext cx="270843" cy="254493"/>
    <xdr:sp macro="" textlink="">
      <xdr:nvSpPr>
        <xdr:cNvPr id="24" name="テキスト ボックス 23">
          <a:extLst>
            <a:ext uri="{FF2B5EF4-FFF2-40B4-BE49-F238E27FC236}">
              <a16:creationId xmlns:a16="http://schemas.microsoft.com/office/drawing/2014/main" id="{9B50D1F7-40F0-4A8A-B2E4-576A5333E5C5}"/>
            </a:ext>
          </a:extLst>
        </xdr:cNvPr>
        <xdr:cNvSpPr txBox="1"/>
      </xdr:nvSpPr>
      <xdr:spPr>
        <a:xfrm>
          <a:off x="3116294" y="4439602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6</xdr:col>
      <xdr:colOff>146074</xdr:colOff>
      <xdr:row>181</xdr:row>
      <xdr:rowOff>220311</xdr:rowOff>
    </xdr:from>
    <xdr:ext cx="286553" cy="254493"/>
    <xdr:sp macro="" textlink="">
      <xdr:nvSpPr>
        <xdr:cNvPr id="25" name="テキスト ボックス 24">
          <a:extLst>
            <a:ext uri="{FF2B5EF4-FFF2-40B4-BE49-F238E27FC236}">
              <a16:creationId xmlns:a16="http://schemas.microsoft.com/office/drawing/2014/main" id="{921B7EFF-FC13-4D7A-B4C6-ED118F13C933}"/>
            </a:ext>
          </a:extLst>
        </xdr:cNvPr>
        <xdr:cNvSpPr txBox="1"/>
      </xdr:nvSpPr>
      <xdr:spPr>
        <a:xfrm>
          <a:off x="4260874" y="45330711"/>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3</xdr:col>
      <xdr:colOff>629223</xdr:colOff>
      <xdr:row>182</xdr:row>
      <xdr:rowOff>107522</xdr:rowOff>
    </xdr:from>
    <xdr:to>
      <xdr:col>5</xdr:col>
      <xdr:colOff>383770</xdr:colOff>
      <xdr:row>182</xdr:row>
      <xdr:rowOff>107522</xdr:rowOff>
    </xdr:to>
    <xdr:cxnSp macro="">
      <xdr:nvCxnSpPr>
        <xdr:cNvPr id="26" name="直線コネクタ 25">
          <a:extLst>
            <a:ext uri="{FF2B5EF4-FFF2-40B4-BE49-F238E27FC236}">
              <a16:creationId xmlns:a16="http://schemas.microsoft.com/office/drawing/2014/main" id="{C2443DA8-8C26-42AB-B4E6-CAD0F3EDEB4F}"/>
            </a:ext>
          </a:extLst>
        </xdr:cNvPr>
        <xdr:cNvCxnSpPr/>
      </xdr:nvCxnSpPr>
      <xdr:spPr>
        <a:xfrm>
          <a:off x="2686623" y="45456047"/>
          <a:ext cx="1126147"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484027</xdr:colOff>
      <xdr:row>180</xdr:row>
      <xdr:rowOff>51871</xdr:rowOff>
    </xdr:from>
    <xdr:to>
      <xdr:col>4</xdr:col>
      <xdr:colOff>488357</xdr:colOff>
      <xdr:row>185</xdr:row>
      <xdr:rowOff>220476</xdr:rowOff>
    </xdr:to>
    <xdr:cxnSp macro="">
      <xdr:nvCxnSpPr>
        <xdr:cNvPr id="27" name="直線コネクタ 26">
          <a:extLst>
            <a:ext uri="{FF2B5EF4-FFF2-40B4-BE49-F238E27FC236}">
              <a16:creationId xmlns:a16="http://schemas.microsoft.com/office/drawing/2014/main" id="{61FF63BB-F781-4370-B5CA-233D8D9B7CAC}"/>
            </a:ext>
          </a:extLst>
        </xdr:cNvPr>
        <xdr:cNvCxnSpPr/>
      </xdr:nvCxnSpPr>
      <xdr:spPr>
        <a:xfrm flipH="1">
          <a:off x="3227227" y="44924146"/>
          <a:ext cx="4330" cy="13592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247650</xdr:colOff>
      <xdr:row>181</xdr:row>
      <xdr:rowOff>95426</xdr:rowOff>
    </xdr:from>
    <xdr:ext cx="768159" cy="328423"/>
    <xdr:sp macro="" textlink="">
      <xdr:nvSpPr>
        <xdr:cNvPr id="28" name="テキスト ボックス 27">
          <a:extLst>
            <a:ext uri="{FF2B5EF4-FFF2-40B4-BE49-F238E27FC236}">
              <a16:creationId xmlns:a16="http://schemas.microsoft.com/office/drawing/2014/main" id="{40D694F6-04EE-408E-852D-319F9E61E28C}"/>
            </a:ext>
          </a:extLst>
        </xdr:cNvPr>
        <xdr:cNvSpPr txBox="1"/>
      </xdr:nvSpPr>
      <xdr:spPr>
        <a:xfrm>
          <a:off x="2305050" y="45205826"/>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4</xdr:col>
      <xdr:colOff>192034</xdr:colOff>
      <xdr:row>184</xdr:row>
      <xdr:rowOff>149459</xdr:rowOff>
    </xdr:from>
    <xdr:ext cx="760208" cy="328423"/>
    <xdr:sp macro="" textlink="">
      <xdr:nvSpPr>
        <xdr:cNvPr id="29" name="テキスト ボックス 28">
          <a:extLst>
            <a:ext uri="{FF2B5EF4-FFF2-40B4-BE49-F238E27FC236}">
              <a16:creationId xmlns:a16="http://schemas.microsoft.com/office/drawing/2014/main" id="{5F1A0682-EAB1-414A-AD7A-AB736929FFCF}"/>
            </a:ext>
          </a:extLst>
        </xdr:cNvPr>
        <xdr:cNvSpPr txBox="1"/>
      </xdr:nvSpPr>
      <xdr:spPr>
        <a:xfrm>
          <a:off x="2935234" y="45974234"/>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5</xdr:col>
      <xdr:colOff>353836</xdr:colOff>
      <xdr:row>180</xdr:row>
      <xdr:rowOff>133053</xdr:rowOff>
    </xdr:from>
    <xdr:to>
      <xdr:col>5</xdr:col>
      <xdr:colOff>569755</xdr:colOff>
      <xdr:row>180</xdr:row>
      <xdr:rowOff>133053</xdr:rowOff>
    </xdr:to>
    <xdr:cxnSp macro="">
      <xdr:nvCxnSpPr>
        <xdr:cNvPr id="30" name="直線コネクタ 29">
          <a:extLst>
            <a:ext uri="{FF2B5EF4-FFF2-40B4-BE49-F238E27FC236}">
              <a16:creationId xmlns:a16="http://schemas.microsoft.com/office/drawing/2014/main" id="{7A73AD4A-CB24-48AA-9ABD-5233E460991E}"/>
            </a:ext>
          </a:extLst>
        </xdr:cNvPr>
        <xdr:cNvCxnSpPr/>
      </xdr:nvCxnSpPr>
      <xdr:spPr>
        <a:xfrm>
          <a:off x="3782836" y="45005328"/>
          <a:ext cx="2159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353836</xdr:colOff>
      <xdr:row>181</xdr:row>
      <xdr:rowOff>17391</xdr:rowOff>
    </xdr:from>
    <xdr:to>
      <xdr:col>5</xdr:col>
      <xdr:colOff>569755</xdr:colOff>
      <xdr:row>181</xdr:row>
      <xdr:rowOff>17391</xdr:rowOff>
    </xdr:to>
    <xdr:cxnSp macro="">
      <xdr:nvCxnSpPr>
        <xdr:cNvPr id="31" name="直線コネクタ 30">
          <a:extLst>
            <a:ext uri="{FF2B5EF4-FFF2-40B4-BE49-F238E27FC236}">
              <a16:creationId xmlns:a16="http://schemas.microsoft.com/office/drawing/2014/main" id="{A4CB459D-4EBC-4787-83F2-DD5EB6902390}"/>
            </a:ext>
          </a:extLst>
        </xdr:cNvPr>
        <xdr:cNvCxnSpPr/>
      </xdr:nvCxnSpPr>
      <xdr:spPr>
        <a:xfrm>
          <a:off x="3782836" y="45127791"/>
          <a:ext cx="2159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487402</xdr:colOff>
      <xdr:row>181</xdr:row>
      <xdr:rowOff>17362</xdr:rowOff>
    </xdr:from>
    <xdr:to>
      <xdr:col>5</xdr:col>
      <xdr:colOff>487402</xdr:colOff>
      <xdr:row>182</xdr:row>
      <xdr:rowOff>6413</xdr:rowOff>
    </xdr:to>
    <xdr:cxnSp macro="">
      <xdr:nvCxnSpPr>
        <xdr:cNvPr id="32" name="直線矢印コネクタ 31">
          <a:extLst>
            <a:ext uri="{FF2B5EF4-FFF2-40B4-BE49-F238E27FC236}">
              <a16:creationId xmlns:a16="http://schemas.microsoft.com/office/drawing/2014/main" id="{84D58C14-D007-47E7-86C5-801CAE261D70}"/>
            </a:ext>
          </a:extLst>
        </xdr:cNvPr>
        <xdr:cNvCxnSpPr/>
      </xdr:nvCxnSpPr>
      <xdr:spPr>
        <a:xfrm flipV="1">
          <a:off x="3916402" y="45127762"/>
          <a:ext cx="0" cy="227176"/>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487402</xdr:colOff>
      <xdr:row>179</xdr:row>
      <xdr:rowOff>135745</xdr:rowOff>
    </xdr:from>
    <xdr:to>
      <xdr:col>5</xdr:col>
      <xdr:colOff>487402</xdr:colOff>
      <xdr:row>180</xdr:row>
      <xdr:rowOff>134321</xdr:rowOff>
    </xdr:to>
    <xdr:cxnSp macro="">
      <xdr:nvCxnSpPr>
        <xdr:cNvPr id="33" name="直線矢印コネクタ 32">
          <a:extLst>
            <a:ext uri="{FF2B5EF4-FFF2-40B4-BE49-F238E27FC236}">
              <a16:creationId xmlns:a16="http://schemas.microsoft.com/office/drawing/2014/main" id="{325A4C83-0457-49A7-8A89-D1DFF4F0F543}"/>
            </a:ext>
          </a:extLst>
        </xdr:cNvPr>
        <xdr:cNvCxnSpPr/>
      </xdr:nvCxnSpPr>
      <xdr:spPr>
        <a:xfrm flipV="1">
          <a:off x="3916402" y="44769895"/>
          <a:ext cx="0" cy="236701"/>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503745</xdr:colOff>
      <xdr:row>180</xdr:row>
      <xdr:rowOff>52568</xdr:rowOff>
    </xdr:from>
    <xdr:ext cx="270908" cy="254493"/>
    <xdr:sp macro="" textlink="">
      <xdr:nvSpPr>
        <xdr:cNvPr id="34" name="テキスト ボックス 33">
          <a:extLst>
            <a:ext uri="{FF2B5EF4-FFF2-40B4-BE49-F238E27FC236}">
              <a16:creationId xmlns:a16="http://schemas.microsoft.com/office/drawing/2014/main" id="{0D4E5ADF-BC89-4221-8F29-DB7E6D530175}"/>
            </a:ext>
          </a:extLst>
        </xdr:cNvPr>
        <xdr:cNvSpPr txBox="1"/>
      </xdr:nvSpPr>
      <xdr:spPr>
        <a:xfrm>
          <a:off x="3932745" y="44924843"/>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2</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oneCellAnchor>
    <xdr:from>
      <xdr:col>4</xdr:col>
      <xdr:colOff>540370</xdr:colOff>
      <xdr:row>182</xdr:row>
      <xdr:rowOff>160545</xdr:rowOff>
    </xdr:from>
    <xdr:ext cx="270908" cy="254493"/>
    <xdr:sp macro="" textlink="">
      <xdr:nvSpPr>
        <xdr:cNvPr id="35" name="テキスト ボックス 34">
          <a:extLst>
            <a:ext uri="{FF2B5EF4-FFF2-40B4-BE49-F238E27FC236}">
              <a16:creationId xmlns:a16="http://schemas.microsoft.com/office/drawing/2014/main" id="{F3DF411F-8D7E-49D5-9343-AB16309DCAA4}"/>
            </a:ext>
          </a:extLst>
        </xdr:cNvPr>
        <xdr:cNvSpPr txBox="1"/>
      </xdr:nvSpPr>
      <xdr:spPr>
        <a:xfrm>
          <a:off x="3283570" y="45509070"/>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1</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twoCellAnchor>
    <xdr:from>
      <xdr:col>4</xdr:col>
      <xdr:colOff>524941</xdr:colOff>
      <xdr:row>182</xdr:row>
      <xdr:rowOff>235962</xdr:rowOff>
    </xdr:from>
    <xdr:to>
      <xdr:col>5</xdr:col>
      <xdr:colOff>85920</xdr:colOff>
      <xdr:row>182</xdr:row>
      <xdr:rowOff>235962</xdr:rowOff>
    </xdr:to>
    <xdr:cxnSp macro="">
      <xdr:nvCxnSpPr>
        <xdr:cNvPr id="36" name="直線矢印コネクタ 35">
          <a:extLst>
            <a:ext uri="{FF2B5EF4-FFF2-40B4-BE49-F238E27FC236}">
              <a16:creationId xmlns:a16="http://schemas.microsoft.com/office/drawing/2014/main" id="{BE388CEB-E5DD-40AF-AE7E-5E7ADC2FADBC}"/>
            </a:ext>
          </a:extLst>
        </xdr:cNvPr>
        <xdr:cNvCxnSpPr/>
      </xdr:nvCxnSpPr>
      <xdr:spPr>
        <a:xfrm flipH="1">
          <a:off x="3268141" y="45584487"/>
          <a:ext cx="246779" cy="0"/>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193297</xdr:colOff>
      <xdr:row>182</xdr:row>
      <xdr:rowOff>235962</xdr:rowOff>
    </xdr:from>
    <xdr:to>
      <xdr:col>4</xdr:col>
      <xdr:colOff>439211</xdr:colOff>
      <xdr:row>182</xdr:row>
      <xdr:rowOff>235962</xdr:rowOff>
    </xdr:to>
    <xdr:cxnSp macro="">
      <xdr:nvCxnSpPr>
        <xdr:cNvPr id="37" name="直線矢印コネクタ 36">
          <a:extLst>
            <a:ext uri="{FF2B5EF4-FFF2-40B4-BE49-F238E27FC236}">
              <a16:creationId xmlns:a16="http://schemas.microsoft.com/office/drawing/2014/main" id="{FE841A9A-CDE0-4792-AFA6-D29111609D27}"/>
            </a:ext>
          </a:extLst>
        </xdr:cNvPr>
        <xdr:cNvCxnSpPr/>
      </xdr:nvCxnSpPr>
      <xdr:spPr>
        <a:xfrm flipH="1">
          <a:off x="2936497" y="45584487"/>
          <a:ext cx="245914" cy="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note.com/kasetsu-kiri-oya-sj-r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
  <sheetViews>
    <sheetView showGridLines="0" view="pageBreakPreview" topLeftCell="A65" zoomScale="80" zoomScaleNormal="70" zoomScaleSheetLayoutView="80" workbookViewId="0">
      <selection activeCell="B2" sqref="B2"/>
    </sheetView>
  </sheetViews>
  <sheetFormatPr defaultRowHeight="18.75"/>
  <cols>
    <col min="1" max="35" width="3" style="1" customWidth="1"/>
    <col min="36" max="36" width="1.625" style="1" customWidth="1"/>
    <col min="37" max="16384" width="9" style="1"/>
  </cols>
  <sheetData>
    <row r="1" spans="1:35">
      <c r="A1" s="1" t="s">
        <v>0</v>
      </c>
      <c r="AA1" s="271" t="s">
        <v>1</v>
      </c>
    </row>
    <row r="3" spans="1:35">
      <c r="B3" s="445" t="s">
        <v>2</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row>
    <row r="5" spans="1:35">
      <c r="A5" s="1" t="s">
        <v>3</v>
      </c>
    </row>
    <row r="7" spans="1:35">
      <c r="B7" s="1" t="s">
        <v>4</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1:35">
      <c r="B8" s="12"/>
      <c r="C8" s="12" t="s">
        <v>5</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1:35">
      <c r="B9" s="12"/>
      <c r="C9" s="8"/>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10"/>
    </row>
    <row r="10" spans="1:35">
      <c r="B10" s="12"/>
      <c r="C10" s="11"/>
      <c r="D10" s="12" t="s">
        <v>6</v>
      </c>
      <c r="E10" s="12"/>
      <c r="F10" s="12"/>
      <c r="G10" s="12"/>
      <c r="H10" s="12"/>
      <c r="I10" s="12"/>
      <c r="J10" s="12"/>
      <c r="K10" s="12"/>
      <c r="L10" s="12"/>
      <c r="M10" s="12"/>
      <c r="N10" s="12"/>
      <c r="O10" s="33" t="s">
        <v>7</v>
      </c>
      <c r="P10" s="12"/>
      <c r="Q10" s="12" t="s">
        <v>8</v>
      </c>
      <c r="R10" s="446">
        <f>F26</f>
        <v>6.5</v>
      </c>
      <c r="S10" s="447"/>
      <c r="T10" s="448"/>
      <c r="U10" s="12" t="s">
        <v>9</v>
      </c>
      <c r="V10" s="12"/>
      <c r="W10" s="12"/>
      <c r="X10" s="12"/>
      <c r="Y10" s="12"/>
      <c r="Z10" s="12"/>
      <c r="AA10" s="12"/>
      <c r="AB10" s="12"/>
      <c r="AC10" s="12"/>
      <c r="AD10" s="12"/>
      <c r="AE10" s="12"/>
      <c r="AF10" s="12"/>
      <c r="AG10" s="12"/>
      <c r="AH10" s="12"/>
      <c r="AI10" s="14"/>
    </row>
    <row r="11" spans="1:35">
      <c r="B11" s="12"/>
      <c r="C11" s="11"/>
      <c r="D11" s="12" t="s">
        <v>10</v>
      </c>
      <c r="E11" s="12"/>
      <c r="F11" s="12"/>
      <c r="G11" s="12"/>
      <c r="H11" s="12"/>
      <c r="I11" s="12"/>
      <c r="J11" s="12"/>
      <c r="K11" s="12"/>
      <c r="L11" s="12"/>
      <c r="M11" s="12"/>
      <c r="N11" s="12"/>
      <c r="O11" s="33" t="s">
        <v>11</v>
      </c>
      <c r="P11" s="12"/>
      <c r="Q11" s="12" t="s">
        <v>8</v>
      </c>
      <c r="R11" s="446" t="s">
        <v>12</v>
      </c>
      <c r="S11" s="447"/>
      <c r="T11" s="448"/>
      <c r="U11" s="12" t="s">
        <v>9</v>
      </c>
      <c r="V11" s="12"/>
      <c r="W11" s="12"/>
      <c r="X11" s="12"/>
      <c r="Y11" s="12"/>
      <c r="Z11" s="12"/>
      <c r="AA11" s="12"/>
      <c r="AB11" s="12"/>
      <c r="AC11" s="12"/>
      <c r="AD11" s="12"/>
      <c r="AE11" s="12"/>
      <c r="AF11" s="12"/>
      <c r="AG11" s="12"/>
      <c r="AH11" s="12"/>
      <c r="AI11" s="14"/>
    </row>
    <row r="12" spans="1:35">
      <c r="B12" s="12"/>
      <c r="C12" s="11"/>
      <c r="D12" s="12" t="s">
        <v>13</v>
      </c>
      <c r="E12" s="12"/>
      <c r="F12" s="12"/>
      <c r="G12" s="12"/>
      <c r="H12" s="12"/>
      <c r="I12" s="12"/>
      <c r="J12" s="12"/>
      <c r="K12" s="12"/>
      <c r="L12" s="12"/>
      <c r="M12" s="12"/>
      <c r="N12" s="12"/>
      <c r="O12" s="33" t="s">
        <v>14</v>
      </c>
      <c r="P12" s="12"/>
      <c r="Q12" s="12" t="s">
        <v>8</v>
      </c>
      <c r="R12" s="403">
        <v>1.5</v>
      </c>
      <c r="S12" s="404"/>
      <c r="T12" s="405"/>
      <c r="U12" s="12" t="s">
        <v>9</v>
      </c>
      <c r="V12" s="12"/>
      <c r="W12" s="12"/>
      <c r="X12" s="12"/>
      <c r="Y12" s="12"/>
      <c r="Z12" s="12"/>
      <c r="AA12" s="12"/>
      <c r="AB12" s="12"/>
      <c r="AC12" s="12"/>
      <c r="AD12" s="12"/>
      <c r="AE12" s="12"/>
      <c r="AF12" s="12"/>
      <c r="AG12" s="12"/>
      <c r="AH12" s="12"/>
      <c r="AI12" s="14"/>
    </row>
    <row r="13" spans="1:35">
      <c r="B13" s="12"/>
      <c r="C13" s="11"/>
      <c r="D13" s="12" t="s">
        <v>15</v>
      </c>
      <c r="E13" s="12"/>
      <c r="F13" s="12"/>
      <c r="G13" s="12"/>
      <c r="H13" s="12"/>
      <c r="I13" s="12"/>
      <c r="J13" s="12"/>
      <c r="K13" s="12"/>
      <c r="L13" s="12"/>
      <c r="M13" s="12"/>
      <c r="N13" s="12"/>
      <c r="O13" s="33" t="s">
        <v>16</v>
      </c>
      <c r="P13" s="12"/>
      <c r="Q13" s="12" t="s">
        <v>8</v>
      </c>
      <c r="R13" s="403">
        <v>9.3000000000000007</v>
      </c>
      <c r="S13" s="404"/>
      <c r="T13" s="405"/>
      <c r="U13" s="12" t="s">
        <v>9</v>
      </c>
      <c r="V13" s="12"/>
      <c r="W13" s="12"/>
      <c r="X13" s="12"/>
      <c r="Y13" s="12"/>
      <c r="Z13" s="12"/>
      <c r="AA13" s="12"/>
      <c r="AB13" s="12"/>
      <c r="AC13" s="12"/>
      <c r="AD13" s="12"/>
      <c r="AE13" s="12"/>
      <c r="AF13" s="12"/>
      <c r="AG13" s="12"/>
      <c r="AH13" s="12"/>
      <c r="AI13" s="14"/>
    </row>
    <row r="14" spans="1:35">
      <c r="B14" s="12"/>
      <c r="C14" s="11"/>
      <c r="D14" s="12" t="s">
        <v>17</v>
      </c>
      <c r="E14" s="12"/>
      <c r="F14" s="12"/>
      <c r="G14" s="12"/>
      <c r="H14" s="12"/>
      <c r="I14" s="12"/>
      <c r="J14" s="12"/>
      <c r="K14" s="12"/>
      <c r="L14" s="12"/>
      <c r="M14" s="12"/>
      <c r="N14" s="12"/>
      <c r="O14" s="33" t="s">
        <v>18</v>
      </c>
      <c r="P14" s="12"/>
      <c r="Q14" s="12" t="s">
        <v>8</v>
      </c>
      <c r="R14" s="403">
        <v>9.3000000000000007</v>
      </c>
      <c r="S14" s="404"/>
      <c r="T14" s="405"/>
      <c r="U14" s="12" t="s">
        <v>9</v>
      </c>
      <c r="V14" s="12"/>
      <c r="W14" s="12"/>
      <c r="X14" s="12"/>
      <c r="Y14" s="12"/>
      <c r="Z14" s="12"/>
      <c r="AA14" s="12"/>
      <c r="AB14" s="12"/>
      <c r="AC14" s="12"/>
      <c r="AD14" s="12"/>
      <c r="AE14" s="12"/>
      <c r="AF14" s="12"/>
      <c r="AG14" s="12"/>
      <c r="AH14" s="12"/>
      <c r="AI14" s="14"/>
    </row>
    <row r="15" spans="1:35" ht="20.25">
      <c r="B15" s="12"/>
      <c r="C15" s="11"/>
      <c r="D15" s="12" t="s">
        <v>19</v>
      </c>
      <c r="E15" s="12"/>
      <c r="F15" s="12"/>
      <c r="G15" s="12"/>
      <c r="H15" s="12"/>
      <c r="I15" s="12"/>
      <c r="J15" s="12"/>
      <c r="K15" s="12"/>
      <c r="L15" s="12"/>
      <c r="M15" s="12"/>
      <c r="N15" s="12"/>
      <c r="O15" s="33" t="s">
        <v>20</v>
      </c>
      <c r="P15" s="12"/>
      <c r="Q15" s="12" t="s">
        <v>8</v>
      </c>
      <c r="R15" s="449">
        <v>10</v>
      </c>
      <c r="S15" s="450"/>
      <c r="T15" s="451"/>
      <c r="U15" s="12" t="s">
        <v>21</v>
      </c>
      <c r="V15" s="12"/>
      <c r="W15" s="12"/>
      <c r="X15" s="12"/>
      <c r="Y15" s="12" t="s">
        <v>22</v>
      </c>
      <c r="Z15" s="12"/>
      <c r="AA15" s="12"/>
      <c r="AB15" s="12"/>
      <c r="AC15" s="12"/>
      <c r="AD15" s="12"/>
      <c r="AE15" s="12"/>
      <c r="AF15" s="12"/>
      <c r="AG15" s="12"/>
      <c r="AH15" s="12"/>
      <c r="AI15" s="14"/>
    </row>
    <row r="16" spans="1:35">
      <c r="B16" s="12"/>
      <c r="C16" s="15"/>
      <c r="D16" s="16"/>
      <c r="E16" s="16"/>
      <c r="F16" s="16"/>
      <c r="G16" s="16"/>
      <c r="H16" s="16"/>
      <c r="I16" s="16"/>
      <c r="J16" s="16"/>
      <c r="K16" s="16"/>
      <c r="L16" s="16"/>
      <c r="M16" s="16"/>
      <c r="N16" s="16"/>
      <c r="O16" s="16"/>
      <c r="P16" s="16"/>
      <c r="Q16" s="16"/>
      <c r="R16" s="17"/>
      <c r="S16" s="17"/>
      <c r="T16" s="17"/>
      <c r="U16" s="16"/>
      <c r="V16" s="16"/>
      <c r="W16" s="16"/>
      <c r="X16" s="16"/>
      <c r="Y16" s="16"/>
      <c r="Z16" s="16"/>
      <c r="AA16" s="16"/>
      <c r="AB16" s="16"/>
      <c r="AC16" s="16"/>
      <c r="AD16" s="16"/>
      <c r="AE16" s="16"/>
      <c r="AF16" s="16"/>
      <c r="AG16" s="16"/>
      <c r="AH16" s="16"/>
      <c r="AI16" s="18"/>
    </row>
    <row r="17" spans="2:35">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2:35">
      <c r="B18" s="12"/>
      <c r="C18" t="s">
        <v>23</v>
      </c>
      <c r="D18"/>
      <c r="E18"/>
      <c r="F18"/>
      <c r="G18"/>
      <c r="H18"/>
      <c r="I18"/>
      <c r="J18"/>
      <c r="K18"/>
      <c r="L18"/>
      <c r="M18"/>
      <c r="N18"/>
      <c r="O18"/>
      <c r="P18"/>
      <c r="Q18"/>
      <c r="R18"/>
      <c r="S18"/>
      <c r="T18"/>
      <c r="U18"/>
      <c r="V18"/>
      <c r="W18"/>
      <c r="X18"/>
      <c r="Y18"/>
      <c r="Z18"/>
      <c r="AA18"/>
      <c r="AB18"/>
      <c r="AC18"/>
      <c r="AD18"/>
      <c r="AE18" t="s">
        <v>24</v>
      </c>
      <c r="AF18"/>
      <c r="AG18"/>
      <c r="AH18"/>
    </row>
    <row r="19" spans="2:35">
      <c r="B19" s="12"/>
      <c r="C19" s="2"/>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10"/>
    </row>
    <row r="20" spans="2:35">
      <c r="B20" s="12"/>
      <c r="C20" s="5"/>
      <c r="D20"/>
      <c r="E20"/>
      <c r="F20" s="455" t="s">
        <v>25</v>
      </c>
      <c r="G20" s="457"/>
      <c r="H20" s="455" t="s">
        <v>26</v>
      </c>
      <c r="I20" s="457"/>
      <c r="J20" s="455" t="s">
        <v>27</v>
      </c>
      <c r="K20" s="456"/>
      <c r="L20" s="456"/>
      <c r="M20" s="457"/>
      <c r="N20" s="456" t="s">
        <v>28</v>
      </c>
      <c r="O20" s="457"/>
      <c r="P20" s="452" t="s">
        <v>29</v>
      </c>
      <c r="Q20" s="453"/>
      <c r="R20" s="453"/>
      <c r="S20" s="454"/>
      <c r="T20" s="452" t="s">
        <v>30</v>
      </c>
      <c r="U20" s="453"/>
      <c r="V20" s="453"/>
      <c r="W20" s="454"/>
      <c r="X20" s="452" t="s">
        <v>31</v>
      </c>
      <c r="Y20" s="453"/>
      <c r="Z20" s="453"/>
      <c r="AA20" s="454"/>
      <c r="AB20" s="452" t="s">
        <v>32</v>
      </c>
      <c r="AC20" s="453"/>
      <c r="AD20" s="453"/>
      <c r="AE20" s="454"/>
      <c r="AF20" s="452" t="s">
        <v>33</v>
      </c>
      <c r="AG20" s="454"/>
      <c r="AH20"/>
      <c r="AI20" s="14"/>
    </row>
    <row r="21" spans="2:35">
      <c r="B21" s="12"/>
      <c r="C21" s="5"/>
      <c r="D21"/>
      <c r="E21"/>
      <c r="F21" s="438" t="s">
        <v>34</v>
      </c>
      <c r="G21" s="439"/>
      <c r="H21" s="440"/>
      <c r="I21" s="463"/>
      <c r="J21" s="440"/>
      <c r="K21" s="441"/>
      <c r="L21" s="441"/>
      <c r="M21" s="463"/>
      <c r="N21" s="441"/>
      <c r="O21" s="463"/>
      <c r="P21" s="435" t="s">
        <v>35</v>
      </c>
      <c r="Q21" s="436"/>
      <c r="R21" s="436"/>
      <c r="S21" s="437"/>
      <c r="T21" s="458" t="s">
        <v>36</v>
      </c>
      <c r="U21" s="459"/>
      <c r="V21" s="459"/>
      <c r="W21" s="460"/>
      <c r="X21" s="435" t="s">
        <v>37</v>
      </c>
      <c r="Y21" s="436"/>
      <c r="Z21" s="436"/>
      <c r="AA21" s="437"/>
      <c r="AB21" s="435" t="s">
        <v>38</v>
      </c>
      <c r="AC21" s="436"/>
      <c r="AD21" s="436"/>
      <c r="AE21" s="437"/>
      <c r="AF21" s="438" t="s">
        <v>39</v>
      </c>
      <c r="AG21" s="439"/>
      <c r="AH21"/>
      <c r="AI21" s="14"/>
    </row>
    <row r="22" spans="2:35" ht="20.25">
      <c r="B22" s="12"/>
      <c r="C22" s="5"/>
      <c r="D22"/>
      <c r="E22"/>
      <c r="F22" s="432" t="s">
        <v>40</v>
      </c>
      <c r="G22" s="433"/>
      <c r="H22" s="432"/>
      <c r="I22" s="434"/>
      <c r="J22" s="432"/>
      <c r="K22" s="433"/>
      <c r="L22" s="433" t="s">
        <v>40</v>
      </c>
      <c r="M22" s="434"/>
      <c r="N22" s="433"/>
      <c r="O22" s="434"/>
      <c r="P22" s="432" t="s">
        <v>41</v>
      </c>
      <c r="Q22" s="433"/>
      <c r="R22" s="433"/>
      <c r="S22" s="434"/>
      <c r="T22" s="432" t="s">
        <v>42</v>
      </c>
      <c r="U22" s="433"/>
      <c r="V22" s="433"/>
      <c r="W22" s="434"/>
      <c r="X22" s="432" t="s">
        <v>41</v>
      </c>
      <c r="Y22" s="433"/>
      <c r="Z22" s="433"/>
      <c r="AA22" s="434"/>
      <c r="AB22" s="432" t="s">
        <v>43</v>
      </c>
      <c r="AC22" s="433"/>
      <c r="AD22" s="433"/>
      <c r="AE22" s="434"/>
      <c r="AF22" s="432" t="s">
        <v>44</v>
      </c>
      <c r="AG22" s="434"/>
      <c r="AH22"/>
      <c r="AI22" s="14"/>
    </row>
    <row r="23" spans="2:35">
      <c r="B23" s="12"/>
      <c r="C23" s="5"/>
      <c r="D23" s="442" t="s">
        <v>45</v>
      </c>
      <c r="E23" s="442"/>
      <c r="F23" s="461">
        <v>1</v>
      </c>
      <c r="G23" s="461"/>
      <c r="H23" s="431" t="s">
        <v>46</v>
      </c>
      <c r="I23" s="431"/>
      <c r="J23" s="419" t="s">
        <v>47</v>
      </c>
      <c r="K23" s="421"/>
      <c r="L23" s="462" t="str">
        <f>IF(J23="なし","-",F23)</f>
        <v>-</v>
      </c>
      <c r="M23" s="462"/>
      <c r="N23" s="431">
        <v>10</v>
      </c>
      <c r="O23" s="431"/>
      <c r="P23" s="431">
        <v>18</v>
      </c>
      <c r="Q23" s="431"/>
      <c r="R23" s="431"/>
      <c r="S23" s="431"/>
      <c r="T23" s="419" t="s">
        <v>12</v>
      </c>
      <c r="U23" s="420"/>
      <c r="V23" s="420"/>
      <c r="W23" s="421"/>
      <c r="X23" s="442" t="str">
        <f>IF(L23="-","-",P23-9)</f>
        <v>-</v>
      </c>
      <c r="Y23" s="442"/>
      <c r="Z23" s="442"/>
      <c r="AA23" s="442"/>
      <c r="AB23" s="431">
        <v>27</v>
      </c>
      <c r="AC23" s="431"/>
      <c r="AD23" s="431"/>
      <c r="AE23" s="431"/>
      <c r="AF23" s="431">
        <v>0</v>
      </c>
      <c r="AG23" s="431"/>
      <c r="AH23"/>
      <c r="AI23" s="14"/>
    </row>
    <row r="24" spans="2:35">
      <c r="B24" s="12"/>
      <c r="C24" s="5"/>
      <c r="D24" s="442" t="s">
        <v>48</v>
      </c>
      <c r="E24" s="442"/>
      <c r="F24" s="461">
        <v>5</v>
      </c>
      <c r="G24" s="461"/>
      <c r="H24" s="431" t="s">
        <v>46</v>
      </c>
      <c r="I24" s="431"/>
      <c r="J24" s="419" t="s">
        <v>47</v>
      </c>
      <c r="K24" s="421"/>
      <c r="L24" s="462" t="str">
        <f>IF(J24="なし","-",F24)</f>
        <v>-</v>
      </c>
      <c r="M24" s="462"/>
      <c r="N24" s="431">
        <v>10</v>
      </c>
      <c r="O24" s="431"/>
      <c r="P24" s="431">
        <v>18</v>
      </c>
      <c r="Q24" s="431"/>
      <c r="R24" s="431"/>
      <c r="S24" s="431"/>
      <c r="T24" s="419" t="s">
        <v>12</v>
      </c>
      <c r="U24" s="420"/>
      <c r="V24" s="420"/>
      <c r="W24" s="421"/>
      <c r="X24" s="442" t="str">
        <f>IF(L24="-","-",P24-9)</f>
        <v>-</v>
      </c>
      <c r="Y24" s="442"/>
      <c r="Z24" s="442"/>
      <c r="AA24" s="442"/>
      <c r="AB24" s="431">
        <v>27</v>
      </c>
      <c r="AC24" s="431"/>
      <c r="AD24" s="431"/>
      <c r="AE24" s="431"/>
      <c r="AF24" s="431">
        <v>0</v>
      </c>
      <c r="AG24" s="431"/>
      <c r="AH24"/>
      <c r="AI24" s="14"/>
    </row>
    <row r="25" spans="2:35">
      <c r="B25" s="12"/>
      <c r="C25" s="5"/>
      <c r="D25" s="442" t="s">
        <v>49</v>
      </c>
      <c r="E25" s="442"/>
      <c r="F25" s="461">
        <v>0.5</v>
      </c>
      <c r="G25" s="461"/>
      <c r="H25" s="431" t="s">
        <v>50</v>
      </c>
      <c r="I25" s="431"/>
      <c r="J25" s="419" t="s">
        <v>47</v>
      </c>
      <c r="K25" s="421"/>
      <c r="L25" s="462" t="str">
        <f>IF(J25="なし","-",F25)</f>
        <v>-</v>
      </c>
      <c r="M25" s="462"/>
      <c r="N25" s="431">
        <v>75</v>
      </c>
      <c r="O25" s="431"/>
      <c r="P25" s="431">
        <v>19</v>
      </c>
      <c r="Q25" s="431"/>
      <c r="R25" s="431"/>
      <c r="S25" s="431"/>
      <c r="T25" s="419" t="s">
        <v>12</v>
      </c>
      <c r="U25" s="420"/>
      <c r="V25" s="420"/>
      <c r="W25" s="421"/>
      <c r="X25" s="442" t="str">
        <f>IF(L25="-","-",P25+T25)</f>
        <v>-</v>
      </c>
      <c r="Y25" s="442"/>
      <c r="Z25" s="442"/>
      <c r="AA25" s="442"/>
      <c r="AB25" s="431">
        <v>39</v>
      </c>
      <c r="AC25" s="431"/>
      <c r="AD25" s="431"/>
      <c r="AE25" s="431"/>
      <c r="AF25" s="431">
        <v>62</v>
      </c>
      <c r="AG25" s="431"/>
      <c r="AH25"/>
      <c r="AI25" s="14"/>
    </row>
    <row r="26" spans="2:35">
      <c r="B26" s="12"/>
      <c r="C26" s="5"/>
      <c r="D26" s="464" t="s">
        <v>51</v>
      </c>
      <c r="E26" s="464"/>
      <c r="F26" s="462">
        <f>SUM(F23:G25)</f>
        <v>6.5</v>
      </c>
      <c r="G26" s="462"/>
      <c r="H26" s="442"/>
      <c r="I26" s="442"/>
      <c r="J26" s="444"/>
      <c r="K26" s="443"/>
      <c r="L26" s="462">
        <f>SUM(L23:M25)</f>
        <v>0</v>
      </c>
      <c r="M26" s="462"/>
      <c r="N26" s="442"/>
      <c r="O26" s="444"/>
      <c r="P26" s="443"/>
      <c r="Q26" s="442"/>
      <c r="R26" s="442"/>
      <c r="S26" s="444"/>
      <c r="T26" s="479"/>
      <c r="U26" s="479"/>
      <c r="V26" s="479"/>
      <c r="W26" s="479"/>
      <c r="X26" s="443"/>
      <c r="Y26" s="442"/>
      <c r="Z26" s="442"/>
      <c r="AA26" s="444"/>
      <c r="AB26" s="443"/>
      <c r="AC26" s="442"/>
      <c r="AD26" s="442"/>
      <c r="AE26" s="444"/>
      <c r="AF26" s="443"/>
      <c r="AG26" s="442"/>
      <c r="AH26"/>
      <c r="AI26" s="14"/>
    </row>
    <row r="27" spans="2:35">
      <c r="B27" s="12"/>
      <c r="C27" s="5"/>
      <c r="D27" s="442" t="s">
        <v>52</v>
      </c>
      <c r="E27" s="442"/>
      <c r="F27" s="461">
        <v>3</v>
      </c>
      <c r="G27" s="461"/>
      <c r="H27" s="431" t="s">
        <v>46</v>
      </c>
      <c r="I27" s="431"/>
      <c r="J27" s="419" t="s">
        <v>47</v>
      </c>
      <c r="K27" s="421"/>
      <c r="L27" s="462" t="str">
        <f>IF(J27="なし","-",F27)</f>
        <v>-</v>
      </c>
      <c r="M27" s="462"/>
      <c r="N27" s="431">
        <v>75</v>
      </c>
      <c r="O27" s="431"/>
      <c r="P27" s="431">
        <v>19</v>
      </c>
      <c r="Q27" s="431"/>
      <c r="R27" s="431"/>
      <c r="S27" s="431"/>
      <c r="T27" s="419" t="s">
        <v>12</v>
      </c>
      <c r="U27" s="420"/>
      <c r="V27" s="420"/>
      <c r="W27" s="421"/>
      <c r="X27" s="442" t="str">
        <f>IF(L27="-","-",P27+T27)</f>
        <v>-</v>
      </c>
      <c r="Y27" s="442"/>
      <c r="Z27" s="442"/>
      <c r="AA27" s="442"/>
      <c r="AB27" s="431">
        <v>39</v>
      </c>
      <c r="AC27" s="431"/>
      <c r="AD27" s="431"/>
      <c r="AE27" s="431"/>
      <c r="AF27" s="431">
        <v>62</v>
      </c>
      <c r="AG27" s="431"/>
      <c r="AH27"/>
      <c r="AI27" s="14"/>
    </row>
    <row r="28" spans="2:35">
      <c r="B28" s="12"/>
      <c r="C28" s="15"/>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8"/>
    </row>
    <row r="29" spans="2:35">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row>
    <row r="30" spans="2:35">
      <c r="B30" s="1" t="s">
        <v>53</v>
      </c>
    </row>
    <row r="31" spans="2:35">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10"/>
    </row>
    <row r="32" spans="2:35">
      <c r="C32" s="11"/>
      <c r="D32" s="12" t="s">
        <v>54</v>
      </c>
      <c r="E32" s="12"/>
      <c r="F32" s="12"/>
      <c r="G32" s="12"/>
      <c r="H32" s="12"/>
      <c r="I32" s="12"/>
      <c r="J32" s="12"/>
      <c r="K32" s="12"/>
      <c r="L32" s="12"/>
      <c r="M32" s="12"/>
      <c r="N32" s="12"/>
      <c r="O32" s="12"/>
      <c r="P32" s="12"/>
      <c r="Q32" s="12"/>
      <c r="R32" s="12"/>
      <c r="S32" s="12"/>
      <c r="T32" s="476" t="s">
        <v>55</v>
      </c>
      <c r="U32" s="477"/>
      <c r="V32" s="478"/>
      <c r="W32" s="12"/>
      <c r="X32" s="12"/>
      <c r="Y32" s="12"/>
      <c r="Z32" s="12"/>
      <c r="AA32" s="12"/>
      <c r="AB32" s="12"/>
      <c r="AC32" s="12"/>
      <c r="AD32" s="12"/>
      <c r="AE32" s="12"/>
      <c r="AF32" s="12"/>
      <c r="AG32" s="173">
        <v>8740</v>
      </c>
      <c r="AH32" s="173">
        <v>8740</v>
      </c>
      <c r="AI32" s="174">
        <v>874</v>
      </c>
    </row>
    <row r="33" spans="3:35" customFormat="1">
      <c r="C33" s="5"/>
      <c r="P33" t="s">
        <v>56</v>
      </c>
      <c r="Q33" s="375" t="s">
        <v>7</v>
      </c>
      <c r="R33" s="371"/>
      <c r="S33" t="s">
        <v>8</v>
      </c>
      <c r="T33" s="473">
        <f>VLOOKUP(T$32,各種数値!C$163:L$167,2)</f>
        <v>300</v>
      </c>
      <c r="U33" s="474"/>
      <c r="V33" s="475"/>
      <c r="W33" t="s">
        <v>57</v>
      </c>
      <c r="AI33" s="6"/>
    </row>
    <row r="34" spans="3:35" customFormat="1">
      <c r="C34" s="5"/>
      <c r="P34" t="s">
        <v>58</v>
      </c>
      <c r="Q34" s="375" t="s">
        <v>59</v>
      </c>
      <c r="R34" s="371"/>
      <c r="S34" t="s">
        <v>8</v>
      </c>
      <c r="T34" s="473">
        <f>VLOOKUP(T$32,各種数値!C$163:L$167,3)</f>
        <v>300</v>
      </c>
      <c r="U34" s="474"/>
      <c r="V34" s="475"/>
      <c r="W34" t="s">
        <v>57</v>
      </c>
      <c r="AI34" s="6"/>
    </row>
    <row r="35" spans="3:35" customFormat="1">
      <c r="C35" s="5"/>
      <c r="P35" s="218" t="s">
        <v>60</v>
      </c>
      <c r="Q35" s="375" t="s">
        <v>61</v>
      </c>
      <c r="R35" s="371"/>
      <c r="S35" t="s">
        <v>8</v>
      </c>
      <c r="T35" s="473">
        <f>VLOOKUP(T$32,各種数値!C$163:L$167,4)</f>
        <v>10</v>
      </c>
      <c r="U35" s="474"/>
      <c r="V35" s="475"/>
      <c r="W35" t="s">
        <v>57</v>
      </c>
      <c r="AI35" s="6"/>
    </row>
    <row r="36" spans="3:35" customFormat="1">
      <c r="C36" s="5"/>
      <c r="P36" s="218" t="s">
        <v>62</v>
      </c>
      <c r="Q36" s="375" t="s">
        <v>63</v>
      </c>
      <c r="R36" s="371"/>
      <c r="S36" t="s">
        <v>8</v>
      </c>
      <c r="T36" s="473">
        <f>VLOOKUP(T$32,各種数値!C$163:L$167,5)</f>
        <v>15</v>
      </c>
      <c r="U36" s="474"/>
      <c r="V36" s="475"/>
      <c r="W36" t="s">
        <v>57</v>
      </c>
      <c r="AI36" s="6"/>
    </row>
    <row r="37" spans="3:35" customFormat="1">
      <c r="C37" s="5"/>
      <c r="AI37" s="6"/>
    </row>
    <row r="38" spans="3:35" ht="20.25">
      <c r="C38" s="11"/>
      <c r="D38" s="12" t="s">
        <v>64</v>
      </c>
      <c r="E38" s="12"/>
      <c r="F38" s="12"/>
      <c r="G38" s="12"/>
      <c r="H38" s="12"/>
      <c r="I38" s="12"/>
      <c r="J38" s="12"/>
      <c r="K38" s="12"/>
      <c r="L38" s="12"/>
      <c r="M38" s="12"/>
      <c r="N38" s="12"/>
      <c r="O38" s="12"/>
      <c r="P38" s="12"/>
      <c r="Q38" s="371" t="s">
        <v>65</v>
      </c>
      <c r="R38" s="371"/>
      <c r="S38" s="12" t="s">
        <v>8</v>
      </c>
      <c r="T38" s="480">
        <f>VLOOKUP(T$32,各種数値!C$163:L$167,7)</f>
        <v>20200</v>
      </c>
      <c r="U38" s="481"/>
      <c r="V38" s="482"/>
      <c r="W38" s="12" t="s">
        <v>66</v>
      </c>
      <c r="X38" s="12"/>
      <c r="Y38" s="12"/>
      <c r="Z38" s="12"/>
      <c r="AA38" s="12"/>
      <c r="AB38" s="12" t="s">
        <v>67</v>
      </c>
      <c r="AC38" s="12"/>
      <c r="AD38" s="12"/>
      <c r="AE38" s="12"/>
      <c r="AF38" s="12"/>
      <c r="AG38" s="173">
        <v>16800</v>
      </c>
      <c r="AH38" s="173">
        <v>16800</v>
      </c>
      <c r="AI38" s="174">
        <v>1340</v>
      </c>
    </row>
    <row r="39" spans="3:35" customFormat="1" ht="20.25">
      <c r="C39" s="5"/>
      <c r="T39" s="390">
        <f>T38/100000000</f>
        <v>2.02E-4</v>
      </c>
      <c r="U39" s="391"/>
      <c r="V39" s="392"/>
      <c r="W39" s="12" t="s">
        <v>68</v>
      </c>
      <c r="AI39" s="6"/>
    </row>
    <row r="40" spans="3:35" customFormat="1">
      <c r="C40" s="5"/>
      <c r="AI40" s="6"/>
    </row>
    <row r="41" spans="3:35" ht="20.25">
      <c r="C41" s="11"/>
      <c r="D41" s="12" t="s">
        <v>69</v>
      </c>
      <c r="E41" s="12"/>
      <c r="F41" s="12"/>
      <c r="G41" s="12"/>
      <c r="H41" s="12"/>
      <c r="I41" s="12"/>
      <c r="J41" s="12"/>
      <c r="K41" s="12"/>
      <c r="L41" s="12"/>
      <c r="M41" s="12"/>
      <c r="N41" s="12"/>
      <c r="O41" s="12"/>
      <c r="P41" s="12"/>
      <c r="Q41" s="375" t="s">
        <v>70</v>
      </c>
      <c r="R41" s="371"/>
      <c r="S41" s="12" t="s">
        <v>8</v>
      </c>
      <c r="T41" s="473">
        <f>VLOOKUP(T$32,各種数値!C$163:L$167,10)</f>
        <v>1350</v>
      </c>
      <c r="U41" s="474"/>
      <c r="V41" s="475"/>
      <c r="W41" s="12" t="s">
        <v>71</v>
      </c>
      <c r="X41" s="12"/>
      <c r="Y41" s="12"/>
      <c r="Z41" s="12"/>
      <c r="AA41" s="12"/>
      <c r="AB41" s="12" t="s">
        <v>72</v>
      </c>
      <c r="AC41" s="12"/>
      <c r="AD41" s="12"/>
      <c r="AE41" s="12"/>
      <c r="AF41" s="12"/>
      <c r="AG41" s="173">
        <v>38600</v>
      </c>
      <c r="AH41" s="173">
        <v>38600</v>
      </c>
      <c r="AI41" s="174">
        <v>2270</v>
      </c>
    </row>
    <row r="42" spans="3:35" customFormat="1" ht="20.25">
      <c r="C42" s="5"/>
      <c r="T42" s="393">
        <f>T41*1000</f>
        <v>1350000</v>
      </c>
      <c r="U42" s="394"/>
      <c r="V42" s="395"/>
      <c r="W42" s="12" t="s">
        <v>73</v>
      </c>
      <c r="AI42" s="6"/>
    </row>
    <row r="43" spans="3:35" customFormat="1">
      <c r="C43" s="5"/>
      <c r="AI43" s="6"/>
    </row>
    <row r="44" spans="3:35" ht="20.25">
      <c r="C44" s="11"/>
      <c r="D44" t="s">
        <v>74</v>
      </c>
      <c r="E44" s="12"/>
      <c r="F44" s="12"/>
      <c r="G44" s="12"/>
      <c r="H44" s="12"/>
      <c r="I44" s="12"/>
      <c r="J44" s="12"/>
      <c r="K44" s="12"/>
      <c r="L44" s="12"/>
      <c r="M44" s="12"/>
      <c r="N44" s="12"/>
      <c r="O44" s="12"/>
      <c r="P44" s="12"/>
      <c r="Q44" s="375" t="s">
        <v>75</v>
      </c>
      <c r="R44" s="371"/>
      <c r="S44" s="12" t="s">
        <v>8</v>
      </c>
      <c r="T44" s="428">
        <f>VLOOKUP(T$32,各種数値!C$163:L$167,6)</f>
        <v>118.4</v>
      </c>
      <c r="U44" s="429"/>
      <c r="V44" s="430"/>
      <c r="W44" s="12" t="s">
        <v>76</v>
      </c>
      <c r="X44" s="12"/>
      <c r="Y44" s="12"/>
      <c r="Z44" s="12"/>
      <c r="AA44" s="12"/>
      <c r="AB44" s="12" t="s">
        <v>72</v>
      </c>
      <c r="AC44" s="12"/>
      <c r="AD44" s="12"/>
      <c r="AE44" s="12"/>
      <c r="AF44" s="12"/>
      <c r="AG44" s="173"/>
      <c r="AH44" s="173"/>
      <c r="AI44" s="174"/>
    </row>
    <row r="45" spans="3:35" customFormat="1" ht="20.25">
      <c r="C45" s="5"/>
      <c r="T45" s="393">
        <f>N44*100</f>
        <v>0</v>
      </c>
      <c r="U45" s="394"/>
      <c r="V45" s="395"/>
      <c r="W45" s="12" t="s">
        <v>77</v>
      </c>
      <c r="AI45" s="6"/>
    </row>
    <row r="46" spans="3:35">
      <c r="C46" s="11"/>
      <c r="D46"/>
      <c r="E46" s="12"/>
      <c r="F46" s="12"/>
      <c r="G46" s="12"/>
      <c r="H46" s="12"/>
      <c r="I46" s="12"/>
      <c r="J46" s="12"/>
      <c r="K46" s="12"/>
      <c r="L46" s="12"/>
      <c r="M46" s="12"/>
      <c r="N46" s="12"/>
      <c r="O46" s="12"/>
      <c r="P46" s="12"/>
      <c r="Q46" s="195"/>
      <c r="R46" s="34"/>
      <c r="S46" s="12"/>
      <c r="T46" s="302"/>
      <c r="U46" s="302"/>
      <c r="V46" s="302"/>
      <c r="W46" s="12"/>
      <c r="X46" s="12"/>
      <c r="Y46" s="12"/>
      <c r="Z46" s="12"/>
      <c r="AA46" s="12"/>
      <c r="AB46" s="12"/>
      <c r="AC46" s="12"/>
      <c r="AD46" s="12"/>
      <c r="AE46" s="12"/>
      <c r="AF46" s="12"/>
      <c r="AG46" s="173"/>
      <c r="AH46" s="173"/>
      <c r="AI46" s="174"/>
    </row>
    <row r="47" spans="3:35" customFormat="1">
      <c r="C47" s="5"/>
      <c r="D47" t="s">
        <v>78</v>
      </c>
      <c r="T47" s="403" t="s">
        <v>79</v>
      </c>
      <c r="U47" s="404"/>
      <c r="V47" s="405"/>
      <c r="AI47" s="6"/>
    </row>
    <row r="48" spans="3:35" s="205" customFormat="1" ht="21">
      <c r="C48" s="239"/>
      <c r="D48" s="113" t="s">
        <v>80</v>
      </c>
      <c r="E48" s="113"/>
      <c r="F48" s="113"/>
      <c r="G48" s="113"/>
      <c r="H48" s="113"/>
      <c r="I48" s="113"/>
      <c r="J48" s="113"/>
      <c r="K48" s="113"/>
      <c r="L48" s="113"/>
      <c r="M48" s="113"/>
      <c r="N48" s="113"/>
      <c r="O48" s="113"/>
      <c r="P48" s="113"/>
      <c r="Q48" s="427" t="s">
        <v>81</v>
      </c>
      <c r="R48" s="427"/>
      <c r="S48" s="113" t="s">
        <v>8</v>
      </c>
      <c r="T48" s="424">
        <f>IF(T$47="SS400",各種数値!G51,各種数値!J51)</f>
        <v>210</v>
      </c>
      <c r="U48" s="425"/>
      <c r="V48" s="426"/>
      <c r="W48" s="113" t="s">
        <v>82</v>
      </c>
      <c r="X48" s="113"/>
      <c r="Y48" s="113"/>
      <c r="Z48" s="113"/>
      <c r="AA48" s="113"/>
      <c r="AB48" s="113" t="s">
        <v>83</v>
      </c>
      <c r="AC48" s="113"/>
      <c r="AD48" s="113"/>
      <c r="AE48" s="113"/>
      <c r="AF48" s="113"/>
      <c r="AG48" s="173">
        <v>63000</v>
      </c>
      <c r="AH48" s="173">
        <v>63000</v>
      </c>
      <c r="AI48" s="174">
        <v>3150</v>
      </c>
    </row>
    <row r="49" spans="2:35" s="205" customFormat="1" ht="21">
      <c r="C49" s="239"/>
      <c r="D49" s="113" t="s">
        <v>84</v>
      </c>
      <c r="E49" s="113"/>
      <c r="F49" s="113"/>
      <c r="G49" s="113"/>
      <c r="H49" s="113"/>
      <c r="I49" s="113"/>
      <c r="J49" s="113"/>
      <c r="K49" s="113"/>
      <c r="L49" s="113"/>
      <c r="M49" s="113"/>
      <c r="N49" s="113"/>
      <c r="O49" s="113"/>
      <c r="P49" s="113"/>
      <c r="Q49" s="375" t="s">
        <v>85</v>
      </c>
      <c r="R49" s="371"/>
      <c r="S49" s="113" t="s">
        <v>8</v>
      </c>
      <c r="T49" s="424">
        <f>IF(T$47="SS400",各種数値!G69,各種数値!J69)</f>
        <v>120</v>
      </c>
      <c r="U49" s="425"/>
      <c r="V49" s="426"/>
      <c r="W49" s="113" t="s">
        <v>82</v>
      </c>
      <c r="X49" s="113"/>
      <c r="Y49" s="113"/>
      <c r="Z49" s="113"/>
      <c r="AA49" s="113"/>
      <c r="AB49" s="113" t="s">
        <v>83</v>
      </c>
      <c r="AC49" s="113"/>
      <c r="AD49" s="113"/>
      <c r="AE49" s="113"/>
      <c r="AF49" s="113"/>
      <c r="AG49" s="173">
        <v>63000</v>
      </c>
      <c r="AH49" s="173">
        <v>63000</v>
      </c>
      <c r="AI49" s="174">
        <v>3150</v>
      </c>
    </row>
    <row r="50" spans="2:35" s="205" customFormat="1" ht="20.25">
      <c r="C50" s="239"/>
      <c r="D50" s="113" t="s">
        <v>86</v>
      </c>
      <c r="E50" s="113"/>
      <c r="F50" s="113"/>
      <c r="G50" s="113"/>
      <c r="H50" s="113"/>
      <c r="I50" s="113"/>
      <c r="J50" s="113"/>
      <c r="K50" s="113"/>
      <c r="L50" s="113"/>
      <c r="M50" s="113"/>
      <c r="N50" s="113"/>
      <c r="O50" s="113"/>
      <c r="P50" s="113"/>
      <c r="Q50" s="375"/>
      <c r="R50" s="371"/>
      <c r="S50" s="113"/>
      <c r="T50" s="424">
        <f>IF(T$47="SS400",各種数値!G71,各種数値!J71)</f>
        <v>315</v>
      </c>
      <c r="U50" s="425"/>
      <c r="V50" s="426"/>
      <c r="W50" s="113" t="s">
        <v>82</v>
      </c>
      <c r="X50" s="113"/>
      <c r="Y50" s="113"/>
      <c r="Z50" s="113"/>
      <c r="AA50" s="113"/>
      <c r="AB50" s="113" t="s">
        <v>83</v>
      </c>
      <c r="AC50" s="113"/>
      <c r="AD50" s="113"/>
      <c r="AE50" s="113"/>
      <c r="AF50" s="113"/>
      <c r="AG50" s="173">
        <v>63000</v>
      </c>
      <c r="AH50" s="173">
        <v>63000</v>
      </c>
      <c r="AI50" s="174">
        <v>3150</v>
      </c>
    </row>
    <row r="51" spans="2:35" customFormat="1">
      <c r="C51" s="5"/>
      <c r="N51" s="303"/>
      <c r="O51" s="303"/>
      <c r="P51" s="303"/>
      <c r="Q51" s="12"/>
      <c r="AI51" s="6"/>
    </row>
    <row r="52" spans="2:35" ht="20.25">
      <c r="C52" s="11"/>
      <c r="D52" s="12" t="s">
        <v>87</v>
      </c>
      <c r="E52" s="12"/>
      <c r="F52" s="12"/>
      <c r="G52" s="12"/>
      <c r="H52" s="12"/>
      <c r="I52" s="12"/>
      <c r="J52" s="12"/>
      <c r="K52" s="12"/>
      <c r="L52" s="12"/>
      <c r="M52" s="12"/>
      <c r="N52" s="12"/>
      <c r="O52" s="12"/>
      <c r="P52" s="12"/>
      <c r="Q52" s="371" t="s">
        <v>88</v>
      </c>
      <c r="R52" s="371"/>
      <c r="S52" s="12" t="s">
        <v>8</v>
      </c>
      <c r="T52" s="424">
        <f>各種数値!G151</f>
        <v>200000</v>
      </c>
      <c r="U52" s="425"/>
      <c r="V52" s="426"/>
      <c r="W52" s="12" t="s">
        <v>82</v>
      </c>
      <c r="X52" s="12"/>
      <c r="Y52" s="12"/>
      <c r="Z52" s="12"/>
      <c r="AA52" s="12"/>
      <c r="AB52" s="12" t="s">
        <v>89</v>
      </c>
      <c r="AC52" s="12"/>
      <c r="AD52" s="12"/>
      <c r="AE52" s="12"/>
      <c r="AF52" s="12"/>
      <c r="AG52" s="12"/>
      <c r="AH52" s="12"/>
      <c r="AI52" s="14"/>
    </row>
    <row r="53" spans="2:35" customFormat="1" ht="20.25">
      <c r="C53" s="5"/>
      <c r="T53" s="393">
        <f>T52*1000</f>
        <v>200000000</v>
      </c>
      <c r="U53" s="394"/>
      <c r="V53" s="395"/>
      <c r="W53" s="12" t="s">
        <v>21</v>
      </c>
      <c r="AI53" s="6"/>
    </row>
    <row r="54" spans="2:35" customFormat="1">
      <c r="C54" s="5"/>
      <c r="N54" s="303"/>
      <c r="O54" s="303"/>
      <c r="P54" s="303"/>
      <c r="Q54" s="12"/>
      <c r="AI54" s="6"/>
    </row>
    <row r="55" spans="2:35">
      <c r="C55" s="11"/>
      <c r="D55" s="12" t="s">
        <v>90</v>
      </c>
      <c r="E55" s="12"/>
      <c r="F55" s="12"/>
      <c r="G55" s="12"/>
      <c r="H55" s="12"/>
      <c r="I55" s="12"/>
      <c r="J55" s="12"/>
      <c r="K55" s="12"/>
      <c r="L55" s="12"/>
      <c r="M55" s="12"/>
      <c r="N55" s="12"/>
      <c r="O55" s="12"/>
      <c r="P55" s="12"/>
      <c r="Q55" s="12"/>
      <c r="R55" s="12"/>
      <c r="S55" s="12"/>
      <c r="T55" s="399">
        <v>1</v>
      </c>
      <c r="U55" s="400"/>
      <c r="V55" s="401"/>
      <c r="W55" s="304"/>
      <c r="X55" s="304"/>
      <c r="Y55" s="304"/>
      <c r="Z55" s="304"/>
      <c r="AA55" s="304"/>
      <c r="AB55" s="12" t="s">
        <v>91</v>
      </c>
      <c r="AC55" s="12"/>
      <c r="AD55" s="12"/>
      <c r="AE55" s="12"/>
      <c r="AF55" s="12"/>
      <c r="AG55" s="12"/>
      <c r="AH55" s="12"/>
      <c r="AI55" s="14"/>
    </row>
    <row r="56" spans="2:35">
      <c r="C56" s="11"/>
      <c r="D56" s="12" t="s">
        <v>92</v>
      </c>
      <c r="E56" s="12"/>
      <c r="F56" s="12"/>
      <c r="G56" s="12"/>
      <c r="H56" s="12"/>
      <c r="I56" s="12"/>
      <c r="J56" s="12"/>
      <c r="K56" s="12"/>
      <c r="L56" s="12"/>
      <c r="M56" s="12"/>
      <c r="N56" s="12"/>
      <c r="O56" s="12"/>
      <c r="P56" s="12"/>
      <c r="Q56" s="12"/>
      <c r="R56" s="12"/>
      <c r="S56" s="12"/>
      <c r="T56" s="399">
        <v>1</v>
      </c>
      <c r="U56" s="400"/>
      <c r="V56" s="401"/>
      <c r="W56" s="12"/>
      <c r="X56" s="12"/>
      <c r="Y56" s="12"/>
      <c r="Z56" s="12"/>
      <c r="AA56" s="12"/>
      <c r="AB56" s="12" t="s">
        <v>93</v>
      </c>
      <c r="AC56" s="12"/>
      <c r="AD56" s="12"/>
      <c r="AE56" s="12"/>
      <c r="AF56" s="12"/>
      <c r="AG56" s="12"/>
      <c r="AH56" s="12"/>
      <c r="AI56" s="14"/>
    </row>
    <row r="57" spans="2:35">
      <c r="C57" s="11"/>
      <c r="D57" s="12" t="s">
        <v>94</v>
      </c>
      <c r="E57" s="12"/>
      <c r="F57" s="12"/>
      <c r="G57" s="12"/>
      <c r="H57" s="12"/>
      <c r="I57" s="12"/>
      <c r="J57" s="12"/>
      <c r="K57" s="12"/>
      <c r="L57" s="12"/>
      <c r="M57" s="12"/>
      <c r="N57" s="12"/>
      <c r="O57" s="12"/>
      <c r="P57" s="12"/>
      <c r="Q57" s="12"/>
      <c r="R57" s="12"/>
      <c r="S57" s="12"/>
      <c r="T57" s="399">
        <v>1</v>
      </c>
      <c r="U57" s="400"/>
      <c r="V57" s="401"/>
      <c r="W57" s="12"/>
      <c r="X57" s="12"/>
      <c r="Y57" s="12"/>
      <c r="Z57" s="12"/>
      <c r="AA57" s="12"/>
      <c r="AB57" s="12" t="s">
        <v>95</v>
      </c>
      <c r="AC57" s="12"/>
      <c r="AD57" s="12"/>
      <c r="AE57" s="12"/>
      <c r="AF57" s="12"/>
      <c r="AG57" s="12"/>
      <c r="AH57" s="12"/>
      <c r="AI57" s="14"/>
    </row>
    <row r="58" spans="2:35">
      <c r="C58" s="15"/>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8"/>
    </row>
    <row r="60" spans="2:35">
      <c r="B60" s="1" t="s">
        <v>96</v>
      </c>
    </row>
    <row r="61" spans="2:35" customFormat="1">
      <c r="C61" s="2" t="s">
        <v>97</v>
      </c>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4"/>
    </row>
    <row r="62" spans="2:35" customFormat="1">
      <c r="C62" s="5"/>
      <c r="D62" t="s">
        <v>98</v>
      </c>
      <c r="T62" s="419" t="s">
        <v>99</v>
      </c>
      <c r="U62" s="420"/>
      <c r="V62" s="421"/>
      <c r="AF62" t="s">
        <v>100</v>
      </c>
      <c r="AI62" s="6"/>
    </row>
    <row r="63" spans="2:35" customFormat="1" ht="20.25">
      <c r="C63" s="5"/>
      <c r="D63" t="s">
        <v>101</v>
      </c>
      <c r="Q63" s="375" t="s">
        <v>102</v>
      </c>
      <c r="R63" s="371"/>
      <c r="S63" t="s">
        <v>8</v>
      </c>
      <c r="T63" s="419">
        <f>各種数値!J141</f>
        <v>13.5</v>
      </c>
      <c r="U63" s="420"/>
      <c r="V63" s="421"/>
      <c r="W63" s="12" t="s">
        <v>82</v>
      </c>
      <c r="Z63" t="s">
        <v>8</v>
      </c>
      <c r="AA63" s="415">
        <f>T63*1000</f>
        <v>13500</v>
      </c>
      <c r="AB63" s="416"/>
      <c r="AC63" s="417"/>
      <c r="AD63" s="12" t="s">
        <v>21</v>
      </c>
      <c r="AE63" s="12"/>
      <c r="AI63" s="6"/>
    </row>
    <row r="64" spans="2:35" customFormat="1" ht="20.25">
      <c r="C64" s="5"/>
      <c r="D64" t="s">
        <v>103</v>
      </c>
      <c r="Q64" s="375" t="s">
        <v>104</v>
      </c>
      <c r="R64" s="371"/>
      <c r="S64" t="s">
        <v>8</v>
      </c>
      <c r="T64" s="422">
        <f>各種数値!K141</f>
        <v>1.05</v>
      </c>
      <c r="U64" s="420"/>
      <c r="V64" s="421"/>
      <c r="W64" s="12" t="s">
        <v>82</v>
      </c>
      <c r="Z64" t="s">
        <v>8</v>
      </c>
      <c r="AA64" s="415">
        <f>T64*1000</f>
        <v>1050</v>
      </c>
      <c r="AB64" s="416"/>
      <c r="AC64" s="417"/>
      <c r="AD64" s="12" t="s">
        <v>21</v>
      </c>
      <c r="AE64" s="12"/>
      <c r="AI64" s="6"/>
    </row>
    <row r="65" spans="2:35" customFormat="1">
      <c r="C65" s="175"/>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17"/>
    </row>
    <row r="66" spans="2:35" customFormat="1"/>
    <row r="67" spans="2:35">
      <c r="B67" s="1" t="s">
        <v>105</v>
      </c>
    </row>
    <row r="68" spans="2:35">
      <c r="C68" s="8"/>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10"/>
    </row>
    <row r="69" spans="2:35">
      <c r="B69" s="12"/>
      <c r="C69" s="11"/>
      <c r="D69" s="12" t="s">
        <v>106</v>
      </c>
      <c r="E69" s="12"/>
      <c r="F69" s="12"/>
      <c r="G69" s="12"/>
      <c r="H69" s="12"/>
      <c r="I69" s="12"/>
      <c r="J69" s="12"/>
      <c r="K69" s="12"/>
      <c r="L69" s="12"/>
      <c r="M69" s="12"/>
      <c r="N69" s="12"/>
      <c r="O69" s="12"/>
      <c r="P69" s="12"/>
      <c r="Q69" s="33" t="s">
        <v>11</v>
      </c>
      <c r="R69" s="12"/>
      <c r="S69" s="12" t="s">
        <v>8</v>
      </c>
      <c r="T69" s="382">
        <v>-1</v>
      </c>
      <c r="U69" s="383"/>
      <c r="V69" s="384"/>
      <c r="W69" s="12" t="s">
        <v>9</v>
      </c>
      <c r="X69" s="12"/>
      <c r="Y69" s="12"/>
      <c r="Z69" s="12"/>
      <c r="AA69" s="12"/>
      <c r="AB69" s="12"/>
      <c r="AC69" s="12"/>
      <c r="AD69" s="12"/>
      <c r="AE69" s="12"/>
      <c r="AF69" s="12"/>
      <c r="AG69" s="12"/>
      <c r="AH69" s="12"/>
      <c r="AI69" s="14"/>
    </row>
    <row r="70" spans="2:35">
      <c r="B70" s="12"/>
      <c r="C70" s="11"/>
      <c r="D70" s="12" t="s">
        <v>107</v>
      </c>
      <c r="E70" s="12"/>
      <c r="F70" s="12"/>
      <c r="G70" s="12"/>
      <c r="H70" s="12"/>
      <c r="I70" s="12"/>
      <c r="J70" s="12"/>
      <c r="K70" s="12"/>
      <c r="L70" s="12"/>
      <c r="M70" s="12"/>
      <c r="N70" s="12"/>
      <c r="O70" s="12"/>
      <c r="P70" s="12"/>
      <c r="Q70" s="33" t="s">
        <v>11</v>
      </c>
      <c r="R70" s="12"/>
      <c r="S70" s="12" t="s">
        <v>8</v>
      </c>
      <c r="T70" s="382">
        <v>-3.8</v>
      </c>
      <c r="U70" s="383"/>
      <c r="V70" s="384"/>
      <c r="W70" s="12" t="s">
        <v>9</v>
      </c>
      <c r="X70" s="12"/>
      <c r="Y70" s="12"/>
      <c r="Z70" s="12"/>
      <c r="AA70" s="12"/>
      <c r="AB70" s="12"/>
      <c r="AC70" s="12"/>
      <c r="AD70" s="12"/>
      <c r="AE70" s="12"/>
      <c r="AF70" s="12"/>
      <c r="AG70" s="12"/>
      <c r="AH70" s="12"/>
      <c r="AI70" s="14"/>
    </row>
    <row r="71" spans="2:35">
      <c r="C71" s="11"/>
      <c r="D71" s="12"/>
      <c r="E71" s="12"/>
      <c r="F71" s="12"/>
      <c r="G71" s="12"/>
      <c r="H71" s="12"/>
      <c r="I71" s="12"/>
      <c r="J71" s="12"/>
      <c r="K71" s="12"/>
      <c r="L71" s="12"/>
      <c r="M71" s="12"/>
      <c r="N71" s="16"/>
      <c r="O71" s="16"/>
      <c r="P71" s="16"/>
      <c r="Q71" s="16"/>
      <c r="R71" s="16"/>
      <c r="S71" s="16"/>
      <c r="T71" s="385"/>
      <c r="U71" s="385"/>
      <c r="V71" s="385"/>
      <c r="W71" s="385"/>
      <c r="X71" s="385"/>
      <c r="Y71" s="385"/>
      <c r="Z71" s="12"/>
      <c r="AA71" s="12"/>
      <c r="AB71" s="12"/>
      <c r="AC71" s="12"/>
      <c r="AD71" s="12"/>
      <c r="AE71" s="12"/>
      <c r="AF71" s="12"/>
      <c r="AG71" s="12"/>
      <c r="AH71" s="12"/>
      <c r="AI71" s="14"/>
    </row>
    <row r="72" spans="2:35" ht="19.5" thickBot="1">
      <c r="C72" s="11"/>
      <c r="D72" s="12"/>
      <c r="E72" s="12"/>
      <c r="F72" s="12"/>
      <c r="G72" s="12"/>
      <c r="H72" s="12"/>
      <c r="I72" s="12"/>
      <c r="J72" s="12"/>
      <c r="K72" s="12"/>
      <c r="L72" s="12"/>
      <c r="M72" s="12"/>
      <c r="N72" s="386" t="s">
        <v>108</v>
      </c>
      <c r="O72" s="386"/>
      <c r="P72" s="386"/>
      <c r="Q72" s="386" t="s">
        <v>109</v>
      </c>
      <c r="R72" s="386"/>
      <c r="S72" s="387"/>
      <c r="T72" s="388"/>
      <c r="U72" s="385"/>
      <c r="V72" s="385"/>
      <c r="W72" s="385"/>
      <c r="X72" s="385"/>
      <c r="Y72" s="385"/>
      <c r="Z72" s="12"/>
      <c r="AA72" s="12"/>
      <c r="AB72" s="12"/>
      <c r="AC72" s="12"/>
      <c r="AD72" s="12"/>
      <c r="AE72" s="12"/>
      <c r="AF72" s="12"/>
      <c r="AG72" s="12"/>
      <c r="AH72" s="12"/>
      <c r="AI72" s="14"/>
    </row>
    <row r="73" spans="2:35" ht="19.5" thickTop="1">
      <c r="C73" s="11"/>
      <c r="D73" s="12" t="s">
        <v>110</v>
      </c>
      <c r="E73" s="12"/>
      <c r="F73" s="12"/>
      <c r="G73" s="12"/>
      <c r="H73" s="12"/>
      <c r="I73" s="12"/>
      <c r="J73" s="12"/>
      <c r="K73" s="12"/>
      <c r="L73" s="12"/>
      <c r="M73" s="12"/>
      <c r="N73" s="396">
        <v>1</v>
      </c>
      <c r="O73" s="397"/>
      <c r="P73" s="398"/>
      <c r="Q73" s="396">
        <v>1</v>
      </c>
      <c r="R73" s="397"/>
      <c r="S73" s="397"/>
      <c r="T73" s="466"/>
      <c r="U73" s="423"/>
      <c r="V73" s="423"/>
      <c r="W73" s="423"/>
      <c r="X73" s="423"/>
      <c r="Y73" s="423"/>
      <c r="Z73" s="12"/>
      <c r="AA73" s="12"/>
      <c r="AB73" s="12"/>
      <c r="AC73" s="12"/>
      <c r="AD73" s="12"/>
      <c r="AE73" s="12"/>
      <c r="AF73" s="12"/>
      <c r="AG73" s="12"/>
      <c r="AH73" s="12"/>
      <c r="AI73" s="14"/>
    </row>
    <row r="74" spans="2:35">
      <c r="C74" s="11"/>
      <c r="D74" s="12" t="s">
        <v>111</v>
      </c>
      <c r="E74" s="12"/>
      <c r="F74" s="12"/>
      <c r="G74" s="12"/>
      <c r="H74" s="12"/>
      <c r="I74" s="12"/>
      <c r="J74" s="12"/>
      <c r="K74" s="12"/>
      <c r="L74" s="12"/>
      <c r="M74" s="12"/>
      <c r="N74" s="406" t="s">
        <v>112</v>
      </c>
      <c r="O74" s="406"/>
      <c r="P74" s="406"/>
      <c r="Q74" s="406" t="s">
        <v>112</v>
      </c>
      <c r="R74" s="406"/>
      <c r="S74" s="407"/>
      <c r="T74" s="402"/>
      <c r="U74" s="379"/>
      <c r="V74" s="379"/>
      <c r="W74" s="379"/>
      <c r="X74" s="379"/>
      <c r="Y74" s="379"/>
      <c r="Z74" s="12"/>
      <c r="AA74" s="12"/>
      <c r="AB74" s="12"/>
      <c r="AC74" s="12"/>
      <c r="AD74" s="12"/>
      <c r="AE74" s="12"/>
      <c r="AF74" s="12"/>
      <c r="AG74" s="52"/>
      <c r="AH74" s="52"/>
      <c r="AI74" s="53"/>
    </row>
    <row r="75" spans="2:35" s="205" customFormat="1">
      <c r="C75" s="239"/>
      <c r="D75" s="113" t="s">
        <v>113</v>
      </c>
      <c r="E75" s="113"/>
      <c r="F75" s="113"/>
      <c r="G75" s="113"/>
      <c r="I75" s="113" t="s">
        <v>57</v>
      </c>
      <c r="J75" s="113"/>
      <c r="K75" s="472" t="s">
        <v>7</v>
      </c>
      <c r="L75" s="427"/>
      <c r="M75" s="113" t="s">
        <v>8</v>
      </c>
      <c r="N75" s="372">
        <f>VLOOKUP(N74,各種数値!$C$173:$L$177,2)</f>
        <v>350</v>
      </c>
      <c r="O75" s="373"/>
      <c r="P75" s="374"/>
      <c r="Q75" s="372">
        <f>VLOOKUP(Q74,各種数値!$C$173:$L$177,2)</f>
        <v>350</v>
      </c>
      <c r="R75" s="373"/>
      <c r="S75" s="373"/>
      <c r="T75" s="380"/>
      <c r="U75" s="381"/>
      <c r="V75" s="381"/>
      <c r="W75" s="381"/>
      <c r="X75" s="381"/>
      <c r="Y75" s="381"/>
      <c r="Z75" s="113"/>
      <c r="AA75" s="113"/>
      <c r="AB75" s="113" t="s">
        <v>114</v>
      </c>
      <c r="AC75" s="113"/>
      <c r="AD75" s="113"/>
      <c r="AE75" s="113"/>
      <c r="AG75" s="305"/>
      <c r="AH75" s="305"/>
      <c r="AI75" s="306"/>
    </row>
    <row r="76" spans="2:35">
      <c r="C76" s="11"/>
      <c r="D76" s="12" t="s">
        <v>58</v>
      </c>
      <c r="E76" s="12"/>
      <c r="F76" s="12"/>
      <c r="G76" s="12"/>
      <c r="I76" s="12" t="s">
        <v>57</v>
      </c>
      <c r="J76" s="12"/>
      <c r="K76" s="375" t="s">
        <v>59</v>
      </c>
      <c r="L76" s="371"/>
      <c r="M76" s="12" t="s">
        <v>8</v>
      </c>
      <c r="N76" s="372">
        <f>VLOOKUP(N74,各種数値!$C$173:$L$177,3)</f>
        <v>350</v>
      </c>
      <c r="O76" s="373"/>
      <c r="P76" s="374"/>
      <c r="Q76" s="372">
        <f>VLOOKUP(Q74,各種数値!$C$173:$L$177,3)</f>
        <v>350</v>
      </c>
      <c r="R76" s="373"/>
      <c r="S76" s="373"/>
      <c r="T76" s="380"/>
      <c r="U76" s="381"/>
      <c r="V76" s="381"/>
      <c r="W76" s="381"/>
      <c r="X76" s="381"/>
      <c r="Y76" s="381"/>
      <c r="Z76" s="12"/>
      <c r="AA76" s="12"/>
      <c r="AB76" s="12" t="s">
        <v>114</v>
      </c>
      <c r="AC76" s="12"/>
      <c r="AD76" s="12"/>
      <c r="AE76" s="12"/>
      <c r="AG76" s="54"/>
      <c r="AH76" s="54"/>
      <c r="AI76" s="53"/>
    </row>
    <row r="77" spans="2:35">
      <c r="C77" s="11"/>
      <c r="D77" s="12" t="s">
        <v>60</v>
      </c>
      <c r="E77" s="12"/>
      <c r="F77" s="12"/>
      <c r="G77" s="12"/>
      <c r="I77" s="12" t="s">
        <v>57</v>
      </c>
      <c r="J77" s="12"/>
      <c r="K77" s="375" t="s">
        <v>115</v>
      </c>
      <c r="L77" s="371"/>
      <c r="M77" s="12" t="s">
        <v>8</v>
      </c>
      <c r="N77" s="372">
        <f>VLOOKUP(N74,各種数値!$C$173:$L$177,4)</f>
        <v>12</v>
      </c>
      <c r="O77" s="373"/>
      <c r="P77" s="374"/>
      <c r="Q77" s="372">
        <f>VLOOKUP(Q74,各種数値!$C$173:$L$177,4)</f>
        <v>12</v>
      </c>
      <c r="R77" s="373"/>
      <c r="S77" s="373"/>
      <c r="T77" s="380"/>
      <c r="U77" s="381"/>
      <c r="V77" s="381"/>
      <c r="W77" s="381"/>
      <c r="X77" s="381"/>
      <c r="Y77" s="381"/>
      <c r="Z77" s="12"/>
      <c r="AA77" s="12"/>
      <c r="AB77" s="12" t="s">
        <v>114</v>
      </c>
      <c r="AC77" s="12"/>
      <c r="AD77" s="12"/>
      <c r="AE77" s="12"/>
      <c r="AG77" s="54"/>
      <c r="AH77" s="54"/>
      <c r="AI77" s="53"/>
    </row>
    <row r="78" spans="2:35" ht="21" customHeight="1">
      <c r="C78" s="11"/>
      <c r="D78" s="12" t="s">
        <v>62</v>
      </c>
      <c r="E78" s="12"/>
      <c r="F78" s="12"/>
      <c r="G78" s="12"/>
      <c r="I78" s="12" t="s">
        <v>57</v>
      </c>
      <c r="J78" s="12"/>
      <c r="K78" s="375" t="s">
        <v>116</v>
      </c>
      <c r="L78" s="371"/>
      <c r="M78" s="12" t="s">
        <v>8</v>
      </c>
      <c r="N78" s="372">
        <f>VLOOKUP(N74,各種数値!$C$173:$L$177,5)</f>
        <v>19</v>
      </c>
      <c r="O78" s="373"/>
      <c r="P78" s="374"/>
      <c r="Q78" s="372">
        <f>VLOOKUP(Q74,各種数値!$C$173:$L$177,5)</f>
        <v>19</v>
      </c>
      <c r="R78" s="373"/>
      <c r="S78" s="373"/>
      <c r="T78" s="380"/>
      <c r="U78" s="381"/>
      <c r="V78" s="381"/>
      <c r="W78" s="381"/>
      <c r="X78" s="381"/>
      <c r="Y78" s="381"/>
      <c r="Z78" s="12"/>
      <c r="AA78" s="12"/>
      <c r="AB78" s="12" t="s">
        <v>114</v>
      </c>
      <c r="AC78" s="12"/>
      <c r="AD78" s="12"/>
      <c r="AE78" s="12"/>
      <c r="AG78" s="54"/>
      <c r="AH78" s="54"/>
      <c r="AI78" s="53"/>
    </row>
    <row r="79" spans="2:35" ht="20.25">
      <c r="C79" s="11"/>
      <c r="D79" s="12" t="s">
        <v>117</v>
      </c>
      <c r="E79" s="12"/>
      <c r="F79" s="12"/>
      <c r="G79" s="12"/>
      <c r="I79" s="12" t="s">
        <v>76</v>
      </c>
      <c r="J79" s="12"/>
      <c r="K79" s="375" t="s">
        <v>118</v>
      </c>
      <c r="L79" s="371"/>
      <c r="M79" s="12" t="s">
        <v>8</v>
      </c>
      <c r="N79" s="376">
        <f>VLOOKUP(N74,各種数値!$C$173:$L$177,6)</f>
        <v>154.9</v>
      </c>
      <c r="O79" s="377"/>
      <c r="P79" s="378"/>
      <c r="Q79" s="376">
        <f>VLOOKUP(Q74,各種数値!$C$173:$L$177,6)</f>
        <v>154.9</v>
      </c>
      <c r="R79" s="377"/>
      <c r="S79" s="377"/>
      <c r="T79" s="465"/>
      <c r="U79" s="418"/>
      <c r="V79" s="418"/>
      <c r="W79" s="418"/>
      <c r="X79" s="418"/>
      <c r="Y79" s="418"/>
      <c r="Z79" s="12"/>
      <c r="AA79" s="12"/>
      <c r="AB79" s="12" t="s">
        <v>114</v>
      </c>
      <c r="AC79" s="12"/>
      <c r="AD79" s="12"/>
      <c r="AE79" s="12"/>
      <c r="AG79" s="54"/>
      <c r="AH79" s="54"/>
      <c r="AI79" s="53"/>
    </row>
    <row r="80" spans="2:35">
      <c r="C80" s="11"/>
      <c r="D80" s="12" t="s">
        <v>119</v>
      </c>
      <c r="E80" s="12"/>
      <c r="F80" s="12"/>
      <c r="G80" s="12"/>
      <c r="I80" s="12" t="s">
        <v>120</v>
      </c>
      <c r="J80" s="12"/>
      <c r="K80" s="375" t="s">
        <v>121</v>
      </c>
      <c r="L80" s="371"/>
      <c r="M80" s="12" t="s">
        <v>8</v>
      </c>
      <c r="N80" s="376">
        <f>VLOOKUP(N74,各種数値!$C$173:$L$177,8)</f>
        <v>15.1</v>
      </c>
      <c r="O80" s="377"/>
      <c r="P80" s="378"/>
      <c r="Q80" s="376">
        <f>VLOOKUP(Q74,各種数値!$C$173:$L$177,8)</f>
        <v>15.1</v>
      </c>
      <c r="R80" s="377"/>
      <c r="S80" s="377"/>
      <c r="T80" s="465"/>
      <c r="U80" s="418"/>
      <c r="V80" s="418"/>
      <c r="W80" s="418"/>
      <c r="X80" s="418"/>
      <c r="Y80" s="418"/>
      <c r="Z80" s="12"/>
      <c r="AA80" s="12"/>
      <c r="AB80" s="12" t="s">
        <v>114</v>
      </c>
      <c r="AC80" s="12"/>
      <c r="AD80" s="12"/>
      <c r="AE80" s="12"/>
      <c r="AG80" s="54"/>
      <c r="AH80" s="54"/>
      <c r="AI80" s="53"/>
    </row>
    <row r="81" spans="2:35" ht="21" customHeight="1">
      <c r="C81" s="11"/>
      <c r="D81" s="12"/>
      <c r="E81" s="12"/>
      <c r="F81" s="12"/>
      <c r="G81" s="12"/>
      <c r="I81" s="12" t="s">
        <v>120</v>
      </c>
      <c r="J81" s="12"/>
      <c r="K81" s="375" t="s">
        <v>122</v>
      </c>
      <c r="L81" s="371"/>
      <c r="M81" s="12" t="s">
        <v>8</v>
      </c>
      <c r="N81" s="376">
        <f>VLOOKUP(N74,各種数値!$C$173:$L$177,9)</f>
        <v>8.99</v>
      </c>
      <c r="O81" s="377"/>
      <c r="P81" s="378"/>
      <c r="Q81" s="376">
        <f>VLOOKUP(Q74,各種数値!$C$173:$L$177,9)</f>
        <v>8.99</v>
      </c>
      <c r="R81" s="377"/>
      <c r="S81" s="377"/>
      <c r="T81" s="465"/>
      <c r="U81" s="418"/>
      <c r="V81" s="418"/>
      <c r="W81" s="418"/>
      <c r="X81" s="418"/>
      <c r="Y81" s="418"/>
      <c r="Z81" s="12"/>
      <c r="AA81" s="12"/>
      <c r="AB81" s="12" t="s">
        <v>114</v>
      </c>
      <c r="AC81" s="12"/>
      <c r="AD81" s="12"/>
      <c r="AE81" s="12"/>
      <c r="AG81" s="54"/>
      <c r="AH81" s="54"/>
      <c r="AI81" s="53"/>
    </row>
    <row r="82" spans="2:35" ht="20.25">
      <c r="C82" s="11"/>
      <c r="D82" s="12" t="s">
        <v>69</v>
      </c>
      <c r="E82" s="12"/>
      <c r="F82" s="12"/>
      <c r="G82" s="12"/>
      <c r="I82" s="12" t="s">
        <v>71</v>
      </c>
      <c r="J82" s="12"/>
      <c r="K82" s="371" t="s">
        <v>123</v>
      </c>
      <c r="L82" s="371"/>
      <c r="M82" s="12" t="s">
        <v>8</v>
      </c>
      <c r="N82" s="372">
        <f>VLOOKUP(N74,各種数値!$C$173:$L$177,10)</f>
        <v>2000</v>
      </c>
      <c r="O82" s="373"/>
      <c r="P82" s="374"/>
      <c r="Q82" s="372">
        <f>VLOOKUP(Q74,各種数値!$C$173:$L$177,10)</f>
        <v>2000</v>
      </c>
      <c r="R82" s="373"/>
      <c r="S82" s="373"/>
      <c r="T82" s="380"/>
      <c r="U82" s="381"/>
      <c r="V82" s="381"/>
      <c r="W82" s="381"/>
      <c r="X82" s="381"/>
      <c r="Y82" s="381"/>
      <c r="Z82" s="12"/>
      <c r="AA82" s="12"/>
      <c r="AB82" s="12" t="s">
        <v>114</v>
      </c>
      <c r="AC82" s="12"/>
      <c r="AD82" s="12"/>
      <c r="AE82" s="12"/>
      <c r="AF82" s="12"/>
      <c r="AG82" s="52"/>
      <c r="AH82" s="52"/>
      <c r="AI82" s="53"/>
    </row>
    <row r="83" spans="2:35">
      <c r="C83" s="11"/>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4"/>
    </row>
    <row r="84" spans="2:35" customFormat="1">
      <c r="C84" s="5"/>
      <c r="D84" t="s">
        <v>78</v>
      </c>
      <c r="N84" s="403" t="s">
        <v>79</v>
      </c>
      <c r="O84" s="404"/>
      <c r="P84" s="405"/>
      <c r="T84" s="1"/>
      <c r="U84" s="1"/>
      <c r="V84" s="1"/>
      <c r="AI84" s="6"/>
    </row>
    <row r="85" spans="2:35" ht="20.25">
      <c r="C85" s="11"/>
      <c r="D85" s="12" t="s">
        <v>124</v>
      </c>
      <c r="E85" s="12"/>
      <c r="F85" s="12"/>
      <c r="G85" s="12"/>
      <c r="H85" s="12"/>
      <c r="I85" s="12"/>
      <c r="J85" s="12"/>
      <c r="K85" s="375" t="s">
        <v>125</v>
      </c>
      <c r="L85" s="371"/>
      <c r="M85" s="12" t="s">
        <v>8</v>
      </c>
      <c r="N85" s="408">
        <f>IF(N$84="SS400",各種数値!G69,各種数値!J69)</f>
        <v>120</v>
      </c>
      <c r="O85" s="408"/>
      <c r="P85" s="408"/>
      <c r="Q85" s="219"/>
      <c r="R85" s="219"/>
      <c r="S85" s="219"/>
      <c r="T85" s="219"/>
      <c r="U85" s="219"/>
      <c r="V85" s="219"/>
      <c r="W85" s="219"/>
      <c r="X85" s="219"/>
      <c r="Y85" s="219"/>
      <c r="Z85" s="12"/>
      <c r="AA85" s="12"/>
      <c r="AB85" s="12" t="s">
        <v>83</v>
      </c>
      <c r="AC85" s="12"/>
      <c r="AD85" s="12"/>
      <c r="AE85" s="12"/>
      <c r="AG85" s="54"/>
      <c r="AH85" s="54"/>
      <c r="AI85" s="53"/>
    </row>
    <row r="86" spans="2:35">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8"/>
    </row>
    <row r="87" spans="2:35">
      <c r="Z87" s="12"/>
    </row>
    <row r="88" spans="2:35">
      <c r="B88" s="1" t="s">
        <v>126</v>
      </c>
    </row>
    <row r="89" spans="2:35">
      <c r="C89" s="8"/>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10"/>
    </row>
    <row r="90" spans="2:35" s="205" customFormat="1" ht="19.5" thickBot="1">
      <c r="C90" s="239"/>
      <c r="D90" s="113"/>
      <c r="E90" s="113"/>
      <c r="F90" s="113"/>
      <c r="G90" s="113"/>
      <c r="H90" s="113"/>
      <c r="I90" s="113"/>
      <c r="J90" s="113"/>
      <c r="K90" s="113"/>
      <c r="L90" s="113"/>
      <c r="M90" s="113"/>
      <c r="N90" s="113"/>
      <c r="O90" s="113"/>
      <c r="P90" s="113"/>
      <c r="Q90" s="389" t="s">
        <v>127</v>
      </c>
      <c r="R90" s="389"/>
      <c r="S90" s="389"/>
      <c r="T90" s="389" t="s">
        <v>109</v>
      </c>
      <c r="U90" s="389"/>
      <c r="V90" s="389"/>
      <c r="W90" s="113"/>
      <c r="X90" s="113"/>
      <c r="Y90" s="113"/>
      <c r="Z90" s="113"/>
      <c r="AA90" s="113"/>
      <c r="AB90" s="113"/>
      <c r="AC90" s="113"/>
      <c r="AD90" s="113"/>
      <c r="AE90" s="113"/>
      <c r="AF90" s="113"/>
      <c r="AG90" s="113"/>
      <c r="AH90" s="113"/>
      <c r="AI90" s="240"/>
    </row>
    <row r="91" spans="2:35" ht="19.5" thickTop="1">
      <c r="C91" s="11"/>
      <c r="D91" s="12" t="s">
        <v>128</v>
      </c>
      <c r="E91" s="12"/>
      <c r="F91" s="12"/>
      <c r="G91" s="12"/>
      <c r="H91" s="12"/>
      <c r="I91" s="12"/>
      <c r="J91" s="12" t="s">
        <v>129</v>
      </c>
      <c r="K91" s="12"/>
      <c r="L91" s="12"/>
      <c r="M91" s="12"/>
      <c r="N91" s="371" t="s">
        <v>59</v>
      </c>
      <c r="O91" s="371"/>
      <c r="P91" s="12" t="s">
        <v>8</v>
      </c>
      <c r="Q91" s="409">
        <v>4.5</v>
      </c>
      <c r="R91" s="410"/>
      <c r="S91" s="411"/>
      <c r="T91" s="409">
        <v>4.5</v>
      </c>
      <c r="U91" s="410"/>
      <c r="V91" s="411"/>
      <c r="X91" s="12"/>
      <c r="Y91" s="12" t="s">
        <v>130</v>
      </c>
      <c r="Z91" s="12"/>
      <c r="AA91" s="12"/>
      <c r="AB91" s="12"/>
      <c r="AC91" s="12"/>
      <c r="AD91" s="12"/>
      <c r="AE91" s="12"/>
      <c r="AF91" s="12"/>
      <c r="AG91" s="12"/>
      <c r="AH91" s="12"/>
      <c r="AI91" s="14"/>
    </row>
    <row r="92" spans="2:35">
      <c r="C92" s="11"/>
      <c r="D92" s="12" t="s">
        <v>131</v>
      </c>
      <c r="E92" s="12"/>
      <c r="F92" s="12"/>
      <c r="G92" s="12"/>
      <c r="H92" s="12"/>
      <c r="I92" s="12"/>
      <c r="J92" s="12" t="s">
        <v>129</v>
      </c>
      <c r="K92" s="12"/>
      <c r="L92" s="12"/>
      <c r="M92" s="12"/>
      <c r="N92" s="371" t="s">
        <v>132</v>
      </c>
      <c r="O92" s="371"/>
      <c r="P92" s="12" t="s">
        <v>8</v>
      </c>
      <c r="Q92" s="412">
        <f>R14-N75*2/1000</f>
        <v>8.6000000000000014</v>
      </c>
      <c r="R92" s="413"/>
      <c r="S92" s="414"/>
      <c r="T92" s="412">
        <f>R14-Q75*2/1000</f>
        <v>8.6000000000000014</v>
      </c>
      <c r="U92" s="413"/>
      <c r="V92" s="414"/>
      <c r="X92" s="12"/>
      <c r="Y92" s="12"/>
      <c r="Z92" s="12"/>
      <c r="AA92" s="12"/>
      <c r="AB92" s="12"/>
      <c r="AC92" s="12"/>
      <c r="AD92" s="12"/>
      <c r="AE92" s="12"/>
      <c r="AF92" s="12"/>
      <c r="AG92" s="12"/>
      <c r="AH92" s="12"/>
      <c r="AI92" s="14"/>
    </row>
    <row r="93" spans="2:35">
      <c r="C93" s="11"/>
      <c r="D93" s="12"/>
      <c r="E93" s="12"/>
      <c r="F93" s="12"/>
      <c r="G93" s="12"/>
      <c r="H93" s="12"/>
      <c r="I93" s="12"/>
      <c r="J93" s="12"/>
      <c r="K93" s="12"/>
      <c r="L93" s="12"/>
      <c r="M93" s="12"/>
      <c r="N93" s="34"/>
      <c r="O93" s="34"/>
      <c r="P93" s="12"/>
      <c r="Q93" s="176"/>
      <c r="R93" s="176"/>
      <c r="S93" s="176"/>
      <c r="T93" s="176"/>
      <c r="U93" s="176"/>
      <c r="V93" s="176"/>
      <c r="X93" s="12"/>
      <c r="Y93" s="12"/>
      <c r="Z93" s="12"/>
      <c r="AA93" s="12"/>
      <c r="AB93" s="12"/>
      <c r="AC93" s="12"/>
      <c r="AD93" s="12"/>
      <c r="AE93" s="12"/>
      <c r="AF93" s="12"/>
      <c r="AG93" s="12"/>
      <c r="AH93" s="12"/>
      <c r="AI93" s="14"/>
    </row>
    <row r="94" spans="2:35">
      <c r="C94" s="11"/>
      <c r="D94" s="12" t="s">
        <v>111</v>
      </c>
      <c r="E94" s="12"/>
      <c r="F94" s="12"/>
      <c r="G94" s="12"/>
      <c r="H94" s="12"/>
      <c r="I94" s="12"/>
      <c r="J94" s="12"/>
      <c r="K94" s="12"/>
      <c r="L94" s="12"/>
      <c r="M94" s="12"/>
      <c r="N94" s="12"/>
      <c r="O94" s="12"/>
      <c r="P94" s="12"/>
      <c r="Q94" s="406" t="s">
        <v>55</v>
      </c>
      <c r="R94" s="406"/>
      <c r="S94" s="406"/>
      <c r="T94" s="406" t="s">
        <v>55</v>
      </c>
      <c r="U94" s="406"/>
      <c r="V94" s="406"/>
      <c r="X94" s="12"/>
      <c r="Y94" s="12" t="s">
        <v>133</v>
      </c>
      <c r="Z94" s="12"/>
      <c r="AA94" s="12"/>
      <c r="AB94" s="12"/>
      <c r="AC94" s="12"/>
      <c r="AD94" s="12"/>
      <c r="AE94" s="12"/>
      <c r="AF94" s="12"/>
      <c r="AG94" s="52"/>
      <c r="AH94" s="52"/>
      <c r="AI94" s="53"/>
    </row>
    <row r="95" spans="2:35">
      <c r="C95" s="11"/>
      <c r="D95" s="12" t="s">
        <v>113</v>
      </c>
      <c r="E95" s="12"/>
      <c r="F95" s="12"/>
      <c r="G95" s="12"/>
      <c r="H95" s="12"/>
      <c r="I95" s="12"/>
      <c r="J95" s="12" t="s">
        <v>57</v>
      </c>
      <c r="K95" s="12"/>
      <c r="L95" s="12"/>
      <c r="M95" s="12"/>
      <c r="N95" s="375" t="s">
        <v>7</v>
      </c>
      <c r="O95" s="371"/>
      <c r="P95" s="12" t="s">
        <v>8</v>
      </c>
      <c r="Q95" s="372">
        <f>VLOOKUP(Q94,各種数値!$C$173:$L$177,2)</f>
        <v>300</v>
      </c>
      <c r="R95" s="373"/>
      <c r="S95" s="374"/>
      <c r="T95" s="372">
        <f>VLOOKUP(T94,各種数値!$C$173:$L$177,2)</f>
        <v>300</v>
      </c>
      <c r="U95" s="373"/>
      <c r="V95" s="374"/>
      <c r="X95" s="12"/>
      <c r="Y95" s="12"/>
      <c r="Z95" s="12"/>
      <c r="AA95" s="12"/>
      <c r="AB95" s="12" t="s">
        <v>114</v>
      </c>
      <c r="AC95" s="12"/>
      <c r="AD95" s="12"/>
      <c r="AE95" s="12"/>
      <c r="AG95" s="54"/>
      <c r="AH95" s="54"/>
      <c r="AI95" s="53"/>
    </row>
    <row r="96" spans="2:35">
      <c r="C96" s="11"/>
      <c r="D96" s="12" t="s">
        <v>58</v>
      </c>
      <c r="E96" s="12"/>
      <c r="F96" s="12"/>
      <c r="G96" s="12"/>
      <c r="H96" s="12"/>
      <c r="I96" s="12"/>
      <c r="J96" s="12" t="s">
        <v>57</v>
      </c>
      <c r="K96" s="12"/>
      <c r="L96" s="12"/>
      <c r="M96" s="12"/>
      <c r="N96" s="375" t="s">
        <v>59</v>
      </c>
      <c r="O96" s="371"/>
      <c r="P96" s="12" t="s">
        <v>8</v>
      </c>
      <c r="Q96" s="372">
        <f>VLOOKUP(Q94,各種数値!$C$173:$L$177,3)</f>
        <v>300</v>
      </c>
      <c r="R96" s="373"/>
      <c r="S96" s="374"/>
      <c r="T96" s="372">
        <f>VLOOKUP(T94,各種数値!$C$173:$L$177,3)</f>
        <v>300</v>
      </c>
      <c r="U96" s="373"/>
      <c r="V96" s="374"/>
      <c r="X96" s="12"/>
      <c r="Y96" s="12"/>
      <c r="Z96" s="12"/>
      <c r="AA96" s="12"/>
      <c r="AB96" s="12" t="s">
        <v>114</v>
      </c>
      <c r="AC96" s="12"/>
      <c r="AD96" s="12"/>
      <c r="AE96" s="12"/>
      <c r="AG96" s="54"/>
      <c r="AH96" s="54"/>
      <c r="AI96" s="53"/>
    </row>
    <row r="97" spans="2:35">
      <c r="C97" s="11"/>
      <c r="D97" s="12" t="s">
        <v>134</v>
      </c>
      <c r="E97" s="12"/>
      <c r="F97" s="12"/>
      <c r="G97" s="12"/>
      <c r="H97" s="12"/>
      <c r="I97" s="12"/>
      <c r="J97" s="12" t="s">
        <v>57</v>
      </c>
      <c r="K97" s="12"/>
      <c r="L97" s="12"/>
      <c r="M97" s="12"/>
      <c r="N97" s="375" t="s">
        <v>115</v>
      </c>
      <c r="O97" s="371"/>
      <c r="P97" s="12" t="s">
        <v>8</v>
      </c>
      <c r="Q97" s="372">
        <f>VLOOKUP(Q94,各種数値!$C$173:$L$177,4)</f>
        <v>10</v>
      </c>
      <c r="R97" s="373"/>
      <c r="S97" s="374"/>
      <c r="T97" s="372">
        <f>VLOOKUP(T94,各種数値!$C$173:$L$177,4)</f>
        <v>10</v>
      </c>
      <c r="U97" s="373"/>
      <c r="V97" s="374"/>
      <c r="X97" s="12"/>
      <c r="Y97" s="12"/>
      <c r="Z97" s="12"/>
      <c r="AA97" s="12"/>
      <c r="AB97" s="12" t="s">
        <v>114</v>
      </c>
      <c r="AC97" s="12"/>
      <c r="AD97" s="12"/>
      <c r="AE97" s="12"/>
      <c r="AG97" s="54"/>
      <c r="AH97" s="54"/>
      <c r="AI97" s="53"/>
    </row>
    <row r="98" spans="2:35" ht="21" customHeight="1">
      <c r="C98" s="11"/>
      <c r="D98" s="12" t="s">
        <v>135</v>
      </c>
      <c r="E98" s="12"/>
      <c r="F98" s="12"/>
      <c r="G98" s="12"/>
      <c r="H98" s="12"/>
      <c r="I98" s="12"/>
      <c r="J98" s="12" t="s">
        <v>57</v>
      </c>
      <c r="K98" s="12"/>
      <c r="L98" s="12"/>
      <c r="M98" s="12"/>
      <c r="N98" s="375" t="s">
        <v>136</v>
      </c>
      <c r="O98" s="371"/>
      <c r="P98" s="12" t="s">
        <v>8</v>
      </c>
      <c r="Q98" s="372">
        <f>VLOOKUP(Q94,各種数値!$C$173:$L$177,5)</f>
        <v>15</v>
      </c>
      <c r="R98" s="373"/>
      <c r="S98" s="374"/>
      <c r="T98" s="372">
        <f>VLOOKUP(T94,各種数値!$C$173:$L$177,5)</f>
        <v>15</v>
      </c>
      <c r="U98" s="373"/>
      <c r="V98" s="374"/>
      <c r="X98" s="12"/>
      <c r="Y98" s="12"/>
      <c r="Z98" s="12"/>
      <c r="AA98" s="12"/>
      <c r="AB98" s="12" t="s">
        <v>114</v>
      </c>
      <c r="AC98" s="12"/>
      <c r="AD98" s="12"/>
      <c r="AE98" s="12"/>
      <c r="AG98" s="54"/>
      <c r="AH98" s="54"/>
      <c r="AI98" s="53"/>
    </row>
    <row r="99" spans="2:35" ht="20.25">
      <c r="C99" s="11"/>
      <c r="D99" s="12" t="s">
        <v>117</v>
      </c>
      <c r="E99" s="12"/>
      <c r="F99" s="12"/>
      <c r="G99" s="12"/>
      <c r="H99" s="12"/>
      <c r="I99" s="12"/>
      <c r="J99" s="12" t="s">
        <v>76</v>
      </c>
      <c r="K99" s="12"/>
      <c r="L99" s="12"/>
      <c r="M99" s="12"/>
      <c r="N99" s="375" t="s">
        <v>118</v>
      </c>
      <c r="O99" s="371"/>
      <c r="P99" s="12" t="s">
        <v>8</v>
      </c>
      <c r="Q99" s="376">
        <f>VLOOKUP(Q94,各種数値!$C$173:$L$177,6)</f>
        <v>104.8</v>
      </c>
      <c r="R99" s="377"/>
      <c r="S99" s="378"/>
      <c r="T99" s="376">
        <f>VLOOKUP(T94,各種数値!$C$173:$L$177,6)</f>
        <v>104.8</v>
      </c>
      <c r="U99" s="377"/>
      <c r="V99" s="378"/>
      <c r="X99" s="12"/>
      <c r="Y99" s="12"/>
      <c r="Z99" s="12"/>
      <c r="AA99" s="12"/>
      <c r="AB99" s="12" t="s">
        <v>114</v>
      </c>
      <c r="AC99" s="12"/>
      <c r="AD99" s="12"/>
      <c r="AE99" s="12"/>
      <c r="AG99" s="54"/>
      <c r="AH99" s="54"/>
      <c r="AI99" s="53"/>
    </row>
    <row r="100" spans="2:35">
      <c r="C100" s="11"/>
      <c r="D100" s="12" t="s">
        <v>119</v>
      </c>
      <c r="E100" s="12"/>
      <c r="F100" s="12"/>
      <c r="G100" s="12"/>
      <c r="H100" s="12"/>
      <c r="I100" s="12"/>
      <c r="J100" s="12" t="s">
        <v>120</v>
      </c>
      <c r="K100" s="12"/>
      <c r="L100" s="12"/>
      <c r="M100" s="12"/>
      <c r="N100" s="375" t="s">
        <v>121</v>
      </c>
      <c r="O100" s="371"/>
      <c r="P100" s="12" t="s">
        <v>8</v>
      </c>
      <c r="Q100" s="376">
        <f>VLOOKUP(Q94,各種数値!$C$173:$L$177,8)</f>
        <v>12.9</v>
      </c>
      <c r="R100" s="377"/>
      <c r="S100" s="378"/>
      <c r="T100" s="376">
        <f>VLOOKUP(T94,各種数値!$C$173:$L$177,8)</f>
        <v>12.9</v>
      </c>
      <c r="U100" s="377"/>
      <c r="V100" s="378"/>
      <c r="X100" s="12"/>
      <c r="Y100" s="12"/>
      <c r="Z100" s="12"/>
      <c r="AA100" s="12"/>
      <c r="AB100" s="12" t="s">
        <v>114</v>
      </c>
      <c r="AC100" s="12"/>
      <c r="AD100" s="12"/>
      <c r="AE100" s="12"/>
      <c r="AG100" s="54"/>
      <c r="AH100" s="54"/>
      <c r="AI100" s="53"/>
    </row>
    <row r="101" spans="2:35" ht="21" customHeight="1">
      <c r="C101" s="11"/>
      <c r="D101" s="12"/>
      <c r="E101" s="12"/>
      <c r="F101" s="12"/>
      <c r="G101" s="12"/>
      <c r="H101" s="12"/>
      <c r="I101" s="12"/>
      <c r="J101" s="12" t="s">
        <v>120</v>
      </c>
      <c r="K101" s="12"/>
      <c r="L101" s="12"/>
      <c r="M101" s="12"/>
      <c r="N101" s="375" t="s">
        <v>122</v>
      </c>
      <c r="O101" s="371"/>
      <c r="P101" s="12" t="s">
        <v>8</v>
      </c>
      <c r="Q101" s="376">
        <f>VLOOKUP(Q94,各種数値!$C$173:$L$177,9)</f>
        <v>7.51</v>
      </c>
      <c r="R101" s="377"/>
      <c r="S101" s="378"/>
      <c r="T101" s="376">
        <f>VLOOKUP(T94,各種数値!$C$173:$L$177,9)</f>
        <v>7.51</v>
      </c>
      <c r="U101" s="377"/>
      <c r="V101" s="378"/>
      <c r="X101" s="12"/>
      <c r="Y101" s="12"/>
      <c r="Z101" s="12"/>
      <c r="AA101" s="12"/>
      <c r="AB101" s="12" t="s">
        <v>114</v>
      </c>
      <c r="AC101" s="12"/>
      <c r="AD101" s="12"/>
      <c r="AE101" s="12"/>
      <c r="AG101" s="54"/>
      <c r="AH101" s="54"/>
      <c r="AI101" s="53"/>
    </row>
    <row r="102" spans="2:35" ht="20.25">
      <c r="C102" s="11"/>
      <c r="D102" s="12" t="s">
        <v>69</v>
      </c>
      <c r="E102" s="12"/>
      <c r="F102" s="12"/>
      <c r="G102" s="12"/>
      <c r="H102" s="12"/>
      <c r="I102" s="12"/>
      <c r="J102" s="12" t="s">
        <v>71</v>
      </c>
      <c r="K102" s="12"/>
      <c r="L102" s="12"/>
      <c r="M102" s="12"/>
      <c r="N102" s="371" t="s">
        <v>123</v>
      </c>
      <c r="O102" s="371"/>
      <c r="P102" s="12" t="s">
        <v>8</v>
      </c>
      <c r="Q102" s="372">
        <f>VLOOKUP(Q94,各種数値!$C$173:$L$177,10)</f>
        <v>1150</v>
      </c>
      <c r="R102" s="373"/>
      <c r="S102" s="374"/>
      <c r="T102" s="372">
        <f>VLOOKUP(T94,各種数値!$C$173:$L$177,10)</f>
        <v>1150</v>
      </c>
      <c r="U102" s="373"/>
      <c r="V102" s="374"/>
      <c r="X102" s="12"/>
      <c r="Y102" s="12"/>
      <c r="Z102" s="12"/>
      <c r="AA102" s="12"/>
      <c r="AB102" s="12" t="s">
        <v>114</v>
      </c>
      <c r="AC102" s="12"/>
      <c r="AD102" s="12"/>
      <c r="AE102" s="12"/>
      <c r="AF102" s="12"/>
      <c r="AG102" s="52"/>
      <c r="AH102" s="52"/>
      <c r="AI102" s="53"/>
    </row>
    <row r="103" spans="2:35">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8"/>
    </row>
    <row r="104" spans="2:35">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2:35">
      <c r="B105" s="1" t="s">
        <v>137</v>
      </c>
    </row>
    <row r="106" spans="2:35">
      <c r="C106" s="8"/>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row>
    <row r="107" spans="2:35">
      <c r="C107" s="11"/>
      <c r="D107" s="12" t="s">
        <v>138</v>
      </c>
      <c r="E107" s="12"/>
      <c r="F107" s="12"/>
      <c r="G107" s="12"/>
      <c r="H107" s="12"/>
      <c r="I107" s="12"/>
      <c r="J107" s="12"/>
      <c r="K107" s="12"/>
      <c r="L107" s="12"/>
      <c r="M107" s="12"/>
      <c r="N107" s="12"/>
      <c r="O107" s="12"/>
      <c r="P107" s="12"/>
      <c r="Q107" s="436" t="s">
        <v>139</v>
      </c>
      <c r="R107" s="436"/>
      <c r="S107" s="12" t="s">
        <v>8</v>
      </c>
      <c r="T107" s="467">
        <v>1.5</v>
      </c>
      <c r="U107" s="468"/>
      <c r="V107" s="469"/>
      <c r="W107" s="12" t="s">
        <v>129</v>
      </c>
      <c r="X107" s="12"/>
      <c r="Y107" s="12"/>
      <c r="Z107" s="12"/>
      <c r="AA107" s="12"/>
      <c r="AB107" s="12"/>
      <c r="AC107" s="12"/>
      <c r="AD107" s="12"/>
      <c r="AE107" s="12"/>
      <c r="AF107" s="12"/>
      <c r="AG107" s="12"/>
      <c r="AH107" s="12"/>
      <c r="AI107" s="14"/>
    </row>
    <row r="108" spans="2:35">
      <c r="C108" s="11"/>
      <c r="D108" s="12" t="s">
        <v>140</v>
      </c>
      <c r="E108" s="12"/>
      <c r="F108" s="12"/>
      <c r="G108" s="12"/>
      <c r="H108" s="12"/>
      <c r="I108" s="12"/>
      <c r="J108" s="12"/>
      <c r="K108" s="12"/>
      <c r="L108" s="12"/>
      <c r="M108" s="12"/>
      <c r="N108" s="12"/>
      <c r="O108" s="12"/>
      <c r="P108" s="12"/>
      <c r="Q108" s="436" t="s">
        <v>141</v>
      </c>
      <c r="R108" s="436"/>
      <c r="S108" s="12" t="s">
        <v>8</v>
      </c>
      <c r="T108" s="407">
        <v>45</v>
      </c>
      <c r="U108" s="470"/>
      <c r="V108" s="471"/>
      <c r="W108" s="12" t="s">
        <v>142</v>
      </c>
      <c r="X108" s="12"/>
      <c r="Y108" s="12"/>
      <c r="Z108" s="12"/>
      <c r="AA108" s="12"/>
      <c r="AB108" s="12"/>
      <c r="AC108" s="12"/>
      <c r="AD108" s="12"/>
      <c r="AE108" s="12"/>
      <c r="AF108" s="12"/>
      <c r="AG108" s="12"/>
      <c r="AH108" s="12"/>
      <c r="AI108" s="14"/>
    </row>
    <row r="109" spans="2:35">
      <c r="C109" s="11"/>
      <c r="D109" s="12"/>
      <c r="E109" s="12"/>
      <c r="F109" s="12"/>
      <c r="G109" s="12"/>
      <c r="H109" s="12"/>
      <c r="I109" s="12"/>
      <c r="J109" s="12"/>
      <c r="K109" s="12"/>
      <c r="L109" s="12"/>
      <c r="M109" s="12"/>
      <c r="N109" s="12"/>
      <c r="O109" s="12"/>
      <c r="P109" s="12"/>
      <c r="Q109" s="34"/>
      <c r="R109" s="34"/>
      <c r="S109" s="12"/>
      <c r="T109" s="176"/>
      <c r="U109" s="176"/>
      <c r="V109" s="176"/>
      <c r="W109" s="12"/>
      <c r="X109" s="12"/>
      <c r="Y109" s="12"/>
      <c r="Z109" s="12"/>
      <c r="AA109" s="12"/>
      <c r="AB109" s="12"/>
      <c r="AC109" s="12"/>
      <c r="AD109" s="12"/>
      <c r="AE109" s="12"/>
      <c r="AF109" s="12"/>
      <c r="AG109" s="12"/>
      <c r="AH109" s="12"/>
      <c r="AI109" s="14"/>
    </row>
    <row r="110" spans="2:35">
      <c r="C110" s="11"/>
      <c r="D110" s="12" t="s">
        <v>143</v>
      </c>
      <c r="E110" s="12"/>
      <c r="F110" s="12"/>
      <c r="G110" s="12"/>
      <c r="H110" s="12"/>
      <c r="I110" s="12"/>
      <c r="J110" s="12"/>
      <c r="K110" s="12"/>
      <c r="L110" s="12"/>
      <c r="M110" s="12"/>
      <c r="N110" s="12"/>
      <c r="O110" s="12"/>
      <c r="P110" s="12"/>
      <c r="Q110" s="33" t="s">
        <v>11</v>
      </c>
      <c r="R110" s="12"/>
      <c r="S110" s="12" t="s">
        <v>8</v>
      </c>
      <c r="T110" s="446">
        <f>T69</f>
        <v>-1</v>
      </c>
      <c r="U110" s="447"/>
      <c r="V110" s="448"/>
      <c r="W110" s="12" t="s">
        <v>9</v>
      </c>
      <c r="X110" s="12"/>
      <c r="Y110" s="12"/>
      <c r="Z110" s="12"/>
      <c r="AA110" s="12"/>
      <c r="AB110" s="12"/>
      <c r="AC110" s="12"/>
      <c r="AD110" s="12"/>
      <c r="AE110" s="12"/>
      <c r="AF110" s="12"/>
      <c r="AG110" s="12"/>
      <c r="AH110" s="12"/>
      <c r="AI110" s="14"/>
    </row>
    <row r="111" spans="2:35">
      <c r="C111" s="11"/>
      <c r="D111" s="12" t="s">
        <v>144</v>
      </c>
      <c r="E111" s="12"/>
      <c r="F111" s="12"/>
      <c r="G111" s="12"/>
      <c r="H111" s="12"/>
      <c r="I111" s="12"/>
      <c r="J111" s="12"/>
      <c r="K111" s="12"/>
      <c r="L111" s="12"/>
      <c r="M111" s="12"/>
      <c r="N111" s="12"/>
      <c r="O111" s="12"/>
      <c r="P111" s="12"/>
      <c r="Q111" s="33" t="s">
        <v>11</v>
      </c>
      <c r="R111" s="12"/>
      <c r="S111" s="12" t="s">
        <v>8</v>
      </c>
      <c r="T111" s="446">
        <f>T70</f>
        <v>-3.8</v>
      </c>
      <c r="U111" s="447"/>
      <c r="V111" s="448"/>
      <c r="W111" s="12" t="s">
        <v>9</v>
      </c>
      <c r="X111" s="12"/>
      <c r="Y111" s="12"/>
      <c r="Z111" s="12"/>
      <c r="AA111" s="12"/>
      <c r="AB111" s="12"/>
      <c r="AC111" s="12"/>
      <c r="AD111" s="12"/>
      <c r="AE111" s="12"/>
      <c r="AF111" s="12"/>
      <c r="AG111" s="12"/>
      <c r="AH111" s="12"/>
      <c r="AI111" s="14"/>
    </row>
    <row r="112" spans="2:35">
      <c r="C112" s="11"/>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4"/>
    </row>
    <row r="113" spans="3:35">
      <c r="C113" s="11"/>
      <c r="D113" s="12" t="s">
        <v>111</v>
      </c>
      <c r="E113" s="12"/>
      <c r="F113" s="12"/>
      <c r="G113" s="12"/>
      <c r="H113" s="12"/>
      <c r="I113" s="12"/>
      <c r="J113" s="12"/>
      <c r="K113" s="12"/>
      <c r="L113" s="12"/>
      <c r="M113" s="12"/>
      <c r="N113" s="12"/>
      <c r="O113" s="12"/>
      <c r="P113" s="12"/>
      <c r="Q113" s="12"/>
      <c r="R113" s="12"/>
      <c r="S113" s="12"/>
      <c r="T113" s="406" t="s">
        <v>55</v>
      </c>
      <c r="U113" s="406"/>
      <c r="V113" s="406"/>
      <c r="W113" s="12"/>
      <c r="X113" s="12"/>
      <c r="Y113" s="12"/>
      <c r="Z113" s="12"/>
      <c r="AA113" s="12"/>
      <c r="AB113" s="12"/>
      <c r="AC113" s="12"/>
      <c r="AD113" s="12"/>
      <c r="AE113" s="12"/>
      <c r="AF113" s="12"/>
      <c r="AG113" s="52"/>
      <c r="AH113" s="52"/>
      <c r="AI113" s="53"/>
    </row>
    <row r="114" spans="3:35">
      <c r="C114" s="11"/>
      <c r="D114" s="12" t="s">
        <v>113</v>
      </c>
      <c r="E114" s="12"/>
      <c r="F114" s="12"/>
      <c r="G114" s="12"/>
      <c r="H114" s="12"/>
      <c r="I114" s="12"/>
      <c r="J114" s="12"/>
      <c r="K114" s="12"/>
      <c r="L114" s="12"/>
      <c r="M114" s="12"/>
      <c r="N114" s="12"/>
      <c r="O114" s="12"/>
      <c r="P114" s="12"/>
      <c r="Q114" s="375" t="s">
        <v>7</v>
      </c>
      <c r="R114" s="371"/>
      <c r="S114" s="12" t="s">
        <v>8</v>
      </c>
      <c r="T114" s="372">
        <f>VLOOKUP(T113,各種数値!$C$173:$L$177,2)</f>
        <v>300</v>
      </c>
      <c r="U114" s="373"/>
      <c r="V114" s="374"/>
      <c r="W114" s="12" t="s">
        <v>57</v>
      </c>
      <c r="X114" s="12"/>
      <c r="Y114" s="12"/>
      <c r="Z114" s="12"/>
      <c r="AA114" s="12"/>
      <c r="AB114" s="12" t="s">
        <v>114</v>
      </c>
      <c r="AC114" s="12"/>
      <c r="AD114" s="12"/>
      <c r="AE114" s="12"/>
      <c r="AG114" s="54"/>
      <c r="AH114" s="54"/>
      <c r="AI114" s="53"/>
    </row>
    <row r="115" spans="3:35">
      <c r="C115" s="11"/>
      <c r="D115" s="12" t="s">
        <v>58</v>
      </c>
      <c r="E115" s="12"/>
      <c r="F115" s="12"/>
      <c r="G115" s="12"/>
      <c r="H115" s="12"/>
      <c r="I115" s="12"/>
      <c r="J115" s="12"/>
      <c r="K115" s="12"/>
      <c r="L115" s="12"/>
      <c r="M115" s="12"/>
      <c r="N115" s="12"/>
      <c r="O115" s="12"/>
      <c r="P115" s="12"/>
      <c r="Q115" s="375" t="s">
        <v>59</v>
      </c>
      <c r="R115" s="371"/>
      <c r="S115" s="12" t="s">
        <v>8</v>
      </c>
      <c r="T115" s="372">
        <f>VLOOKUP(T113,各種数値!$C$173:$L$177,3)</f>
        <v>300</v>
      </c>
      <c r="U115" s="373"/>
      <c r="V115" s="374"/>
      <c r="W115" s="12" t="s">
        <v>57</v>
      </c>
      <c r="X115" s="12"/>
      <c r="Y115" s="12"/>
      <c r="Z115" s="12"/>
      <c r="AA115" s="12"/>
      <c r="AB115" s="12" t="s">
        <v>114</v>
      </c>
      <c r="AC115" s="12"/>
      <c r="AD115" s="12"/>
      <c r="AE115" s="12"/>
      <c r="AG115" s="54"/>
      <c r="AH115" s="54"/>
      <c r="AI115" s="53"/>
    </row>
    <row r="116" spans="3:35">
      <c r="C116" s="11"/>
      <c r="D116" s="12" t="s">
        <v>134</v>
      </c>
      <c r="E116" s="12"/>
      <c r="F116" s="12"/>
      <c r="G116" s="12"/>
      <c r="H116" s="12"/>
      <c r="I116" s="12"/>
      <c r="J116" s="12"/>
      <c r="K116" s="12"/>
      <c r="L116" s="12"/>
      <c r="M116" s="12"/>
      <c r="N116" s="12"/>
      <c r="O116" s="12"/>
      <c r="P116" s="12"/>
      <c r="Q116" s="375" t="s">
        <v>115</v>
      </c>
      <c r="R116" s="371"/>
      <c r="S116" s="12" t="s">
        <v>8</v>
      </c>
      <c r="T116" s="372">
        <f>VLOOKUP(T113,各種数値!$C$173:$L$177,4)</f>
        <v>10</v>
      </c>
      <c r="U116" s="373"/>
      <c r="V116" s="374"/>
      <c r="W116" s="12" t="s">
        <v>57</v>
      </c>
      <c r="X116" s="12"/>
      <c r="Y116" s="12"/>
      <c r="Z116" s="12"/>
      <c r="AA116" s="12"/>
      <c r="AB116" s="12" t="s">
        <v>114</v>
      </c>
      <c r="AC116" s="12"/>
      <c r="AD116" s="12"/>
      <c r="AE116" s="12"/>
      <c r="AG116" s="54"/>
      <c r="AH116" s="54"/>
      <c r="AI116" s="53"/>
    </row>
    <row r="117" spans="3:35" ht="21" customHeight="1">
      <c r="C117" s="11"/>
      <c r="D117" s="12" t="s">
        <v>135</v>
      </c>
      <c r="E117" s="12"/>
      <c r="F117" s="12"/>
      <c r="G117" s="12"/>
      <c r="H117" s="12"/>
      <c r="I117" s="12"/>
      <c r="J117" s="12"/>
      <c r="K117" s="12"/>
      <c r="L117" s="12"/>
      <c r="M117" s="12"/>
      <c r="N117" s="12"/>
      <c r="O117" s="12"/>
      <c r="P117" s="12"/>
      <c r="Q117" s="375" t="s">
        <v>136</v>
      </c>
      <c r="R117" s="371"/>
      <c r="S117" s="12" t="s">
        <v>8</v>
      </c>
      <c r="T117" s="372">
        <f>VLOOKUP(T113,各種数値!$C$173:$L$177,5)</f>
        <v>15</v>
      </c>
      <c r="U117" s="373"/>
      <c r="V117" s="374"/>
      <c r="W117" s="12" t="s">
        <v>57</v>
      </c>
      <c r="X117" s="12"/>
      <c r="Y117" s="12"/>
      <c r="Z117" s="12"/>
      <c r="AA117" s="12"/>
      <c r="AB117" s="12" t="s">
        <v>114</v>
      </c>
      <c r="AC117" s="12"/>
      <c r="AD117" s="12"/>
      <c r="AE117" s="12"/>
      <c r="AG117" s="54"/>
      <c r="AH117" s="54"/>
      <c r="AI117" s="53"/>
    </row>
    <row r="118" spans="3:35" ht="20.25">
      <c r="C118" s="11"/>
      <c r="D118" s="12" t="s">
        <v>117</v>
      </c>
      <c r="E118" s="12"/>
      <c r="F118" s="12"/>
      <c r="G118" s="12"/>
      <c r="H118" s="12"/>
      <c r="I118" s="12"/>
      <c r="J118" s="12"/>
      <c r="K118" s="12"/>
      <c r="L118" s="12"/>
      <c r="M118" s="12"/>
      <c r="N118" s="12"/>
      <c r="O118" s="12"/>
      <c r="P118" s="12"/>
      <c r="Q118" s="375" t="s">
        <v>118</v>
      </c>
      <c r="R118" s="371"/>
      <c r="S118" s="12" t="s">
        <v>8</v>
      </c>
      <c r="T118" s="376">
        <f>VLOOKUP(T113,各種数値!$C$173:$L$177,6)</f>
        <v>104.8</v>
      </c>
      <c r="U118" s="377"/>
      <c r="V118" s="378"/>
      <c r="W118" s="12" t="s">
        <v>76</v>
      </c>
      <c r="X118" s="12"/>
      <c r="Y118" s="12"/>
      <c r="Z118" s="12"/>
      <c r="AA118" s="12"/>
      <c r="AB118" s="12" t="s">
        <v>114</v>
      </c>
      <c r="AC118" s="12"/>
      <c r="AD118" s="12"/>
      <c r="AE118" s="12"/>
      <c r="AG118" s="54"/>
      <c r="AH118" s="54"/>
      <c r="AI118" s="53"/>
    </row>
    <row r="119" spans="3:35">
      <c r="C119" s="11"/>
      <c r="D119" s="12" t="s">
        <v>119</v>
      </c>
      <c r="E119" s="12"/>
      <c r="F119" s="12"/>
      <c r="G119" s="12"/>
      <c r="H119" s="12"/>
      <c r="I119" s="12"/>
      <c r="J119" s="12"/>
      <c r="K119" s="12"/>
      <c r="L119" s="12"/>
      <c r="M119" s="12"/>
      <c r="N119" s="12"/>
      <c r="O119" s="12"/>
      <c r="P119" s="12"/>
      <c r="Q119" s="375" t="s">
        <v>121</v>
      </c>
      <c r="R119" s="371"/>
      <c r="S119" s="12" t="s">
        <v>8</v>
      </c>
      <c r="T119" s="376">
        <f>VLOOKUP(T113,各種数値!$C$173:$L$177,8)</f>
        <v>12.9</v>
      </c>
      <c r="U119" s="377"/>
      <c r="V119" s="378"/>
      <c r="W119" s="12" t="s">
        <v>120</v>
      </c>
      <c r="X119" s="12"/>
      <c r="Y119" s="12"/>
      <c r="Z119" s="12"/>
      <c r="AA119" s="12"/>
      <c r="AB119" s="12" t="s">
        <v>114</v>
      </c>
      <c r="AC119" s="12"/>
      <c r="AD119" s="12"/>
      <c r="AE119" s="12"/>
      <c r="AG119" s="54"/>
      <c r="AH119" s="54"/>
      <c r="AI119" s="53"/>
    </row>
    <row r="120" spans="3:35" ht="21" customHeight="1">
      <c r="C120" s="11"/>
      <c r="D120" s="12"/>
      <c r="E120" s="12"/>
      <c r="F120" s="12"/>
      <c r="G120" s="12"/>
      <c r="H120" s="12"/>
      <c r="I120" s="12"/>
      <c r="J120" s="12"/>
      <c r="K120" s="12"/>
      <c r="L120" s="12"/>
      <c r="M120" s="12"/>
      <c r="N120" s="12"/>
      <c r="O120" s="12"/>
      <c r="P120" s="12"/>
      <c r="Q120" s="375" t="s">
        <v>122</v>
      </c>
      <c r="R120" s="371"/>
      <c r="S120" s="12" t="s">
        <v>8</v>
      </c>
      <c r="T120" s="376">
        <f>VLOOKUP(T113,各種数値!$C$173:$L$177,9)</f>
        <v>7.51</v>
      </c>
      <c r="U120" s="377"/>
      <c r="V120" s="378"/>
      <c r="W120" s="12" t="s">
        <v>120</v>
      </c>
      <c r="X120" s="12"/>
      <c r="Y120" s="12"/>
      <c r="Z120" s="12"/>
      <c r="AA120" s="12"/>
      <c r="AB120" s="12" t="s">
        <v>114</v>
      </c>
      <c r="AC120" s="12"/>
      <c r="AD120" s="12"/>
      <c r="AE120" s="12"/>
      <c r="AG120" s="54"/>
      <c r="AH120" s="54"/>
      <c r="AI120" s="53"/>
    </row>
    <row r="121" spans="3:35" ht="20.25">
      <c r="C121" s="11"/>
      <c r="D121" s="12" t="s">
        <v>69</v>
      </c>
      <c r="E121" s="12"/>
      <c r="F121" s="12"/>
      <c r="G121" s="12"/>
      <c r="H121" s="12"/>
      <c r="I121" s="12"/>
      <c r="J121" s="12"/>
      <c r="K121" s="12"/>
      <c r="L121" s="12"/>
      <c r="M121" s="12"/>
      <c r="N121" s="12"/>
      <c r="O121" s="12"/>
      <c r="P121" s="12"/>
      <c r="Q121" s="371" t="s">
        <v>123</v>
      </c>
      <c r="R121" s="371"/>
      <c r="S121" s="12" t="s">
        <v>8</v>
      </c>
      <c r="T121" s="372">
        <f>VLOOKUP(T113,各種数値!$C$173:$L$177,10)</f>
        <v>1150</v>
      </c>
      <c r="U121" s="373"/>
      <c r="V121" s="374"/>
      <c r="W121" s="12" t="s">
        <v>71</v>
      </c>
      <c r="X121" s="12"/>
      <c r="Y121" s="12"/>
      <c r="Z121" s="12"/>
      <c r="AA121" s="12"/>
      <c r="AB121" s="12" t="s">
        <v>114</v>
      </c>
      <c r="AC121" s="12"/>
      <c r="AD121" s="12"/>
      <c r="AE121" s="12"/>
      <c r="AF121" s="12"/>
      <c r="AG121" s="52"/>
      <c r="AH121" s="52"/>
      <c r="AI121" s="53"/>
    </row>
    <row r="122" spans="3:35">
      <c r="C122" s="15"/>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8"/>
    </row>
    <row r="123" spans="3:35">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row>
  </sheetData>
  <sheetProtection sheet="1" objects="1" scenarios="1"/>
  <mergeCells count="244">
    <mergeCell ref="K75:L75"/>
    <mergeCell ref="Q80:S80"/>
    <mergeCell ref="R12:T12"/>
    <mergeCell ref="Q33:R33"/>
    <mergeCell ref="T33:V33"/>
    <mergeCell ref="Q34:R34"/>
    <mergeCell ref="T34:V34"/>
    <mergeCell ref="Q35:R35"/>
    <mergeCell ref="T35:V35"/>
    <mergeCell ref="Q36:R36"/>
    <mergeCell ref="T36:V36"/>
    <mergeCell ref="T22:W22"/>
    <mergeCell ref="T23:W23"/>
    <mergeCell ref="T24:W24"/>
    <mergeCell ref="T25:W25"/>
    <mergeCell ref="T32:V32"/>
    <mergeCell ref="T26:W26"/>
    <mergeCell ref="T27:W27"/>
    <mergeCell ref="R13:T13"/>
    <mergeCell ref="K76:L76"/>
    <mergeCell ref="K79:L79"/>
    <mergeCell ref="Q50:R50"/>
    <mergeCell ref="T38:V38"/>
    <mergeCell ref="T41:V41"/>
    <mergeCell ref="N92:O92"/>
    <mergeCell ref="Q92:S92"/>
    <mergeCell ref="N91:O91"/>
    <mergeCell ref="Q91:S91"/>
    <mergeCell ref="N79:P79"/>
    <mergeCell ref="K80:L80"/>
    <mergeCell ref="N80:P80"/>
    <mergeCell ref="N76:P76"/>
    <mergeCell ref="K78:L78"/>
    <mergeCell ref="N78:P78"/>
    <mergeCell ref="N77:P77"/>
    <mergeCell ref="K77:L77"/>
    <mergeCell ref="K81:L81"/>
    <mergeCell ref="N81:P81"/>
    <mergeCell ref="Q76:S76"/>
    <mergeCell ref="Q77:S77"/>
    <mergeCell ref="T119:V119"/>
    <mergeCell ref="Q120:R120"/>
    <mergeCell ref="T120:V120"/>
    <mergeCell ref="T117:V117"/>
    <mergeCell ref="T99:V99"/>
    <mergeCell ref="Q114:R114"/>
    <mergeCell ref="T114:V114"/>
    <mergeCell ref="Q115:R115"/>
    <mergeCell ref="T115:V115"/>
    <mergeCell ref="Q116:R116"/>
    <mergeCell ref="T116:V116"/>
    <mergeCell ref="Q118:R118"/>
    <mergeCell ref="T118:V118"/>
    <mergeCell ref="Q108:R108"/>
    <mergeCell ref="T110:V110"/>
    <mergeCell ref="Q117:R117"/>
    <mergeCell ref="Q100:S100"/>
    <mergeCell ref="T111:V111"/>
    <mergeCell ref="T113:V113"/>
    <mergeCell ref="T101:V101"/>
    <mergeCell ref="Q107:R107"/>
    <mergeCell ref="T107:V107"/>
    <mergeCell ref="Q99:S99"/>
    <mergeCell ref="T108:V108"/>
    <mergeCell ref="Q121:R121"/>
    <mergeCell ref="T121:V121"/>
    <mergeCell ref="Q119:R119"/>
    <mergeCell ref="D26:E26"/>
    <mergeCell ref="F26:G26"/>
    <mergeCell ref="H26:I26"/>
    <mergeCell ref="L26:M26"/>
    <mergeCell ref="N26:O26"/>
    <mergeCell ref="P26:S26"/>
    <mergeCell ref="P27:S27"/>
    <mergeCell ref="N27:O27"/>
    <mergeCell ref="J26:K26"/>
    <mergeCell ref="J27:K27"/>
    <mergeCell ref="L27:M27"/>
    <mergeCell ref="D27:E27"/>
    <mergeCell ref="F27:G27"/>
    <mergeCell ref="H27:I27"/>
    <mergeCell ref="T57:V57"/>
    <mergeCell ref="T79:V79"/>
    <mergeCell ref="T82:V82"/>
    <mergeCell ref="T80:V80"/>
    <mergeCell ref="T81:V81"/>
    <mergeCell ref="Q73:S73"/>
    <mergeCell ref="T73:V73"/>
    <mergeCell ref="F23:G23"/>
    <mergeCell ref="J24:K24"/>
    <mergeCell ref="R14:T14"/>
    <mergeCell ref="F20:G20"/>
    <mergeCell ref="H20:I20"/>
    <mergeCell ref="N20:O20"/>
    <mergeCell ref="H23:I23"/>
    <mergeCell ref="J22:K22"/>
    <mergeCell ref="L22:M22"/>
    <mergeCell ref="N22:O22"/>
    <mergeCell ref="P22:S22"/>
    <mergeCell ref="F21:G21"/>
    <mergeCell ref="H21:I21"/>
    <mergeCell ref="L21:M21"/>
    <mergeCell ref="N21:O21"/>
    <mergeCell ref="L23:M23"/>
    <mergeCell ref="N23:O23"/>
    <mergeCell ref="P23:S23"/>
    <mergeCell ref="F22:G22"/>
    <mergeCell ref="P20:S20"/>
    <mergeCell ref="P21:S21"/>
    <mergeCell ref="B3:AI3"/>
    <mergeCell ref="X26:AA26"/>
    <mergeCell ref="R10:T10"/>
    <mergeCell ref="R11:T11"/>
    <mergeCell ref="R15:T15"/>
    <mergeCell ref="AB20:AE20"/>
    <mergeCell ref="AF20:AG20"/>
    <mergeCell ref="J20:M20"/>
    <mergeCell ref="AF25:AG25"/>
    <mergeCell ref="AB25:AE25"/>
    <mergeCell ref="X20:AA20"/>
    <mergeCell ref="T20:W20"/>
    <mergeCell ref="T21:W21"/>
    <mergeCell ref="N24:O24"/>
    <mergeCell ref="D25:E25"/>
    <mergeCell ref="F25:G25"/>
    <mergeCell ref="H25:I25"/>
    <mergeCell ref="J25:K25"/>
    <mergeCell ref="D24:E24"/>
    <mergeCell ref="F24:G24"/>
    <mergeCell ref="H24:I24"/>
    <mergeCell ref="L24:M24"/>
    <mergeCell ref="L25:M25"/>
    <mergeCell ref="D23:E23"/>
    <mergeCell ref="AB27:AE27"/>
    <mergeCell ref="X22:AA22"/>
    <mergeCell ref="AF22:AG22"/>
    <mergeCell ref="H22:I22"/>
    <mergeCell ref="AF23:AG23"/>
    <mergeCell ref="AF24:AG24"/>
    <mergeCell ref="AB23:AE23"/>
    <mergeCell ref="AB21:AE21"/>
    <mergeCell ref="AF21:AG21"/>
    <mergeCell ref="J21:K21"/>
    <mergeCell ref="N25:O25"/>
    <mergeCell ref="P25:S25"/>
    <mergeCell ref="X25:AA25"/>
    <mergeCell ref="AB26:AE26"/>
    <mergeCell ref="X27:AA27"/>
    <mergeCell ref="AF27:AG27"/>
    <mergeCell ref="AF26:AG26"/>
    <mergeCell ref="AB22:AE22"/>
    <mergeCell ref="X21:AA21"/>
    <mergeCell ref="AB24:AE24"/>
    <mergeCell ref="X23:AA23"/>
    <mergeCell ref="X24:AA24"/>
    <mergeCell ref="P24:S24"/>
    <mergeCell ref="J23:K23"/>
    <mergeCell ref="Q49:R49"/>
    <mergeCell ref="Q52:R52"/>
    <mergeCell ref="T48:V48"/>
    <mergeCell ref="Q48:R48"/>
    <mergeCell ref="Q44:R44"/>
    <mergeCell ref="T44:V44"/>
    <mergeCell ref="Q38:R38"/>
    <mergeCell ref="Q41:R41"/>
    <mergeCell ref="Q79:S79"/>
    <mergeCell ref="T47:V47"/>
    <mergeCell ref="T53:V53"/>
    <mergeCell ref="T62:V62"/>
    <mergeCell ref="T49:V49"/>
    <mergeCell ref="T50:V50"/>
    <mergeCell ref="T55:V55"/>
    <mergeCell ref="T52:V52"/>
    <mergeCell ref="AA63:AC63"/>
    <mergeCell ref="Q64:R64"/>
    <mergeCell ref="AA64:AC64"/>
    <mergeCell ref="Q94:S94"/>
    <mergeCell ref="T96:V96"/>
    <mergeCell ref="Q95:S95"/>
    <mergeCell ref="Q90:S90"/>
    <mergeCell ref="Q81:S81"/>
    <mergeCell ref="W75:Y75"/>
    <mergeCell ref="W78:Y78"/>
    <mergeCell ref="W79:Y79"/>
    <mergeCell ref="W82:Y82"/>
    <mergeCell ref="W80:Y80"/>
    <mergeCell ref="W81:Y81"/>
    <mergeCell ref="T63:V63"/>
    <mergeCell ref="T64:V64"/>
    <mergeCell ref="T71:Y71"/>
    <mergeCell ref="W77:Y77"/>
    <mergeCell ref="W73:Y73"/>
    <mergeCell ref="N75:P75"/>
    <mergeCell ref="N72:P72"/>
    <mergeCell ref="Q72:S72"/>
    <mergeCell ref="T72:V72"/>
    <mergeCell ref="T90:V90"/>
    <mergeCell ref="T69:V69"/>
    <mergeCell ref="K82:L82"/>
    <mergeCell ref="N82:P82"/>
    <mergeCell ref="T39:V39"/>
    <mergeCell ref="T42:V42"/>
    <mergeCell ref="T45:V45"/>
    <mergeCell ref="N73:P73"/>
    <mergeCell ref="Q63:R63"/>
    <mergeCell ref="T56:V56"/>
    <mergeCell ref="T74:V74"/>
    <mergeCell ref="Q82:S82"/>
    <mergeCell ref="N84:P84"/>
    <mergeCell ref="Q74:S74"/>
    <mergeCell ref="Q75:S75"/>
    <mergeCell ref="N74:P74"/>
    <mergeCell ref="K85:L85"/>
    <mergeCell ref="N85:P85"/>
    <mergeCell ref="T78:V78"/>
    <mergeCell ref="Q78:S78"/>
    <mergeCell ref="W74:Y74"/>
    <mergeCell ref="T75:V75"/>
    <mergeCell ref="T76:V76"/>
    <mergeCell ref="T77:V77"/>
    <mergeCell ref="T70:V70"/>
    <mergeCell ref="W76:Y76"/>
    <mergeCell ref="W72:Y72"/>
    <mergeCell ref="T102:V102"/>
    <mergeCell ref="T100:V100"/>
    <mergeCell ref="T98:V98"/>
    <mergeCell ref="T91:V91"/>
    <mergeCell ref="T92:V92"/>
    <mergeCell ref="T97:V97"/>
    <mergeCell ref="T94:V94"/>
    <mergeCell ref="T95:V95"/>
    <mergeCell ref="N102:O102"/>
    <mergeCell ref="Q102:S102"/>
    <mergeCell ref="N97:O97"/>
    <mergeCell ref="Q97:S97"/>
    <mergeCell ref="N95:O95"/>
    <mergeCell ref="N96:O96"/>
    <mergeCell ref="N101:O101"/>
    <mergeCell ref="Q101:S101"/>
    <mergeCell ref="N100:O100"/>
    <mergeCell ref="Q96:S96"/>
    <mergeCell ref="N99:O99"/>
    <mergeCell ref="N98:O98"/>
    <mergeCell ref="Q98:S98"/>
  </mergeCells>
  <phoneticPr fontId="3"/>
  <dataValidations count="4">
    <dataValidation type="list" allowBlank="1" showInputMessage="1" showErrorMessage="1" sqref="H23:I27" xr:uid="{056491C3-9CB1-4476-BAD2-CA3942C9017F}">
      <formula1>"砂質, 粘性"</formula1>
    </dataValidation>
    <dataValidation type="list" allowBlank="1" showInputMessage="1" showErrorMessage="1" sqref="J23:K27" xr:uid="{6226F16F-FC63-4765-B405-9CA0B2C5C174}">
      <formula1>"なし,有"</formula1>
    </dataValidation>
    <dataValidation type="list" allowBlank="1" showInputMessage="1" showErrorMessage="1" sqref="T47:V47 N84:P84" xr:uid="{0245EBF3-B691-4F5C-B237-5C8C6821A394}">
      <formula1>"SS400, SM490"</formula1>
    </dataValidation>
    <dataValidation type="list" allowBlank="1" showInputMessage="1" showErrorMessage="1" sqref="T32:V32" xr:uid="{62F51796-C1F2-459A-A2C7-EA3CC95BCA97}">
      <formula1>#REF!</formula1>
    </dataValidation>
  </dataValidations>
  <hyperlinks>
    <hyperlink ref="AA1" r:id="rId1" xr:uid="{6FA1425E-A2FE-4616-8332-DE1CB48018B4}"/>
  </hyperlinks>
  <pageMargins left="0.70866141732283472" right="0.70866141732283472" top="0.74803149606299213" bottom="0.74803149606299213" header="0.31496062992125984" footer="0.31496062992125984"/>
  <pageSetup paperSize="9" scale="75"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E210A8B-1271-4694-8411-19DEE8B4AA0D}">
          <x14:formula1>
            <xm:f>各種数値!$C$173:$C$177</xm:f>
          </x14:formula1>
          <xm:sqref>T113:V113 N74:Y74 Q94:V94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4B3AF-843B-46DF-861B-BF02E254F14D}">
  <sheetPr>
    <pageSetUpPr fitToPage="1"/>
  </sheetPr>
  <dimension ref="A1:M177"/>
  <sheetViews>
    <sheetView zoomScale="80" zoomScaleNormal="80" workbookViewId="0">
      <selection activeCell="A2" sqref="A2"/>
    </sheetView>
  </sheetViews>
  <sheetFormatPr defaultRowHeight="18.75"/>
  <cols>
    <col min="7" max="7" width="13.375" customWidth="1"/>
    <col min="9" max="9" width="19.25" bestFit="1" customWidth="1"/>
    <col min="10" max="11" width="19.25" customWidth="1"/>
  </cols>
  <sheetData>
    <row r="1" spans="1:11">
      <c r="A1" t="s">
        <v>692</v>
      </c>
    </row>
    <row r="2" spans="1:11">
      <c r="B2" t="s">
        <v>693</v>
      </c>
      <c r="E2" t="s">
        <v>694</v>
      </c>
    </row>
    <row r="4" spans="1:11">
      <c r="C4" s="272" t="s">
        <v>695</v>
      </c>
      <c r="D4" s="273"/>
      <c r="E4" s="272" t="s">
        <v>6</v>
      </c>
      <c r="F4" s="273"/>
      <c r="G4" s="272" t="s">
        <v>696</v>
      </c>
      <c r="H4" s="274"/>
      <c r="I4" s="273"/>
      <c r="J4" t="s">
        <v>697</v>
      </c>
    </row>
    <row r="5" spans="1:11">
      <c r="C5" s="275" t="s">
        <v>698</v>
      </c>
      <c r="D5" s="216"/>
      <c r="E5" s="275" t="s">
        <v>699</v>
      </c>
      <c r="F5" s="216"/>
      <c r="G5" s="275" t="s">
        <v>700</v>
      </c>
      <c r="H5" s="68"/>
      <c r="I5" s="216"/>
      <c r="J5" t="s">
        <v>701</v>
      </c>
    </row>
    <row r="6" spans="1:11">
      <c r="C6" s="5" t="s">
        <v>702</v>
      </c>
      <c r="D6" s="6"/>
      <c r="E6" s="275" t="s">
        <v>703</v>
      </c>
      <c r="F6" s="216"/>
      <c r="G6" s="275" t="s">
        <v>704</v>
      </c>
      <c r="H6" s="68"/>
      <c r="I6" s="216"/>
      <c r="J6" t="s">
        <v>705</v>
      </c>
    </row>
    <row r="7" spans="1:11">
      <c r="C7" s="175"/>
      <c r="D7" s="217"/>
      <c r="E7" s="175" t="s">
        <v>706</v>
      </c>
      <c r="F7" s="217"/>
      <c r="G7" s="175" t="s">
        <v>707</v>
      </c>
      <c r="H7" s="24"/>
      <c r="I7" s="217"/>
      <c r="J7" t="s">
        <v>708</v>
      </c>
    </row>
    <row r="8" spans="1:11">
      <c r="C8" s="275" t="s">
        <v>709</v>
      </c>
      <c r="D8" s="216"/>
      <c r="E8" s="275" t="s">
        <v>710</v>
      </c>
      <c r="F8" s="216"/>
      <c r="G8" s="275" t="s">
        <v>711</v>
      </c>
      <c r="H8" s="68"/>
      <c r="I8" s="216"/>
      <c r="J8" t="s">
        <v>712</v>
      </c>
    </row>
    <row r="11" spans="1:11">
      <c r="B11" t="s">
        <v>713</v>
      </c>
    </row>
    <row r="13" spans="1:11">
      <c r="C13" t="s">
        <v>714</v>
      </c>
      <c r="J13" t="s">
        <v>715</v>
      </c>
    </row>
    <row r="14" spans="1:11">
      <c r="C14" s="276" t="s">
        <v>716</v>
      </c>
      <c r="D14" s="273"/>
      <c r="E14" s="272"/>
      <c r="F14" s="277" t="s">
        <v>29</v>
      </c>
      <c r="G14" s="273"/>
      <c r="H14" s="276" t="s">
        <v>716</v>
      </c>
      <c r="I14" s="273"/>
      <c r="J14" s="278" t="s">
        <v>29</v>
      </c>
      <c r="K14" t="s">
        <v>717</v>
      </c>
    </row>
    <row r="15" spans="1:11">
      <c r="C15" s="276" t="s">
        <v>718</v>
      </c>
      <c r="D15" s="273"/>
      <c r="E15" s="275"/>
      <c r="F15" s="270">
        <v>77</v>
      </c>
      <c r="G15" s="216"/>
      <c r="H15" s="276" t="s">
        <v>719</v>
      </c>
      <c r="I15" s="273"/>
      <c r="J15" s="268">
        <v>21</v>
      </c>
    </row>
    <row r="16" spans="1:11">
      <c r="C16" s="276" t="s">
        <v>720</v>
      </c>
      <c r="D16" s="273"/>
      <c r="E16" s="275"/>
      <c r="F16" s="270">
        <v>71</v>
      </c>
      <c r="G16" s="216"/>
      <c r="H16" s="276" t="s">
        <v>721</v>
      </c>
      <c r="I16" s="273"/>
      <c r="J16" s="268">
        <v>8</v>
      </c>
    </row>
    <row r="17" spans="3:10">
      <c r="C17" s="276" t="s">
        <v>722</v>
      </c>
      <c r="D17" s="273"/>
      <c r="E17" s="275"/>
      <c r="F17" s="270">
        <v>24.5</v>
      </c>
      <c r="G17" s="216"/>
      <c r="H17" s="276" t="s">
        <v>723</v>
      </c>
      <c r="I17" s="273"/>
      <c r="J17" s="268">
        <v>22.5</v>
      </c>
    </row>
    <row r="18" spans="3:10">
      <c r="C18" s="276" t="s">
        <v>724</v>
      </c>
      <c r="D18" s="273"/>
      <c r="E18" s="269"/>
      <c r="F18" s="270">
        <v>23</v>
      </c>
      <c r="G18" s="216"/>
    </row>
    <row r="20" spans="3:10">
      <c r="C20" s="95" t="s">
        <v>725</v>
      </c>
    </row>
    <row r="21" spans="3:10">
      <c r="D21" t="s">
        <v>726</v>
      </c>
    </row>
    <row r="22" spans="3:10">
      <c r="E22" t="s">
        <v>727</v>
      </c>
    </row>
    <row r="23" spans="3:10">
      <c r="E23" t="s">
        <v>728</v>
      </c>
      <c r="G23" t="s">
        <v>729</v>
      </c>
    </row>
    <row r="24" spans="3:10">
      <c r="F24" s="276" t="s">
        <v>730</v>
      </c>
      <c r="G24" s="274"/>
      <c r="H24" s="273"/>
      <c r="I24" s="278" t="s">
        <v>731</v>
      </c>
      <c r="J24" s="278" t="s">
        <v>732</v>
      </c>
    </row>
    <row r="25" spans="3:10">
      <c r="F25" s="276" t="s">
        <v>265</v>
      </c>
      <c r="G25" s="274"/>
      <c r="H25" s="273"/>
      <c r="I25" s="279">
        <v>1</v>
      </c>
      <c r="J25" s="268" t="s">
        <v>733</v>
      </c>
    </row>
    <row r="27" spans="3:10">
      <c r="D27" t="s">
        <v>734</v>
      </c>
      <c r="G27" t="s">
        <v>729</v>
      </c>
    </row>
    <row r="28" spans="3:10">
      <c r="E28" s="218" t="s">
        <v>735</v>
      </c>
      <c r="H28" s="279">
        <v>5</v>
      </c>
      <c r="I28" t="s">
        <v>488</v>
      </c>
    </row>
    <row r="30" spans="3:10">
      <c r="D30" t="s">
        <v>736</v>
      </c>
    </row>
    <row r="31" spans="3:10">
      <c r="E31" t="s">
        <v>737</v>
      </c>
    </row>
    <row r="33" spans="2:9">
      <c r="D33" t="s">
        <v>738</v>
      </c>
      <c r="G33" t="s">
        <v>729</v>
      </c>
    </row>
    <row r="34" spans="2:9">
      <c r="E34" t="s">
        <v>739</v>
      </c>
      <c r="H34" s="268">
        <v>10</v>
      </c>
      <c r="I34" t="s">
        <v>488</v>
      </c>
    </row>
    <row r="36" spans="2:9">
      <c r="D36" t="s">
        <v>740</v>
      </c>
    </row>
    <row r="37" spans="2:9">
      <c r="E37" t="s">
        <v>741</v>
      </c>
      <c r="H37" s="268">
        <v>10</v>
      </c>
      <c r="I37" t="s">
        <v>742</v>
      </c>
    </row>
    <row r="38" spans="2:9">
      <c r="E38" t="s">
        <v>743</v>
      </c>
      <c r="H38" s="268">
        <v>15</v>
      </c>
      <c r="I38" t="s">
        <v>742</v>
      </c>
    </row>
    <row r="40" spans="2:9">
      <c r="C40" t="s">
        <v>744</v>
      </c>
      <c r="G40" t="s">
        <v>745</v>
      </c>
    </row>
    <row r="41" spans="2:9">
      <c r="D41" t="s">
        <v>746</v>
      </c>
      <c r="G41" s="218" t="s">
        <v>747</v>
      </c>
      <c r="H41" s="268">
        <v>0.3</v>
      </c>
    </row>
    <row r="42" spans="2:9">
      <c r="D42" t="s">
        <v>748</v>
      </c>
      <c r="H42" s="268">
        <v>0.4</v>
      </c>
    </row>
    <row r="44" spans="2:9">
      <c r="C44" t="s">
        <v>749</v>
      </c>
      <c r="G44" t="s">
        <v>750</v>
      </c>
    </row>
    <row r="45" spans="2:9">
      <c r="D45" t="s">
        <v>751</v>
      </c>
      <c r="H45" s="268">
        <v>150</v>
      </c>
      <c r="I45" t="s">
        <v>426</v>
      </c>
    </row>
    <row r="47" spans="2:9">
      <c r="B47" t="s">
        <v>752</v>
      </c>
    </row>
    <row r="49" spans="3:11">
      <c r="C49" t="s">
        <v>753</v>
      </c>
      <c r="D49" t="s">
        <v>83</v>
      </c>
      <c r="K49" s="218" t="s">
        <v>754</v>
      </c>
    </row>
    <row r="50" spans="3:11">
      <c r="D50" s="940" t="s">
        <v>755</v>
      </c>
      <c r="E50" s="941"/>
      <c r="F50" s="942"/>
      <c r="G50" s="940" t="s">
        <v>756</v>
      </c>
      <c r="H50" s="941"/>
      <c r="I50" s="942"/>
      <c r="J50" s="940" t="s">
        <v>757</v>
      </c>
      <c r="K50" s="942"/>
    </row>
    <row r="51" spans="3:11">
      <c r="D51" s="937" t="s">
        <v>758</v>
      </c>
      <c r="E51" s="938"/>
      <c r="F51" s="939"/>
      <c r="G51" s="455">
        <v>210</v>
      </c>
      <c r="H51" s="456"/>
      <c r="I51" s="457"/>
      <c r="J51" s="455">
        <v>280</v>
      </c>
      <c r="K51" s="457"/>
    </row>
    <row r="52" spans="3:11">
      <c r="D52" s="934" t="s">
        <v>759</v>
      </c>
      <c r="E52" s="935"/>
      <c r="F52" s="936"/>
      <c r="G52" s="501"/>
      <c r="H52" s="502"/>
      <c r="I52" s="503"/>
      <c r="J52" s="501"/>
      <c r="K52" s="503"/>
    </row>
    <row r="53" spans="3:11">
      <c r="D53" s="937"/>
      <c r="E53" s="938"/>
      <c r="F53" s="939"/>
      <c r="G53" s="455" t="s">
        <v>760</v>
      </c>
      <c r="H53" s="456"/>
      <c r="I53" s="457"/>
      <c r="J53" s="455" t="s">
        <v>761</v>
      </c>
      <c r="K53" s="457"/>
    </row>
    <row r="54" spans="3:11">
      <c r="D54" s="943"/>
      <c r="E54" s="944"/>
      <c r="F54" s="945"/>
      <c r="G54" s="440">
        <v>210</v>
      </c>
      <c r="H54" s="441"/>
      <c r="I54" s="463"/>
      <c r="J54" s="440">
        <v>280</v>
      </c>
      <c r="K54" s="463"/>
    </row>
    <row r="55" spans="3:11">
      <c r="D55" s="943"/>
      <c r="E55" s="944"/>
      <c r="F55" s="945"/>
      <c r="G55" s="440" t="s">
        <v>762</v>
      </c>
      <c r="H55" s="441"/>
      <c r="I55" s="463"/>
      <c r="J55" s="440" t="s">
        <v>763</v>
      </c>
      <c r="K55" s="463"/>
    </row>
    <row r="56" spans="3:11">
      <c r="D56" s="943" t="s">
        <v>764</v>
      </c>
      <c r="E56" s="944"/>
      <c r="F56" s="945"/>
      <c r="G56" s="440" t="s">
        <v>765</v>
      </c>
      <c r="H56" s="441"/>
      <c r="I56" s="463"/>
      <c r="J56" s="440" t="s">
        <v>766</v>
      </c>
      <c r="K56" s="463"/>
    </row>
    <row r="57" spans="3:11">
      <c r="D57" s="943" t="s">
        <v>767</v>
      </c>
      <c r="E57" s="944"/>
      <c r="F57" s="945"/>
      <c r="G57" s="440" t="s">
        <v>768</v>
      </c>
      <c r="H57" s="441"/>
      <c r="I57" s="463"/>
      <c r="J57" s="440" t="s">
        <v>769</v>
      </c>
      <c r="K57" s="463"/>
    </row>
    <row r="58" spans="3:11">
      <c r="D58" s="943"/>
      <c r="E58" s="944"/>
      <c r="F58" s="945"/>
      <c r="G58" s="440" t="s">
        <v>770</v>
      </c>
      <c r="H58" s="441"/>
      <c r="I58" s="463"/>
      <c r="J58" s="440" t="s">
        <v>771</v>
      </c>
      <c r="K58" s="463"/>
    </row>
    <row r="59" spans="3:11">
      <c r="D59" s="943"/>
      <c r="E59" s="944"/>
      <c r="F59" s="945"/>
      <c r="G59" s="440" t="s">
        <v>772</v>
      </c>
      <c r="H59" s="441"/>
      <c r="I59" s="463"/>
      <c r="J59" s="440" t="s">
        <v>772</v>
      </c>
      <c r="K59" s="463"/>
    </row>
    <row r="60" spans="3:11">
      <c r="D60" s="934"/>
      <c r="E60" s="935"/>
      <c r="F60" s="936"/>
      <c r="G60" s="946" t="s">
        <v>773</v>
      </c>
      <c r="H60" s="947"/>
      <c r="I60" s="948"/>
      <c r="J60" s="946" t="s">
        <v>773</v>
      </c>
      <c r="K60" s="948"/>
    </row>
    <row r="61" spans="3:11">
      <c r="D61" s="281"/>
      <c r="E61" s="937" t="s">
        <v>774</v>
      </c>
      <c r="F61" s="939"/>
      <c r="G61" s="455">
        <v>210</v>
      </c>
      <c r="H61" s="456"/>
      <c r="I61" s="457"/>
      <c r="J61" s="455">
        <v>280</v>
      </c>
      <c r="K61" s="457"/>
    </row>
    <row r="62" spans="3:11">
      <c r="D62" s="281"/>
      <c r="E62" s="934" t="s">
        <v>775</v>
      </c>
      <c r="F62" s="936"/>
      <c r="G62" s="501"/>
      <c r="H62" s="502"/>
      <c r="I62" s="503"/>
      <c r="J62" s="501"/>
      <c r="K62" s="503"/>
    </row>
    <row r="63" spans="3:11">
      <c r="D63" s="282"/>
      <c r="E63" s="937"/>
      <c r="F63" s="939"/>
      <c r="G63" s="455" t="s">
        <v>776</v>
      </c>
      <c r="H63" s="456"/>
      <c r="I63" s="457"/>
      <c r="J63" s="455" t="s">
        <v>777</v>
      </c>
      <c r="K63" s="457"/>
    </row>
    <row r="64" spans="3:11">
      <c r="D64" s="281" t="s">
        <v>778</v>
      </c>
      <c r="E64" s="943"/>
      <c r="F64" s="945"/>
      <c r="G64" s="440">
        <v>210</v>
      </c>
      <c r="H64" s="441"/>
      <c r="I64" s="463"/>
      <c r="J64" s="440">
        <v>280</v>
      </c>
      <c r="K64" s="463"/>
    </row>
    <row r="65" spans="3:11">
      <c r="D65" s="282"/>
      <c r="E65" s="943" t="s">
        <v>779</v>
      </c>
      <c r="F65" s="945"/>
      <c r="G65" s="440" t="s">
        <v>780</v>
      </c>
      <c r="H65" s="441"/>
      <c r="I65" s="463"/>
      <c r="J65" s="440" t="s">
        <v>780</v>
      </c>
      <c r="K65" s="463"/>
    </row>
    <row r="66" spans="3:11">
      <c r="D66" s="282"/>
      <c r="E66" s="943" t="s">
        <v>775</v>
      </c>
      <c r="F66" s="945"/>
      <c r="G66" s="440" t="s">
        <v>781</v>
      </c>
      <c r="H66" s="441"/>
      <c r="I66" s="463"/>
      <c r="J66" s="440" t="s">
        <v>782</v>
      </c>
      <c r="K66" s="463"/>
    </row>
    <row r="67" spans="3:11">
      <c r="D67" s="282"/>
      <c r="E67" s="943"/>
      <c r="F67" s="945"/>
      <c r="G67" s="440" t="s">
        <v>783</v>
      </c>
      <c r="H67" s="441"/>
      <c r="I67" s="463"/>
      <c r="J67" s="440" t="s">
        <v>783</v>
      </c>
      <c r="K67" s="463"/>
    </row>
    <row r="68" spans="3:11">
      <c r="D68" s="283"/>
      <c r="E68" s="934"/>
      <c r="F68" s="936"/>
      <c r="G68" s="946" t="s">
        <v>784</v>
      </c>
      <c r="H68" s="947"/>
      <c r="I68" s="948"/>
      <c r="J68" s="946" t="s">
        <v>784</v>
      </c>
      <c r="K68" s="948"/>
    </row>
    <row r="69" spans="3:11">
      <c r="D69" s="937" t="s">
        <v>785</v>
      </c>
      <c r="E69" s="938"/>
      <c r="F69" s="939"/>
      <c r="G69" s="455">
        <v>120</v>
      </c>
      <c r="H69" s="456"/>
      <c r="I69" s="457"/>
      <c r="J69" s="455">
        <v>160</v>
      </c>
      <c r="K69" s="457"/>
    </row>
    <row r="70" spans="3:11">
      <c r="D70" s="934" t="s">
        <v>775</v>
      </c>
      <c r="E70" s="935"/>
      <c r="F70" s="936"/>
      <c r="G70" s="501"/>
      <c r="H70" s="502"/>
      <c r="I70" s="503"/>
      <c r="J70" s="501"/>
      <c r="K70" s="503"/>
    </row>
    <row r="71" spans="3:11">
      <c r="D71" s="940" t="s">
        <v>786</v>
      </c>
      <c r="E71" s="941"/>
      <c r="F71" s="942"/>
      <c r="G71" s="444">
        <v>315</v>
      </c>
      <c r="H71" s="479"/>
      <c r="I71" s="443"/>
      <c r="J71" s="440">
        <v>420</v>
      </c>
      <c r="K71" s="463"/>
    </row>
    <row r="72" spans="3:11">
      <c r="D72" s="275"/>
      <c r="E72" s="68" t="s">
        <v>787</v>
      </c>
      <c r="F72" s="68"/>
      <c r="G72" s="68"/>
      <c r="H72" s="68"/>
      <c r="I72" s="216"/>
      <c r="J72" s="275"/>
      <c r="K72" s="216"/>
    </row>
    <row r="73" spans="3:11">
      <c r="E73" t="s">
        <v>788</v>
      </c>
    </row>
    <row r="74" spans="3:11">
      <c r="E74" t="s">
        <v>789</v>
      </c>
    </row>
    <row r="77" spans="3:11">
      <c r="C77" t="s">
        <v>790</v>
      </c>
      <c r="F77" t="s">
        <v>791</v>
      </c>
      <c r="K77" s="218" t="s">
        <v>754</v>
      </c>
    </row>
    <row r="78" spans="3:11">
      <c r="D78" s="24"/>
      <c r="E78" s="24"/>
      <c r="H78" s="6"/>
      <c r="I78" s="278" t="s">
        <v>792</v>
      </c>
      <c r="J78" s="278" t="s">
        <v>793</v>
      </c>
      <c r="K78" s="278" t="s">
        <v>794</v>
      </c>
    </row>
    <row r="79" spans="3:11">
      <c r="D79" s="284" t="s">
        <v>795</v>
      </c>
      <c r="E79" s="285"/>
      <c r="F79" s="940" t="s">
        <v>796</v>
      </c>
      <c r="G79" s="941"/>
      <c r="H79" s="273"/>
      <c r="I79" s="268">
        <v>270</v>
      </c>
      <c r="J79" s="268">
        <v>355</v>
      </c>
      <c r="K79" s="268">
        <v>210</v>
      </c>
    </row>
    <row r="80" spans="3:11">
      <c r="D80" s="286"/>
      <c r="E80" s="287"/>
      <c r="F80" s="940" t="s">
        <v>797</v>
      </c>
      <c r="G80" s="941"/>
      <c r="H80" s="273"/>
      <c r="I80" s="268">
        <v>270</v>
      </c>
      <c r="J80" s="268">
        <v>355</v>
      </c>
      <c r="K80" s="268">
        <v>210</v>
      </c>
    </row>
    <row r="81" spans="3:11">
      <c r="D81" s="288" t="s">
        <v>798</v>
      </c>
      <c r="E81" s="949" t="s">
        <v>799</v>
      </c>
      <c r="F81" s="937" t="s">
        <v>800</v>
      </c>
      <c r="G81" s="939"/>
      <c r="H81" s="289" t="s">
        <v>801</v>
      </c>
      <c r="I81" s="268">
        <v>215</v>
      </c>
      <c r="J81" s="268">
        <v>285</v>
      </c>
      <c r="K81" s="268">
        <v>165</v>
      </c>
    </row>
    <row r="82" spans="3:11">
      <c r="D82" s="282"/>
      <c r="E82" s="950"/>
      <c r="F82" s="934"/>
      <c r="G82" s="936"/>
      <c r="H82" s="272" t="s">
        <v>802</v>
      </c>
      <c r="I82" s="268">
        <v>215</v>
      </c>
      <c r="J82" s="268">
        <v>285</v>
      </c>
      <c r="K82" s="268">
        <v>165</v>
      </c>
    </row>
    <row r="83" spans="3:11">
      <c r="D83" s="282"/>
      <c r="E83" s="951"/>
      <c r="F83" s="940" t="s">
        <v>803</v>
      </c>
      <c r="G83" s="942"/>
      <c r="H83" s="286" t="s">
        <v>785</v>
      </c>
      <c r="I83" s="268">
        <v>125</v>
      </c>
      <c r="J83" s="268">
        <v>165</v>
      </c>
      <c r="K83" s="268">
        <v>100</v>
      </c>
    </row>
    <row r="84" spans="3:11">
      <c r="D84" s="282"/>
      <c r="E84" s="949" t="s">
        <v>804</v>
      </c>
      <c r="F84" s="937" t="s">
        <v>800</v>
      </c>
      <c r="G84" s="939"/>
      <c r="H84" s="284" t="s">
        <v>801</v>
      </c>
      <c r="I84" s="268">
        <v>135</v>
      </c>
      <c r="J84" s="268">
        <v>180</v>
      </c>
      <c r="K84" s="268">
        <v>110</v>
      </c>
    </row>
    <row r="85" spans="3:11">
      <c r="D85" s="282"/>
      <c r="E85" s="950"/>
      <c r="F85" s="934"/>
      <c r="G85" s="936"/>
      <c r="H85" s="272" t="s">
        <v>802</v>
      </c>
      <c r="I85" s="268">
        <v>135</v>
      </c>
      <c r="J85" s="268">
        <v>180</v>
      </c>
      <c r="K85" s="268">
        <v>110</v>
      </c>
    </row>
    <row r="86" spans="3:11">
      <c r="D86" s="283"/>
      <c r="E86" s="951"/>
      <c r="F86" s="940" t="s">
        <v>803</v>
      </c>
      <c r="G86" s="942"/>
      <c r="H86" s="286" t="s">
        <v>785</v>
      </c>
      <c r="I86" s="268">
        <v>80</v>
      </c>
      <c r="J86" s="268">
        <v>100</v>
      </c>
      <c r="K86" s="268">
        <v>60</v>
      </c>
    </row>
    <row r="89" spans="3:11">
      <c r="C89" t="s">
        <v>805</v>
      </c>
      <c r="F89" t="s">
        <v>806</v>
      </c>
      <c r="J89" s="218" t="s">
        <v>754</v>
      </c>
    </row>
    <row r="90" spans="3:11">
      <c r="I90" s="278" t="s">
        <v>807</v>
      </c>
      <c r="J90" s="278" t="s">
        <v>808</v>
      </c>
    </row>
    <row r="91" spans="3:11">
      <c r="D91" s="288" t="s">
        <v>809</v>
      </c>
      <c r="E91" s="940" t="s">
        <v>801</v>
      </c>
      <c r="F91" s="941"/>
      <c r="G91" s="941"/>
      <c r="H91" s="942"/>
      <c r="I91" s="268">
        <v>205</v>
      </c>
      <c r="J91" s="268">
        <v>280</v>
      </c>
    </row>
    <row r="92" spans="3:11">
      <c r="D92" s="282"/>
      <c r="E92" s="940" t="s">
        <v>802</v>
      </c>
      <c r="F92" s="941"/>
      <c r="G92" s="941"/>
      <c r="H92" s="942"/>
      <c r="I92" s="268">
        <v>205</v>
      </c>
      <c r="J92" s="268">
        <v>280</v>
      </c>
    </row>
    <row r="93" spans="3:11">
      <c r="D93" s="283"/>
      <c r="E93" s="937" t="s">
        <v>785</v>
      </c>
      <c r="F93" s="938"/>
      <c r="G93" s="938"/>
      <c r="H93" s="939"/>
      <c r="I93" s="290">
        <v>120</v>
      </c>
      <c r="J93" s="290">
        <v>160</v>
      </c>
    </row>
    <row r="94" spans="3:11">
      <c r="D94" s="284" t="s">
        <v>798</v>
      </c>
      <c r="E94" s="2" t="s">
        <v>810</v>
      </c>
      <c r="F94" s="3"/>
      <c r="G94" s="3"/>
      <c r="H94" s="3"/>
      <c r="I94" s="3"/>
      <c r="J94" s="4"/>
    </row>
    <row r="95" spans="3:11">
      <c r="D95" s="286"/>
      <c r="E95" s="175" t="s">
        <v>811</v>
      </c>
      <c r="F95" s="24"/>
      <c r="G95" s="24"/>
      <c r="H95" s="24"/>
      <c r="I95" s="24"/>
      <c r="J95" s="217"/>
    </row>
    <row r="98" spans="3:11">
      <c r="C98" t="s">
        <v>812</v>
      </c>
      <c r="F98" t="s">
        <v>806</v>
      </c>
      <c r="H98" s="218" t="s">
        <v>754</v>
      </c>
    </row>
    <row r="99" spans="3:11">
      <c r="E99" s="6"/>
      <c r="F99" s="291" t="s">
        <v>813</v>
      </c>
      <c r="G99" s="291" t="s">
        <v>814</v>
      </c>
      <c r="H99" s="291" t="s">
        <v>815</v>
      </c>
    </row>
    <row r="100" spans="3:11">
      <c r="E100" s="217"/>
      <c r="F100" s="292"/>
      <c r="G100" s="292" t="s">
        <v>816</v>
      </c>
      <c r="H100" s="292"/>
    </row>
    <row r="101" spans="3:11">
      <c r="E101" s="293" t="s">
        <v>801</v>
      </c>
      <c r="F101" s="268">
        <v>210</v>
      </c>
      <c r="G101" s="268">
        <v>270</v>
      </c>
      <c r="H101" s="268">
        <v>300</v>
      </c>
    </row>
    <row r="102" spans="3:11">
      <c r="E102" s="293" t="s">
        <v>802</v>
      </c>
      <c r="F102" s="268">
        <v>210</v>
      </c>
      <c r="G102" s="268">
        <v>270</v>
      </c>
      <c r="H102" s="268">
        <v>300</v>
      </c>
    </row>
    <row r="104" spans="3:11">
      <c r="C104" t="s">
        <v>817</v>
      </c>
      <c r="F104" t="s">
        <v>818</v>
      </c>
      <c r="I104" s="218" t="s">
        <v>754</v>
      </c>
    </row>
    <row r="105" spans="3:11">
      <c r="G105" s="940" t="s">
        <v>819</v>
      </c>
      <c r="H105" s="942"/>
      <c r="I105" s="278" t="s">
        <v>820</v>
      </c>
      <c r="J105" s="272" t="s">
        <v>821</v>
      </c>
      <c r="K105" s="273"/>
    </row>
    <row r="106" spans="3:11">
      <c r="E106" s="937" t="s">
        <v>822</v>
      </c>
      <c r="F106" s="939"/>
      <c r="G106" s="444" t="s">
        <v>785</v>
      </c>
      <c r="H106" s="443"/>
      <c r="I106" s="268">
        <v>135</v>
      </c>
      <c r="J106" s="3" t="s">
        <v>823</v>
      </c>
      <c r="K106" s="4"/>
    </row>
    <row r="107" spans="3:11">
      <c r="E107" s="934"/>
      <c r="F107" s="936"/>
      <c r="G107" s="444" t="s">
        <v>786</v>
      </c>
      <c r="H107" s="443"/>
      <c r="I107" s="268">
        <v>315</v>
      </c>
      <c r="J107" s="24"/>
      <c r="K107" s="217"/>
    </row>
    <row r="108" spans="3:11">
      <c r="E108" s="937" t="s">
        <v>824</v>
      </c>
      <c r="F108" s="939"/>
      <c r="G108" s="444" t="s">
        <v>785</v>
      </c>
      <c r="H108" s="443"/>
      <c r="I108" s="268">
        <v>285</v>
      </c>
      <c r="J108" s="3" t="s">
        <v>825</v>
      </c>
      <c r="K108" s="4"/>
    </row>
    <row r="109" spans="3:11">
      <c r="E109" s="934" t="s">
        <v>826</v>
      </c>
      <c r="F109" s="936"/>
      <c r="G109" s="444" t="s">
        <v>786</v>
      </c>
      <c r="H109" s="443"/>
      <c r="I109" s="268">
        <v>355</v>
      </c>
      <c r="J109" s="24"/>
      <c r="K109" s="217"/>
    </row>
    <row r="112" spans="3:11">
      <c r="C112" t="s">
        <v>827</v>
      </c>
      <c r="F112" t="s">
        <v>828</v>
      </c>
      <c r="K112" t="s">
        <v>754</v>
      </c>
    </row>
    <row r="113" spans="3:11">
      <c r="G113" s="276" t="s">
        <v>829</v>
      </c>
      <c r="H113" s="274"/>
      <c r="I113" s="277"/>
      <c r="J113" s="277"/>
      <c r="K113" s="280"/>
    </row>
    <row r="114" spans="3:11">
      <c r="G114" s="940">
        <v>21</v>
      </c>
      <c r="H114" s="942"/>
      <c r="I114" s="292">
        <v>24</v>
      </c>
      <c r="J114" s="292">
        <v>27</v>
      </c>
      <c r="K114" s="292">
        <v>30</v>
      </c>
    </row>
    <row r="115" spans="3:11">
      <c r="D115" s="952" t="s">
        <v>830</v>
      </c>
      <c r="E115" s="940" t="s">
        <v>831</v>
      </c>
      <c r="F115" s="942"/>
      <c r="G115" s="446">
        <v>10.5</v>
      </c>
      <c r="H115" s="448"/>
      <c r="I115" s="279">
        <v>12</v>
      </c>
      <c r="J115" s="279">
        <v>13.5</v>
      </c>
      <c r="K115" s="279">
        <v>15</v>
      </c>
    </row>
    <row r="116" spans="3:11">
      <c r="D116" s="953"/>
      <c r="E116" s="940" t="s">
        <v>832</v>
      </c>
      <c r="F116" s="942"/>
      <c r="G116" s="446">
        <v>8</v>
      </c>
      <c r="H116" s="448"/>
      <c r="I116" s="279">
        <v>9.5</v>
      </c>
      <c r="J116" s="279">
        <v>11</v>
      </c>
      <c r="K116" s="279">
        <v>12.5</v>
      </c>
    </row>
    <row r="117" spans="3:11" ht="60" customHeight="1">
      <c r="D117" s="294" t="s">
        <v>103</v>
      </c>
      <c r="E117" s="954" t="s">
        <v>833</v>
      </c>
      <c r="F117" s="955"/>
      <c r="G117" s="956">
        <v>0.33</v>
      </c>
      <c r="H117" s="957"/>
      <c r="I117" s="267">
        <v>0.35</v>
      </c>
      <c r="J117" s="267">
        <v>0.36</v>
      </c>
      <c r="K117" s="267">
        <v>0.38</v>
      </c>
    </row>
    <row r="118" spans="3:11" ht="56.25" customHeight="1">
      <c r="D118" s="283"/>
      <c r="E118" s="954" t="s">
        <v>834</v>
      </c>
      <c r="F118" s="955"/>
      <c r="G118" s="956">
        <v>2.4</v>
      </c>
      <c r="H118" s="957"/>
      <c r="I118" s="267">
        <v>2.5499999999999998</v>
      </c>
      <c r="J118" s="267">
        <v>2.7</v>
      </c>
      <c r="K118" s="267">
        <v>2.85</v>
      </c>
    </row>
    <row r="119" spans="3:11">
      <c r="D119" s="952" t="s">
        <v>835</v>
      </c>
      <c r="E119" s="940" t="s">
        <v>836</v>
      </c>
      <c r="F119" s="942"/>
      <c r="G119" s="956">
        <v>1.05</v>
      </c>
      <c r="H119" s="957"/>
      <c r="I119" s="267">
        <v>1.2</v>
      </c>
      <c r="J119" s="267">
        <v>1.27</v>
      </c>
      <c r="K119" s="267">
        <v>1.35</v>
      </c>
    </row>
    <row r="120" spans="3:11">
      <c r="D120" s="953"/>
      <c r="E120" s="940" t="s">
        <v>837</v>
      </c>
      <c r="F120" s="942"/>
      <c r="G120" s="956">
        <v>2.1</v>
      </c>
      <c r="H120" s="957"/>
      <c r="I120" s="267">
        <v>2.4</v>
      </c>
      <c r="J120" s="267">
        <v>2.5499999999999998</v>
      </c>
      <c r="K120" s="267">
        <v>2.7</v>
      </c>
    </row>
    <row r="123" spans="3:11">
      <c r="C123" t="s">
        <v>838</v>
      </c>
      <c r="F123" t="s">
        <v>839</v>
      </c>
      <c r="K123" t="s">
        <v>754</v>
      </c>
    </row>
    <row r="124" spans="3:11">
      <c r="D124" s="272" t="s">
        <v>840</v>
      </c>
      <c r="E124" s="273"/>
      <c r="F124" s="274"/>
      <c r="G124" s="274"/>
      <c r="H124" s="273"/>
      <c r="I124" s="295">
        <v>30</v>
      </c>
      <c r="J124" s="295">
        <v>35</v>
      </c>
      <c r="K124" s="295">
        <v>40</v>
      </c>
    </row>
    <row r="125" spans="3:11">
      <c r="D125" s="272" t="s">
        <v>841</v>
      </c>
      <c r="E125" s="273"/>
      <c r="F125" s="274"/>
      <c r="G125" s="274"/>
      <c r="H125" s="273"/>
      <c r="I125" s="295">
        <v>24</v>
      </c>
      <c r="J125" s="295">
        <v>27</v>
      </c>
      <c r="K125" s="295">
        <v>30</v>
      </c>
    </row>
    <row r="126" spans="3:11">
      <c r="D126" s="960" t="s">
        <v>842</v>
      </c>
      <c r="E126" s="940" t="s">
        <v>831</v>
      </c>
      <c r="F126" s="941"/>
      <c r="G126" s="941"/>
      <c r="H126" s="942"/>
      <c r="I126" s="295">
        <v>12</v>
      </c>
      <c r="J126" s="295">
        <v>13.5</v>
      </c>
      <c r="K126" s="295">
        <v>15</v>
      </c>
    </row>
    <row r="127" spans="3:11">
      <c r="D127" s="961"/>
      <c r="E127" s="940" t="s">
        <v>843</v>
      </c>
      <c r="F127" s="941"/>
      <c r="G127" s="941"/>
      <c r="H127" s="942"/>
      <c r="I127" s="295">
        <v>9.5</v>
      </c>
      <c r="J127" s="295">
        <v>11</v>
      </c>
      <c r="K127" s="295">
        <v>12.5</v>
      </c>
    </row>
    <row r="128" spans="3:11" ht="19.5">
      <c r="D128" s="962" t="s">
        <v>844</v>
      </c>
      <c r="E128" s="963" t="s">
        <v>845</v>
      </c>
      <c r="F128" s="964"/>
      <c r="G128" s="964"/>
      <c r="H128" s="965"/>
      <c r="I128" s="295">
        <v>0.35</v>
      </c>
      <c r="J128" s="295">
        <v>0.36</v>
      </c>
      <c r="K128" s="295">
        <v>0.38</v>
      </c>
    </row>
    <row r="129" spans="3:11" ht="42.75" customHeight="1">
      <c r="D129" s="961"/>
      <c r="E129" s="963" t="s">
        <v>846</v>
      </c>
      <c r="F129" s="964"/>
      <c r="G129" s="964"/>
      <c r="H129" s="965"/>
      <c r="I129" s="295">
        <v>2.5499999999999998</v>
      </c>
      <c r="J129" s="295">
        <v>2.7</v>
      </c>
      <c r="K129" s="295">
        <v>2.85</v>
      </c>
    </row>
    <row r="130" spans="3:11">
      <c r="D130" s="272" t="s">
        <v>847</v>
      </c>
      <c r="E130" s="274"/>
      <c r="F130" s="274"/>
      <c r="G130" s="274"/>
      <c r="H130" s="273"/>
      <c r="I130" s="296">
        <v>1.8</v>
      </c>
      <c r="J130" s="296">
        <v>1.9</v>
      </c>
      <c r="K130" s="296">
        <v>2.1</v>
      </c>
    </row>
    <row r="133" spans="3:11">
      <c r="C133" t="s">
        <v>848</v>
      </c>
      <c r="F133" t="s">
        <v>839</v>
      </c>
      <c r="H133" t="s">
        <v>754</v>
      </c>
    </row>
    <row r="134" spans="3:11">
      <c r="D134" s="293" t="s">
        <v>849</v>
      </c>
      <c r="E134" s="293" t="s">
        <v>801</v>
      </c>
      <c r="F134" s="293" t="s">
        <v>850</v>
      </c>
    </row>
    <row r="135" spans="3:11">
      <c r="D135" s="297" t="s">
        <v>851</v>
      </c>
      <c r="E135" s="295" t="s">
        <v>12</v>
      </c>
      <c r="F135" s="297" t="s">
        <v>852</v>
      </c>
    </row>
    <row r="138" spans="3:11">
      <c r="C138" t="s">
        <v>721</v>
      </c>
      <c r="F138" t="s">
        <v>100</v>
      </c>
      <c r="K138" t="s">
        <v>754</v>
      </c>
    </row>
    <row r="139" spans="3:11">
      <c r="I139" s="272"/>
      <c r="J139" s="274" t="s">
        <v>853</v>
      </c>
      <c r="K139" s="273"/>
    </row>
    <row r="140" spans="3:11">
      <c r="I140" s="293" t="s">
        <v>802</v>
      </c>
      <c r="J140" s="293" t="s">
        <v>854</v>
      </c>
      <c r="K140" s="293" t="s">
        <v>785</v>
      </c>
    </row>
    <row r="141" spans="3:11" ht="46.5" customHeight="1">
      <c r="D141" s="288" t="s">
        <v>855</v>
      </c>
      <c r="E141" s="958" t="s">
        <v>856</v>
      </c>
      <c r="F141" s="958"/>
      <c r="G141" s="958"/>
      <c r="H141" s="958"/>
      <c r="I141" s="298">
        <v>12</v>
      </c>
      <c r="J141" s="298">
        <v>13.5</v>
      </c>
      <c r="K141" s="299">
        <v>1.05</v>
      </c>
    </row>
    <row r="142" spans="3:11" ht="45.75" customHeight="1">
      <c r="D142" s="283"/>
      <c r="E142" s="958" t="s">
        <v>857</v>
      </c>
      <c r="F142" s="958"/>
      <c r="G142" s="958"/>
      <c r="H142" s="958"/>
      <c r="I142" s="298">
        <v>9</v>
      </c>
      <c r="J142" s="298">
        <v>10.5</v>
      </c>
      <c r="K142" s="299">
        <v>0.75</v>
      </c>
    </row>
    <row r="143" spans="3:11">
      <c r="D143" s="288" t="s">
        <v>858</v>
      </c>
      <c r="E143" s="959" t="s">
        <v>859</v>
      </c>
      <c r="F143" s="959"/>
      <c r="G143" s="959"/>
      <c r="H143" s="959"/>
      <c r="I143" s="298">
        <v>13.5</v>
      </c>
      <c r="J143" s="298">
        <v>19.5</v>
      </c>
      <c r="K143" s="298">
        <v>2.1</v>
      </c>
    </row>
    <row r="144" spans="3:11">
      <c r="D144" s="282"/>
      <c r="E144" s="959" t="s">
        <v>860</v>
      </c>
      <c r="F144" s="959"/>
      <c r="G144" s="959"/>
      <c r="H144" s="959"/>
      <c r="I144" s="298">
        <v>10.5</v>
      </c>
      <c r="J144" s="298">
        <v>15</v>
      </c>
      <c r="K144" s="298">
        <v>1.5</v>
      </c>
    </row>
    <row r="145" spans="2:13">
      <c r="D145" s="283"/>
      <c r="E145" s="959" t="s">
        <v>861</v>
      </c>
      <c r="F145" s="959"/>
      <c r="G145" s="959"/>
      <c r="H145" s="959"/>
      <c r="I145" s="298">
        <v>10.5</v>
      </c>
      <c r="J145" s="298">
        <v>13.5</v>
      </c>
      <c r="K145" s="298">
        <v>0.9</v>
      </c>
    </row>
    <row r="147" spans="2:13">
      <c r="B147" t="s">
        <v>862</v>
      </c>
    </row>
    <row r="149" spans="2:13">
      <c r="C149" t="s">
        <v>753</v>
      </c>
      <c r="D149" t="s">
        <v>89</v>
      </c>
      <c r="G149" t="s">
        <v>754</v>
      </c>
    </row>
    <row r="150" spans="2:13">
      <c r="G150" s="288" t="s">
        <v>87</v>
      </c>
    </row>
    <row r="151" spans="2:13">
      <c r="D151" s="272" t="s">
        <v>863</v>
      </c>
      <c r="E151" s="274"/>
      <c r="F151" s="273"/>
      <c r="G151" s="300">
        <v>200000</v>
      </c>
    </row>
    <row r="152" spans="2:13">
      <c r="D152" s="272" t="s">
        <v>864</v>
      </c>
      <c r="E152" s="274"/>
      <c r="F152" s="273"/>
      <c r="G152" s="300">
        <v>200000</v>
      </c>
    </row>
    <row r="155" spans="2:13">
      <c r="C155" t="s">
        <v>865</v>
      </c>
      <c r="D155" t="s">
        <v>89</v>
      </c>
    </row>
    <row r="156" spans="2:13">
      <c r="D156" s="272" t="s">
        <v>866</v>
      </c>
      <c r="E156" s="274"/>
      <c r="F156" s="273"/>
      <c r="G156" s="278">
        <v>21</v>
      </c>
      <c r="H156" s="278">
        <v>24</v>
      </c>
      <c r="I156" s="278">
        <v>27</v>
      </c>
      <c r="J156" s="278">
        <v>30</v>
      </c>
    </row>
    <row r="157" spans="2:13">
      <c r="D157" s="272" t="s">
        <v>867</v>
      </c>
      <c r="E157" s="274"/>
      <c r="F157" s="273"/>
      <c r="G157" s="300">
        <v>23500</v>
      </c>
      <c r="H157" s="300">
        <v>25000</v>
      </c>
      <c r="I157" s="300">
        <v>26500</v>
      </c>
      <c r="J157" s="300">
        <v>28000</v>
      </c>
    </row>
    <row r="158" spans="2:13">
      <c r="E158" s="30"/>
      <c r="F158" s="30"/>
      <c r="G158" s="30"/>
      <c r="H158" s="30"/>
    </row>
    <row r="159" spans="2:13">
      <c r="B159" t="s">
        <v>868</v>
      </c>
      <c r="L159" s="218" t="s">
        <v>67</v>
      </c>
    </row>
    <row r="160" spans="2:13">
      <c r="D160" s="291" t="s">
        <v>113</v>
      </c>
      <c r="E160" s="291" t="s">
        <v>58</v>
      </c>
      <c r="F160" s="291" t="s">
        <v>60</v>
      </c>
      <c r="G160" s="291" t="s">
        <v>62</v>
      </c>
      <c r="H160" s="291" t="s">
        <v>117</v>
      </c>
      <c r="I160" s="291" t="s">
        <v>64</v>
      </c>
      <c r="J160" s="291" t="s">
        <v>119</v>
      </c>
      <c r="K160" s="291" t="s">
        <v>869</v>
      </c>
      <c r="L160" s="291" t="s">
        <v>870</v>
      </c>
      <c r="M160" s="78"/>
    </row>
    <row r="161" spans="3:13">
      <c r="D161" s="301" t="s">
        <v>7</v>
      </c>
      <c r="E161" s="301" t="s">
        <v>59</v>
      </c>
      <c r="F161" s="301" t="s">
        <v>871</v>
      </c>
      <c r="G161" s="301" t="s">
        <v>872</v>
      </c>
      <c r="H161" s="301" t="s">
        <v>75</v>
      </c>
      <c r="I161" s="301" t="s">
        <v>873</v>
      </c>
      <c r="J161" s="301" t="s">
        <v>121</v>
      </c>
      <c r="K161" s="301" t="s">
        <v>122</v>
      </c>
      <c r="L161" s="301" t="s">
        <v>874</v>
      </c>
      <c r="M161" s="78"/>
    </row>
    <row r="162" spans="3:13">
      <c r="D162" s="292" t="s">
        <v>875</v>
      </c>
      <c r="E162" s="292" t="s">
        <v>875</v>
      </c>
      <c r="F162" s="292" t="s">
        <v>875</v>
      </c>
      <c r="G162" s="292" t="s">
        <v>875</v>
      </c>
      <c r="H162" s="292" t="s">
        <v>876</v>
      </c>
      <c r="I162" s="292" t="s">
        <v>877</v>
      </c>
      <c r="J162" s="292" t="s">
        <v>120</v>
      </c>
      <c r="K162" s="292" t="s">
        <v>120</v>
      </c>
      <c r="L162" s="292" t="s">
        <v>878</v>
      </c>
      <c r="M162" s="78"/>
    </row>
    <row r="163" spans="3:13">
      <c r="C163" s="293" t="s">
        <v>366</v>
      </c>
      <c r="D163" s="295">
        <v>200</v>
      </c>
      <c r="E163" s="295">
        <v>200</v>
      </c>
      <c r="F163" s="295">
        <v>8</v>
      </c>
      <c r="G163" s="295">
        <v>12</v>
      </c>
      <c r="H163" s="295">
        <v>63.53</v>
      </c>
      <c r="I163" s="295">
        <v>4720</v>
      </c>
      <c r="J163" s="295">
        <v>8.6199999999999992</v>
      </c>
      <c r="K163" s="295">
        <v>5.0199999999999996</v>
      </c>
      <c r="L163" s="295">
        <v>472</v>
      </c>
    </row>
    <row r="164" spans="3:13">
      <c r="C164" s="293" t="s">
        <v>368</v>
      </c>
      <c r="D164" s="295">
        <v>250</v>
      </c>
      <c r="E164" s="295">
        <v>250</v>
      </c>
      <c r="F164" s="295">
        <v>9</v>
      </c>
      <c r="G164" s="295">
        <v>14</v>
      </c>
      <c r="H164" s="295">
        <v>91.43</v>
      </c>
      <c r="I164" s="295">
        <v>10700</v>
      </c>
      <c r="J164" s="295">
        <v>10.8</v>
      </c>
      <c r="K164" s="295">
        <v>6.32</v>
      </c>
      <c r="L164" s="295">
        <v>860</v>
      </c>
    </row>
    <row r="165" spans="3:13">
      <c r="C165" s="293" t="s">
        <v>369</v>
      </c>
      <c r="D165" s="295">
        <v>300</v>
      </c>
      <c r="E165" s="295">
        <v>300</v>
      </c>
      <c r="F165" s="295">
        <v>10</v>
      </c>
      <c r="G165" s="295">
        <v>15</v>
      </c>
      <c r="H165" s="295">
        <v>118.4</v>
      </c>
      <c r="I165" s="295">
        <v>20200</v>
      </c>
      <c r="J165" s="295">
        <v>13.1</v>
      </c>
      <c r="K165" s="295">
        <v>7.55</v>
      </c>
      <c r="L165" s="295">
        <v>1350</v>
      </c>
    </row>
    <row r="166" spans="3:13">
      <c r="C166" s="293" t="s">
        <v>370</v>
      </c>
      <c r="D166" s="295">
        <v>350</v>
      </c>
      <c r="E166" s="295">
        <v>350</v>
      </c>
      <c r="F166" s="295">
        <v>12</v>
      </c>
      <c r="G166" s="295">
        <v>19</v>
      </c>
      <c r="H166" s="295">
        <v>171.9</v>
      </c>
      <c r="I166" s="295">
        <v>39800</v>
      </c>
      <c r="J166" s="295">
        <v>15.2</v>
      </c>
      <c r="K166" s="295">
        <v>8.89</v>
      </c>
      <c r="L166" s="295">
        <v>2280</v>
      </c>
    </row>
    <row r="167" spans="3:13">
      <c r="C167" s="293" t="s">
        <v>371</v>
      </c>
      <c r="D167" s="295">
        <v>400</v>
      </c>
      <c r="E167" s="295">
        <v>400</v>
      </c>
      <c r="F167" s="295">
        <v>13</v>
      </c>
      <c r="G167" s="295">
        <v>21</v>
      </c>
      <c r="H167" s="295">
        <v>218.7</v>
      </c>
      <c r="I167" s="295">
        <v>66600</v>
      </c>
      <c r="J167" s="295">
        <v>17.5</v>
      </c>
      <c r="K167" s="295">
        <v>10.1</v>
      </c>
      <c r="L167" s="295">
        <v>3330</v>
      </c>
    </row>
    <row r="169" spans="3:13">
      <c r="L169" s="218" t="s">
        <v>114</v>
      </c>
    </row>
    <row r="170" spans="3:13">
      <c r="C170" t="s">
        <v>879</v>
      </c>
      <c r="D170" s="291" t="s">
        <v>113</v>
      </c>
      <c r="E170" s="291" t="s">
        <v>58</v>
      </c>
      <c r="F170" s="291" t="s">
        <v>60</v>
      </c>
      <c r="G170" s="291" t="s">
        <v>62</v>
      </c>
      <c r="H170" s="291" t="s">
        <v>117</v>
      </c>
      <c r="I170" s="291" t="s">
        <v>64</v>
      </c>
      <c r="J170" s="291" t="s">
        <v>119</v>
      </c>
      <c r="K170" s="291" t="s">
        <v>869</v>
      </c>
      <c r="L170" s="291" t="s">
        <v>870</v>
      </c>
      <c r="M170" s="78"/>
    </row>
    <row r="171" spans="3:13">
      <c r="D171" s="301" t="s">
        <v>7</v>
      </c>
      <c r="E171" s="301" t="s">
        <v>59</v>
      </c>
      <c r="F171" s="301" t="s">
        <v>871</v>
      </c>
      <c r="G171" s="301" t="s">
        <v>872</v>
      </c>
      <c r="H171" s="301" t="s">
        <v>75</v>
      </c>
      <c r="I171" s="301" t="s">
        <v>873</v>
      </c>
      <c r="J171" s="301" t="s">
        <v>121</v>
      </c>
      <c r="K171" s="301" t="s">
        <v>122</v>
      </c>
      <c r="L171" s="301" t="s">
        <v>874</v>
      </c>
      <c r="M171" s="78"/>
    </row>
    <row r="172" spans="3:13">
      <c r="D172" s="292" t="s">
        <v>875</v>
      </c>
      <c r="E172" s="292" t="s">
        <v>875</v>
      </c>
      <c r="F172" s="292" t="s">
        <v>875</v>
      </c>
      <c r="G172" s="292" t="s">
        <v>875</v>
      </c>
      <c r="H172" s="292" t="s">
        <v>876</v>
      </c>
      <c r="I172" s="292" t="s">
        <v>877</v>
      </c>
      <c r="J172" s="292" t="s">
        <v>120</v>
      </c>
      <c r="K172" s="292" t="s">
        <v>120</v>
      </c>
      <c r="L172" s="292" t="s">
        <v>878</v>
      </c>
      <c r="M172" s="78"/>
    </row>
    <row r="173" spans="3:13">
      <c r="C173" s="293" t="s">
        <v>366</v>
      </c>
      <c r="D173" s="295">
        <v>200</v>
      </c>
      <c r="E173" s="295">
        <v>200</v>
      </c>
      <c r="F173" s="295">
        <v>8</v>
      </c>
      <c r="G173" s="295">
        <v>12</v>
      </c>
      <c r="H173" s="295">
        <v>51.53</v>
      </c>
      <c r="I173" s="295">
        <v>3660</v>
      </c>
      <c r="J173" s="295">
        <v>8.43</v>
      </c>
      <c r="K173" s="295">
        <v>4.22</v>
      </c>
      <c r="L173" s="295">
        <v>366</v>
      </c>
    </row>
    <row r="174" spans="3:13">
      <c r="C174" s="293" t="s">
        <v>368</v>
      </c>
      <c r="D174" s="295">
        <v>250</v>
      </c>
      <c r="E174" s="295">
        <v>250</v>
      </c>
      <c r="F174" s="295">
        <v>9</v>
      </c>
      <c r="G174" s="295">
        <v>14</v>
      </c>
      <c r="H174" s="295">
        <v>78.180000000000007</v>
      </c>
      <c r="I174" s="295">
        <v>8850</v>
      </c>
      <c r="J174" s="295">
        <v>10.6</v>
      </c>
      <c r="K174" s="295">
        <v>6.05</v>
      </c>
      <c r="L174" s="295">
        <v>708</v>
      </c>
    </row>
    <row r="175" spans="3:13">
      <c r="C175" s="293" t="s">
        <v>369</v>
      </c>
      <c r="D175" s="295">
        <v>300</v>
      </c>
      <c r="E175" s="295">
        <v>300</v>
      </c>
      <c r="F175" s="295">
        <v>10</v>
      </c>
      <c r="G175" s="295">
        <v>15</v>
      </c>
      <c r="H175" s="295">
        <v>104.8</v>
      </c>
      <c r="I175" s="295">
        <v>17300</v>
      </c>
      <c r="J175" s="295">
        <v>12.9</v>
      </c>
      <c r="K175" s="295">
        <v>7.51</v>
      </c>
      <c r="L175" s="295">
        <v>1150</v>
      </c>
    </row>
    <row r="176" spans="3:13">
      <c r="C176" s="293" t="s">
        <v>370</v>
      </c>
      <c r="D176" s="295">
        <v>350</v>
      </c>
      <c r="E176" s="295">
        <v>350</v>
      </c>
      <c r="F176" s="295">
        <v>12</v>
      </c>
      <c r="G176" s="295">
        <v>19</v>
      </c>
      <c r="H176" s="295">
        <v>154.9</v>
      </c>
      <c r="I176" s="295">
        <v>35000</v>
      </c>
      <c r="J176" s="295">
        <v>15.1</v>
      </c>
      <c r="K176" s="295">
        <v>8.99</v>
      </c>
      <c r="L176" s="295">
        <v>2000</v>
      </c>
    </row>
    <row r="177" spans="3:12">
      <c r="C177" s="293" t="s">
        <v>371</v>
      </c>
      <c r="D177" s="295">
        <v>400</v>
      </c>
      <c r="E177" s="295">
        <v>400</v>
      </c>
      <c r="F177" s="295">
        <v>13</v>
      </c>
      <c r="G177" s="295">
        <v>21</v>
      </c>
      <c r="H177" s="295">
        <v>197.7</v>
      </c>
      <c r="I177" s="295">
        <v>59000</v>
      </c>
      <c r="J177" s="295">
        <v>17.3</v>
      </c>
      <c r="K177" s="295">
        <v>10.1</v>
      </c>
      <c r="L177" s="295">
        <v>2950</v>
      </c>
    </row>
  </sheetData>
  <sheetProtection sheet="1" objects="1" scenarios="1"/>
  <mergeCells count="114">
    <mergeCell ref="E141:H141"/>
    <mergeCell ref="E142:H142"/>
    <mergeCell ref="E143:H143"/>
    <mergeCell ref="E144:H144"/>
    <mergeCell ref="E145:H145"/>
    <mergeCell ref="D126:D127"/>
    <mergeCell ref="E126:H126"/>
    <mergeCell ref="E127:H127"/>
    <mergeCell ref="D128:D129"/>
    <mergeCell ref="E128:H128"/>
    <mergeCell ref="E129:H129"/>
    <mergeCell ref="E117:F117"/>
    <mergeCell ref="G117:H117"/>
    <mergeCell ref="E118:F118"/>
    <mergeCell ref="G118:H118"/>
    <mergeCell ref="D119:D120"/>
    <mergeCell ref="E119:F119"/>
    <mergeCell ref="G119:H119"/>
    <mergeCell ref="E120:F120"/>
    <mergeCell ref="G120:H120"/>
    <mergeCell ref="E108:F108"/>
    <mergeCell ref="G108:H108"/>
    <mergeCell ref="E109:F109"/>
    <mergeCell ref="G109:H109"/>
    <mergeCell ref="G114:H114"/>
    <mergeCell ref="D115:D116"/>
    <mergeCell ref="E115:F115"/>
    <mergeCell ref="G115:H115"/>
    <mergeCell ref="E116:F116"/>
    <mergeCell ref="G116:H116"/>
    <mergeCell ref="E93:H93"/>
    <mergeCell ref="G105:H105"/>
    <mergeCell ref="E106:F106"/>
    <mergeCell ref="G106:H106"/>
    <mergeCell ref="E107:F107"/>
    <mergeCell ref="G107:H107"/>
    <mergeCell ref="E84:E86"/>
    <mergeCell ref="F84:G84"/>
    <mergeCell ref="F85:G85"/>
    <mergeCell ref="F86:G86"/>
    <mergeCell ref="E91:H91"/>
    <mergeCell ref="E92:H92"/>
    <mergeCell ref="F79:G79"/>
    <mergeCell ref="F80:G80"/>
    <mergeCell ref="E81:E83"/>
    <mergeCell ref="F81:G81"/>
    <mergeCell ref="F82:G82"/>
    <mergeCell ref="F83:G83"/>
    <mergeCell ref="D70:F70"/>
    <mergeCell ref="G70:I70"/>
    <mergeCell ref="J70:K70"/>
    <mergeCell ref="D71:F71"/>
    <mergeCell ref="G71:I71"/>
    <mergeCell ref="J71:K71"/>
    <mergeCell ref="E68:F68"/>
    <mergeCell ref="G68:I68"/>
    <mergeCell ref="J68:K68"/>
    <mergeCell ref="D69:F69"/>
    <mergeCell ref="G69:I69"/>
    <mergeCell ref="J69:K69"/>
    <mergeCell ref="E66:F66"/>
    <mergeCell ref="G66:I66"/>
    <mergeCell ref="J66:K66"/>
    <mergeCell ref="E67:F67"/>
    <mergeCell ref="G67:I67"/>
    <mergeCell ref="J67:K67"/>
    <mergeCell ref="E64:F64"/>
    <mergeCell ref="G64:I64"/>
    <mergeCell ref="J64:K64"/>
    <mergeCell ref="E65:F65"/>
    <mergeCell ref="G65:I65"/>
    <mergeCell ref="J65:K65"/>
    <mergeCell ref="E62:F62"/>
    <mergeCell ref="G62:I62"/>
    <mergeCell ref="J62:K62"/>
    <mergeCell ref="E63:F63"/>
    <mergeCell ref="G63:I63"/>
    <mergeCell ref="J63:K63"/>
    <mergeCell ref="D60:F60"/>
    <mergeCell ref="G60:I60"/>
    <mergeCell ref="J60:K60"/>
    <mergeCell ref="E61:F61"/>
    <mergeCell ref="G61:I61"/>
    <mergeCell ref="J61:K61"/>
    <mergeCell ref="D58:F58"/>
    <mergeCell ref="G58:I58"/>
    <mergeCell ref="J58:K58"/>
    <mergeCell ref="D59:F59"/>
    <mergeCell ref="G59:I59"/>
    <mergeCell ref="J59:K59"/>
    <mergeCell ref="D56:F56"/>
    <mergeCell ref="G56:I56"/>
    <mergeCell ref="J56:K56"/>
    <mergeCell ref="D57:F57"/>
    <mergeCell ref="G57:I57"/>
    <mergeCell ref="J57:K57"/>
    <mergeCell ref="D54:F54"/>
    <mergeCell ref="G54:I54"/>
    <mergeCell ref="J54:K54"/>
    <mergeCell ref="D55:F55"/>
    <mergeCell ref="G55:I55"/>
    <mergeCell ref="J55:K55"/>
    <mergeCell ref="D52:F52"/>
    <mergeCell ref="G52:I52"/>
    <mergeCell ref="J52:K52"/>
    <mergeCell ref="D53:F53"/>
    <mergeCell ref="G53:I53"/>
    <mergeCell ref="J53:K53"/>
    <mergeCell ref="D50:F50"/>
    <mergeCell ref="G50:I50"/>
    <mergeCell ref="J50:K50"/>
    <mergeCell ref="D51:F51"/>
    <mergeCell ref="G51:I51"/>
    <mergeCell ref="J51:K51"/>
  </mergeCells>
  <phoneticPr fontId="3"/>
  <pageMargins left="0.7" right="0.7" top="0.75" bottom="0.75" header="0.3" footer="0.3"/>
  <pageSetup paperSize="9" scale="2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0241-4019-4F00-A5BC-45DD011927A8}">
  <dimension ref="A2:AO405"/>
  <sheetViews>
    <sheetView showGridLines="0" view="pageBreakPreview" zoomScale="80" zoomScaleNormal="85" zoomScaleSheetLayoutView="80" workbookViewId="0"/>
  </sheetViews>
  <sheetFormatPr defaultRowHeight="18.75"/>
  <cols>
    <col min="1" max="35" width="3" style="1" customWidth="1"/>
    <col min="36" max="36" width="1.75" style="1" customWidth="1"/>
    <col min="37" max="37" width="8.875" style="1" customWidth="1"/>
    <col min="38" max="38" width="9" style="1" customWidth="1"/>
    <col min="39" max="16384" width="9" style="1"/>
  </cols>
  <sheetData>
    <row r="2" spans="1:38">
      <c r="A2" s="1" t="s">
        <v>145</v>
      </c>
      <c r="W2"/>
    </row>
    <row r="3" spans="1:38">
      <c r="B3" s="1" t="s">
        <v>146</v>
      </c>
      <c r="C3" s="12"/>
      <c r="D3" s="12"/>
      <c r="E3" s="12"/>
      <c r="F3" s="12"/>
      <c r="G3" s="12"/>
      <c r="H3" s="12"/>
      <c r="I3" s="12"/>
      <c r="J3" s="12"/>
      <c r="K3" s="12"/>
      <c r="L3" s="12"/>
      <c r="M3" s="12"/>
      <c r="N3" s="12"/>
      <c r="O3" s="12"/>
      <c r="P3" s="12"/>
      <c r="Q3" s="12"/>
      <c r="R3" s="12"/>
      <c r="S3" s="12"/>
      <c r="T3" s="12"/>
      <c r="U3" s="12"/>
      <c r="V3" s="12"/>
      <c r="W3" t="s">
        <v>147</v>
      </c>
      <c r="X3" s="12"/>
      <c r="Y3" s="12"/>
      <c r="Z3" s="12"/>
      <c r="AA3" s="12"/>
      <c r="AB3" s="12"/>
      <c r="AC3" s="12"/>
      <c r="AD3" s="12"/>
      <c r="AE3" s="12"/>
      <c r="AF3" s="12"/>
      <c r="AG3" s="12"/>
      <c r="AH3" s="12"/>
      <c r="AI3" s="12"/>
    </row>
    <row r="4" spans="1:38" s="205" customFormat="1">
      <c r="B4" s="113"/>
      <c r="C4" s="113"/>
      <c r="D4" s="113"/>
      <c r="E4" s="113"/>
      <c r="F4" s="113"/>
      <c r="G4" s="113"/>
      <c r="H4" s="113"/>
      <c r="I4" s="113"/>
      <c r="J4" s="113"/>
      <c r="K4" s="113"/>
      <c r="L4" s="113"/>
      <c r="M4" s="113"/>
      <c r="N4" s="113"/>
      <c r="O4" s="113"/>
      <c r="P4" s="113"/>
      <c r="Q4" s="113"/>
      <c r="R4" s="113"/>
      <c r="S4" s="113"/>
      <c r="T4" s="113"/>
      <c r="U4" s="113"/>
      <c r="V4" s="113"/>
      <c r="W4"/>
      <c r="X4" s="113"/>
      <c r="Y4" s="113"/>
      <c r="Z4" s="113"/>
      <c r="AA4" s="113"/>
      <c r="AB4" s="113"/>
      <c r="AC4" s="113"/>
      <c r="AD4" s="113"/>
      <c r="AE4" s="113"/>
      <c r="AF4" s="113"/>
      <c r="AG4" s="113"/>
      <c r="AH4" s="113"/>
      <c r="AI4" s="113"/>
    </row>
    <row r="5" spans="1:38">
      <c r="B5" s="12"/>
      <c r="C5" s="701" t="s">
        <v>148</v>
      </c>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535">
        <v>1.2</v>
      </c>
      <c r="AE5" s="537"/>
      <c r="AF5" s="702" t="s">
        <v>149</v>
      </c>
      <c r="AG5" s="703"/>
      <c r="AH5" s="703"/>
      <c r="AI5" s="703"/>
    </row>
    <row r="6" spans="1:38" ht="20.25">
      <c r="B6" s="12"/>
      <c r="C6" s="108" t="s">
        <v>150</v>
      </c>
      <c r="D6" s="55"/>
      <c r="E6" s="55"/>
      <c r="F6" s="55"/>
      <c r="G6" s="703" t="s">
        <v>151</v>
      </c>
      <c r="H6" s="703"/>
      <c r="I6" s="108" t="s">
        <v>152</v>
      </c>
      <c r="J6" s="55"/>
      <c r="K6" s="55"/>
      <c r="L6" s="55"/>
      <c r="M6" s="55"/>
      <c r="N6" s="55"/>
      <c r="O6" s="55"/>
      <c r="P6" s="55"/>
      <c r="Q6" s="55"/>
      <c r="R6" s="55"/>
      <c r="S6" s="55"/>
      <c r="T6" s="55"/>
      <c r="U6" s="55"/>
      <c r="V6" s="55"/>
      <c r="W6" s="55"/>
      <c r="X6" s="55"/>
      <c r="Y6" s="55"/>
      <c r="Z6" s="55"/>
      <c r="AA6" s="55"/>
      <c r="AB6" s="55"/>
      <c r="AC6" s="55"/>
      <c r="AD6" s="39"/>
      <c r="AE6" s="39"/>
      <c r="AF6" s="41"/>
      <c r="AG6" s="41"/>
      <c r="AH6" s="41"/>
      <c r="AI6" s="41"/>
    </row>
    <row r="7" spans="1:38">
      <c r="B7" s="12"/>
      <c r="C7" s="108"/>
      <c r="D7" s="55"/>
      <c r="E7" s="55"/>
      <c r="F7" s="55"/>
      <c r="G7" s="41"/>
      <c r="H7" s="41"/>
      <c r="I7" s="108"/>
      <c r="J7" s="55"/>
      <c r="K7" s="55"/>
      <c r="L7" s="55"/>
      <c r="M7" s="55"/>
      <c r="N7" s="55"/>
      <c r="O7" s="55"/>
      <c r="P7" s="55"/>
      <c r="Q7" s="55"/>
      <c r="R7" s="55"/>
      <c r="S7" s="55"/>
      <c r="T7" s="55"/>
      <c r="U7" s="55"/>
      <c r="V7" s="55"/>
      <c r="W7" s="55"/>
      <c r="X7" s="55"/>
      <c r="Y7" s="55"/>
      <c r="Z7" s="55"/>
      <c r="AA7" s="55"/>
      <c r="AB7" s="55"/>
      <c r="AC7" s="55"/>
      <c r="AD7" s="39"/>
      <c r="AE7" s="39"/>
      <c r="AF7" s="41"/>
      <c r="AG7" s="41"/>
      <c r="AH7" s="41"/>
      <c r="AI7" s="41"/>
    </row>
    <row r="8" spans="1:38">
      <c r="B8" s="12"/>
      <c r="C8" s="12" t="s">
        <v>153</v>
      </c>
      <c r="D8" s="55"/>
      <c r="E8" s="55"/>
      <c r="F8" s="55"/>
      <c r="G8" s="55"/>
      <c r="H8" s="55"/>
      <c r="I8" s="55"/>
      <c r="J8" s="55"/>
      <c r="K8" s="55"/>
      <c r="L8" s="55"/>
      <c r="M8" s="55"/>
      <c r="N8" s="55"/>
      <c r="O8" s="55"/>
      <c r="P8" s="55"/>
      <c r="Q8" s="55"/>
      <c r="R8" s="55"/>
      <c r="S8" s="55"/>
      <c r="T8" s="55"/>
      <c r="U8" s="55"/>
      <c r="V8" s="55"/>
      <c r="W8"/>
      <c r="X8" s="55"/>
      <c r="Y8" s="55"/>
      <c r="Z8" s="55"/>
      <c r="AA8" s="55"/>
      <c r="AB8" s="55"/>
      <c r="AC8" s="55"/>
      <c r="AD8" s="39"/>
      <c r="AE8" s="39"/>
      <c r="AF8" s="41"/>
      <c r="AG8" s="41"/>
      <c r="AH8" s="41"/>
      <c r="AI8" s="41"/>
    </row>
    <row r="9" spans="1:38">
      <c r="B9" s="12"/>
      <c r="C9" s="12"/>
      <c r="D9" s="108" t="s">
        <v>154</v>
      </c>
      <c r="E9" s="55"/>
      <c r="F9" s="55"/>
      <c r="G9" s="55"/>
      <c r="H9" s="55"/>
      <c r="I9" s="55"/>
      <c r="J9" s="55"/>
      <c r="K9" s="55"/>
      <c r="L9" s="55"/>
      <c r="M9" s="55"/>
      <c r="N9" s="55"/>
      <c r="O9" s="55"/>
      <c r="P9" s="55"/>
      <c r="Q9" s="55"/>
      <c r="R9" s="55"/>
      <c r="S9" s="55"/>
      <c r="T9" s="55"/>
      <c r="U9" s="55"/>
      <c r="V9" s="55"/>
      <c r="W9"/>
      <c r="X9" s="55"/>
      <c r="Y9" s="55"/>
      <c r="Z9" s="55"/>
      <c r="AA9" s="55"/>
      <c r="AB9" s="55"/>
      <c r="AC9" s="55"/>
      <c r="AD9" s="39"/>
      <c r="AE9" s="39"/>
      <c r="AF9" s="41"/>
      <c r="AG9" s="41"/>
      <c r="AH9" s="41"/>
      <c r="AI9" s="41"/>
    </row>
    <row r="10" spans="1:38">
      <c r="B10" s="12"/>
      <c r="C10" s="12"/>
      <c r="D10" s="701" t="s">
        <v>155</v>
      </c>
      <c r="E10" s="701"/>
      <c r="F10" s="701"/>
      <c r="G10" s="701"/>
      <c r="H10" s="701"/>
      <c r="I10" s="701"/>
      <c r="J10" s="701"/>
      <c r="K10" s="701"/>
      <c r="L10" s="701"/>
      <c r="M10" s="701"/>
      <c r="N10" s="701"/>
      <c r="O10" s="701"/>
      <c r="P10" s="701"/>
      <c r="Q10" s="701"/>
      <c r="R10" s="701"/>
      <c r="S10" s="701"/>
      <c r="T10" s="701"/>
      <c r="U10" s="701"/>
      <c r="V10" s="685">
        <f>'1.設計条件'!T70</f>
        <v>-3.8</v>
      </c>
      <c r="W10" s="685"/>
      <c r="X10" s="685"/>
      <c r="Y10" s="685">
        <v>-1</v>
      </c>
      <c r="Z10" s="685"/>
      <c r="AA10" s="55" t="s">
        <v>8</v>
      </c>
      <c r="AB10" s="704">
        <f>V10+Y10</f>
        <v>-4.8</v>
      </c>
      <c r="AC10" s="705"/>
      <c r="AD10" s="706"/>
      <c r="AE10" s="177" t="s">
        <v>156</v>
      </c>
      <c r="AF10" s="41"/>
      <c r="AG10" s="41"/>
      <c r="AH10" s="41"/>
      <c r="AI10" s="41"/>
    </row>
    <row r="11" spans="1:38">
      <c r="B11" s="12"/>
      <c r="C11" s="12"/>
      <c r="D11" s="55"/>
      <c r="E11" s="55"/>
      <c r="F11" s="55"/>
      <c r="G11" s="55"/>
      <c r="H11" s="55"/>
      <c r="I11" s="55"/>
      <c r="J11" s="55"/>
      <c r="K11" s="55"/>
      <c r="L11" s="55"/>
      <c r="M11" s="55"/>
      <c r="N11" s="55"/>
      <c r="O11" s="55"/>
      <c r="P11" s="55"/>
      <c r="Q11" s="55"/>
      <c r="R11" s="55"/>
      <c r="S11" s="55"/>
      <c r="T11" s="55"/>
      <c r="U11" s="55"/>
      <c r="V11" s="55"/>
      <c r="W11"/>
      <c r="X11" s="55"/>
      <c r="Y11" s="55"/>
      <c r="Z11" s="55"/>
      <c r="AA11" s="55"/>
      <c r="AB11" s="55"/>
      <c r="AC11" s="55"/>
      <c r="AD11" s="39"/>
      <c r="AE11" s="39"/>
      <c r="AF11" s="41"/>
      <c r="AG11" s="41"/>
      <c r="AH11" s="41"/>
      <c r="AI11" s="41"/>
    </row>
    <row r="12" spans="1:38">
      <c r="B12" s="12"/>
      <c r="C12" s="8" t="s">
        <v>157</v>
      </c>
      <c r="D12" s="9"/>
      <c r="E12" s="9"/>
      <c r="F12" s="9"/>
      <c r="G12" s="9"/>
      <c r="H12" s="9"/>
      <c r="I12" s="9"/>
      <c r="J12" s="9"/>
      <c r="K12" s="9"/>
      <c r="L12" s="9"/>
      <c r="M12" s="9"/>
      <c r="N12" s="9"/>
      <c r="O12" s="9"/>
      <c r="P12" s="9"/>
      <c r="Q12" s="9"/>
      <c r="R12" s="9"/>
      <c r="S12" s="9"/>
      <c r="T12" s="9"/>
      <c r="U12" s="9"/>
      <c r="V12" s="9"/>
      <c r="W12" s="9"/>
      <c r="X12" s="9"/>
      <c r="Y12" s="9"/>
      <c r="Z12" s="9"/>
      <c r="AA12" s="3" t="s">
        <v>158</v>
      </c>
      <c r="AB12" s="9"/>
      <c r="AC12" s="9"/>
      <c r="AD12" s="9"/>
      <c r="AE12" s="9"/>
      <c r="AF12" s="9"/>
      <c r="AG12" s="9"/>
      <c r="AH12" s="9"/>
      <c r="AI12" s="9"/>
      <c r="AJ12" s="10"/>
      <c r="AK12" s="12"/>
      <c r="AL12" s="12"/>
    </row>
    <row r="13" spans="1:38">
      <c r="B13" s="12"/>
      <c r="C13" s="11"/>
      <c r="D13" s="12"/>
      <c r="E13" s="12"/>
      <c r="F13" s="12"/>
      <c r="G13"/>
      <c r="H13" s="455" t="s">
        <v>159</v>
      </c>
      <c r="I13" s="457"/>
      <c r="J13" s="455" t="s">
        <v>26</v>
      </c>
      <c r="K13" s="457"/>
      <c r="L13" s="452" t="s">
        <v>160</v>
      </c>
      <c r="M13" s="453"/>
      <c r="N13" s="453"/>
      <c r="O13" s="455"/>
      <c r="P13" s="457"/>
      <c r="Q13" s="455"/>
      <c r="R13" s="456"/>
      <c r="S13" s="456"/>
      <c r="T13" s="455"/>
      <c r="U13" s="457"/>
      <c r="V13" s="455"/>
      <c r="W13" s="456"/>
      <c r="X13" s="668" t="s">
        <v>161</v>
      </c>
      <c r="Y13" s="669"/>
      <c r="Z13" s="670"/>
      <c r="AA13" s="455" t="s">
        <v>162</v>
      </c>
      <c r="AB13" s="456"/>
      <c r="AC13" s="456"/>
      <c r="AD13" s="455" t="s">
        <v>163</v>
      </c>
      <c r="AE13" s="456"/>
      <c r="AF13" s="456"/>
      <c r="AG13" s="456"/>
      <c r="AH13" s="456"/>
      <c r="AI13" s="457"/>
      <c r="AJ13" s="14"/>
      <c r="AK13" s="12"/>
      <c r="AL13" s="12"/>
    </row>
    <row r="14" spans="1:38" ht="20.25">
      <c r="B14" s="12"/>
      <c r="C14" s="11"/>
      <c r="D14" s="12"/>
      <c r="E14" s="12"/>
      <c r="F14" s="12"/>
      <c r="G14"/>
      <c r="H14" s="438" t="s">
        <v>34</v>
      </c>
      <c r="I14" s="439"/>
      <c r="J14" s="440"/>
      <c r="K14" s="463"/>
      <c r="L14" s="438" t="s">
        <v>164</v>
      </c>
      <c r="M14" s="371"/>
      <c r="N14" s="439"/>
      <c r="O14" s="435" t="s">
        <v>35</v>
      </c>
      <c r="P14" s="437"/>
      <c r="Q14" s="499" t="s">
        <v>165</v>
      </c>
      <c r="R14" s="500"/>
      <c r="S14" s="500"/>
      <c r="T14" s="512" t="s">
        <v>39</v>
      </c>
      <c r="U14" s="513"/>
      <c r="V14" s="512" t="s">
        <v>166</v>
      </c>
      <c r="W14" s="513"/>
      <c r="X14" s="438" t="s">
        <v>167</v>
      </c>
      <c r="Y14" s="371"/>
      <c r="Z14" s="439"/>
      <c r="AA14" s="438" t="s">
        <v>168</v>
      </c>
      <c r="AB14" s="371"/>
      <c r="AC14" s="371"/>
      <c r="AD14" s="438" t="s">
        <v>169</v>
      </c>
      <c r="AE14" s="371"/>
      <c r="AF14" s="371"/>
      <c r="AG14" s="371"/>
      <c r="AH14" s="371"/>
      <c r="AI14" s="439"/>
      <c r="AJ14" s="14"/>
      <c r="AK14" s="12"/>
      <c r="AL14" s="12"/>
    </row>
    <row r="15" spans="1:38" ht="20.25">
      <c r="B15" s="12"/>
      <c r="C15" s="11"/>
      <c r="D15" s="12"/>
      <c r="E15" s="12"/>
      <c r="F15" s="12"/>
      <c r="G15"/>
      <c r="H15" s="501" t="s">
        <v>40</v>
      </c>
      <c r="I15" s="503"/>
      <c r="J15" s="501"/>
      <c r="K15" s="503"/>
      <c r="L15" s="501"/>
      <c r="M15" s="502"/>
      <c r="N15" s="503"/>
      <c r="O15" s="432" t="s">
        <v>41</v>
      </c>
      <c r="P15" s="434"/>
      <c r="Q15" s="432" t="s">
        <v>44</v>
      </c>
      <c r="R15" s="433"/>
      <c r="S15" s="433"/>
      <c r="T15" s="432" t="s">
        <v>44</v>
      </c>
      <c r="U15" s="433"/>
      <c r="V15" s="432" t="s">
        <v>44</v>
      </c>
      <c r="W15" s="433"/>
      <c r="X15" s="432" t="s">
        <v>44</v>
      </c>
      <c r="Y15" s="433"/>
      <c r="Z15" s="433"/>
      <c r="AA15" s="432" t="s">
        <v>44</v>
      </c>
      <c r="AB15" s="433"/>
      <c r="AC15" s="433"/>
      <c r="AD15" s="440" t="s">
        <v>44</v>
      </c>
      <c r="AE15" s="441"/>
      <c r="AF15" s="441"/>
      <c r="AG15" s="441"/>
      <c r="AH15" s="441"/>
      <c r="AI15" s="463"/>
      <c r="AJ15" s="14"/>
      <c r="AK15" s="12"/>
      <c r="AL15" s="12"/>
    </row>
    <row r="16" spans="1:38">
      <c r="B16" s="12"/>
      <c r="C16" s="11"/>
      <c r="D16" s="599" t="s">
        <v>45</v>
      </c>
      <c r="E16" s="599"/>
      <c r="F16" s="452" t="s">
        <v>170</v>
      </c>
      <c r="G16" s="454"/>
      <c r="H16" s="514">
        <f>'1.設計条件'!F23</f>
        <v>1</v>
      </c>
      <c r="I16" s="617"/>
      <c r="J16" s="491" t="str">
        <f>'1.設計条件'!H23</f>
        <v>砂質</v>
      </c>
      <c r="K16" s="602"/>
      <c r="L16" s="491">
        <f>ROUND(TAN(RADIANS(45-'1.設計条件'!AB23/2))^2,3)</f>
        <v>0.376</v>
      </c>
      <c r="M16" s="492"/>
      <c r="N16" s="492"/>
      <c r="O16" s="491">
        <f>IF('1.設計条件'!L23="-",'1.設計条件'!P23,'1.設計条件'!X23)</f>
        <v>18</v>
      </c>
      <c r="P16" s="602"/>
      <c r="Q16" s="504">
        <f>'1.設計条件'!R$15</f>
        <v>10</v>
      </c>
      <c r="R16" s="505"/>
      <c r="S16" s="505"/>
      <c r="T16" s="483">
        <f>'1.設計条件'!AF23</f>
        <v>0</v>
      </c>
      <c r="U16" s="484"/>
      <c r="V16" s="491">
        <f>2*T16*SQRT(L16)</f>
        <v>0</v>
      </c>
      <c r="W16" s="492"/>
      <c r="X16" s="504">
        <f>L16*Q16-V16</f>
        <v>3.76</v>
      </c>
      <c r="Y16" s="505"/>
      <c r="Z16" s="505"/>
      <c r="AA16" s="504">
        <v>0</v>
      </c>
      <c r="AB16" s="505"/>
      <c r="AC16" s="505"/>
      <c r="AD16" s="552" t="s">
        <v>171</v>
      </c>
      <c r="AE16" s="553"/>
      <c r="AF16" s="553"/>
      <c r="AG16" s="505">
        <f>IF(J16="砂質",IF(X16&lt;0, 0,X16), IF(X16&gt;AA16,X16,AA16))</f>
        <v>3.76</v>
      </c>
      <c r="AH16" s="505"/>
      <c r="AI16" s="550"/>
      <c r="AJ16" s="14"/>
      <c r="AK16" s="12"/>
      <c r="AL16" s="12"/>
    </row>
    <row r="17" spans="2:38">
      <c r="B17" s="12"/>
      <c r="C17" s="11"/>
      <c r="D17" s="599"/>
      <c r="E17" s="599"/>
      <c r="F17" s="432" t="s">
        <v>172</v>
      </c>
      <c r="G17" s="434"/>
      <c r="H17" s="516"/>
      <c r="I17" s="664"/>
      <c r="J17" s="493"/>
      <c r="K17" s="603"/>
      <c r="L17" s="493"/>
      <c r="M17" s="494"/>
      <c r="N17" s="494"/>
      <c r="O17" s="493"/>
      <c r="P17" s="603"/>
      <c r="Q17" s="506">
        <f>H16*O16+'1.設計条件'!R$15</f>
        <v>28</v>
      </c>
      <c r="R17" s="507"/>
      <c r="S17" s="507"/>
      <c r="T17" s="485"/>
      <c r="U17" s="486"/>
      <c r="V17" s="493"/>
      <c r="W17" s="494"/>
      <c r="X17" s="506">
        <f>L16*Q17-V16</f>
        <v>10.528</v>
      </c>
      <c r="Y17" s="507"/>
      <c r="Z17" s="507"/>
      <c r="AA17" s="506">
        <f>0.3*H16*O16</f>
        <v>5.3999999999999995</v>
      </c>
      <c r="AB17" s="507"/>
      <c r="AC17" s="507"/>
      <c r="AD17" s="566" t="s">
        <v>173</v>
      </c>
      <c r="AE17" s="567"/>
      <c r="AF17" s="567"/>
      <c r="AG17" s="548">
        <f>IF(J16="砂質",IF(X17&lt;0,0,X17), IF(X17&gt;AA17,X17,AA17))</f>
        <v>10.528</v>
      </c>
      <c r="AH17" s="548"/>
      <c r="AI17" s="549"/>
      <c r="AJ17" s="14"/>
      <c r="AK17" s="12"/>
      <c r="AL17" s="12"/>
    </row>
    <row r="18" spans="2:38">
      <c r="B18" s="12"/>
      <c r="C18" s="11"/>
      <c r="D18" s="599" t="s">
        <v>174</v>
      </c>
      <c r="E18" s="599"/>
      <c r="F18" s="452" t="s">
        <v>170</v>
      </c>
      <c r="G18" s="454"/>
      <c r="H18" s="514">
        <f>-AB10-H16</f>
        <v>3.8</v>
      </c>
      <c r="I18" s="617"/>
      <c r="J18" s="514" t="str">
        <f>'1.設計条件'!H24</f>
        <v>砂質</v>
      </c>
      <c r="K18" s="617"/>
      <c r="L18" s="491">
        <f>ROUND(TAN(RADIANS(45-'1.設計条件'!AB24/2))^2,3)</f>
        <v>0.376</v>
      </c>
      <c r="M18" s="492"/>
      <c r="N18" s="492"/>
      <c r="O18" s="491">
        <f>IF('1.設計条件'!L24="-",'1.設計条件'!P24,'1.設計条件'!X24)</f>
        <v>18</v>
      </c>
      <c r="P18" s="602"/>
      <c r="Q18" s="504">
        <f>Q17</f>
        <v>28</v>
      </c>
      <c r="R18" s="505"/>
      <c r="S18" s="505"/>
      <c r="T18" s="483">
        <f>'1.設計条件'!AF24</f>
        <v>0</v>
      </c>
      <c r="U18" s="484"/>
      <c r="V18" s="491">
        <f>2*T18*SQRT(L18)</f>
        <v>0</v>
      </c>
      <c r="W18" s="492"/>
      <c r="X18" s="504">
        <f>L18*Q18-V18</f>
        <v>10.528</v>
      </c>
      <c r="Y18" s="505"/>
      <c r="Z18" s="505"/>
      <c r="AA18" s="504">
        <f>AA17</f>
        <v>5.3999999999999995</v>
      </c>
      <c r="AB18" s="505"/>
      <c r="AC18" s="505"/>
      <c r="AD18" s="552" t="s">
        <v>175</v>
      </c>
      <c r="AE18" s="553"/>
      <c r="AF18" s="553"/>
      <c r="AG18" s="505">
        <f>IF(J18="砂質",IF(X18&lt;0, 0,X18), IF(X18&gt;AA18,X18,AA18))</f>
        <v>10.528</v>
      </c>
      <c r="AH18" s="505"/>
      <c r="AI18" s="550"/>
      <c r="AJ18" s="14"/>
      <c r="AK18" s="12"/>
      <c r="AL18" s="12"/>
    </row>
    <row r="19" spans="2:38" ht="19.5" thickBot="1">
      <c r="B19" s="12"/>
      <c r="C19" s="11"/>
      <c r="D19" s="634"/>
      <c r="E19" s="634"/>
      <c r="F19" s="643" t="s">
        <v>172</v>
      </c>
      <c r="G19" s="644"/>
      <c r="H19" s="618"/>
      <c r="I19" s="619"/>
      <c r="J19" s="618"/>
      <c r="K19" s="619"/>
      <c r="L19" s="495"/>
      <c r="M19" s="496"/>
      <c r="N19" s="496"/>
      <c r="O19" s="495"/>
      <c r="P19" s="620"/>
      <c r="Q19" s="508">
        <f>H18*O18+Q18</f>
        <v>96.399999999999991</v>
      </c>
      <c r="R19" s="509"/>
      <c r="S19" s="509"/>
      <c r="T19" s="487"/>
      <c r="U19" s="488"/>
      <c r="V19" s="495"/>
      <c r="W19" s="496"/>
      <c r="X19" s="508">
        <f>L18*Q19-V18</f>
        <v>36.246399999999994</v>
      </c>
      <c r="Y19" s="509"/>
      <c r="Z19" s="509"/>
      <c r="AA19" s="508">
        <f>0.3*H18*O18+AA18</f>
        <v>25.919999999999998</v>
      </c>
      <c r="AB19" s="509"/>
      <c r="AC19" s="509"/>
      <c r="AD19" s="621" t="s">
        <v>176</v>
      </c>
      <c r="AE19" s="622"/>
      <c r="AF19" s="622"/>
      <c r="AG19" s="509">
        <f>IF(J18="砂質",IF(X19&lt;0,0,X19), IF(X19&gt;AA19,X19,AA19))</f>
        <v>36.246399999999994</v>
      </c>
      <c r="AH19" s="509"/>
      <c r="AI19" s="570"/>
      <c r="AJ19" s="14"/>
      <c r="AK19" s="12"/>
      <c r="AL19" s="12"/>
    </row>
    <row r="20" spans="2:38" ht="19.5" thickTop="1">
      <c r="B20" s="12"/>
      <c r="C20" s="11"/>
      <c r="D20" s="633" t="s">
        <v>177</v>
      </c>
      <c r="E20" s="633"/>
      <c r="F20" s="635" t="s">
        <v>170</v>
      </c>
      <c r="G20" s="636"/>
      <c r="H20" s="694">
        <f>'1.設計条件'!F24-H18</f>
        <v>1.2000000000000002</v>
      </c>
      <c r="I20" s="695"/>
      <c r="J20" s="637" t="str">
        <f>'1.設計条件'!H23</f>
        <v>砂質</v>
      </c>
      <c r="K20" s="638"/>
      <c r="L20" s="497">
        <f>ROUND(TAN(RADIANS(45-'1.設計条件'!AB24/2))^2,3)</f>
        <v>0.376</v>
      </c>
      <c r="M20" s="498"/>
      <c r="N20" s="498"/>
      <c r="O20" s="639">
        <f>IF('1.設計条件'!L24="-",'1.設計条件'!P24,'1.設計条件'!X24)</f>
        <v>18</v>
      </c>
      <c r="P20" s="640"/>
      <c r="Q20" s="510">
        <f>Q19</f>
        <v>96.399999999999991</v>
      </c>
      <c r="R20" s="511"/>
      <c r="S20" s="511"/>
      <c r="T20" s="489">
        <f>'1.設計条件'!AF24</f>
        <v>0</v>
      </c>
      <c r="U20" s="490"/>
      <c r="V20" s="497">
        <f>2*T20*SQRT(L20)</f>
        <v>0</v>
      </c>
      <c r="W20" s="498"/>
      <c r="X20" s="624">
        <f>L20*Q20-V20</f>
        <v>36.246399999999994</v>
      </c>
      <c r="Y20" s="548"/>
      <c r="Z20" s="548"/>
      <c r="AA20" s="624">
        <f>AA19</f>
        <v>25.919999999999998</v>
      </c>
      <c r="AB20" s="548"/>
      <c r="AC20" s="548"/>
      <c r="AD20" s="566" t="s">
        <v>178</v>
      </c>
      <c r="AE20" s="567"/>
      <c r="AF20" s="567"/>
      <c r="AG20" s="548">
        <f>IF(J20="砂質",IF(X20&lt;0, 0,X20), IF(X20&gt;AA20,X20,AA20))</f>
        <v>36.246399999999994</v>
      </c>
      <c r="AH20" s="548"/>
      <c r="AI20" s="549"/>
      <c r="AJ20" s="14"/>
      <c r="AK20" s="12"/>
      <c r="AL20" s="12"/>
    </row>
    <row r="21" spans="2:38">
      <c r="B21" s="12"/>
      <c r="C21" s="11"/>
      <c r="D21" s="599"/>
      <c r="E21" s="599"/>
      <c r="F21" s="432" t="s">
        <v>172</v>
      </c>
      <c r="G21" s="434"/>
      <c r="H21" s="683"/>
      <c r="I21" s="684"/>
      <c r="J21" s="516"/>
      <c r="K21" s="664"/>
      <c r="L21" s="493"/>
      <c r="M21" s="494"/>
      <c r="N21" s="494"/>
      <c r="O21" s="493"/>
      <c r="P21" s="603"/>
      <c r="Q21" s="506">
        <f>H20*O20+Q20</f>
        <v>118</v>
      </c>
      <c r="R21" s="507"/>
      <c r="S21" s="507"/>
      <c r="T21" s="485"/>
      <c r="U21" s="486"/>
      <c r="V21" s="493"/>
      <c r="W21" s="494"/>
      <c r="X21" s="506">
        <f>L20*Q21-V20</f>
        <v>44.368000000000002</v>
      </c>
      <c r="Y21" s="507"/>
      <c r="Z21" s="507"/>
      <c r="AA21" s="506">
        <f>0.3*H20*O20+AA20</f>
        <v>32.4</v>
      </c>
      <c r="AB21" s="507"/>
      <c r="AC21" s="507"/>
      <c r="AD21" s="568" t="s">
        <v>179</v>
      </c>
      <c r="AE21" s="569"/>
      <c r="AF21" s="569"/>
      <c r="AG21" s="507">
        <f>IF(J20="砂質",IF(X21&lt;0,0,X21), IF(X21&gt;AA21,X21,AA21))</f>
        <v>44.368000000000002</v>
      </c>
      <c r="AH21" s="507"/>
      <c r="AI21" s="542"/>
      <c r="AJ21" s="14"/>
      <c r="AK21" s="12"/>
      <c r="AL21" s="12"/>
    </row>
    <row r="22" spans="2:38" s="205" customFormat="1" ht="18.75" customHeight="1">
      <c r="B22" s="113"/>
      <c r="C22" s="239"/>
      <c r="D22" s="688" t="s">
        <v>49</v>
      </c>
      <c r="E22" s="689"/>
      <c r="F22" s="452" t="s">
        <v>170</v>
      </c>
      <c r="G22" s="454"/>
      <c r="H22" s="692" t="s">
        <v>151</v>
      </c>
      <c r="I22" s="693"/>
      <c r="J22" s="514" t="str">
        <f>'1.設計条件'!H25</f>
        <v>砂質</v>
      </c>
      <c r="K22" s="617"/>
      <c r="L22" s="491">
        <f>ROUND(TAN(RADIANS(45-'1.設計条件'!AB25/2))^2,3)</f>
        <v>0.22800000000000001</v>
      </c>
      <c r="M22" s="492"/>
      <c r="N22" s="492"/>
      <c r="O22" s="491">
        <f>IF('1.設計条件'!L25="-",'1.設計条件'!P25,'1.設計条件'!X25)</f>
        <v>19</v>
      </c>
      <c r="P22" s="602"/>
      <c r="Q22" s="504">
        <f>Q21</f>
        <v>118</v>
      </c>
      <c r="R22" s="505"/>
      <c r="S22" s="505"/>
      <c r="T22" s="483">
        <f>'1.設計条件'!AF25</f>
        <v>62</v>
      </c>
      <c r="U22" s="484"/>
      <c r="V22" s="514">
        <f>2*T22*SQRT(L22)</f>
        <v>59.209188476114079</v>
      </c>
      <c r="W22" s="515"/>
      <c r="X22" s="504">
        <f>L22*Q22-V22</f>
        <v>-32.305188476114083</v>
      </c>
      <c r="Y22" s="505"/>
      <c r="Z22" s="550"/>
      <c r="AA22" s="504">
        <f>AA21</f>
        <v>32.4</v>
      </c>
      <c r="AB22" s="505"/>
      <c r="AC22" s="550"/>
      <c r="AD22" s="552" t="s">
        <v>180</v>
      </c>
      <c r="AE22" s="553"/>
      <c r="AF22" s="553"/>
      <c r="AG22" s="505">
        <f>IF(J22="砂質",IF(X22&lt;0, 0,X22), IF(X22&gt;AA22,X22,AA22))</f>
        <v>0</v>
      </c>
      <c r="AH22" s="505"/>
      <c r="AI22" s="550"/>
      <c r="AJ22" s="240"/>
      <c r="AK22" s="113"/>
      <c r="AL22" s="113"/>
    </row>
    <row r="23" spans="2:38" s="205" customFormat="1">
      <c r="B23" s="113"/>
      <c r="C23" s="239"/>
      <c r="D23" s="690"/>
      <c r="E23" s="691"/>
      <c r="F23" s="432" t="s">
        <v>172</v>
      </c>
      <c r="G23" s="434"/>
      <c r="H23" s="631"/>
      <c r="I23" s="632"/>
      <c r="J23" s="516"/>
      <c r="K23" s="664"/>
      <c r="L23" s="493"/>
      <c r="M23" s="494"/>
      <c r="N23" s="494"/>
      <c r="O23" s="493"/>
      <c r="P23" s="603"/>
      <c r="Q23" s="506"/>
      <c r="R23" s="507"/>
      <c r="S23" s="507"/>
      <c r="T23" s="485"/>
      <c r="U23" s="486"/>
      <c r="V23" s="516"/>
      <c r="W23" s="517"/>
      <c r="X23" s="506">
        <f>L22*Q23-V22</f>
        <v>-59.209188476114079</v>
      </c>
      <c r="Y23" s="507"/>
      <c r="Z23" s="542"/>
      <c r="AA23" s="506"/>
      <c r="AB23" s="507"/>
      <c r="AC23" s="542"/>
      <c r="AD23" s="568" t="s">
        <v>181</v>
      </c>
      <c r="AE23" s="569"/>
      <c r="AF23" s="569"/>
      <c r="AG23" s="507">
        <f>IF(J22="砂質",IF(X23&lt;0,0,X23), IF(X23&gt;AA23,X23,AA23))</f>
        <v>0</v>
      </c>
      <c r="AH23" s="507"/>
      <c r="AI23" s="542"/>
      <c r="AJ23" s="240"/>
      <c r="AK23" s="113"/>
      <c r="AL23" s="113"/>
    </row>
    <row r="24" spans="2:38">
      <c r="B24" s="12"/>
      <c r="C24" s="11"/>
      <c r="D24" s="94"/>
      <c r="E24" s="93"/>
      <c r="F24" s="93"/>
      <c r="G24" s="93"/>
      <c r="H24" s="93"/>
      <c r="I24" s="93"/>
      <c r="J24" s="91"/>
      <c r="K24" s="91"/>
      <c r="L24" s="91"/>
      <c r="M24" s="91"/>
      <c r="N24" s="91"/>
      <c r="O24" s="92"/>
      <c r="P24" s="92"/>
      <c r="Q24" s="92"/>
      <c r="R24" s="92"/>
      <c r="S24" s="91"/>
      <c r="T24" s="91"/>
      <c r="U24" s="93"/>
      <c r="V24" s="93"/>
      <c r="W24" s="93"/>
      <c r="X24" s="78"/>
      <c r="Y24" s="78"/>
      <c r="Z24" s="78"/>
      <c r="AA24"/>
      <c r="AB24" s="95"/>
      <c r="AC24" s="96"/>
      <c r="AD24" s="93"/>
      <c r="AE24" s="93"/>
      <c r="AF24" s="12"/>
      <c r="AG24" s="12"/>
      <c r="AH24" s="12"/>
      <c r="AI24" s="12"/>
      <c r="AJ24" s="14"/>
      <c r="AK24" s="12"/>
      <c r="AL24" s="12"/>
    </row>
    <row r="25" spans="2:38">
      <c r="B25" s="14"/>
      <c r="C25" s="12"/>
      <c r="D25" s="27"/>
      <c r="E25" s="27"/>
      <c r="F25" s="154"/>
      <c r="G25" s="154"/>
      <c r="H25" s="93"/>
      <c r="I25" s="78"/>
      <c r="J25" s="93"/>
      <c r="K25" s="78"/>
      <c r="L25" s="123"/>
      <c r="M25" s="123"/>
      <c r="N25" s="123"/>
      <c r="O25" s="93"/>
      <c r="P25" s="93"/>
      <c r="Q25" s="93"/>
      <c r="R25" s="12"/>
      <c r="S25" s="12"/>
      <c r="T25" s="12"/>
      <c r="U25" s="12"/>
      <c r="V25" s="12"/>
      <c r="W25" s="12"/>
      <c r="X25" s="12"/>
      <c r="Y25" s="12"/>
      <c r="Z25" s="12"/>
      <c r="AA25" s="12"/>
      <c r="AB25" s="12"/>
      <c r="AC25" s="12"/>
      <c r="AD25" s="12"/>
      <c r="AE25" s="12"/>
      <c r="AF25" s="12"/>
      <c r="AG25" s="12"/>
      <c r="AH25" s="12"/>
      <c r="AI25" s="12"/>
      <c r="AJ25" s="14"/>
      <c r="AK25" s="12"/>
      <c r="AL25" s="12"/>
    </row>
    <row r="26" spans="2:38">
      <c r="B26" s="12"/>
      <c r="C26" s="11"/>
      <c r="D26" s="12"/>
      <c r="E26" s="12"/>
      <c r="F26" s="12"/>
      <c r="G26"/>
      <c r="H26" s="455" t="s">
        <v>159</v>
      </c>
      <c r="I26" s="457"/>
      <c r="J26" s="455" t="s">
        <v>26</v>
      </c>
      <c r="K26" s="457"/>
      <c r="L26" s="456" t="s">
        <v>28</v>
      </c>
      <c r="M26" s="457"/>
      <c r="N26" s="455" t="s">
        <v>163</v>
      </c>
      <c r="O26" s="456"/>
      <c r="P26" s="456"/>
      <c r="Q26" s="456"/>
      <c r="R26" s="456"/>
      <c r="S26" s="457"/>
      <c r="T26" s="455" t="s">
        <v>182</v>
      </c>
      <c r="U26" s="456"/>
      <c r="V26" s="456"/>
      <c r="W26" s="455" t="s">
        <v>183</v>
      </c>
      <c r="X26" s="456"/>
      <c r="Y26" s="456"/>
      <c r="Z26" s="456"/>
      <c r="AA26" s="456"/>
      <c r="AB26" s="457"/>
      <c r="AC26" s="12"/>
      <c r="AJ26" s="14"/>
      <c r="AK26" s="12"/>
      <c r="AL26" s="12"/>
    </row>
    <row r="27" spans="2:38">
      <c r="B27" s="12"/>
      <c r="C27" s="11"/>
      <c r="D27" s="12"/>
      <c r="E27" s="12"/>
      <c r="F27" s="12"/>
      <c r="G27"/>
      <c r="H27" s="438" t="s">
        <v>34</v>
      </c>
      <c r="I27" s="439"/>
      <c r="J27" s="440"/>
      <c r="K27" s="463"/>
      <c r="L27" s="441"/>
      <c r="M27" s="463"/>
      <c r="N27" s="438" t="s">
        <v>169</v>
      </c>
      <c r="O27" s="371"/>
      <c r="P27" s="371"/>
      <c r="Q27" s="371"/>
      <c r="R27" s="371"/>
      <c r="S27" s="439"/>
      <c r="T27" s="623" t="s">
        <v>184</v>
      </c>
      <c r="U27" s="427"/>
      <c r="V27" s="427"/>
      <c r="W27" s="438" t="s">
        <v>185</v>
      </c>
      <c r="X27" s="371"/>
      <c r="Y27" s="371"/>
      <c r="Z27" s="371"/>
      <c r="AA27" s="371"/>
      <c r="AB27" s="439"/>
      <c r="AC27" s="12"/>
      <c r="AJ27" s="14"/>
      <c r="AK27" s="12"/>
      <c r="AL27" s="12"/>
    </row>
    <row r="28" spans="2:38" ht="20.25">
      <c r="B28" s="12"/>
      <c r="C28" s="11"/>
      <c r="D28" s="12"/>
      <c r="E28" s="12"/>
      <c r="F28" s="12"/>
      <c r="G28"/>
      <c r="H28" s="501" t="s">
        <v>40</v>
      </c>
      <c r="I28" s="503"/>
      <c r="J28" s="501"/>
      <c r="K28" s="503"/>
      <c r="L28" s="433"/>
      <c r="M28" s="434"/>
      <c r="N28" s="501" t="s">
        <v>44</v>
      </c>
      <c r="O28" s="502"/>
      <c r="P28" s="502"/>
      <c r="Q28" s="502"/>
      <c r="R28" s="502"/>
      <c r="S28" s="503"/>
      <c r="T28" s="432" t="s">
        <v>40</v>
      </c>
      <c r="U28" s="433"/>
      <c r="V28" s="433"/>
      <c r="W28" s="501" t="s">
        <v>186</v>
      </c>
      <c r="X28" s="502"/>
      <c r="Y28" s="502"/>
      <c r="Z28" s="502"/>
      <c r="AA28" s="502"/>
      <c r="AB28" s="503"/>
      <c r="AC28" s="12"/>
      <c r="AJ28" s="14"/>
      <c r="AK28" s="12"/>
      <c r="AL28" s="12"/>
    </row>
    <row r="29" spans="2:38">
      <c r="B29" s="12"/>
      <c r="C29" s="11"/>
      <c r="D29" s="599" t="s">
        <v>45</v>
      </c>
      <c r="E29" s="599"/>
      <c r="F29" s="452" t="s">
        <v>170</v>
      </c>
      <c r="G29" s="454"/>
      <c r="H29" s="514">
        <f>H16</f>
        <v>1</v>
      </c>
      <c r="I29" s="617"/>
      <c r="J29" s="491" t="str">
        <f>J16</f>
        <v>砂質</v>
      </c>
      <c r="K29" s="602"/>
      <c r="L29" s="491">
        <f>'1.設計条件'!N23</f>
        <v>10</v>
      </c>
      <c r="M29" s="602"/>
      <c r="N29" s="552" t="s">
        <v>171</v>
      </c>
      <c r="O29" s="553"/>
      <c r="P29" s="553"/>
      <c r="Q29" s="604">
        <f t="shared" ref="Q29:Q36" si="0">AG16</f>
        <v>3.76</v>
      </c>
      <c r="R29" s="604"/>
      <c r="S29" s="605"/>
      <c r="T29" s="504">
        <f>'1.設計条件'!R$12</f>
        <v>1.5</v>
      </c>
      <c r="U29" s="505"/>
      <c r="V29" s="505"/>
      <c r="W29" s="552" t="s">
        <v>187</v>
      </c>
      <c r="X29" s="553"/>
      <c r="Y29" s="553"/>
      <c r="Z29" s="505">
        <f t="shared" ref="Z29:Z36" si="1">T29*Q29</f>
        <v>5.64</v>
      </c>
      <c r="AA29" s="505"/>
      <c r="AB29" s="550"/>
      <c r="AJ29" s="14"/>
      <c r="AK29" s="12"/>
      <c r="AL29" s="12"/>
    </row>
    <row r="30" spans="2:38">
      <c r="B30" s="12"/>
      <c r="C30" s="11"/>
      <c r="D30" s="599"/>
      <c r="E30" s="599"/>
      <c r="F30" s="432" t="s">
        <v>172</v>
      </c>
      <c r="G30" s="434"/>
      <c r="H30" s="516"/>
      <c r="I30" s="664"/>
      <c r="J30" s="493"/>
      <c r="K30" s="603"/>
      <c r="L30" s="493"/>
      <c r="M30" s="603"/>
      <c r="N30" s="566" t="s">
        <v>173</v>
      </c>
      <c r="O30" s="567"/>
      <c r="P30" s="567"/>
      <c r="Q30" s="555">
        <f t="shared" si="0"/>
        <v>10.528</v>
      </c>
      <c r="R30" s="555"/>
      <c r="S30" s="680"/>
      <c r="T30" s="506">
        <f>'1.設計条件'!R$12</f>
        <v>1.5</v>
      </c>
      <c r="U30" s="507"/>
      <c r="V30" s="507"/>
      <c r="W30" s="566" t="s">
        <v>188</v>
      </c>
      <c r="X30" s="567"/>
      <c r="Y30" s="567"/>
      <c r="Z30" s="548">
        <f t="shared" si="1"/>
        <v>15.792000000000002</v>
      </c>
      <c r="AA30" s="548"/>
      <c r="AB30" s="549"/>
      <c r="AJ30" s="14"/>
      <c r="AK30" s="12"/>
      <c r="AL30" s="12"/>
    </row>
    <row r="31" spans="2:38">
      <c r="B31" s="12"/>
      <c r="C31" s="11"/>
      <c r="D31" s="599" t="s">
        <v>174</v>
      </c>
      <c r="E31" s="599"/>
      <c r="F31" s="452" t="s">
        <v>170</v>
      </c>
      <c r="G31" s="454"/>
      <c r="H31" s="514">
        <f>H18</f>
        <v>3.8</v>
      </c>
      <c r="I31" s="617"/>
      <c r="J31" s="514" t="str">
        <f>J18</f>
        <v>砂質</v>
      </c>
      <c r="K31" s="617"/>
      <c r="L31" s="491">
        <f>'1.設計条件'!N24</f>
        <v>10</v>
      </c>
      <c r="M31" s="602"/>
      <c r="N31" s="552" t="s">
        <v>175</v>
      </c>
      <c r="O31" s="553"/>
      <c r="P31" s="553"/>
      <c r="Q31" s="604">
        <f t="shared" si="0"/>
        <v>10.528</v>
      </c>
      <c r="R31" s="604"/>
      <c r="S31" s="605"/>
      <c r="T31" s="504">
        <f>'1.設計条件'!R$12</f>
        <v>1.5</v>
      </c>
      <c r="U31" s="505"/>
      <c r="V31" s="505"/>
      <c r="W31" s="552" t="s">
        <v>189</v>
      </c>
      <c r="X31" s="553"/>
      <c r="Y31" s="553"/>
      <c r="Z31" s="505">
        <f t="shared" si="1"/>
        <v>15.792000000000002</v>
      </c>
      <c r="AA31" s="505"/>
      <c r="AB31" s="550"/>
      <c r="AJ31" s="14"/>
      <c r="AK31" s="12"/>
      <c r="AL31" s="12"/>
    </row>
    <row r="32" spans="2:38" ht="19.5" thickBot="1">
      <c r="B32" s="12"/>
      <c r="C32" s="11"/>
      <c r="D32" s="634"/>
      <c r="E32" s="634"/>
      <c r="F32" s="643" t="s">
        <v>172</v>
      </c>
      <c r="G32" s="644"/>
      <c r="H32" s="618"/>
      <c r="I32" s="619"/>
      <c r="J32" s="618"/>
      <c r="K32" s="619"/>
      <c r="L32" s="495"/>
      <c r="M32" s="620"/>
      <c r="N32" s="621" t="s">
        <v>176</v>
      </c>
      <c r="O32" s="622"/>
      <c r="P32" s="622"/>
      <c r="Q32" s="676">
        <f t="shared" si="0"/>
        <v>36.246399999999994</v>
      </c>
      <c r="R32" s="676"/>
      <c r="S32" s="677"/>
      <c r="T32" s="508">
        <f>'1.設計条件'!R$12</f>
        <v>1.5</v>
      </c>
      <c r="U32" s="509"/>
      <c r="V32" s="509"/>
      <c r="W32" s="621" t="s">
        <v>190</v>
      </c>
      <c r="X32" s="622"/>
      <c r="Y32" s="622"/>
      <c r="Z32" s="509">
        <f t="shared" si="1"/>
        <v>54.369599999999991</v>
      </c>
      <c r="AA32" s="509"/>
      <c r="AB32" s="570"/>
      <c r="AJ32" s="14"/>
      <c r="AK32" s="12"/>
      <c r="AL32" s="12"/>
    </row>
    <row r="33" spans="2:38" ht="19.5" thickTop="1">
      <c r="B33" s="12"/>
      <c r="C33" s="11"/>
      <c r="D33" s="633" t="s">
        <v>177</v>
      </c>
      <c r="E33" s="633"/>
      <c r="F33" s="635" t="s">
        <v>170</v>
      </c>
      <c r="G33" s="636"/>
      <c r="H33" s="694">
        <f>H20</f>
        <v>1.2000000000000002</v>
      </c>
      <c r="I33" s="695"/>
      <c r="J33" s="637" t="str">
        <f>J20</f>
        <v>砂質</v>
      </c>
      <c r="K33" s="638"/>
      <c r="L33" s="639">
        <f>'1.設計条件'!N24</f>
        <v>10</v>
      </c>
      <c r="M33" s="640"/>
      <c r="N33" s="566" t="s">
        <v>178</v>
      </c>
      <c r="O33" s="567"/>
      <c r="P33" s="567"/>
      <c r="Q33" s="555">
        <f t="shared" si="0"/>
        <v>36.246399999999994</v>
      </c>
      <c r="R33" s="555"/>
      <c r="S33" s="680"/>
      <c r="T33" s="624">
        <f>IF(L33&lt;=10, '1.設計条件'!T$34/1000, 2*'1.設計条件'!T$34/1000)</f>
        <v>0.3</v>
      </c>
      <c r="U33" s="548"/>
      <c r="V33" s="548"/>
      <c r="W33" s="566" t="s">
        <v>191</v>
      </c>
      <c r="X33" s="567"/>
      <c r="Y33" s="567"/>
      <c r="Z33" s="548">
        <f t="shared" si="1"/>
        <v>10.873919999999998</v>
      </c>
      <c r="AA33" s="548"/>
      <c r="AB33" s="549"/>
      <c r="AJ33" s="14"/>
      <c r="AK33" s="12"/>
      <c r="AL33" s="12"/>
    </row>
    <row r="34" spans="2:38">
      <c r="B34" s="12"/>
      <c r="C34" s="11"/>
      <c r="D34" s="599"/>
      <c r="E34" s="599"/>
      <c r="F34" s="432" t="s">
        <v>172</v>
      </c>
      <c r="G34" s="434"/>
      <c r="H34" s="683"/>
      <c r="I34" s="684"/>
      <c r="J34" s="516"/>
      <c r="K34" s="664"/>
      <c r="L34" s="493"/>
      <c r="M34" s="603"/>
      <c r="N34" s="568" t="s">
        <v>179</v>
      </c>
      <c r="O34" s="569"/>
      <c r="P34" s="569"/>
      <c r="Q34" s="555">
        <f t="shared" si="0"/>
        <v>44.368000000000002</v>
      </c>
      <c r="R34" s="555"/>
      <c r="S34" s="680"/>
      <c r="T34" s="506">
        <f>IF(L33&lt;=10, '1.設計条件'!T$34/1000, 2*'1.設計条件'!T$34/1000)</f>
        <v>0.3</v>
      </c>
      <c r="U34" s="507"/>
      <c r="V34" s="507"/>
      <c r="W34" s="568" t="s">
        <v>192</v>
      </c>
      <c r="X34" s="569"/>
      <c r="Y34" s="569"/>
      <c r="Z34" s="548">
        <f t="shared" si="1"/>
        <v>13.3104</v>
      </c>
      <c r="AA34" s="548"/>
      <c r="AB34" s="549"/>
      <c r="AJ34" s="14"/>
      <c r="AK34" s="12"/>
      <c r="AL34" s="12"/>
    </row>
    <row r="35" spans="2:38">
      <c r="B35" s="12"/>
      <c r="C35" s="11"/>
      <c r="D35" s="633" t="s">
        <v>49</v>
      </c>
      <c r="E35" s="633"/>
      <c r="F35" s="635" t="s">
        <v>170</v>
      </c>
      <c r="G35" s="636"/>
      <c r="H35" s="692" t="s">
        <v>151</v>
      </c>
      <c r="I35" s="693"/>
      <c r="J35" s="637" t="str">
        <f>J22</f>
        <v>砂質</v>
      </c>
      <c r="K35" s="638"/>
      <c r="L35" s="639">
        <f>'1.設計条件'!N25</f>
        <v>75</v>
      </c>
      <c r="M35" s="640"/>
      <c r="N35" s="566" t="s">
        <v>180</v>
      </c>
      <c r="O35" s="567"/>
      <c r="P35" s="567"/>
      <c r="Q35" s="604">
        <f t="shared" si="0"/>
        <v>0</v>
      </c>
      <c r="R35" s="604"/>
      <c r="S35" s="605"/>
      <c r="T35" s="504">
        <f>IF(L35&lt;=10, '1.設計条件'!T$34/1000, 2*'1.設計条件'!T$34/1000)</f>
        <v>0.6</v>
      </c>
      <c r="U35" s="505"/>
      <c r="V35" s="505"/>
      <c r="W35" s="566" t="s">
        <v>193</v>
      </c>
      <c r="X35" s="567"/>
      <c r="Y35" s="567"/>
      <c r="Z35" s="505">
        <f t="shared" si="1"/>
        <v>0</v>
      </c>
      <c r="AA35" s="505"/>
      <c r="AB35" s="550"/>
      <c r="AJ35" s="14"/>
      <c r="AK35" s="12"/>
      <c r="AL35" s="12"/>
    </row>
    <row r="36" spans="2:38">
      <c r="B36" s="12"/>
      <c r="C36" s="11"/>
      <c r="D36" s="599"/>
      <c r="E36" s="599"/>
      <c r="F36" s="432" t="s">
        <v>172</v>
      </c>
      <c r="G36" s="434"/>
      <c r="H36" s="631"/>
      <c r="I36" s="632"/>
      <c r="J36" s="516"/>
      <c r="K36" s="664"/>
      <c r="L36" s="493"/>
      <c r="M36" s="603"/>
      <c r="N36" s="568" t="s">
        <v>181</v>
      </c>
      <c r="O36" s="569"/>
      <c r="P36" s="569"/>
      <c r="Q36" s="556">
        <f t="shared" si="0"/>
        <v>0</v>
      </c>
      <c r="R36" s="556"/>
      <c r="S36" s="572"/>
      <c r="T36" s="506">
        <f>IF(L35&lt;=10, '1.設計条件'!T$34/1000, 2*'1.設計条件'!T$34/1000)</f>
        <v>0.6</v>
      </c>
      <c r="U36" s="507"/>
      <c r="V36" s="507"/>
      <c r="W36" s="568" t="s">
        <v>194</v>
      </c>
      <c r="X36" s="569"/>
      <c r="Y36" s="569"/>
      <c r="Z36" s="507">
        <f t="shared" si="1"/>
        <v>0</v>
      </c>
      <c r="AA36" s="507"/>
      <c r="AB36" s="542"/>
      <c r="AJ36" s="14"/>
      <c r="AK36" s="12"/>
      <c r="AL36" s="12"/>
    </row>
    <row r="37" spans="2:38">
      <c r="B37" s="12"/>
      <c r="C37" s="11"/>
      <c r="D37" s="94"/>
      <c r="E37" s="93"/>
      <c r="F37" s="93"/>
      <c r="G37" s="93"/>
      <c r="H37" s="93"/>
      <c r="I37" s="93"/>
      <c r="J37" s="91"/>
      <c r="K37" s="91"/>
      <c r="L37" s="91"/>
      <c r="M37" s="91"/>
      <c r="N37" s="91"/>
      <c r="O37" s="92"/>
      <c r="P37" s="92"/>
      <c r="Q37" s="92"/>
      <c r="R37" s="92"/>
      <c r="S37" s="91"/>
      <c r="T37" s="91"/>
      <c r="U37" s="93"/>
      <c r="V37" s="93"/>
      <c r="W37" s="93"/>
      <c r="X37" s="78"/>
      <c r="Y37" s="78"/>
      <c r="Z37" s="78"/>
      <c r="AA37"/>
      <c r="AB37" s="95"/>
      <c r="AC37" s="96"/>
      <c r="AD37" s="93"/>
      <c r="AE37" s="93"/>
      <c r="AF37" s="12"/>
      <c r="AG37" s="12"/>
      <c r="AH37" s="12"/>
      <c r="AI37" s="12"/>
      <c r="AJ37" s="14"/>
      <c r="AK37" s="12"/>
      <c r="AL37" s="12"/>
    </row>
    <row r="38" spans="2:38" s="205" customFormat="1">
      <c r="B38" s="240"/>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240"/>
      <c r="AK38" s="113"/>
      <c r="AL38" s="113"/>
    </row>
    <row r="39" spans="2:38" s="205" customFormat="1">
      <c r="B39" s="113"/>
      <c r="C39" s="239" t="s">
        <v>195</v>
      </c>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t="s">
        <v>196</v>
      </c>
      <c r="AB39" s="113"/>
      <c r="AC39" s="113"/>
      <c r="AD39" s="113"/>
      <c r="AE39" s="113"/>
      <c r="AF39" s="113"/>
      <c r="AG39" s="113"/>
      <c r="AH39" s="113"/>
      <c r="AI39" s="113"/>
      <c r="AJ39" s="240"/>
      <c r="AK39" s="113"/>
      <c r="AL39" s="113"/>
    </row>
    <row r="40" spans="2:38">
      <c r="B40" s="12"/>
      <c r="C40" s="11"/>
      <c r="D40" s="12"/>
      <c r="E40" s="12"/>
      <c r="F40" s="12"/>
      <c r="G40"/>
      <c r="H40" s="455" t="s">
        <v>159</v>
      </c>
      <c r="I40" s="457"/>
      <c r="J40" s="455" t="s">
        <v>26</v>
      </c>
      <c r="K40" s="457"/>
      <c r="L40" s="452" t="s">
        <v>197</v>
      </c>
      <c r="M40" s="453"/>
      <c r="N40" s="453"/>
      <c r="O40" s="454"/>
      <c r="P40" s="455"/>
      <c r="Q40" s="457"/>
      <c r="R40" s="455"/>
      <c r="S40" s="456"/>
      <c r="T40" s="456"/>
      <c r="U40" s="455"/>
      <c r="V40" s="457"/>
      <c r="W40" s="455"/>
      <c r="X40" s="456"/>
      <c r="Y40" s="457"/>
      <c r="Z40" s="668" t="s">
        <v>198</v>
      </c>
      <c r="AA40" s="669"/>
      <c r="AB40" s="670"/>
      <c r="AC40" s="455" t="s">
        <v>199</v>
      </c>
      <c r="AD40" s="456"/>
      <c r="AE40" s="456"/>
      <c r="AF40" s="456"/>
      <c r="AG40" s="456"/>
      <c r="AH40" s="457"/>
      <c r="AI40" s="12"/>
      <c r="AJ40" s="14"/>
      <c r="AK40" s="12"/>
    </row>
    <row r="41" spans="2:38" ht="20.25">
      <c r="B41" s="12"/>
      <c r="C41" s="11"/>
      <c r="D41" s="12"/>
      <c r="E41" s="12"/>
      <c r="F41" s="12"/>
      <c r="G41"/>
      <c r="H41" s="438" t="s">
        <v>200</v>
      </c>
      <c r="I41" s="439"/>
      <c r="J41" s="440"/>
      <c r="K41" s="463"/>
      <c r="L41" s="438" t="s">
        <v>201</v>
      </c>
      <c r="M41" s="371"/>
      <c r="N41" s="371"/>
      <c r="O41" s="439"/>
      <c r="P41" s="435" t="s">
        <v>35</v>
      </c>
      <c r="Q41" s="437"/>
      <c r="R41" s="616" t="s">
        <v>202</v>
      </c>
      <c r="S41" s="371"/>
      <c r="T41" s="439"/>
      <c r="U41" s="512" t="s">
        <v>39</v>
      </c>
      <c r="V41" s="513"/>
      <c r="W41" s="438" t="s">
        <v>203</v>
      </c>
      <c r="X41" s="371"/>
      <c r="Y41" s="439"/>
      <c r="Z41" s="438" t="s">
        <v>203</v>
      </c>
      <c r="AA41" s="371"/>
      <c r="AB41" s="439"/>
      <c r="AC41" s="606" t="s">
        <v>204</v>
      </c>
      <c r="AD41" s="607"/>
      <c r="AE41" s="607"/>
      <c r="AF41" s="607"/>
      <c r="AG41" s="607"/>
      <c r="AH41" s="608"/>
      <c r="AI41" s="12"/>
      <c r="AJ41" s="14"/>
      <c r="AK41" s="12"/>
    </row>
    <row r="42" spans="2:38" ht="20.25">
      <c r="B42" s="12"/>
      <c r="C42" s="11"/>
      <c r="D42" s="12"/>
      <c r="E42" s="12"/>
      <c r="F42" s="12"/>
      <c r="G42"/>
      <c r="H42" s="501" t="s">
        <v>40</v>
      </c>
      <c r="I42" s="503"/>
      <c r="J42" s="501"/>
      <c r="K42" s="503"/>
      <c r="L42" s="501"/>
      <c r="M42" s="502"/>
      <c r="N42" s="502"/>
      <c r="O42" s="503"/>
      <c r="P42" s="432" t="s">
        <v>41</v>
      </c>
      <c r="Q42" s="434"/>
      <c r="R42" s="432" t="s">
        <v>44</v>
      </c>
      <c r="S42" s="433"/>
      <c r="T42" s="433"/>
      <c r="U42" s="432" t="s">
        <v>44</v>
      </c>
      <c r="V42" s="433"/>
      <c r="W42" s="432" t="s">
        <v>44</v>
      </c>
      <c r="X42" s="433"/>
      <c r="Y42" s="434"/>
      <c r="Z42" s="432" t="s">
        <v>44</v>
      </c>
      <c r="AA42" s="433"/>
      <c r="AB42" s="433"/>
      <c r="AC42" s="501" t="s">
        <v>44</v>
      </c>
      <c r="AD42" s="502"/>
      <c r="AE42" s="502"/>
      <c r="AF42" s="502"/>
      <c r="AG42" s="502"/>
      <c r="AH42" s="503"/>
      <c r="AI42" s="12"/>
      <c r="AJ42" s="14"/>
      <c r="AK42" s="12"/>
    </row>
    <row r="43" spans="2:38">
      <c r="B43" s="12"/>
      <c r="C43" s="11"/>
      <c r="D43" s="713" t="s">
        <v>177</v>
      </c>
      <c r="E43" s="713"/>
      <c r="F43" s="452" t="s">
        <v>170</v>
      </c>
      <c r="G43" s="454"/>
      <c r="H43" s="629">
        <f>H20</f>
        <v>1.2000000000000002</v>
      </c>
      <c r="I43" s="630"/>
      <c r="J43" s="514" t="str">
        <f>J20</f>
        <v>砂質</v>
      </c>
      <c r="K43" s="602"/>
      <c r="L43" s="514">
        <f>ROUND(TAN(RADIANS(45+'1.設計条件'!AB24/2))^2,3)</f>
        <v>2.6629999999999998</v>
      </c>
      <c r="M43" s="515"/>
      <c r="N43" s="515"/>
      <c r="O43" s="617"/>
      <c r="P43" s="491">
        <f>IF('1.設計条件'!L24="-",'1.設計条件'!P24,'1.設計条件'!X24)</f>
        <v>18</v>
      </c>
      <c r="Q43" s="602"/>
      <c r="R43" s="504">
        <v>0</v>
      </c>
      <c r="S43" s="505"/>
      <c r="T43" s="505"/>
      <c r="U43" s="483">
        <f>'1.設計条件'!AF24</f>
        <v>0</v>
      </c>
      <c r="V43" s="484"/>
      <c r="W43" s="491">
        <f>2*U43*SQRT(L43)</f>
        <v>0</v>
      </c>
      <c r="X43" s="492"/>
      <c r="Y43" s="602"/>
      <c r="Z43" s="504">
        <f>L43*R43+W43</f>
        <v>0</v>
      </c>
      <c r="AA43" s="505"/>
      <c r="AB43" s="505"/>
      <c r="AC43" s="552" t="s">
        <v>205</v>
      </c>
      <c r="AD43" s="553"/>
      <c r="AE43" s="553"/>
      <c r="AF43" s="604">
        <f>Z43</f>
        <v>0</v>
      </c>
      <c r="AG43" s="604"/>
      <c r="AH43" s="605"/>
      <c r="AI43" s="12"/>
      <c r="AJ43" s="14"/>
      <c r="AK43" s="12"/>
    </row>
    <row r="44" spans="2:38">
      <c r="B44" s="12"/>
      <c r="C44" s="11"/>
      <c r="D44" s="713"/>
      <c r="E44" s="713"/>
      <c r="F44" s="432" t="s">
        <v>172</v>
      </c>
      <c r="G44" s="434"/>
      <c r="H44" s="631"/>
      <c r="I44" s="632"/>
      <c r="J44" s="493"/>
      <c r="K44" s="603"/>
      <c r="L44" s="516"/>
      <c r="M44" s="517"/>
      <c r="N44" s="517"/>
      <c r="O44" s="664"/>
      <c r="P44" s="493"/>
      <c r="Q44" s="603"/>
      <c r="R44" s="506">
        <f>H43*P43</f>
        <v>21.6</v>
      </c>
      <c r="S44" s="507"/>
      <c r="T44" s="507"/>
      <c r="U44" s="485"/>
      <c r="V44" s="486"/>
      <c r="W44" s="493"/>
      <c r="X44" s="494"/>
      <c r="Y44" s="603"/>
      <c r="Z44" s="506">
        <f>L43*R44+W43</f>
        <v>57.520800000000001</v>
      </c>
      <c r="AA44" s="507"/>
      <c r="AB44" s="507"/>
      <c r="AC44" s="568" t="s">
        <v>206</v>
      </c>
      <c r="AD44" s="569"/>
      <c r="AE44" s="569"/>
      <c r="AF44" s="657">
        <f>Z44</f>
        <v>57.520800000000001</v>
      </c>
      <c r="AG44" s="657"/>
      <c r="AH44" s="680"/>
      <c r="AI44" s="12"/>
      <c r="AJ44" s="14"/>
      <c r="AK44" s="12"/>
    </row>
    <row r="45" spans="2:38">
      <c r="B45" s="12"/>
      <c r="C45" s="11"/>
      <c r="D45" s="599" t="s">
        <v>49</v>
      </c>
      <c r="E45" s="599"/>
      <c r="F45" s="452" t="s">
        <v>170</v>
      </c>
      <c r="G45" s="454"/>
      <c r="H45" s="629" t="s">
        <v>151</v>
      </c>
      <c r="I45" s="630"/>
      <c r="J45" s="514" t="str">
        <f>J22</f>
        <v>砂質</v>
      </c>
      <c r="K45" s="602"/>
      <c r="L45" s="514">
        <f>ROUND(TAN(RADIANS(45+'1.設計条件'!AB25/2))^2,3)</f>
        <v>4.3949999999999996</v>
      </c>
      <c r="M45" s="515"/>
      <c r="N45" s="515"/>
      <c r="O45" s="617"/>
      <c r="P45" s="491">
        <f>IF('1.設計条件'!L25="-",'1.設計条件'!P25,'1.設計条件'!X25)</f>
        <v>19</v>
      </c>
      <c r="Q45" s="602"/>
      <c r="R45" s="504">
        <f>R44</f>
        <v>21.6</v>
      </c>
      <c r="S45" s="505"/>
      <c r="T45" s="505"/>
      <c r="U45" s="483">
        <f>'1.設計条件'!AF25</f>
        <v>62</v>
      </c>
      <c r="V45" s="484"/>
      <c r="W45" s="514">
        <f>2*U45*SQRT(L45)</f>
        <v>259.95676563613415</v>
      </c>
      <c r="X45" s="515"/>
      <c r="Y45" s="617"/>
      <c r="Z45" s="504">
        <f>L45*R45+W45</f>
        <v>354.88876563613417</v>
      </c>
      <c r="AA45" s="505"/>
      <c r="AB45" s="505"/>
      <c r="AC45" s="552" t="s">
        <v>207</v>
      </c>
      <c r="AD45" s="553"/>
      <c r="AE45" s="553"/>
      <c r="AF45" s="604">
        <f>Z45</f>
        <v>354.88876563613417</v>
      </c>
      <c r="AG45" s="604"/>
      <c r="AH45" s="605"/>
      <c r="AI45" s="12"/>
      <c r="AJ45" s="14"/>
      <c r="AK45" s="12"/>
    </row>
    <row r="46" spans="2:38">
      <c r="B46" s="12"/>
      <c r="C46" s="11"/>
      <c r="D46" s="599"/>
      <c r="E46" s="599"/>
      <c r="F46" s="432" t="s">
        <v>172</v>
      </c>
      <c r="G46" s="434"/>
      <c r="H46" s="631"/>
      <c r="I46" s="632"/>
      <c r="J46" s="493"/>
      <c r="K46" s="603"/>
      <c r="L46" s="516"/>
      <c r="M46" s="517"/>
      <c r="N46" s="517"/>
      <c r="O46" s="664"/>
      <c r="P46" s="493"/>
      <c r="Q46" s="603"/>
      <c r="R46" s="506"/>
      <c r="S46" s="507"/>
      <c r="T46" s="507"/>
      <c r="U46" s="485"/>
      <c r="V46" s="486"/>
      <c r="W46" s="516"/>
      <c r="X46" s="517"/>
      <c r="Y46" s="664"/>
      <c r="Z46" s="506"/>
      <c r="AA46" s="507"/>
      <c r="AB46" s="507"/>
      <c r="AC46" s="568" t="s">
        <v>208</v>
      </c>
      <c r="AD46" s="569"/>
      <c r="AE46" s="569"/>
      <c r="AF46" s="556" t="s">
        <v>209</v>
      </c>
      <c r="AG46" s="556"/>
      <c r="AH46" s="572"/>
      <c r="AI46" s="12"/>
      <c r="AJ46" s="14"/>
      <c r="AK46" s="12"/>
    </row>
    <row r="47" spans="2:38">
      <c r="B47" s="12"/>
      <c r="C47" s="11"/>
      <c r="D47" s="94"/>
      <c r="E47" s="93"/>
      <c r="F47" s="93"/>
      <c r="G47" s="93"/>
      <c r="H47" s="93"/>
      <c r="I47" s="93"/>
      <c r="J47" s="91"/>
      <c r="K47" s="91"/>
      <c r="L47" s="91"/>
      <c r="M47" s="91"/>
      <c r="N47" s="91"/>
      <c r="O47" s="92"/>
      <c r="P47" s="92"/>
      <c r="Q47" s="92"/>
      <c r="R47" s="92"/>
      <c r="S47" s="91"/>
      <c r="T47" s="91"/>
      <c r="U47" s="93"/>
      <c r="V47" s="93"/>
      <c r="W47" s="93"/>
      <c r="X47" s="78"/>
      <c r="Y47" s="78"/>
      <c r="Z47" s="78"/>
      <c r="AA47"/>
      <c r="AB47" s="95"/>
      <c r="AC47" s="96"/>
      <c r="AD47" s="93"/>
      <c r="AE47" s="93"/>
      <c r="AF47" s="12"/>
      <c r="AG47" s="12"/>
      <c r="AH47" s="12"/>
      <c r="AI47" s="12"/>
      <c r="AJ47" s="14"/>
      <c r="AK47" s="12"/>
      <c r="AL47" s="12"/>
    </row>
    <row r="48" spans="2:38">
      <c r="B48" s="12"/>
      <c r="C48" s="11"/>
      <c r="D48" s="591" t="s">
        <v>210</v>
      </c>
      <c r="E48" s="591"/>
      <c r="F48" s="591"/>
      <c r="G48" s="699" t="s">
        <v>211</v>
      </c>
      <c r="H48" s="699"/>
      <c r="I48" s="699"/>
      <c r="J48" s="699"/>
      <c r="K48" s="696" t="s">
        <v>212</v>
      </c>
      <c r="L48" s="696"/>
      <c r="M48" s="97" t="s">
        <v>213</v>
      </c>
      <c r="N48" s="33" t="s">
        <v>214</v>
      </c>
      <c r="R48" s="12"/>
      <c r="S48" s="78"/>
      <c r="U48" s="93"/>
      <c r="V48" s="93"/>
      <c r="W48" s="93"/>
      <c r="X48" s="78"/>
      <c r="Y48" s="78"/>
      <c r="Z48" s="78"/>
      <c r="AA48"/>
      <c r="AB48" s="95"/>
      <c r="AC48" s="96"/>
      <c r="AD48" s="93"/>
      <c r="AE48" s="93"/>
      <c r="AF48" s="12"/>
      <c r="AG48" s="12"/>
      <c r="AH48" s="12"/>
      <c r="AI48" s="12"/>
      <c r="AJ48" s="14"/>
      <c r="AK48" s="12"/>
      <c r="AL48" s="12"/>
    </row>
    <row r="49" spans="2:38">
      <c r="B49" s="12"/>
      <c r="C49" s="11"/>
      <c r="D49" s="591" t="s">
        <v>8</v>
      </c>
      <c r="E49" s="591"/>
      <c r="F49" s="591"/>
      <c r="G49" s="697">
        <f>L45</f>
        <v>4.3949999999999996</v>
      </c>
      <c r="H49" s="698"/>
      <c r="I49" s="698"/>
      <c r="J49" s="1" t="s">
        <v>215</v>
      </c>
      <c r="K49" s="1" t="s">
        <v>216</v>
      </c>
      <c r="L49" s="574">
        <f>P45</f>
        <v>19</v>
      </c>
      <c r="M49" s="574"/>
      <c r="N49" s="539" t="s">
        <v>217</v>
      </c>
      <c r="O49" s="539"/>
      <c r="P49" s="98" t="s">
        <v>213</v>
      </c>
      <c r="Q49" s="548">
        <f>R45</f>
        <v>21.6</v>
      </c>
      <c r="R49" s="548"/>
      <c r="S49" s="548"/>
      <c r="T49" s="91" t="s">
        <v>218</v>
      </c>
      <c r="U49" s="93" t="s">
        <v>213</v>
      </c>
      <c r="V49" s="626">
        <f>W45</f>
        <v>259.95676563613415</v>
      </c>
      <c r="W49" s="626"/>
      <c r="X49" s="626"/>
      <c r="Y49" s="78"/>
      <c r="Z49" s="78"/>
      <c r="AA49"/>
      <c r="AB49" s="95"/>
      <c r="AC49" s="96"/>
      <c r="AD49" s="93"/>
      <c r="AE49" s="93"/>
      <c r="AF49" s="12"/>
      <c r="AG49" s="12"/>
      <c r="AH49" s="12"/>
      <c r="AI49" s="12"/>
      <c r="AJ49" s="14"/>
      <c r="AK49" s="12"/>
      <c r="AL49" s="12"/>
    </row>
    <row r="50" spans="2:38" ht="20.25">
      <c r="B50" s="12"/>
      <c r="C50" s="11"/>
      <c r="D50" s="591" t="s">
        <v>8</v>
      </c>
      <c r="E50" s="591"/>
      <c r="F50" s="591"/>
      <c r="G50" s="649">
        <f>G49*L49</f>
        <v>83.504999999999995</v>
      </c>
      <c r="H50" s="650"/>
      <c r="I50" s="651"/>
      <c r="J50" s="574" t="s">
        <v>219</v>
      </c>
      <c r="K50" s="574"/>
      <c r="L50" s="652">
        <f>G49*Q49+V49</f>
        <v>354.88876563613417</v>
      </c>
      <c r="M50" s="653"/>
      <c r="N50" s="653"/>
      <c r="O50" s="653"/>
      <c r="P50" s="653"/>
      <c r="Q50" s="654"/>
      <c r="R50" s="97" t="s">
        <v>44</v>
      </c>
      <c r="S50" s="78"/>
      <c r="T50" s="91"/>
      <c r="U50" s="93"/>
      <c r="V50" s="93"/>
      <c r="W50" s="93"/>
      <c r="X50" s="78"/>
      <c r="Y50" s="78"/>
      <c r="Z50" s="78"/>
      <c r="AA50"/>
      <c r="AB50" s="95"/>
      <c r="AC50" s="96"/>
      <c r="AD50" s="93"/>
      <c r="AE50" s="93"/>
      <c r="AF50" s="12"/>
      <c r="AG50" s="12"/>
      <c r="AH50" s="12"/>
      <c r="AI50" s="12"/>
      <c r="AJ50" s="14"/>
      <c r="AK50" s="12"/>
      <c r="AL50" s="12"/>
    </row>
    <row r="51" spans="2:38">
      <c r="B51" s="12"/>
      <c r="C51" s="12"/>
      <c r="D51" s="314"/>
      <c r="E51" s="314"/>
      <c r="F51" s="314"/>
      <c r="G51" s="321"/>
      <c r="H51" s="321"/>
      <c r="I51" s="321"/>
      <c r="J51" s="91"/>
      <c r="K51" s="91"/>
      <c r="L51" s="352"/>
      <c r="M51" s="352"/>
      <c r="N51" s="352"/>
      <c r="O51" s="352"/>
      <c r="P51" s="352"/>
      <c r="Q51" s="352"/>
      <c r="R51" s="97"/>
      <c r="S51" s="78"/>
      <c r="T51" s="91"/>
      <c r="U51" s="93"/>
      <c r="V51" s="93"/>
      <c r="W51" s="93"/>
      <c r="X51" s="78"/>
      <c r="Y51" s="78"/>
      <c r="Z51" s="78"/>
      <c r="AA51"/>
      <c r="AB51" s="95"/>
      <c r="AC51" s="96"/>
      <c r="AD51" s="93"/>
      <c r="AE51" s="93"/>
      <c r="AF51" s="12"/>
      <c r="AG51" s="12"/>
      <c r="AH51" s="12"/>
      <c r="AI51" s="12"/>
      <c r="AJ51" s="14"/>
      <c r="AK51" s="12"/>
      <c r="AL51" s="12"/>
    </row>
    <row r="52" spans="2:38" s="205" customFormat="1">
      <c r="B52" s="240"/>
      <c r="C52" s="113"/>
      <c r="D52" s="191"/>
      <c r="E52" s="191"/>
      <c r="F52" s="154"/>
      <c r="G52" s="154"/>
      <c r="H52" s="93"/>
      <c r="I52" s="78"/>
      <c r="J52" s="93"/>
      <c r="K52" s="78"/>
      <c r="L52" s="123"/>
      <c r="M52" s="123"/>
      <c r="N52" s="123"/>
      <c r="O52" s="93"/>
      <c r="P52" s="93"/>
      <c r="Q52" s="93"/>
      <c r="R52" s="113"/>
      <c r="S52" s="113"/>
      <c r="T52" s="113"/>
      <c r="U52" s="113"/>
      <c r="V52" s="113"/>
      <c r="W52" s="113"/>
      <c r="X52" s="113"/>
      <c r="Y52" s="113"/>
      <c r="Z52" s="113"/>
      <c r="AA52" s="113"/>
      <c r="AB52" s="113"/>
      <c r="AC52" s="113"/>
      <c r="AD52" s="113"/>
      <c r="AE52" s="113"/>
      <c r="AF52" s="113"/>
      <c r="AG52" s="113"/>
      <c r="AH52" s="113"/>
      <c r="AI52" s="113"/>
      <c r="AJ52" s="240"/>
      <c r="AK52" s="113"/>
      <c r="AL52" s="113"/>
    </row>
    <row r="53" spans="2:38">
      <c r="B53" s="12"/>
      <c r="C53" s="11"/>
      <c r="D53" s="12"/>
      <c r="E53" s="12"/>
      <c r="F53" s="12"/>
      <c r="G53"/>
      <c r="H53" s="455" t="s">
        <v>159</v>
      </c>
      <c r="I53" s="457"/>
      <c r="J53" s="455" t="s">
        <v>26</v>
      </c>
      <c r="K53" s="457"/>
      <c r="L53" s="456" t="s">
        <v>28</v>
      </c>
      <c r="M53" s="457"/>
      <c r="N53" s="455" t="s">
        <v>199</v>
      </c>
      <c r="O53" s="456"/>
      <c r="P53" s="456"/>
      <c r="Q53" s="456"/>
      <c r="R53" s="456"/>
      <c r="S53" s="457"/>
      <c r="T53" s="455" t="s">
        <v>182</v>
      </c>
      <c r="U53" s="456"/>
      <c r="V53" s="456"/>
      <c r="W53" s="455" t="s">
        <v>183</v>
      </c>
      <c r="X53" s="456"/>
      <c r="Y53" s="456"/>
      <c r="Z53" s="456"/>
      <c r="AA53" s="456"/>
      <c r="AB53" s="457"/>
      <c r="AC53" s="7"/>
      <c r="AJ53" s="14"/>
      <c r="AK53" s="12"/>
      <c r="AL53" s="12"/>
    </row>
    <row r="54" spans="2:38">
      <c r="B54" s="12"/>
      <c r="C54" s="11"/>
      <c r="D54" s="12"/>
      <c r="E54" s="12"/>
      <c r="F54" s="12"/>
      <c r="G54"/>
      <c r="H54" s="438" t="s">
        <v>200</v>
      </c>
      <c r="I54" s="439"/>
      <c r="J54" s="440"/>
      <c r="K54" s="463"/>
      <c r="L54" s="441"/>
      <c r="M54" s="463"/>
      <c r="N54" s="606" t="s">
        <v>204</v>
      </c>
      <c r="O54" s="607"/>
      <c r="P54" s="607"/>
      <c r="Q54" s="607"/>
      <c r="R54" s="607"/>
      <c r="S54" s="608"/>
      <c r="T54" s="623" t="s">
        <v>184</v>
      </c>
      <c r="U54" s="427"/>
      <c r="V54" s="427"/>
      <c r="W54" s="606" t="s">
        <v>220</v>
      </c>
      <c r="X54" s="607"/>
      <c r="Y54" s="607"/>
      <c r="Z54" s="607"/>
      <c r="AA54" s="607"/>
      <c r="AB54" s="608"/>
      <c r="AC54" s="308"/>
      <c r="AJ54" s="14"/>
      <c r="AK54" s="12"/>
      <c r="AL54" s="12"/>
    </row>
    <row r="55" spans="2:38" ht="20.25">
      <c r="B55" s="12"/>
      <c r="C55" s="11"/>
      <c r="D55" s="12"/>
      <c r="E55" s="12"/>
      <c r="F55" s="12"/>
      <c r="G55"/>
      <c r="H55" s="501" t="s">
        <v>40</v>
      </c>
      <c r="I55" s="503"/>
      <c r="J55" s="501"/>
      <c r="K55" s="503"/>
      <c r="L55" s="433"/>
      <c r="M55" s="434"/>
      <c r="N55" s="501" t="s">
        <v>44</v>
      </c>
      <c r="O55" s="502"/>
      <c r="P55" s="502"/>
      <c r="Q55" s="502"/>
      <c r="R55" s="502"/>
      <c r="S55" s="503"/>
      <c r="T55" s="432" t="s">
        <v>40</v>
      </c>
      <c r="U55" s="433"/>
      <c r="V55" s="433"/>
      <c r="W55" s="501" t="s">
        <v>186</v>
      </c>
      <c r="X55" s="502"/>
      <c r="Y55" s="502"/>
      <c r="Z55" s="502"/>
      <c r="AA55" s="502"/>
      <c r="AB55" s="503"/>
      <c r="AC55" s="7"/>
      <c r="AJ55" s="14"/>
      <c r="AK55" s="12"/>
      <c r="AL55" s="12"/>
    </row>
    <row r="56" spans="2:38" ht="18.75" customHeight="1">
      <c r="B56" s="12"/>
      <c r="C56" s="11"/>
      <c r="D56" s="713" t="s">
        <v>177</v>
      </c>
      <c r="E56" s="713"/>
      <c r="F56" s="452" t="s">
        <v>170</v>
      </c>
      <c r="G56" s="454"/>
      <c r="H56" s="629">
        <f>H43</f>
        <v>1.2000000000000002</v>
      </c>
      <c r="I56" s="630"/>
      <c r="J56" s="514" t="str">
        <f>J29</f>
        <v>砂質</v>
      </c>
      <c r="K56" s="602"/>
      <c r="L56" s="491">
        <f>'1.設計条件'!N24</f>
        <v>10</v>
      </c>
      <c r="M56" s="602"/>
      <c r="N56" s="552" t="s">
        <v>205</v>
      </c>
      <c r="O56" s="553"/>
      <c r="P56" s="553"/>
      <c r="Q56" s="604">
        <f>AF43</f>
        <v>0</v>
      </c>
      <c r="R56" s="604"/>
      <c r="S56" s="605"/>
      <c r="T56" s="504">
        <f>IF(L56&lt;=10, '1.設計条件'!T$34/1000, 2*'1.設計条件'!T$34/1000)</f>
        <v>0.3</v>
      </c>
      <c r="U56" s="505"/>
      <c r="V56" s="550"/>
      <c r="W56" s="552" t="s">
        <v>221</v>
      </c>
      <c r="X56" s="553"/>
      <c r="Y56" s="553"/>
      <c r="Z56" s="627">
        <f>T56*Q56</f>
        <v>0</v>
      </c>
      <c r="AA56" s="627"/>
      <c r="AB56" s="628"/>
      <c r="AC56" s="307"/>
      <c r="AJ56" s="14"/>
      <c r="AK56" s="12"/>
      <c r="AL56" s="12"/>
    </row>
    <row r="57" spans="2:38">
      <c r="B57" s="12"/>
      <c r="C57" s="11"/>
      <c r="D57" s="713"/>
      <c r="E57" s="713"/>
      <c r="F57" s="432" t="s">
        <v>172</v>
      </c>
      <c r="G57" s="434"/>
      <c r="H57" s="631"/>
      <c r="I57" s="632"/>
      <c r="J57" s="493"/>
      <c r="K57" s="603"/>
      <c r="L57" s="493"/>
      <c r="M57" s="603"/>
      <c r="N57" s="568" t="s">
        <v>206</v>
      </c>
      <c r="O57" s="569"/>
      <c r="P57" s="569"/>
      <c r="Q57" s="657">
        <f>AF44</f>
        <v>57.520800000000001</v>
      </c>
      <c r="R57" s="657"/>
      <c r="S57" s="680"/>
      <c r="T57" s="506">
        <f>IF(L56&lt;=10, '1.設計条件'!T$34/1000, 2*'1.設計条件'!T$34/1000)</f>
        <v>0.3</v>
      </c>
      <c r="U57" s="507"/>
      <c r="V57" s="507"/>
      <c r="W57" s="568" t="s">
        <v>222</v>
      </c>
      <c r="X57" s="569"/>
      <c r="Y57" s="569"/>
      <c r="Z57" s="666">
        <f>T57*Q57</f>
        <v>17.256239999999998</v>
      </c>
      <c r="AA57" s="666"/>
      <c r="AB57" s="667"/>
      <c r="AC57" s="307"/>
      <c r="AJ57" s="14"/>
      <c r="AK57" s="12"/>
      <c r="AL57" s="12"/>
    </row>
    <row r="58" spans="2:38" ht="18.75" customHeight="1">
      <c r="B58" s="12"/>
      <c r="C58" s="11"/>
      <c r="D58" s="599" t="s">
        <v>49</v>
      </c>
      <c r="E58" s="599"/>
      <c r="F58" s="452" t="s">
        <v>170</v>
      </c>
      <c r="G58" s="454"/>
      <c r="H58" s="629" t="s">
        <v>151</v>
      </c>
      <c r="I58" s="630"/>
      <c r="J58" s="514" t="str">
        <f>J31</f>
        <v>砂質</v>
      </c>
      <c r="K58" s="602"/>
      <c r="L58" s="491">
        <f>'1.設計条件'!N25</f>
        <v>75</v>
      </c>
      <c r="M58" s="602"/>
      <c r="N58" s="552" t="s">
        <v>207</v>
      </c>
      <c r="O58" s="553"/>
      <c r="P58" s="553"/>
      <c r="Q58" s="604">
        <f>AF45</f>
        <v>354.88876563613417</v>
      </c>
      <c r="R58" s="604"/>
      <c r="S58" s="605"/>
      <c r="T58" s="504">
        <f>IF(L58&lt;=10, '1.設計条件'!T$34/1000, 2*'1.設計条件'!T$34/1000)</f>
        <v>0.6</v>
      </c>
      <c r="U58" s="505"/>
      <c r="V58" s="550"/>
      <c r="W58" s="552" t="s">
        <v>223</v>
      </c>
      <c r="X58" s="553"/>
      <c r="Y58" s="553"/>
      <c r="Z58" s="627">
        <f>T58*Q58</f>
        <v>212.9332593816805</v>
      </c>
      <c r="AA58" s="627"/>
      <c r="AB58" s="628"/>
      <c r="AC58" s="307"/>
      <c r="AJ58" s="14"/>
      <c r="AK58" s="12"/>
      <c r="AL58" s="12"/>
    </row>
    <row r="59" spans="2:38">
      <c r="B59" s="12"/>
      <c r="C59" s="11"/>
      <c r="D59" s="599"/>
      <c r="E59" s="599"/>
      <c r="F59" s="432" t="s">
        <v>172</v>
      </c>
      <c r="G59" s="434"/>
      <c r="H59" s="631"/>
      <c r="I59" s="632"/>
      <c r="J59" s="493"/>
      <c r="K59" s="603"/>
      <c r="L59" s="493"/>
      <c r="M59" s="603"/>
      <c r="N59" s="568" t="s">
        <v>208</v>
      </c>
      <c r="O59" s="569"/>
      <c r="P59" s="569"/>
      <c r="Q59" s="556" t="s">
        <v>224</v>
      </c>
      <c r="R59" s="556"/>
      <c r="S59" s="572"/>
      <c r="T59" s="506">
        <f>IF(L58&lt;=10, '1.設計条件'!T$34/1000, 2*'1.設計条件'!T$34/1000)</f>
        <v>0.6</v>
      </c>
      <c r="U59" s="507"/>
      <c r="V59" s="507"/>
      <c r="W59" s="568" t="s">
        <v>225</v>
      </c>
      <c r="X59" s="569"/>
      <c r="Y59" s="569"/>
      <c r="Z59" s="666" t="s">
        <v>226</v>
      </c>
      <c r="AA59" s="666"/>
      <c r="AB59" s="667"/>
      <c r="AC59" s="307"/>
      <c r="AJ59" s="14"/>
      <c r="AK59" s="12"/>
      <c r="AL59" s="12"/>
    </row>
    <row r="60" spans="2:38">
      <c r="B60" s="12"/>
      <c r="C60" s="11"/>
      <c r="D60" s="94"/>
      <c r="E60" s="93"/>
      <c r="F60" s="93"/>
      <c r="G60" s="93"/>
      <c r="H60" s="93"/>
      <c r="I60" s="93"/>
      <c r="J60" s="91"/>
      <c r="K60" s="91"/>
      <c r="L60" s="91"/>
      <c r="M60" s="91"/>
      <c r="N60" s="91"/>
      <c r="O60" s="92"/>
      <c r="P60" s="92"/>
      <c r="Q60" s="92"/>
      <c r="R60" s="92"/>
      <c r="S60" s="91"/>
      <c r="T60" s="91"/>
      <c r="U60" s="93"/>
      <c r="V60" s="93"/>
      <c r="W60" s="93"/>
      <c r="X60" s="78"/>
      <c r="Y60" s="78"/>
      <c r="Z60" s="78"/>
      <c r="AA60"/>
      <c r="AB60" s="95"/>
      <c r="AC60" s="96"/>
      <c r="AD60" s="93"/>
      <c r="AE60" s="93"/>
      <c r="AF60" s="12"/>
      <c r="AG60" s="12"/>
      <c r="AH60" s="12"/>
      <c r="AI60" s="12"/>
      <c r="AJ60" s="14"/>
      <c r="AK60" s="12"/>
      <c r="AL60" s="12"/>
    </row>
    <row r="61" spans="2:38">
      <c r="B61" s="12"/>
      <c r="C61" s="11"/>
      <c r="D61" s="591" t="s">
        <v>227</v>
      </c>
      <c r="E61" s="591"/>
      <c r="F61" s="591"/>
      <c r="G61" s="427" t="s">
        <v>184</v>
      </c>
      <c r="H61" s="427"/>
      <c r="I61" s="427"/>
      <c r="J61" s="98" t="s">
        <v>215</v>
      </c>
      <c r="K61" s="721" t="s">
        <v>228</v>
      </c>
      <c r="L61" s="722"/>
      <c r="M61" s="722"/>
      <c r="N61" s="205"/>
      <c r="O61" s="205"/>
      <c r="P61" s="205"/>
      <c r="Q61" s="205"/>
      <c r="R61" s="97"/>
      <c r="S61" s="78"/>
      <c r="T61" s="91"/>
      <c r="U61" s="93"/>
      <c r="V61" s="93"/>
      <c r="W61" s="93"/>
      <c r="X61" s="78"/>
      <c r="Y61" s="78"/>
      <c r="Z61" s="78"/>
      <c r="AA61"/>
      <c r="AB61" s="95"/>
      <c r="AC61" s="96"/>
      <c r="AD61" s="93"/>
      <c r="AE61" s="93"/>
      <c r="AF61" s="12"/>
      <c r="AG61" s="12"/>
      <c r="AH61" s="12"/>
      <c r="AI61" s="12"/>
      <c r="AJ61" s="14"/>
      <c r="AK61" s="12"/>
      <c r="AL61" s="12"/>
    </row>
    <row r="62" spans="2:38" ht="20.25">
      <c r="B62" s="12"/>
      <c r="C62" s="11"/>
      <c r="D62" s="591" t="s">
        <v>8</v>
      </c>
      <c r="E62" s="591"/>
      <c r="F62" s="591"/>
      <c r="G62" s="719">
        <f>T59</f>
        <v>0.6</v>
      </c>
      <c r="H62" s="719"/>
      <c r="I62" s="719"/>
      <c r="J62" s="1" t="s">
        <v>215</v>
      </c>
      <c r="K62" s="1" t="s">
        <v>216</v>
      </c>
      <c r="L62" s="720">
        <f>G50</f>
        <v>83.504999999999995</v>
      </c>
      <c r="M62" s="720"/>
      <c r="N62" s="574" t="s">
        <v>219</v>
      </c>
      <c r="O62" s="574"/>
      <c r="P62" s="723">
        <f>L50</f>
        <v>354.88876563613417</v>
      </c>
      <c r="Q62" s="723"/>
      <c r="R62" s="723"/>
      <c r="S62" s="723"/>
      <c r="T62" s="309" t="s">
        <v>218</v>
      </c>
      <c r="U62" s="93"/>
      <c r="V62" s="190"/>
      <c r="W62" s="190"/>
      <c r="X62" s="190"/>
      <c r="Y62" s="78"/>
      <c r="Z62" s="78"/>
      <c r="AA62"/>
      <c r="AB62" s="95"/>
      <c r="AC62" s="96"/>
      <c r="AD62" s="93"/>
      <c r="AE62" s="93"/>
      <c r="AF62" s="12"/>
      <c r="AG62" s="12"/>
      <c r="AH62" s="12"/>
      <c r="AI62" s="12"/>
      <c r="AJ62" s="14"/>
      <c r="AK62" s="12"/>
      <c r="AL62" s="12"/>
    </row>
    <row r="63" spans="2:38" ht="20.25">
      <c r="B63" s="12"/>
      <c r="C63" s="11"/>
      <c r="D63" s="591" t="s">
        <v>8</v>
      </c>
      <c r="E63" s="591"/>
      <c r="F63" s="591"/>
      <c r="G63" s="649">
        <f>G62*L62</f>
        <v>50.102999999999994</v>
      </c>
      <c r="H63" s="650"/>
      <c r="I63" s="651"/>
      <c r="J63" s="574" t="s">
        <v>219</v>
      </c>
      <c r="K63" s="574"/>
      <c r="L63" s="652">
        <f>G62*P62</f>
        <v>212.9332593816805</v>
      </c>
      <c r="M63" s="653"/>
      <c r="N63" s="653"/>
      <c r="O63" s="653"/>
      <c r="P63" s="653"/>
      <c r="Q63" s="654"/>
      <c r="R63" s="97" t="s">
        <v>186</v>
      </c>
      <c r="S63" s="78"/>
      <c r="T63" s="91"/>
      <c r="U63" s="93"/>
      <c r="V63" s="93"/>
      <c r="W63" s="93"/>
      <c r="X63" s="78"/>
      <c r="Y63" s="78"/>
      <c r="Z63" s="78"/>
      <c r="AA63"/>
      <c r="AB63" s="95"/>
      <c r="AC63" s="96"/>
      <c r="AD63" s="93"/>
      <c r="AE63" s="93"/>
      <c r="AF63" s="12"/>
      <c r="AG63" s="12"/>
      <c r="AH63" s="12"/>
      <c r="AI63" s="12"/>
      <c r="AJ63" s="14"/>
      <c r="AK63" s="12"/>
      <c r="AL63" s="12"/>
    </row>
    <row r="64" spans="2:38" s="205" customFormat="1">
      <c r="B64" s="240"/>
      <c r="C64" s="113"/>
      <c r="D64" s="191"/>
      <c r="E64" s="191"/>
      <c r="F64" s="154"/>
      <c r="G64" s="154"/>
      <c r="H64" s="93"/>
      <c r="I64" s="78"/>
      <c r="J64" s="93"/>
      <c r="K64" s="78"/>
      <c r="L64" s="123"/>
      <c r="M64" s="123"/>
      <c r="N64" s="123"/>
      <c r="O64" s="93"/>
      <c r="P64" s="93"/>
      <c r="Q64" s="93"/>
      <c r="R64" s="113"/>
      <c r="S64" s="113"/>
      <c r="T64" s="113"/>
      <c r="U64" s="113"/>
      <c r="V64" s="113"/>
      <c r="W64" s="113"/>
      <c r="X64" s="113"/>
      <c r="Y64" s="113"/>
      <c r="Z64" s="113"/>
      <c r="AA64" s="113"/>
      <c r="AB64" s="113"/>
      <c r="AC64" s="113"/>
      <c r="AD64" s="113"/>
      <c r="AE64" s="113"/>
      <c r="AF64" s="113"/>
      <c r="AG64" s="113"/>
      <c r="AH64" s="113"/>
      <c r="AI64" s="113"/>
      <c r="AJ64" s="240"/>
      <c r="AK64" s="113"/>
      <c r="AL64" s="113"/>
    </row>
    <row r="65" spans="2:38">
      <c r="B65" s="14"/>
      <c r="C65" s="12"/>
      <c r="D65" s="94"/>
      <c r="E65" s="93"/>
      <c r="F65" s="93"/>
      <c r="G65" s="93"/>
      <c r="H65" s="93"/>
      <c r="I65" s="93"/>
      <c r="J65" s="91"/>
      <c r="K65" s="91"/>
      <c r="L65" s="91"/>
      <c r="M65" s="91"/>
      <c r="N65" s="91"/>
      <c r="O65" s="92"/>
      <c r="P65" s="92"/>
      <c r="Q65" s="92"/>
      <c r="R65" s="92"/>
      <c r="S65" s="91"/>
      <c r="T65" s="91"/>
      <c r="U65" s="93"/>
      <c r="V65" s="93"/>
      <c r="W65" s="93"/>
      <c r="X65" s="78"/>
      <c r="Y65" s="78"/>
      <c r="Z65" s="78"/>
      <c r="AA65"/>
      <c r="AB65" s="95"/>
      <c r="AC65" s="96"/>
      <c r="AD65" s="93"/>
      <c r="AE65" s="93"/>
      <c r="AF65" s="12"/>
      <c r="AG65" s="12"/>
      <c r="AH65" s="12"/>
      <c r="AI65" s="12"/>
      <c r="AJ65" s="14"/>
      <c r="AK65" s="12"/>
      <c r="AL65" s="12"/>
    </row>
    <row r="66" spans="2:38">
      <c r="B66" s="14"/>
      <c r="C66" s="11"/>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4"/>
      <c r="AK66" s="12"/>
      <c r="AL66" s="12"/>
    </row>
    <row r="67" spans="2:38">
      <c r="B67" s="12"/>
      <c r="C67" s="11"/>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4"/>
      <c r="AK67" s="12"/>
      <c r="AL67" s="12"/>
    </row>
    <row r="68" spans="2:38">
      <c r="B68" s="12"/>
      <c r="C68" s="11"/>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4"/>
      <c r="AK68" s="12"/>
      <c r="AL68" s="12"/>
    </row>
    <row r="69" spans="2:38">
      <c r="B69" s="12"/>
      <c r="C69" s="11"/>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4"/>
      <c r="AK69" s="12"/>
      <c r="AL69" s="12"/>
    </row>
    <row r="70" spans="2:38">
      <c r="B70" s="12"/>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4"/>
      <c r="AK70" s="12"/>
      <c r="AL70" s="12"/>
    </row>
    <row r="71" spans="2:38">
      <c r="B71" s="12"/>
      <c r="C71" s="11"/>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4"/>
      <c r="AK71" s="12"/>
      <c r="AL71" s="12"/>
    </row>
    <row r="72" spans="2:38">
      <c r="B72" s="12"/>
      <c r="C72" s="11"/>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4"/>
      <c r="AK72" s="12"/>
      <c r="AL72" s="12"/>
    </row>
    <row r="73" spans="2:38">
      <c r="B73" s="12"/>
      <c r="C73" s="11"/>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4"/>
      <c r="AK73" s="12"/>
      <c r="AL73" s="12"/>
    </row>
    <row r="74" spans="2:38">
      <c r="B74" s="12"/>
      <c r="C74" s="11"/>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4"/>
      <c r="AK74" s="12"/>
      <c r="AL74" s="12"/>
    </row>
    <row r="75" spans="2:38">
      <c r="B75" s="12"/>
      <c r="C75" s="11"/>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4"/>
      <c r="AK75" s="12"/>
      <c r="AL75" s="12"/>
    </row>
    <row r="76" spans="2:38">
      <c r="B76" s="14"/>
      <c r="C76" s="11"/>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4"/>
      <c r="AK76" s="12"/>
      <c r="AL76" s="12"/>
    </row>
    <row r="77" spans="2:38">
      <c r="B77" s="14"/>
      <c r="C77" s="11"/>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4"/>
      <c r="AK77" s="12"/>
      <c r="AL77" s="12"/>
    </row>
    <row r="78" spans="2:38">
      <c r="B78" s="14"/>
      <c r="C78" s="11"/>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4"/>
      <c r="AK78" s="12"/>
      <c r="AL78" s="12"/>
    </row>
    <row r="79" spans="2:38">
      <c r="B79" s="14"/>
      <c r="C79" s="11"/>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4"/>
      <c r="AK79" s="12"/>
      <c r="AL79" s="12"/>
    </row>
    <row r="80" spans="2:38">
      <c r="B80" s="14"/>
      <c r="C80" s="11"/>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4"/>
      <c r="AK80" s="12"/>
      <c r="AL80" s="12"/>
    </row>
    <row r="81" spans="2:39">
      <c r="B81" s="12"/>
      <c r="C81" s="11" t="s">
        <v>229</v>
      </c>
      <c r="D81" s="94"/>
      <c r="E81" s="93"/>
      <c r="F81" s="93"/>
      <c r="G81" s="93"/>
      <c r="H81" s="93"/>
      <c r="I81" s="93"/>
      <c r="J81" s="91"/>
      <c r="K81" s="91"/>
      <c r="L81" s="91"/>
      <c r="M81" s="91"/>
      <c r="N81" s="91"/>
      <c r="O81" s="92"/>
      <c r="P81" s="92"/>
      <c r="Q81" s="92"/>
      <c r="R81" s="92"/>
      <c r="S81" s="91"/>
      <c r="T81" s="91"/>
      <c r="U81" s="93"/>
      <c r="V81" s="93"/>
      <c r="W81" s="93"/>
      <c r="X81" s="78"/>
      <c r="Y81" s="78"/>
      <c r="Z81" s="78"/>
      <c r="AA81"/>
      <c r="AB81" s="95"/>
      <c r="AC81" s="96"/>
      <c r="AD81" s="93"/>
      <c r="AE81" s="93"/>
      <c r="AF81" s="12"/>
      <c r="AG81" s="12"/>
      <c r="AH81" s="12"/>
      <c r="AI81" s="12"/>
      <c r="AJ81" s="14"/>
      <c r="AK81" s="12"/>
      <c r="AL81" s="12"/>
    </row>
    <row r="82" spans="2:39">
      <c r="B82" s="12"/>
      <c r="C82" s="11"/>
      <c r="D82" s="94"/>
      <c r="E82" s="93"/>
      <c r="F82" s="93"/>
      <c r="G82" s="93"/>
      <c r="H82" s="8" t="s">
        <v>230</v>
      </c>
      <c r="I82" s="9"/>
      <c r="J82" s="9"/>
      <c r="K82" s="9"/>
      <c r="L82" s="9"/>
      <c r="M82" s="9"/>
      <c r="N82" s="9"/>
      <c r="O82" s="9"/>
      <c r="P82" s="9"/>
      <c r="Q82" s="9"/>
      <c r="R82" s="9"/>
      <c r="S82" s="9"/>
      <c r="T82" s="10"/>
      <c r="U82" s="455" t="s">
        <v>231</v>
      </c>
      <c r="V82" s="456"/>
      <c r="W82" s="456"/>
      <c r="X82" s="456"/>
      <c r="Y82" s="456"/>
      <c r="Z82" s="456"/>
      <c r="AA82" s="456"/>
      <c r="AB82" s="456"/>
      <c r="AC82" s="456"/>
      <c r="AD82" s="456"/>
      <c r="AE82" s="456"/>
      <c r="AF82" s="456"/>
      <c r="AG82" s="456"/>
      <c r="AH82" s="457"/>
      <c r="AI82" s="78"/>
      <c r="AJ82" s="14"/>
      <c r="AK82" s="12"/>
      <c r="AL82" s="12"/>
    </row>
    <row r="83" spans="2:39">
      <c r="B83" s="12"/>
      <c r="C83" s="11"/>
      <c r="D83" s="12"/>
      <c r="E83" s="93"/>
      <c r="F83" s="93"/>
      <c r="G83" s="93"/>
      <c r="H83" s="11" t="s">
        <v>232</v>
      </c>
      <c r="I83" s="12"/>
      <c r="J83" s="12"/>
      <c r="K83" s="12"/>
      <c r="L83" s="12"/>
      <c r="M83" s="12"/>
      <c r="N83" s="12"/>
      <c r="O83" s="12"/>
      <c r="P83" s="12"/>
      <c r="Q83" s="12"/>
      <c r="R83" s="12"/>
      <c r="S83" s="12"/>
      <c r="T83" s="14"/>
      <c r="U83" s="585" t="s">
        <v>233</v>
      </c>
      <c r="V83" s="586"/>
      <c r="W83" s="586"/>
      <c r="X83" s="586"/>
      <c r="Y83" s="586"/>
      <c r="Z83" s="586"/>
      <c r="AA83" s="586"/>
      <c r="AB83" s="586"/>
      <c r="AC83" s="586"/>
      <c r="AD83" s="586"/>
      <c r="AE83" s="586"/>
      <c r="AF83" s="586"/>
      <c r="AG83" s="586"/>
      <c r="AH83" s="587"/>
      <c r="AI83" s="311"/>
      <c r="AJ83" s="14"/>
      <c r="AK83" s="12"/>
      <c r="AL83" s="12"/>
    </row>
    <row r="84" spans="2:39">
      <c r="B84" s="12"/>
      <c r="C84" s="11"/>
      <c r="D84" s="94"/>
      <c r="E84" s="93"/>
      <c r="F84" s="93"/>
      <c r="G84" s="93"/>
      <c r="H84" s="15"/>
      <c r="I84" s="24"/>
      <c r="J84" s="24"/>
      <c r="K84" s="24"/>
      <c r="L84" s="24"/>
      <c r="M84" s="24"/>
      <c r="N84" s="24"/>
      <c r="O84" s="24"/>
      <c r="P84" s="24"/>
      <c r="Q84" s="24"/>
      <c r="R84" s="24"/>
      <c r="S84" s="20"/>
      <c r="T84" s="172"/>
      <c r="U84" s="501" t="s">
        <v>234</v>
      </c>
      <c r="V84" s="502"/>
      <c r="W84" s="502"/>
      <c r="X84" s="502"/>
      <c r="Y84" s="502"/>
      <c r="Z84" s="502"/>
      <c r="AA84" s="502"/>
      <c r="AB84" s="502"/>
      <c r="AC84" s="502"/>
      <c r="AD84" s="502"/>
      <c r="AE84" s="502"/>
      <c r="AF84" s="502"/>
      <c r="AG84" s="502"/>
      <c r="AH84" s="503"/>
      <c r="AI84" s="78"/>
      <c r="AJ84" s="14"/>
      <c r="AK84" s="12"/>
      <c r="AL84" s="12"/>
    </row>
    <row r="85" spans="2:39">
      <c r="B85" s="12"/>
      <c r="C85" s="11"/>
      <c r="D85" s="594" t="s">
        <v>174</v>
      </c>
      <c r="E85" s="595"/>
      <c r="F85" s="646" t="s">
        <v>235</v>
      </c>
      <c r="G85" s="710"/>
      <c r="H85" s="662">
        <f>Z31</f>
        <v>15.792000000000002</v>
      </c>
      <c r="I85" s="571"/>
      <c r="J85" s="29" t="s">
        <v>215</v>
      </c>
      <c r="K85" s="571">
        <f>H31</f>
        <v>3.8</v>
      </c>
      <c r="L85" s="571"/>
      <c r="M85" s="29" t="s">
        <v>236</v>
      </c>
      <c r="N85" s="62">
        <v>2</v>
      </c>
      <c r="O85" s="29" t="s">
        <v>8</v>
      </c>
      <c r="P85" s="29"/>
      <c r="Q85" s="29"/>
      <c r="R85" s="29"/>
      <c r="S85" s="63"/>
      <c r="T85" s="63"/>
      <c r="U85" s="551"/>
      <c r="V85" s="546"/>
      <c r="W85" s="546"/>
      <c r="X85" s="65"/>
      <c r="Y85" s="66"/>
      <c r="Z85" s="64"/>
      <c r="AA85" s="546"/>
      <c r="AB85" s="546"/>
      <c r="AC85" s="546"/>
      <c r="AD85" s="29"/>
      <c r="AE85" s="29"/>
      <c r="AF85" s="546">
        <f>K85*H85/N85</f>
        <v>30.004800000000003</v>
      </c>
      <c r="AG85" s="546"/>
      <c r="AH85" s="547"/>
      <c r="AI85" s="23"/>
      <c r="AJ85" s="14"/>
      <c r="AK85" s="12"/>
      <c r="AL85" s="12"/>
    </row>
    <row r="86" spans="2:39">
      <c r="B86" s="12"/>
      <c r="C86" s="11"/>
      <c r="D86" s="596"/>
      <c r="E86" s="597"/>
      <c r="F86" s="711" t="s">
        <v>237</v>
      </c>
      <c r="G86" s="712"/>
      <c r="H86" s="590">
        <f>Z32</f>
        <v>54.369599999999991</v>
      </c>
      <c r="I86" s="562"/>
      <c r="J86" s="16" t="s">
        <v>215</v>
      </c>
      <c r="K86" s="562">
        <f>H31</f>
        <v>3.8</v>
      </c>
      <c r="L86" s="562"/>
      <c r="M86" s="16" t="s">
        <v>236</v>
      </c>
      <c r="N86" s="48">
        <v>2</v>
      </c>
      <c r="O86" s="16" t="s">
        <v>8</v>
      </c>
      <c r="P86" s="16"/>
      <c r="Q86" s="16"/>
      <c r="R86" s="16"/>
      <c r="S86" s="20"/>
      <c r="T86" s="20"/>
      <c r="U86" s="554"/>
      <c r="V86" s="555"/>
      <c r="W86" s="555"/>
      <c r="X86" s="95"/>
      <c r="Y86" s="96"/>
      <c r="Z86" s="93"/>
      <c r="AA86" s="555"/>
      <c r="AB86" s="555"/>
      <c r="AC86" s="555"/>
      <c r="AD86" s="12"/>
      <c r="AE86" s="12"/>
      <c r="AF86" s="555">
        <f>K86*H86/N86</f>
        <v>103.30223999999998</v>
      </c>
      <c r="AG86" s="555"/>
      <c r="AH86" s="680"/>
      <c r="AI86" s="23"/>
      <c r="AJ86" s="14"/>
      <c r="AK86" s="12"/>
      <c r="AL86" s="12"/>
    </row>
    <row r="87" spans="2:39">
      <c r="B87" s="12"/>
      <c r="C87" s="11"/>
      <c r="D87" s="594" t="s">
        <v>177</v>
      </c>
      <c r="E87" s="595"/>
      <c r="F87" s="646" t="s">
        <v>238</v>
      </c>
      <c r="G87" s="710"/>
      <c r="H87" s="687">
        <f>Z33</f>
        <v>10.873919999999998</v>
      </c>
      <c r="I87" s="686"/>
      <c r="J87" s="9" t="s">
        <v>215</v>
      </c>
      <c r="K87" s="686">
        <f>H33</f>
        <v>1.2000000000000002</v>
      </c>
      <c r="L87" s="686"/>
      <c r="M87" s="9" t="s">
        <v>236</v>
      </c>
      <c r="N87" s="47">
        <v>2</v>
      </c>
      <c r="O87" s="9" t="s">
        <v>8</v>
      </c>
      <c r="P87" s="9"/>
      <c r="Q87" s="9"/>
      <c r="R87" s="9"/>
      <c r="S87" s="51"/>
      <c r="T87" s="51"/>
      <c r="U87" s="551"/>
      <c r="V87" s="546"/>
      <c r="W87" s="546"/>
      <c r="X87" s="65"/>
      <c r="Y87" s="66"/>
      <c r="Z87" s="64"/>
      <c r="AA87" s="546"/>
      <c r="AB87" s="546"/>
      <c r="AC87" s="546"/>
      <c r="AD87" s="29"/>
      <c r="AE87" s="29"/>
      <c r="AF87" s="546">
        <f>K87*H87/N87</f>
        <v>6.5243519999999995</v>
      </c>
      <c r="AG87" s="546"/>
      <c r="AH87" s="547"/>
      <c r="AI87" s="23"/>
      <c r="AJ87" s="14"/>
      <c r="AK87" s="12"/>
      <c r="AL87" s="12"/>
      <c r="AM87"/>
    </row>
    <row r="88" spans="2:39">
      <c r="B88" s="12"/>
      <c r="C88" s="11"/>
      <c r="D88" s="596"/>
      <c r="E88" s="597"/>
      <c r="F88" s="711" t="s">
        <v>239</v>
      </c>
      <c r="G88" s="712"/>
      <c r="H88" s="662">
        <f>Z34</f>
        <v>13.3104</v>
      </c>
      <c r="I88" s="571"/>
      <c r="J88" s="29" t="s">
        <v>215</v>
      </c>
      <c r="K88" s="571">
        <f>H33</f>
        <v>1.2000000000000002</v>
      </c>
      <c r="L88" s="571"/>
      <c r="M88" s="29" t="s">
        <v>236</v>
      </c>
      <c r="N88" s="62">
        <v>2</v>
      </c>
      <c r="O88" s="29" t="s">
        <v>8</v>
      </c>
      <c r="P88" s="29"/>
      <c r="Q88" s="29"/>
      <c r="R88" s="29"/>
      <c r="S88" s="63"/>
      <c r="T88" s="63"/>
      <c r="U88" s="551"/>
      <c r="V88" s="546"/>
      <c r="W88" s="546"/>
      <c r="X88" s="65"/>
      <c r="Y88" s="96"/>
      <c r="Z88" s="93"/>
      <c r="AA88" s="555"/>
      <c r="AB88" s="555"/>
      <c r="AC88" s="555"/>
      <c r="AD88" s="12"/>
      <c r="AE88" s="12"/>
      <c r="AF88" s="546">
        <f>K88*H88/N88</f>
        <v>7.9862400000000013</v>
      </c>
      <c r="AG88" s="546"/>
      <c r="AH88" s="547"/>
      <c r="AI88" s="23"/>
      <c r="AJ88" s="14"/>
      <c r="AK88" s="12"/>
      <c r="AL88" s="12"/>
    </row>
    <row r="89" spans="2:39">
      <c r="B89" s="12"/>
      <c r="C89" s="11"/>
      <c r="D89" s="94"/>
      <c r="E89" s="93"/>
      <c r="F89" s="93"/>
      <c r="G89" s="93"/>
      <c r="H89" s="93"/>
      <c r="I89" s="93"/>
      <c r="J89" s="91"/>
      <c r="K89" s="91"/>
      <c r="L89" s="91"/>
      <c r="M89" s="91"/>
      <c r="N89" s="91"/>
      <c r="O89" s="92"/>
      <c r="P89" s="92"/>
      <c r="Q89" s="92"/>
      <c r="R89" s="92"/>
      <c r="S89" s="91"/>
      <c r="T89" s="91"/>
      <c r="U89" s="93"/>
      <c r="V89" s="93"/>
      <c r="W89" s="93"/>
      <c r="X89" s="49"/>
      <c r="Y89" s="49"/>
      <c r="Z89" s="49"/>
      <c r="AA89" s="3"/>
      <c r="AB89" s="57"/>
      <c r="AC89" s="58"/>
      <c r="AD89" s="50"/>
      <c r="AE89" s="50"/>
      <c r="AF89" s="9"/>
      <c r="AG89" s="9"/>
      <c r="AH89" s="12"/>
      <c r="AI89" s="12"/>
      <c r="AJ89" s="14"/>
      <c r="AK89" s="12"/>
      <c r="AL89" s="12"/>
    </row>
    <row r="90" spans="2:39">
      <c r="B90" s="12"/>
      <c r="C90" s="11"/>
      <c r="D90" s="94"/>
      <c r="E90" s="93"/>
      <c r="F90" s="93"/>
      <c r="G90" s="93"/>
      <c r="H90" s="8" t="s">
        <v>230</v>
      </c>
      <c r="I90" s="9"/>
      <c r="J90" s="9"/>
      <c r="K90" s="9"/>
      <c r="L90" s="9"/>
      <c r="M90" s="9"/>
      <c r="N90" s="9"/>
      <c r="O90" s="9"/>
      <c r="P90" s="9"/>
      <c r="Q90" s="9"/>
      <c r="R90" s="9"/>
      <c r="S90" s="9"/>
      <c r="T90" s="9"/>
      <c r="U90" s="455" t="s">
        <v>240</v>
      </c>
      <c r="V90" s="456"/>
      <c r="W90" s="456"/>
      <c r="X90" s="456"/>
      <c r="Y90" s="456"/>
      <c r="Z90" s="456"/>
      <c r="AA90" s="456"/>
      <c r="AB90" s="456"/>
      <c r="AC90" s="456"/>
      <c r="AD90" s="456"/>
      <c r="AE90" s="456"/>
      <c r="AF90" s="456"/>
      <c r="AG90" s="456"/>
      <c r="AH90" s="457"/>
      <c r="AI90" s="7"/>
      <c r="AJ90" s="14"/>
      <c r="AK90" s="12"/>
      <c r="AL90" s="12"/>
    </row>
    <row r="91" spans="2:39">
      <c r="B91" s="12"/>
      <c r="C91" s="11"/>
      <c r="D91" s="12"/>
      <c r="E91" s="93"/>
      <c r="F91" s="93"/>
      <c r="G91" s="93"/>
      <c r="H91" s="11" t="s">
        <v>232</v>
      </c>
      <c r="I91" s="12"/>
      <c r="J91" s="12"/>
      <c r="K91" s="12"/>
      <c r="L91" s="12"/>
      <c r="M91" s="12"/>
      <c r="N91" s="12"/>
      <c r="O91" s="12"/>
      <c r="P91" s="12"/>
      <c r="Q91" s="12"/>
      <c r="R91" s="12"/>
      <c r="S91" s="12"/>
      <c r="T91" s="12"/>
      <c r="U91" s="585" t="s">
        <v>233</v>
      </c>
      <c r="V91" s="586"/>
      <c r="W91" s="586"/>
      <c r="X91" s="586"/>
      <c r="Y91" s="586"/>
      <c r="Z91" s="586"/>
      <c r="AA91" s="586"/>
      <c r="AB91" s="586"/>
      <c r="AC91" s="586"/>
      <c r="AD91" s="586"/>
      <c r="AE91" s="586"/>
      <c r="AF91" s="586"/>
      <c r="AG91" s="586"/>
      <c r="AH91" s="587"/>
      <c r="AI91" s="310"/>
      <c r="AJ91" s="14"/>
      <c r="AK91" s="12"/>
      <c r="AL91" s="12"/>
    </row>
    <row r="92" spans="2:39">
      <c r="B92" s="12"/>
      <c r="C92" s="11"/>
      <c r="D92" s="94"/>
      <c r="E92" s="93"/>
      <c r="F92" s="93"/>
      <c r="G92" s="93"/>
      <c r="H92" s="15"/>
      <c r="I92" s="24"/>
      <c r="J92" s="24"/>
      <c r="K92" s="24"/>
      <c r="L92" s="24"/>
      <c r="M92" s="24"/>
      <c r="N92" s="24"/>
      <c r="O92" s="24"/>
      <c r="P92" s="24"/>
      <c r="Q92" s="24"/>
      <c r="R92" s="16"/>
      <c r="S92" s="20"/>
      <c r="T92" s="20"/>
      <c r="U92" s="501" t="s">
        <v>234</v>
      </c>
      <c r="V92" s="502"/>
      <c r="W92" s="502"/>
      <c r="X92" s="502"/>
      <c r="Y92" s="502"/>
      <c r="Z92" s="502"/>
      <c r="AA92" s="502"/>
      <c r="AB92" s="502"/>
      <c r="AC92" s="502"/>
      <c r="AD92" s="502"/>
      <c r="AE92" s="502"/>
      <c r="AF92" s="502"/>
      <c r="AG92" s="502"/>
      <c r="AH92" s="503"/>
      <c r="AI92" s="7"/>
      <c r="AJ92" s="14"/>
      <c r="AK92" s="12"/>
      <c r="AL92" s="12"/>
    </row>
    <row r="93" spans="2:39">
      <c r="B93" s="12"/>
      <c r="C93" s="11"/>
      <c r="D93" s="594" t="s">
        <v>177</v>
      </c>
      <c r="E93" s="595"/>
      <c r="F93" s="646" t="s">
        <v>241</v>
      </c>
      <c r="G93" s="710"/>
      <c r="H93" s="687">
        <f>Z57</f>
        <v>17.256239999999998</v>
      </c>
      <c r="I93" s="686"/>
      <c r="J93" s="9" t="s">
        <v>215</v>
      </c>
      <c r="K93" s="686">
        <f>H56</f>
        <v>1.2000000000000002</v>
      </c>
      <c r="L93" s="686"/>
      <c r="M93" s="9" t="s">
        <v>236</v>
      </c>
      <c r="N93" s="47">
        <v>2</v>
      </c>
      <c r="O93" s="9" t="s">
        <v>8</v>
      </c>
      <c r="P93" s="9"/>
      <c r="Q93" s="9"/>
      <c r="R93" s="9"/>
      <c r="S93" s="51"/>
      <c r="T93" s="51"/>
      <c r="U93" s="551"/>
      <c r="V93" s="546"/>
      <c r="W93" s="546"/>
      <c r="X93" s="65"/>
      <c r="Y93" s="66"/>
      <c r="Z93" s="64"/>
      <c r="AA93" s="546"/>
      <c r="AB93" s="546"/>
      <c r="AC93" s="546"/>
      <c r="AD93" s="29"/>
      <c r="AE93" s="29"/>
      <c r="AF93" s="546">
        <f>K93*H93/N93</f>
        <v>10.353744000000001</v>
      </c>
      <c r="AG93" s="546"/>
      <c r="AH93" s="547"/>
      <c r="AI93" s="312"/>
      <c r="AJ93" s="14"/>
      <c r="AK93"/>
      <c r="AL93" s="12"/>
    </row>
    <row r="94" spans="2:39" ht="20.25">
      <c r="B94" s="12"/>
      <c r="C94" s="11"/>
      <c r="D94" s="594" t="s">
        <v>49</v>
      </c>
      <c r="E94" s="595"/>
      <c r="F94" s="646" t="s">
        <v>242</v>
      </c>
      <c r="G94" s="710"/>
      <c r="H94" s="687">
        <f>Z58</f>
        <v>212.9332593816805</v>
      </c>
      <c r="I94" s="686"/>
      <c r="J94" s="9" t="s">
        <v>215</v>
      </c>
      <c r="K94" s="714" t="s">
        <v>151</v>
      </c>
      <c r="L94" s="479"/>
      <c r="M94" s="9" t="s">
        <v>236</v>
      </c>
      <c r="N94" s="47">
        <v>2</v>
      </c>
      <c r="O94" s="9" t="s">
        <v>8</v>
      </c>
      <c r="P94" s="9"/>
      <c r="Q94" s="9"/>
      <c r="R94" s="9"/>
      <c r="S94" s="51"/>
      <c r="T94" s="51"/>
      <c r="U94" s="551"/>
      <c r="V94" s="546"/>
      <c r="W94" s="546"/>
      <c r="X94" s="65"/>
      <c r="Y94" s="66"/>
      <c r="Z94" s="64"/>
      <c r="AA94" s="546">
        <f>H94/N94</f>
        <v>106.46662969084025</v>
      </c>
      <c r="AB94" s="546"/>
      <c r="AC94" s="546"/>
      <c r="AD94" s="65" t="s">
        <v>151</v>
      </c>
      <c r="AE94" s="29"/>
      <c r="AF94" s="546"/>
      <c r="AG94" s="546"/>
      <c r="AH94" s="547"/>
      <c r="AI94" s="312"/>
      <c r="AJ94" s="14"/>
      <c r="AK94"/>
      <c r="AL94" s="12"/>
    </row>
    <row r="95" spans="2:39" ht="21" thickBot="1">
      <c r="B95" s="12"/>
      <c r="C95" s="11"/>
      <c r="D95" s="730"/>
      <c r="E95" s="731"/>
      <c r="F95" s="728" t="s">
        <v>243</v>
      </c>
      <c r="G95" s="729"/>
      <c r="H95" s="328" t="s">
        <v>216</v>
      </c>
      <c r="I95" s="708">
        <f>G63</f>
        <v>50.102999999999994</v>
      </c>
      <c r="J95" s="708"/>
      <c r="K95" s="725" t="s">
        <v>219</v>
      </c>
      <c r="L95" s="726"/>
      <c r="M95" s="709">
        <f>L63</f>
        <v>212.9332593816805</v>
      </c>
      <c r="N95" s="709"/>
      <c r="O95" s="709"/>
      <c r="P95" s="329" t="s">
        <v>244</v>
      </c>
      <c r="Q95" s="71" t="s">
        <v>151</v>
      </c>
      <c r="R95" s="330" t="s">
        <v>236</v>
      </c>
      <c r="S95" s="331">
        <v>2</v>
      </c>
      <c r="T95" s="331" t="s">
        <v>8</v>
      </c>
      <c r="U95" s="727">
        <f>I95/S95</f>
        <v>25.051499999999997</v>
      </c>
      <c r="V95" s="709"/>
      <c r="W95" s="709"/>
      <c r="X95" s="71" t="s">
        <v>245</v>
      </c>
      <c r="Y95" s="72"/>
      <c r="Z95" s="73" t="s">
        <v>213</v>
      </c>
      <c r="AA95" s="709">
        <f>M95/S95</f>
        <v>106.46662969084025</v>
      </c>
      <c r="AB95" s="709"/>
      <c r="AC95" s="709"/>
      <c r="AD95" s="71" t="s">
        <v>151</v>
      </c>
      <c r="AE95" s="70"/>
      <c r="AF95" s="613"/>
      <c r="AG95" s="613"/>
      <c r="AH95" s="648"/>
      <c r="AI95" s="312"/>
      <c r="AJ95" s="14"/>
      <c r="AK95" s="12"/>
      <c r="AL95" s="12"/>
    </row>
    <row r="96" spans="2:39" ht="21" thickTop="1">
      <c r="B96" s="12"/>
      <c r="C96" s="11"/>
      <c r="D96" s="543" t="s">
        <v>246</v>
      </c>
      <c r="E96" s="544"/>
      <c r="F96" s="544"/>
      <c r="G96" s="545"/>
      <c r="H96" s="21"/>
      <c r="I96" s="21"/>
      <c r="J96" s="20"/>
      <c r="K96" s="20"/>
      <c r="L96" s="20"/>
      <c r="M96" s="20"/>
      <c r="N96" s="20"/>
      <c r="O96" s="327"/>
      <c r="P96" s="327"/>
      <c r="Q96" s="327"/>
      <c r="R96" s="327"/>
      <c r="S96" s="20"/>
      <c r="T96" s="20"/>
      <c r="U96" s="575">
        <f>SUM(U93:W95)</f>
        <v>25.051499999999997</v>
      </c>
      <c r="V96" s="560"/>
      <c r="W96" s="560"/>
      <c r="X96" s="25" t="s">
        <v>245</v>
      </c>
      <c r="Y96" s="22"/>
      <c r="Z96" s="21" t="s">
        <v>213</v>
      </c>
      <c r="AA96" s="560">
        <f>SUM(AA93:AC95)</f>
        <v>212.9332593816805</v>
      </c>
      <c r="AB96" s="560"/>
      <c r="AC96" s="560"/>
      <c r="AD96" s="25" t="s">
        <v>151</v>
      </c>
      <c r="AE96" s="21" t="s">
        <v>213</v>
      </c>
      <c r="AF96" s="560">
        <f>SUM(AF93:AH95)</f>
        <v>10.353744000000001</v>
      </c>
      <c r="AG96" s="560"/>
      <c r="AH96" s="561"/>
      <c r="AI96" s="190"/>
      <c r="AJ96" s="14"/>
      <c r="AK96" s="12"/>
      <c r="AL96" s="12"/>
    </row>
    <row r="97" spans="2:38">
      <c r="B97" s="12"/>
      <c r="C97" s="11"/>
      <c r="D97" s="94"/>
      <c r="E97" s="93"/>
      <c r="F97" s="93"/>
      <c r="G97" s="93"/>
      <c r="H97" s="93"/>
      <c r="I97" s="93"/>
      <c r="J97" s="91"/>
      <c r="K97" s="91"/>
      <c r="L97" s="91"/>
      <c r="M97" s="91"/>
      <c r="N97" s="91"/>
      <c r="O97" s="92"/>
      <c r="P97" s="92"/>
      <c r="Q97" s="92"/>
      <c r="R97" s="92"/>
      <c r="S97" s="91"/>
      <c r="T97" s="91"/>
      <c r="U97" s="93"/>
      <c r="V97" s="93"/>
      <c r="W97" s="93"/>
      <c r="X97" s="19"/>
      <c r="Y97" s="19"/>
      <c r="Z97" s="19"/>
      <c r="AA97" s="24"/>
      <c r="AB97" s="25"/>
      <c r="AC97" s="22"/>
      <c r="AD97" s="21"/>
      <c r="AE97" s="21"/>
      <c r="AF97" s="16"/>
      <c r="AG97" s="16"/>
      <c r="AH97" s="16"/>
      <c r="AI97" s="12"/>
      <c r="AJ97" s="14"/>
      <c r="AK97" s="12"/>
      <c r="AL97" s="12"/>
    </row>
    <row r="98" spans="2:38">
      <c r="B98" s="12"/>
      <c r="C98" s="11"/>
      <c r="D98" s="94"/>
      <c r="E98" s="93"/>
      <c r="F98" s="93"/>
      <c r="G98" s="93"/>
      <c r="H98" s="8" t="s">
        <v>230</v>
      </c>
      <c r="I98" s="9"/>
      <c r="J98" s="9"/>
      <c r="K98" s="9"/>
      <c r="L98" s="9"/>
      <c r="M98" s="9"/>
      <c r="N98" s="9"/>
      <c r="O98" s="9"/>
      <c r="P98" s="9"/>
      <c r="Q98" s="9"/>
      <c r="R98" s="9"/>
      <c r="S98" s="9"/>
      <c r="T98" s="9"/>
      <c r="U98" s="455" t="s">
        <v>247</v>
      </c>
      <c r="V98" s="456"/>
      <c r="W98" s="456"/>
      <c r="X98" s="456"/>
      <c r="Y98" s="456"/>
      <c r="Z98" s="456"/>
      <c r="AA98" s="456"/>
      <c r="AB98" s="456"/>
      <c r="AC98" s="456"/>
      <c r="AD98" s="456"/>
      <c r="AE98" s="456"/>
      <c r="AF98" s="456"/>
      <c r="AG98" s="456"/>
      <c r="AH98" s="457"/>
      <c r="AI98" s="12"/>
      <c r="AJ98" s="14"/>
      <c r="AK98" s="12"/>
      <c r="AL98" s="12"/>
    </row>
    <row r="99" spans="2:38">
      <c r="B99" s="12"/>
      <c r="C99" s="11"/>
      <c r="D99" s="94"/>
      <c r="E99" s="93"/>
      <c r="F99" s="93"/>
      <c r="G99" s="93"/>
      <c r="H99" s="11" t="s">
        <v>248</v>
      </c>
      <c r="I99" s="12"/>
      <c r="J99" s="12"/>
      <c r="K99" s="12"/>
      <c r="L99" s="12"/>
      <c r="M99" s="12"/>
      <c r="N99" s="12"/>
      <c r="O99" s="12"/>
      <c r="P99" s="12"/>
      <c r="Q99" s="12"/>
      <c r="R99" s="12"/>
      <c r="S99" s="12"/>
      <c r="T99" s="12"/>
      <c r="U99" s="585" t="s">
        <v>249</v>
      </c>
      <c r="V99" s="586"/>
      <c r="W99" s="586"/>
      <c r="X99" s="586"/>
      <c r="Y99" s="586"/>
      <c r="Z99" s="586"/>
      <c r="AA99" s="586"/>
      <c r="AB99" s="586"/>
      <c r="AC99" s="586"/>
      <c r="AD99" s="586"/>
      <c r="AE99" s="586"/>
      <c r="AF99" s="586"/>
      <c r="AG99" s="586"/>
      <c r="AH99" s="587"/>
      <c r="AI99" s="12"/>
      <c r="AJ99" s="14"/>
      <c r="AK99" s="12"/>
      <c r="AL99" s="12"/>
    </row>
    <row r="100" spans="2:38">
      <c r="B100" s="12"/>
      <c r="C100" s="11"/>
      <c r="D100" s="94"/>
      <c r="E100" s="93"/>
      <c r="F100" s="93"/>
      <c r="G100" s="93"/>
      <c r="H100" s="15"/>
      <c r="I100" s="24"/>
      <c r="J100" s="24"/>
      <c r="K100" s="24"/>
      <c r="L100" s="24"/>
      <c r="M100" s="24"/>
      <c r="N100" s="24"/>
      <c r="O100" s="24"/>
      <c r="P100" s="24"/>
      <c r="Q100" s="24"/>
      <c r="R100" s="16"/>
      <c r="S100" s="20"/>
      <c r="T100" s="20"/>
      <c r="U100" s="501" t="s">
        <v>40</v>
      </c>
      <c r="V100" s="502"/>
      <c r="W100" s="502"/>
      <c r="X100" s="502"/>
      <c r="Y100" s="502"/>
      <c r="Z100" s="502"/>
      <c r="AA100" s="502"/>
      <c r="AB100" s="502"/>
      <c r="AC100" s="502"/>
      <c r="AD100" s="502"/>
      <c r="AE100" s="502"/>
      <c r="AF100" s="502"/>
      <c r="AG100" s="502"/>
      <c r="AH100" s="503"/>
      <c r="AI100" s="12"/>
      <c r="AJ100" s="14"/>
      <c r="AK100" s="12"/>
      <c r="AL100" s="12"/>
    </row>
    <row r="101" spans="2:38">
      <c r="B101" s="12"/>
      <c r="C101" s="11"/>
      <c r="D101" s="594" t="s">
        <v>174</v>
      </c>
      <c r="E101" s="595"/>
      <c r="F101" s="646" t="s">
        <v>235</v>
      </c>
      <c r="G101" s="710"/>
      <c r="H101" s="551">
        <f>H$31</f>
        <v>3.8</v>
      </c>
      <c r="I101" s="546"/>
      <c r="J101" s="67"/>
      <c r="K101" s="546"/>
      <c r="L101" s="546"/>
      <c r="M101" s="29"/>
      <c r="N101" s="546"/>
      <c r="O101" s="546"/>
      <c r="P101" s="29" t="s">
        <v>236</v>
      </c>
      <c r="Q101" s="45">
        <v>3</v>
      </c>
      <c r="R101" s="29" t="s">
        <v>215</v>
      </c>
      <c r="S101" s="45">
        <v>1</v>
      </c>
      <c r="T101" s="45" t="s">
        <v>8</v>
      </c>
      <c r="U101" s="551"/>
      <c r="V101" s="546"/>
      <c r="W101" s="546"/>
      <c r="X101" s="68"/>
      <c r="Y101" s="65"/>
      <c r="Z101" s="66"/>
      <c r="AA101" s="546"/>
      <c r="AB101" s="556"/>
      <c r="AC101" s="556"/>
      <c r="AD101" s="12"/>
      <c r="AE101" s="12"/>
      <c r="AF101" s="546">
        <f>H101/Q101*S101</f>
        <v>1.2666666666666666</v>
      </c>
      <c r="AG101" s="546"/>
      <c r="AH101" s="547"/>
      <c r="AI101" s="12"/>
      <c r="AJ101" s="14"/>
      <c r="AK101" s="12"/>
      <c r="AL101" s="12"/>
    </row>
    <row r="102" spans="2:38">
      <c r="B102" s="12"/>
      <c r="C102" s="11"/>
      <c r="D102" s="596"/>
      <c r="E102" s="597"/>
      <c r="F102" s="711" t="s">
        <v>237</v>
      </c>
      <c r="G102" s="712"/>
      <c r="H102" s="551">
        <f>H$31</f>
        <v>3.8</v>
      </c>
      <c r="I102" s="546"/>
      <c r="J102" s="46"/>
      <c r="K102" s="555"/>
      <c r="L102" s="555"/>
      <c r="M102" s="16"/>
      <c r="N102" s="555"/>
      <c r="O102" s="555"/>
      <c r="P102" s="16" t="s">
        <v>236</v>
      </c>
      <c r="Q102" s="28">
        <v>3</v>
      </c>
      <c r="R102" s="16" t="s">
        <v>215</v>
      </c>
      <c r="S102" s="28">
        <v>2</v>
      </c>
      <c r="T102" s="28" t="s">
        <v>8</v>
      </c>
      <c r="U102" s="658"/>
      <c r="V102" s="556"/>
      <c r="W102" s="556"/>
      <c r="X102" s="68"/>
      <c r="Y102" s="65"/>
      <c r="Z102" s="66"/>
      <c r="AA102" s="556"/>
      <c r="AB102" s="556"/>
      <c r="AC102" s="556"/>
      <c r="AD102" s="29"/>
      <c r="AE102" s="29"/>
      <c r="AF102" s="556">
        <f>H102/Q102*S102</f>
        <v>2.5333333333333332</v>
      </c>
      <c r="AG102" s="556"/>
      <c r="AH102" s="572"/>
      <c r="AI102" s="12"/>
      <c r="AJ102" s="14"/>
      <c r="AK102" s="12"/>
      <c r="AL102" s="12"/>
    </row>
    <row r="103" spans="2:38">
      <c r="B103" s="12"/>
      <c r="C103" s="11"/>
      <c r="D103" s="594" t="s">
        <v>177</v>
      </c>
      <c r="E103" s="595"/>
      <c r="F103" s="646" t="s">
        <v>238</v>
      </c>
      <c r="G103" s="710"/>
      <c r="H103" s="551">
        <f>H$31</f>
        <v>3.8</v>
      </c>
      <c r="I103" s="546"/>
      <c r="J103" s="67" t="s">
        <v>213</v>
      </c>
      <c r="K103" s="546">
        <f>H$33</f>
        <v>1.2000000000000002</v>
      </c>
      <c r="L103" s="546"/>
      <c r="M103" s="29"/>
      <c r="N103" s="546"/>
      <c r="O103" s="546"/>
      <c r="P103" s="29" t="s">
        <v>236</v>
      </c>
      <c r="Q103" s="45">
        <v>3</v>
      </c>
      <c r="R103" s="29" t="s">
        <v>215</v>
      </c>
      <c r="S103" s="45">
        <v>1</v>
      </c>
      <c r="T103" s="45" t="s">
        <v>8</v>
      </c>
      <c r="U103" s="551"/>
      <c r="V103" s="546"/>
      <c r="W103" s="546"/>
      <c r="X103" s="24"/>
      <c r="Y103" s="25"/>
      <c r="Z103" s="22"/>
      <c r="AA103" s="546"/>
      <c r="AB103" s="546"/>
      <c r="AC103" s="546"/>
      <c r="AD103" s="29"/>
      <c r="AE103" s="29"/>
      <c r="AF103" s="546">
        <f>H103+K103/Q103*S103</f>
        <v>4.2</v>
      </c>
      <c r="AG103" s="546"/>
      <c r="AH103" s="547"/>
      <c r="AI103" s="12"/>
      <c r="AJ103" s="14"/>
      <c r="AK103" s="12"/>
      <c r="AL103" s="12"/>
    </row>
    <row r="104" spans="2:38">
      <c r="B104" s="12"/>
      <c r="C104" s="11"/>
      <c r="D104" s="596"/>
      <c r="E104" s="597"/>
      <c r="F104" s="711" t="s">
        <v>239</v>
      </c>
      <c r="G104" s="712"/>
      <c r="H104" s="551">
        <f>H$31</f>
        <v>3.8</v>
      </c>
      <c r="I104" s="546"/>
      <c r="J104" s="46" t="s">
        <v>213</v>
      </c>
      <c r="K104" s="556">
        <f>H$33</f>
        <v>1.2000000000000002</v>
      </c>
      <c r="L104" s="556"/>
      <c r="M104" s="16"/>
      <c r="N104" s="556"/>
      <c r="O104" s="556"/>
      <c r="P104" s="16" t="s">
        <v>236</v>
      </c>
      <c r="Q104" s="28">
        <v>3</v>
      </c>
      <c r="R104" s="16" t="s">
        <v>215</v>
      </c>
      <c r="S104" s="28">
        <v>2</v>
      </c>
      <c r="T104" s="28" t="s">
        <v>8</v>
      </c>
      <c r="U104" s="658"/>
      <c r="V104" s="556"/>
      <c r="W104" s="556"/>
      <c r="X104" s="68"/>
      <c r="Y104" s="65"/>
      <c r="Z104" s="66"/>
      <c r="AA104" s="556"/>
      <c r="AB104" s="556"/>
      <c r="AC104" s="556"/>
      <c r="AD104" s="29"/>
      <c r="AE104" s="29"/>
      <c r="AF104" s="556">
        <f>H104+K104/Q104*S104</f>
        <v>4.5999999999999996</v>
      </c>
      <c r="AG104" s="556"/>
      <c r="AH104" s="572"/>
      <c r="AI104" s="12"/>
      <c r="AJ104" s="14"/>
      <c r="AK104" s="12"/>
      <c r="AL104" s="12"/>
    </row>
    <row r="105" spans="2:38">
      <c r="B105" s="12"/>
      <c r="C105" s="11"/>
      <c r="D105" s="94"/>
      <c r="E105" s="93"/>
      <c r="F105" s="93"/>
      <c r="G105" s="93"/>
      <c r="H105" s="93"/>
      <c r="I105" s="93"/>
      <c r="J105" s="91"/>
      <c r="K105" s="91"/>
      <c r="L105" s="91"/>
      <c r="M105" s="91"/>
      <c r="N105" s="91"/>
      <c r="O105" s="92"/>
      <c r="P105" s="92"/>
      <c r="Q105" s="92"/>
      <c r="R105" s="92"/>
      <c r="S105" s="91"/>
      <c r="T105" s="91"/>
      <c r="U105" s="93"/>
      <c r="V105" s="93"/>
      <c r="W105" s="93"/>
      <c r="X105" s="19"/>
      <c r="Y105" s="19"/>
      <c r="Z105" s="19"/>
      <c r="AA105" s="24"/>
      <c r="AB105" s="25"/>
      <c r="AC105" s="22"/>
      <c r="AD105" s="21"/>
      <c r="AE105" s="21"/>
      <c r="AF105" s="16"/>
      <c r="AG105" s="16"/>
      <c r="AH105" s="16"/>
      <c r="AI105" s="12"/>
      <c r="AJ105" s="14"/>
      <c r="AK105" s="12"/>
      <c r="AL105" s="12"/>
    </row>
    <row r="106" spans="2:38">
      <c r="B106" s="12"/>
      <c r="C106" s="11"/>
      <c r="D106" s="94"/>
      <c r="E106" s="93"/>
      <c r="F106" s="93"/>
      <c r="G106" s="93"/>
      <c r="H106" s="8" t="s">
        <v>230</v>
      </c>
      <c r="I106" s="9"/>
      <c r="J106" s="9"/>
      <c r="K106" s="9"/>
      <c r="L106" s="9"/>
      <c r="M106" s="9"/>
      <c r="N106" s="9"/>
      <c r="O106" s="9"/>
      <c r="P106" s="9"/>
      <c r="Q106" s="9"/>
      <c r="R106" s="9"/>
      <c r="S106" s="9"/>
      <c r="T106" s="10"/>
      <c r="U106" s="455" t="s">
        <v>247</v>
      </c>
      <c r="V106" s="456"/>
      <c r="W106" s="456"/>
      <c r="X106" s="456"/>
      <c r="Y106" s="456"/>
      <c r="Z106" s="456"/>
      <c r="AA106" s="456"/>
      <c r="AB106" s="456"/>
      <c r="AC106" s="456"/>
      <c r="AD106" s="456"/>
      <c r="AE106" s="456"/>
      <c r="AF106" s="456"/>
      <c r="AG106" s="456"/>
      <c r="AH106" s="457"/>
      <c r="AI106" s="12"/>
      <c r="AJ106" s="14"/>
      <c r="AK106" s="12"/>
      <c r="AL106" s="12"/>
    </row>
    <row r="107" spans="2:38">
      <c r="B107" s="12"/>
      <c r="C107" s="11"/>
      <c r="D107" s="94"/>
      <c r="E107" s="93"/>
      <c r="F107" s="93"/>
      <c r="G107" s="93"/>
      <c r="H107" s="11" t="s">
        <v>248</v>
      </c>
      <c r="I107" s="12"/>
      <c r="J107" s="12"/>
      <c r="K107" s="12"/>
      <c r="L107" s="12"/>
      <c r="M107" s="12"/>
      <c r="N107" s="12"/>
      <c r="O107" s="12"/>
      <c r="P107" s="12"/>
      <c r="Q107" s="12"/>
      <c r="R107" s="12"/>
      <c r="S107" s="12"/>
      <c r="T107" s="14"/>
      <c r="U107" s="585" t="s">
        <v>249</v>
      </c>
      <c r="V107" s="586"/>
      <c r="W107" s="586"/>
      <c r="X107" s="586"/>
      <c r="Y107" s="586"/>
      <c r="Z107" s="586"/>
      <c r="AA107" s="586"/>
      <c r="AB107" s="586"/>
      <c r="AC107" s="586"/>
      <c r="AD107" s="586"/>
      <c r="AE107" s="586"/>
      <c r="AF107" s="586"/>
      <c r="AG107" s="586"/>
      <c r="AH107" s="587"/>
      <c r="AI107" s="12"/>
      <c r="AJ107" s="14"/>
      <c r="AK107" s="12"/>
      <c r="AL107" s="12"/>
    </row>
    <row r="108" spans="2:38">
      <c r="B108" s="12"/>
      <c r="C108" s="11"/>
      <c r="D108" s="94"/>
      <c r="E108" s="93"/>
      <c r="F108" s="93"/>
      <c r="G108" s="93"/>
      <c r="H108" s="15"/>
      <c r="I108" s="24"/>
      <c r="J108" s="24"/>
      <c r="K108" s="24"/>
      <c r="L108" s="24"/>
      <c r="M108" s="24"/>
      <c r="N108" s="24"/>
      <c r="O108" s="24"/>
      <c r="P108" s="20"/>
      <c r="Q108" s="20"/>
      <c r="R108" s="20"/>
      <c r="S108" s="20"/>
      <c r="T108" s="172"/>
      <c r="U108" s="501" t="s">
        <v>40</v>
      </c>
      <c r="V108" s="502"/>
      <c r="W108" s="502"/>
      <c r="X108" s="502"/>
      <c r="Y108" s="502"/>
      <c r="Z108" s="502"/>
      <c r="AA108" s="502"/>
      <c r="AB108" s="502"/>
      <c r="AC108" s="502"/>
      <c r="AD108" s="502"/>
      <c r="AE108" s="502"/>
      <c r="AF108" s="502"/>
      <c r="AG108" s="502"/>
      <c r="AH108" s="503"/>
      <c r="AI108" s="12"/>
      <c r="AJ108" s="14"/>
      <c r="AK108" s="12"/>
      <c r="AL108" s="12"/>
    </row>
    <row r="109" spans="2:38">
      <c r="B109" s="12"/>
      <c r="C109" s="11"/>
      <c r="D109" s="594" t="s">
        <v>177</v>
      </c>
      <c r="E109" s="595"/>
      <c r="F109" s="646" t="s">
        <v>241</v>
      </c>
      <c r="G109" s="710"/>
      <c r="H109" s="551">
        <f>H$31</f>
        <v>3.8</v>
      </c>
      <c r="I109" s="546"/>
      <c r="J109" s="67" t="s">
        <v>213</v>
      </c>
      <c r="K109" s="546">
        <f>H$33</f>
        <v>1.2000000000000002</v>
      </c>
      <c r="L109" s="546"/>
      <c r="M109" s="29"/>
      <c r="N109" s="546"/>
      <c r="O109" s="546"/>
      <c r="P109" s="29" t="s">
        <v>236</v>
      </c>
      <c r="Q109" s="45">
        <v>3</v>
      </c>
      <c r="R109" s="29" t="s">
        <v>215</v>
      </c>
      <c r="S109" s="45">
        <v>2</v>
      </c>
      <c r="T109" s="29" t="s">
        <v>8</v>
      </c>
      <c r="U109" s="551"/>
      <c r="V109" s="546"/>
      <c r="W109" s="546"/>
      <c r="X109" s="24"/>
      <c r="Y109" s="25"/>
      <c r="Z109" s="22"/>
      <c r="AA109" s="546"/>
      <c r="AB109" s="546"/>
      <c r="AC109" s="546"/>
      <c r="AD109" s="29"/>
      <c r="AE109" s="29"/>
      <c r="AF109" s="546">
        <f>H109+K109/Q109*S109</f>
        <v>4.5999999999999996</v>
      </c>
      <c r="AG109" s="546"/>
      <c r="AH109" s="547"/>
      <c r="AI109" s="12"/>
      <c r="AJ109" s="14"/>
      <c r="AK109" s="12"/>
      <c r="AL109" s="12"/>
    </row>
    <row r="110" spans="2:38" ht="20.25">
      <c r="B110" s="12"/>
      <c r="C110" s="11"/>
      <c r="D110" s="594" t="s">
        <v>49</v>
      </c>
      <c r="E110" s="595"/>
      <c r="F110" s="646" t="s">
        <v>242</v>
      </c>
      <c r="G110" s="710"/>
      <c r="H110" s="551">
        <f>H$31</f>
        <v>3.8</v>
      </c>
      <c r="I110" s="546"/>
      <c r="J110" s="67" t="s">
        <v>213</v>
      </c>
      <c r="K110" s="546">
        <f>H$33</f>
        <v>1.2000000000000002</v>
      </c>
      <c r="L110" s="546"/>
      <c r="M110" s="67" t="s">
        <v>213</v>
      </c>
      <c r="N110" s="714" t="s">
        <v>151</v>
      </c>
      <c r="O110" s="479"/>
      <c r="P110" s="29" t="s">
        <v>236</v>
      </c>
      <c r="Q110" s="45">
        <v>3</v>
      </c>
      <c r="R110" s="29" t="s">
        <v>215</v>
      </c>
      <c r="S110" s="45">
        <v>1</v>
      </c>
      <c r="T110" s="29" t="s">
        <v>8</v>
      </c>
      <c r="U110" s="551"/>
      <c r="V110" s="546"/>
      <c r="W110" s="546"/>
      <c r="X110" s="24"/>
      <c r="Y110" s="25"/>
      <c r="Z110" s="22"/>
      <c r="AA110" s="413">
        <f>1/Q110*S110</f>
        <v>0.33333333333333331</v>
      </c>
      <c r="AB110" s="413"/>
      <c r="AC110" s="413"/>
      <c r="AD110" s="65" t="s">
        <v>219</v>
      </c>
      <c r="AE110" s="64"/>
      <c r="AF110" s="546">
        <f>H110+K110</f>
        <v>5</v>
      </c>
      <c r="AG110" s="546"/>
      <c r="AH110" s="547"/>
      <c r="AI110" s="12"/>
      <c r="AJ110" s="14"/>
      <c r="AK110" s="12"/>
      <c r="AL110" s="12"/>
    </row>
    <row r="111" spans="2:38" ht="20.25">
      <c r="B111" s="12"/>
      <c r="C111" s="11"/>
      <c r="D111" s="596"/>
      <c r="E111" s="597"/>
      <c r="F111" s="711" t="s">
        <v>243</v>
      </c>
      <c r="G111" s="712"/>
      <c r="H111" s="551">
        <f>H$31</f>
        <v>3.8</v>
      </c>
      <c r="I111" s="546"/>
      <c r="J111" s="46" t="s">
        <v>213</v>
      </c>
      <c r="K111" s="556">
        <f>H$33</f>
        <v>1.2000000000000002</v>
      </c>
      <c r="L111" s="556"/>
      <c r="M111" s="46" t="s">
        <v>213</v>
      </c>
      <c r="N111" s="714" t="s">
        <v>151</v>
      </c>
      <c r="O111" s="479"/>
      <c r="P111" s="16" t="s">
        <v>236</v>
      </c>
      <c r="Q111" s="28">
        <v>3</v>
      </c>
      <c r="R111" s="16" t="s">
        <v>215</v>
      </c>
      <c r="S111" s="28">
        <v>2</v>
      </c>
      <c r="T111" s="16" t="s">
        <v>8</v>
      </c>
      <c r="U111" s="658"/>
      <c r="V111" s="556"/>
      <c r="W111" s="556"/>
      <c r="X111" s="68"/>
      <c r="Y111" s="65"/>
      <c r="Z111" s="66"/>
      <c r="AA111" s="413">
        <f>1/Q111*S111</f>
        <v>0.66666666666666663</v>
      </c>
      <c r="AB111" s="413"/>
      <c r="AC111" s="413"/>
      <c r="AD111" s="65" t="s">
        <v>219</v>
      </c>
      <c r="AE111" s="64"/>
      <c r="AF111" s="546">
        <f>H111+K111</f>
        <v>5</v>
      </c>
      <c r="AG111" s="546"/>
      <c r="AH111" s="547"/>
      <c r="AI111" s="12"/>
      <c r="AJ111" s="14"/>
      <c r="AK111" s="12"/>
      <c r="AL111" s="12"/>
    </row>
    <row r="112" spans="2:38" s="205" customFormat="1">
      <c r="B112" s="113"/>
      <c r="C112" s="239"/>
      <c r="D112" s="94"/>
      <c r="E112" s="93"/>
      <c r="F112" s="93"/>
      <c r="G112" s="93"/>
      <c r="H112" s="93"/>
      <c r="I112" s="93"/>
      <c r="J112" s="91"/>
      <c r="K112" s="91"/>
      <c r="L112" s="91"/>
      <c r="M112" s="91"/>
      <c r="N112" s="91"/>
      <c r="O112" s="92"/>
      <c r="P112" s="92"/>
      <c r="Q112" s="92"/>
      <c r="R112" s="92"/>
      <c r="S112" s="91"/>
      <c r="T112" s="91"/>
      <c r="U112" s="93"/>
      <c r="V112" s="93"/>
      <c r="W112" s="93"/>
      <c r="X112" s="78"/>
      <c r="Y112" s="78"/>
      <c r="Z112" s="78"/>
      <c r="AA112"/>
      <c r="AB112" s="95"/>
      <c r="AC112" s="96"/>
      <c r="AD112" s="93"/>
      <c r="AE112" s="93"/>
      <c r="AF112" s="113"/>
      <c r="AG112" s="113"/>
      <c r="AH112" s="113"/>
      <c r="AI112" s="113"/>
      <c r="AJ112" s="240"/>
      <c r="AK112" s="113"/>
      <c r="AL112" s="113"/>
    </row>
    <row r="113" spans="2:38">
      <c r="B113" s="12"/>
      <c r="C113" s="11"/>
      <c r="D113" s="94"/>
      <c r="E113" s="93"/>
      <c r="F113" s="93"/>
      <c r="G113" s="93"/>
      <c r="H113" s="93"/>
      <c r="I113" s="93"/>
      <c r="J113" s="91"/>
      <c r="K113" s="91"/>
      <c r="L113" s="91"/>
      <c r="M113" s="91"/>
      <c r="N113" s="91"/>
      <c r="O113" s="92"/>
      <c r="P113" s="92"/>
      <c r="Q113" s="92"/>
      <c r="R113" s="92"/>
      <c r="S113" s="91"/>
      <c r="T113" s="91"/>
      <c r="U113" s="93"/>
      <c r="V113" s="93"/>
      <c r="W113" s="93"/>
      <c r="X113" s="19"/>
      <c r="Y113" s="19"/>
      <c r="Z113" s="19"/>
      <c r="AA113"/>
      <c r="AB113" s="95"/>
      <c r="AC113" s="96"/>
      <c r="AD113" s="93"/>
      <c r="AE113" s="93"/>
      <c r="AF113" s="12"/>
      <c r="AG113" s="12"/>
      <c r="AH113" s="12"/>
      <c r="AI113" s="12"/>
      <c r="AJ113" s="14"/>
      <c r="AK113" s="12"/>
      <c r="AL113" s="12"/>
    </row>
    <row r="114" spans="2:38">
      <c r="B114" s="12"/>
      <c r="C114" s="11"/>
      <c r="D114" s="94"/>
      <c r="E114" s="93"/>
      <c r="F114" s="93"/>
      <c r="G114" s="93"/>
      <c r="H114" s="455" t="s">
        <v>250</v>
      </c>
      <c r="I114" s="456"/>
      <c r="J114" s="456"/>
      <c r="K114" s="456"/>
      <c r="L114" s="456"/>
      <c r="M114" s="456"/>
      <c r="N114" s="456"/>
      <c r="O114" s="456"/>
      <c r="P114" s="456"/>
      <c r="Q114" s="456"/>
      <c r="R114" s="456"/>
      <c r="S114" s="456"/>
      <c r="T114" s="456"/>
      <c r="U114" s="456"/>
      <c r="V114" s="456"/>
      <c r="W114" s="456"/>
      <c r="X114" s="456"/>
      <c r="Y114" s="456"/>
      <c r="Z114" s="456"/>
      <c r="AA114" s="457"/>
      <c r="AB114" s="78"/>
      <c r="AC114" s="12"/>
      <c r="AD114" s="12"/>
      <c r="AE114" s="12"/>
      <c r="AF114" s="12"/>
      <c r="AG114" s="12"/>
      <c r="AH114" s="12"/>
      <c r="AI114" s="12"/>
      <c r="AJ114" s="14"/>
      <c r="AK114" s="12"/>
      <c r="AL114" s="12"/>
    </row>
    <row r="115" spans="2:38">
      <c r="B115" s="12"/>
      <c r="C115" s="11"/>
      <c r="D115" s="12"/>
      <c r="E115" s="93"/>
      <c r="F115" s="93"/>
      <c r="G115" s="93"/>
      <c r="H115" s="585" t="s">
        <v>251</v>
      </c>
      <c r="I115" s="586"/>
      <c r="J115" s="586"/>
      <c r="K115" s="586"/>
      <c r="L115" s="586"/>
      <c r="M115" s="586"/>
      <c r="N115" s="586"/>
      <c r="O115" s="586"/>
      <c r="P115" s="586"/>
      <c r="Q115" s="586"/>
      <c r="R115" s="586"/>
      <c r="S115" s="586"/>
      <c r="T115" s="586"/>
      <c r="U115" s="586"/>
      <c r="V115" s="586"/>
      <c r="W115" s="586"/>
      <c r="X115" s="586"/>
      <c r="Y115" s="586"/>
      <c r="Z115" s="586"/>
      <c r="AA115" s="587"/>
      <c r="AB115" s="311"/>
      <c r="AC115" s="12"/>
      <c r="AD115" s="12"/>
      <c r="AE115" s="12"/>
      <c r="AF115" s="12"/>
      <c r="AG115" s="12"/>
      <c r="AH115" s="12"/>
      <c r="AI115" s="12"/>
      <c r="AJ115" s="14"/>
      <c r="AK115" s="12"/>
      <c r="AL115" s="12"/>
    </row>
    <row r="116" spans="2:38">
      <c r="B116" s="12"/>
      <c r="C116" s="11"/>
      <c r="D116" s="94"/>
      <c r="E116" s="93"/>
      <c r="F116" s="93"/>
      <c r="G116" s="93"/>
      <c r="H116" s="501" t="s">
        <v>252</v>
      </c>
      <c r="I116" s="502"/>
      <c r="J116" s="502"/>
      <c r="K116" s="502"/>
      <c r="L116" s="502"/>
      <c r="M116" s="502"/>
      <c r="N116" s="502"/>
      <c r="O116" s="502"/>
      <c r="P116" s="502"/>
      <c r="Q116" s="502"/>
      <c r="R116" s="502"/>
      <c r="S116" s="502"/>
      <c r="T116" s="502"/>
      <c r="U116" s="502"/>
      <c r="V116" s="502"/>
      <c r="W116" s="502"/>
      <c r="X116" s="502"/>
      <c r="Y116" s="502"/>
      <c r="Z116" s="502"/>
      <c r="AA116" s="503"/>
      <c r="AB116" s="78"/>
      <c r="AC116" s="12"/>
      <c r="AD116" s="12"/>
      <c r="AE116" s="12"/>
      <c r="AF116" s="12"/>
      <c r="AG116" s="12"/>
      <c r="AH116" s="12"/>
      <c r="AI116" s="12"/>
      <c r="AJ116" s="14"/>
      <c r="AK116" s="12"/>
      <c r="AL116" s="12"/>
    </row>
    <row r="117" spans="2:38">
      <c r="B117" s="12"/>
      <c r="C117" s="11"/>
      <c r="D117" s="594" t="s">
        <v>174</v>
      </c>
      <c r="E117" s="595"/>
      <c r="F117" s="504" t="s">
        <v>235</v>
      </c>
      <c r="G117" s="550"/>
      <c r="H117" s="662"/>
      <c r="I117" s="571"/>
      <c r="J117" s="571"/>
      <c r="K117" s="61"/>
      <c r="L117" s="61"/>
      <c r="M117" s="29"/>
      <c r="N117" s="546"/>
      <c r="O117" s="546"/>
      <c r="P117" s="546"/>
      <c r="Q117" s="65"/>
      <c r="R117" s="66"/>
      <c r="S117" s="64"/>
      <c r="T117" s="546"/>
      <c r="U117" s="546"/>
      <c r="V117" s="546"/>
      <c r="W117" s="29"/>
      <c r="X117" s="29"/>
      <c r="Y117" s="546">
        <f>AF85*AF101</f>
        <v>38.006080000000004</v>
      </c>
      <c r="Z117" s="546"/>
      <c r="AA117" s="547"/>
      <c r="AB117" s="23"/>
      <c r="AC117" s="12"/>
      <c r="AD117" s="12"/>
      <c r="AE117" s="12"/>
      <c r="AF117" s="12"/>
      <c r="AG117" s="12"/>
      <c r="AH117" s="12"/>
      <c r="AI117" s="12"/>
      <c r="AJ117" s="14"/>
      <c r="AK117" s="12"/>
      <c r="AL117" s="12"/>
    </row>
    <row r="118" spans="2:38">
      <c r="B118" s="12"/>
      <c r="C118" s="11"/>
      <c r="D118" s="596"/>
      <c r="E118" s="597"/>
      <c r="F118" s="711" t="s">
        <v>237</v>
      </c>
      <c r="G118" s="712"/>
      <c r="H118" s="662"/>
      <c r="I118" s="571"/>
      <c r="J118" s="571"/>
      <c r="K118" s="60"/>
      <c r="L118" s="60"/>
      <c r="M118" s="16"/>
      <c r="N118" s="555"/>
      <c r="O118" s="555"/>
      <c r="P118" s="555"/>
      <c r="Q118" s="95"/>
      <c r="R118" s="96"/>
      <c r="S118" s="93"/>
      <c r="T118" s="555"/>
      <c r="U118" s="555"/>
      <c r="V118" s="555"/>
      <c r="W118" s="12"/>
      <c r="X118" s="12"/>
      <c r="Y118" s="546">
        <f>AF86*AF102</f>
        <v>261.69900799999994</v>
      </c>
      <c r="Z118" s="546"/>
      <c r="AA118" s="547"/>
      <c r="AB118" s="23"/>
      <c r="AC118" s="12"/>
      <c r="AD118" s="12"/>
      <c r="AE118" s="12"/>
      <c r="AF118" s="12"/>
      <c r="AG118" s="12"/>
      <c r="AH118" s="12"/>
      <c r="AI118" s="12"/>
      <c r="AJ118" s="14"/>
      <c r="AK118" s="12"/>
      <c r="AL118" s="12"/>
    </row>
    <row r="119" spans="2:38">
      <c r="B119" s="12"/>
      <c r="C119" s="11"/>
      <c r="D119" s="594" t="s">
        <v>177</v>
      </c>
      <c r="E119" s="595"/>
      <c r="F119" s="504" t="s">
        <v>238</v>
      </c>
      <c r="G119" s="550"/>
      <c r="H119" s="662"/>
      <c r="I119" s="571"/>
      <c r="J119" s="571"/>
      <c r="K119" s="59"/>
      <c r="L119" s="59"/>
      <c r="M119" s="9"/>
      <c r="N119" s="546"/>
      <c r="O119" s="546"/>
      <c r="P119" s="546"/>
      <c r="Q119" s="65"/>
      <c r="R119" s="66"/>
      <c r="S119" s="64"/>
      <c r="T119" s="546"/>
      <c r="U119" s="546"/>
      <c r="V119" s="546"/>
      <c r="W119" s="29"/>
      <c r="X119" s="29"/>
      <c r="Y119" s="546">
        <f>AF87*AF103</f>
        <v>27.4022784</v>
      </c>
      <c r="Z119" s="546"/>
      <c r="AA119" s="547"/>
      <c r="AB119" s="23"/>
      <c r="AC119" s="12"/>
      <c r="AD119" s="12"/>
      <c r="AE119" s="12"/>
      <c r="AF119" s="12"/>
      <c r="AG119" s="12"/>
      <c r="AH119" s="12"/>
      <c r="AI119" s="12"/>
      <c r="AJ119" s="14"/>
      <c r="AK119" s="12"/>
      <c r="AL119" s="12"/>
    </row>
    <row r="120" spans="2:38" ht="19.5" thickBot="1">
      <c r="B120" s="12"/>
      <c r="C120" s="11"/>
      <c r="D120" s="596"/>
      <c r="E120" s="597"/>
      <c r="F120" s="715" t="s">
        <v>239</v>
      </c>
      <c r="G120" s="716"/>
      <c r="H120" s="611"/>
      <c r="I120" s="612"/>
      <c r="J120" s="612"/>
      <c r="K120" s="69"/>
      <c r="L120" s="69"/>
      <c r="M120" s="70"/>
      <c r="N120" s="613"/>
      <c r="O120" s="613"/>
      <c r="P120" s="613"/>
      <c r="Q120" s="71"/>
      <c r="R120" s="72"/>
      <c r="S120" s="73"/>
      <c r="T120" s="613"/>
      <c r="U120" s="613"/>
      <c r="V120" s="613"/>
      <c r="W120" s="70"/>
      <c r="X120" s="70"/>
      <c r="Y120" s="613">
        <f>AF88*AF104</f>
        <v>36.736704000000003</v>
      </c>
      <c r="Z120" s="613"/>
      <c r="AA120" s="648"/>
      <c r="AB120" s="23"/>
      <c r="AC120" s="12"/>
      <c r="AD120" s="12"/>
      <c r="AE120" s="12"/>
      <c r="AF120" s="12"/>
      <c r="AG120" s="12"/>
      <c r="AH120" s="12"/>
      <c r="AI120" s="12"/>
      <c r="AJ120" s="14"/>
      <c r="AK120" s="12"/>
      <c r="AL120" s="12"/>
    </row>
    <row r="121" spans="2:38" ht="19.5" thickTop="1">
      <c r="B121" s="12"/>
      <c r="C121" s="11"/>
      <c r="D121" s="543" t="s">
        <v>253</v>
      </c>
      <c r="E121" s="544"/>
      <c r="F121" s="544"/>
      <c r="G121" s="545"/>
      <c r="H121" s="590"/>
      <c r="I121" s="562"/>
      <c r="J121" s="562"/>
      <c r="K121" s="25"/>
      <c r="L121" s="16"/>
      <c r="M121" s="21"/>
      <c r="N121" s="562"/>
      <c r="O121" s="562"/>
      <c r="P121" s="562"/>
      <c r="Q121" s="25"/>
      <c r="R121" s="22"/>
      <c r="S121" s="21"/>
      <c r="T121" s="562"/>
      <c r="U121" s="562"/>
      <c r="V121" s="562"/>
      <c r="W121" s="25"/>
      <c r="X121" s="21"/>
      <c r="Y121" s="562">
        <f>SUM(Y117:AA120)</f>
        <v>363.84407039999996</v>
      </c>
      <c r="Z121" s="562"/>
      <c r="AA121" s="707"/>
      <c r="AB121" s="178"/>
      <c r="AC121" s="95"/>
      <c r="AD121" s="96"/>
      <c r="AE121" s="93"/>
      <c r="AF121" s="93"/>
      <c r="AG121" s="12"/>
      <c r="AH121" s="12"/>
      <c r="AI121" s="12"/>
      <c r="AJ121" s="14"/>
      <c r="AK121" s="12"/>
      <c r="AL121" s="12"/>
    </row>
    <row r="122" spans="2:38">
      <c r="B122" s="12"/>
      <c r="C122" s="11"/>
      <c r="D122" s="94"/>
      <c r="E122" s="93"/>
      <c r="F122" s="93"/>
      <c r="G122" s="93"/>
      <c r="H122" s="93"/>
      <c r="I122" s="93"/>
      <c r="J122" s="91"/>
      <c r="K122" s="91"/>
      <c r="L122" s="91"/>
      <c r="M122" s="91"/>
      <c r="N122" s="91"/>
      <c r="O122" s="92"/>
      <c r="P122" s="92"/>
      <c r="Q122" s="92"/>
      <c r="R122" s="92"/>
      <c r="S122" s="91"/>
      <c r="T122" s="91"/>
      <c r="U122" s="93"/>
      <c r="V122" s="93"/>
      <c r="W122" s="93"/>
      <c r="X122" s="78"/>
      <c r="Y122" s="78"/>
      <c r="Z122" s="78"/>
      <c r="AA122"/>
      <c r="AB122" s="95"/>
      <c r="AC122" s="96"/>
      <c r="AD122" s="93"/>
      <c r="AE122" s="93"/>
      <c r="AF122" s="12"/>
      <c r="AG122" s="12"/>
      <c r="AH122" s="12"/>
      <c r="AI122" s="12"/>
      <c r="AJ122" s="14"/>
      <c r="AK122" s="12"/>
      <c r="AL122" s="12"/>
    </row>
    <row r="123" spans="2:38" s="205" customFormat="1">
      <c r="B123" s="113"/>
      <c r="C123" s="239"/>
      <c r="D123" s="94"/>
      <c r="E123" s="93"/>
      <c r="F123" s="93"/>
      <c r="G123" s="93"/>
      <c r="H123" s="93"/>
      <c r="I123" s="93"/>
      <c r="J123" s="91"/>
      <c r="K123" s="91"/>
      <c r="L123" s="91"/>
      <c r="M123" s="91"/>
      <c r="N123" s="91"/>
      <c r="O123" s="92"/>
      <c r="P123" s="92"/>
      <c r="Q123" s="92"/>
      <c r="R123" s="92"/>
      <c r="S123" s="91"/>
      <c r="T123" s="91"/>
      <c r="U123" s="93"/>
      <c r="V123" s="93"/>
      <c r="W123" s="93"/>
      <c r="X123" s="78"/>
      <c r="Y123" s="78"/>
      <c r="Z123" s="78"/>
      <c r="AA123"/>
      <c r="AB123" s="95"/>
      <c r="AC123" s="96"/>
      <c r="AD123" s="93"/>
      <c r="AE123" s="93"/>
      <c r="AF123" s="113"/>
      <c r="AG123" s="113"/>
      <c r="AH123" s="113"/>
      <c r="AI123" s="113"/>
      <c r="AJ123" s="240"/>
      <c r="AK123" s="113"/>
      <c r="AL123" s="113"/>
    </row>
    <row r="124" spans="2:38">
      <c r="B124" s="12"/>
      <c r="C124" s="11"/>
      <c r="D124" s="94"/>
      <c r="E124" s="93"/>
      <c r="F124" s="93"/>
      <c r="G124" s="93"/>
      <c r="H124" s="455" t="s">
        <v>254</v>
      </c>
      <c r="I124" s="456"/>
      <c r="J124" s="456"/>
      <c r="K124" s="456"/>
      <c r="L124" s="456"/>
      <c r="M124" s="456"/>
      <c r="N124" s="456"/>
      <c r="O124" s="456"/>
      <c r="P124" s="456"/>
      <c r="Q124" s="456"/>
      <c r="R124" s="456"/>
      <c r="S124" s="456"/>
      <c r="T124" s="456"/>
      <c r="U124" s="456"/>
      <c r="V124" s="456"/>
      <c r="W124" s="456"/>
      <c r="X124" s="456"/>
      <c r="Y124" s="456"/>
      <c r="Z124" s="456"/>
      <c r="AA124" s="457"/>
      <c r="AB124" s="12"/>
      <c r="AC124" s="12"/>
      <c r="AD124" s="12"/>
      <c r="AE124" s="12"/>
      <c r="AF124" s="12"/>
      <c r="AG124" s="12"/>
      <c r="AH124" s="12"/>
      <c r="AI124" s="12"/>
      <c r="AJ124" s="14"/>
      <c r="AK124" s="12"/>
      <c r="AL124" s="12"/>
    </row>
    <row r="125" spans="2:38">
      <c r="B125" s="12"/>
      <c r="C125" s="11"/>
      <c r="D125" s="12"/>
      <c r="E125" s="93"/>
      <c r="F125" s="93"/>
      <c r="G125" s="93"/>
      <c r="H125" s="585" t="s">
        <v>255</v>
      </c>
      <c r="I125" s="586"/>
      <c r="J125" s="586"/>
      <c r="K125" s="586"/>
      <c r="L125" s="586"/>
      <c r="M125" s="586"/>
      <c r="N125" s="586"/>
      <c r="O125" s="586"/>
      <c r="P125" s="586"/>
      <c r="Q125" s="586"/>
      <c r="R125" s="586"/>
      <c r="S125" s="586"/>
      <c r="T125" s="586"/>
      <c r="U125" s="586"/>
      <c r="V125" s="586"/>
      <c r="W125" s="586"/>
      <c r="X125" s="586"/>
      <c r="Y125" s="586"/>
      <c r="Z125" s="586"/>
      <c r="AA125" s="587"/>
      <c r="AB125" s="12"/>
      <c r="AC125" s="12"/>
      <c r="AD125" s="12"/>
      <c r="AE125" s="12"/>
      <c r="AF125" s="12"/>
      <c r="AG125" s="12"/>
      <c r="AH125" s="12"/>
      <c r="AI125" s="12"/>
      <c r="AJ125" s="14"/>
      <c r="AK125" s="12"/>
      <c r="AL125" s="12"/>
    </row>
    <row r="126" spans="2:38">
      <c r="B126" s="12"/>
      <c r="C126" s="11"/>
      <c r="D126" s="94"/>
      <c r="E126" s="93"/>
      <c r="F126" s="93"/>
      <c r="G126" s="93"/>
      <c r="H126" s="501" t="s">
        <v>252</v>
      </c>
      <c r="I126" s="502"/>
      <c r="J126" s="502"/>
      <c r="K126" s="502"/>
      <c r="L126" s="502"/>
      <c r="M126" s="502"/>
      <c r="N126" s="502"/>
      <c r="O126" s="502"/>
      <c r="P126" s="502"/>
      <c r="Q126" s="502"/>
      <c r="R126" s="502"/>
      <c r="S126" s="502"/>
      <c r="T126" s="502"/>
      <c r="U126" s="502"/>
      <c r="V126" s="502"/>
      <c r="W126" s="502"/>
      <c r="X126" s="502"/>
      <c r="Y126" s="502"/>
      <c r="Z126" s="502"/>
      <c r="AA126" s="503"/>
      <c r="AB126" s="12"/>
      <c r="AC126" s="12"/>
      <c r="AD126" s="12"/>
      <c r="AE126" s="12"/>
      <c r="AF126" s="12"/>
      <c r="AG126" s="12"/>
      <c r="AH126" s="12"/>
      <c r="AI126" s="12"/>
      <c r="AJ126" s="14"/>
      <c r="AK126" s="12"/>
      <c r="AL126" s="12"/>
    </row>
    <row r="127" spans="2:38">
      <c r="B127" s="12"/>
      <c r="C127" s="11"/>
      <c r="D127" s="594" t="s">
        <v>177</v>
      </c>
      <c r="E127" s="595"/>
      <c r="F127" s="646" t="s">
        <v>241</v>
      </c>
      <c r="G127" s="710"/>
      <c r="H127" s="662"/>
      <c r="I127" s="571"/>
      <c r="J127" s="571"/>
      <c r="K127" s="59"/>
      <c r="L127" s="61"/>
      <c r="M127" s="29"/>
      <c r="N127" s="546"/>
      <c r="O127" s="546"/>
      <c r="P127" s="546"/>
      <c r="Q127" s="65"/>
      <c r="R127" s="66"/>
      <c r="S127" s="64"/>
      <c r="T127" s="546"/>
      <c r="U127" s="546"/>
      <c r="V127" s="546"/>
      <c r="W127" s="29"/>
      <c r="X127" s="29"/>
      <c r="Y127" s="546">
        <f>AF93*AF109</f>
        <v>47.627222400000001</v>
      </c>
      <c r="Z127" s="546"/>
      <c r="AA127" s="547"/>
      <c r="AB127" s="12"/>
      <c r="AC127" s="12"/>
      <c r="AD127" s="12"/>
      <c r="AE127" s="12"/>
      <c r="AF127" s="12"/>
      <c r="AG127" s="12"/>
      <c r="AH127" s="12"/>
      <c r="AI127" s="12"/>
      <c r="AJ127" s="14"/>
      <c r="AK127" s="12"/>
      <c r="AL127" s="12"/>
    </row>
    <row r="128" spans="2:38" ht="21">
      <c r="B128" s="12"/>
      <c r="C128" s="11"/>
      <c r="D128" s="594" t="s">
        <v>49</v>
      </c>
      <c r="E128" s="595"/>
      <c r="F128" s="504" t="s">
        <v>242</v>
      </c>
      <c r="G128" s="550"/>
      <c r="H128" s="590"/>
      <c r="I128" s="562"/>
      <c r="J128" s="562"/>
      <c r="K128" s="61"/>
      <c r="L128" s="178"/>
      <c r="M128" s="12"/>
      <c r="N128" s="556">
        <f>AA94*AA110</f>
        <v>35.488876563613417</v>
      </c>
      <c r="O128" s="556"/>
      <c r="P128" s="556"/>
      <c r="Q128" s="65" t="s">
        <v>256</v>
      </c>
      <c r="R128" s="22"/>
      <c r="S128" s="21" t="s">
        <v>213</v>
      </c>
      <c r="T128" s="562">
        <f>AA94*AF110</f>
        <v>532.33314845420125</v>
      </c>
      <c r="U128" s="562"/>
      <c r="V128" s="562"/>
      <c r="W128" s="65" t="s">
        <v>151</v>
      </c>
      <c r="X128" s="29"/>
      <c r="Y128" s="546"/>
      <c r="Z128" s="546"/>
      <c r="AA128" s="547"/>
      <c r="AB128" s="23"/>
      <c r="AC128" s="12"/>
      <c r="AD128" s="12"/>
      <c r="AE128" s="12"/>
      <c r="AF128" s="12"/>
      <c r="AG128" s="12"/>
      <c r="AH128" s="12"/>
      <c r="AI128" s="12"/>
      <c r="AJ128" s="14"/>
      <c r="AK128" s="12"/>
      <c r="AL128" s="12"/>
    </row>
    <row r="129" spans="1:41" ht="21.75" thickBot="1">
      <c r="B129" s="12"/>
      <c r="C129" s="11"/>
      <c r="D129" s="596"/>
      <c r="E129" s="597"/>
      <c r="F129" s="715" t="s">
        <v>243</v>
      </c>
      <c r="G129" s="716"/>
      <c r="H129" s="611">
        <f>U95*AA111</f>
        <v>16.700999999999997</v>
      </c>
      <c r="I129" s="612"/>
      <c r="J129" s="612"/>
      <c r="K129" s="71" t="s">
        <v>257</v>
      </c>
      <c r="L129" s="69"/>
      <c r="M129" s="70" t="s">
        <v>213</v>
      </c>
      <c r="N129" s="613">
        <f>U95*AF111+AA95*AA111</f>
        <v>196.23525312722683</v>
      </c>
      <c r="O129" s="613"/>
      <c r="P129" s="613"/>
      <c r="Q129" s="71" t="s">
        <v>256</v>
      </c>
      <c r="R129" s="72"/>
      <c r="S129" s="73" t="s">
        <v>213</v>
      </c>
      <c r="T129" s="613">
        <f>AA95*AF111</f>
        <v>532.33314845420125</v>
      </c>
      <c r="U129" s="613"/>
      <c r="V129" s="613"/>
      <c r="W129" s="71" t="s">
        <v>151</v>
      </c>
      <c r="X129" s="29"/>
      <c r="Y129" s="613"/>
      <c r="Z129" s="613"/>
      <c r="AA129" s="648"/>
      <c r="AB129" s="23"/>
      <c r="AC129" s="12"/>
      <c r="AD129" s="12"/>
      <c r="AE129" s="12"/>
      <c r="AF129" s="12"/>
      <c r="AG129" s="12"/>
      <c r="AH129" s="12"/>
      <c r="AI129" s="12"/>
      <c r="AJ129" s="14"/>
      <c r="AK129" s="12"/>
      <c r="AL129" s="12"/>
    </row>
    <row r="130" spans="1:41" s="205" customFormat="1" ht="21.75" thickTop="1">
      <c r="B130" s="113"/>
      <c r="C130" s="239"/>
      <c r="D130" s="543" t="s">
        <v>258</v>
      </c>
      <c r="E130" s="544"/>
      <c r="F130" s="544"/>
      <c r="G130" s="545"/>
      <c r="H130" s="717">
        <f>SUM(H127:J129)</f>
        <v>16.700999999999997</v>
      </c>
      <c r="I130" s="717"/>
      <c r="J130" s="717"/>
      <c r="K130" s="25" t="s">
        <v>257</v>
      </c>
      <c r="L130" s="313"/>
      <c r="M130" s="75" t="s">
        <v>213</v>
      </c>
      <c r="N130" s="717">
        <f>SUM(N127:P129)</f>
        <v>231.72412969084024</v>
      </c>
      <c r="O130" s="717"/>
      <c r="P130" s="717"/>
      <c r="Q130" s="25" t="s">
        <v>256</v>
      </c>
      <c r="R130" s="22"/>
      <c r="S130" s="75" t="s">
        <v>213</v>
      </c>
      <c r="T130" s="717">
        <f>SUM(T127:V129)</f>
        <v>1064.6662969084025</v>
      </c>
      <c r="U130" s="717"/>
      <c r="V130" s="717"/>
      <c r="W130" s="25" t="s">
        <v>151</v>
      </c>
      <c r="X130" s="75" t="s">
        <v>213</v>
      </c>
      <c r="Y130" s="717">
        <f>SUM(Y127:AA129)</f>
        <v>47.627222400000001</v>
      </c>
      <c r="Z130" s="717"/>
      <c r="AA130" s="718"/>
      <c r="AB130" s="95"/>
      <c r="AC130" s="95"/>
      <c r="AD130" s="96"/>
      <c r="AE130" s="93"/>
      <c r="AF130" s="93"/>
      <c r="AG130" s="113"/>
      <c r="AH130" s="113"/>
      <c r="AI130" s="113"/>
      <c r="AJ130" s="240"/>
      <c r="AK130" s="113"/>
      <c r="AL130" s="113"/>
    </row>
    <row r="131" spans="1:41">
      <c r="B131" s="12"/>
      <c r="C131" s="11"/>
      <c r="D131" s="94"/>
      <c r="E131" s="93"/>
      <c r="F131" s="93"/>
      <c r="G131" s="93"/>
      <c r="H131" s="93"/>
      <c r="I131" s="93"/>
      <c r="J131" s="91"/>
      <c r="K131" s="91"/>
      <c r="L131" s="91"/>
      <c r="M131" s="12"/>
      <c r="N131" s="12"/>
      <c r="O131" s="12"/>
      <c r="P131" s="92"/>
      <c r="Q131" s="92"/>
      <c r="R131" s="92"/>
      <c r="S131" s="91"/>
      <c r="T131" s="91"/>
      <c r="U131" s="93"/>
      <c r="V131" s="93"/>
      <c r="W131" s="93"/>
      <c r="X131" s="78"/>
      <c r="Y131" s="78"/>
      <c r="Z131" s="78"/>
      <c r="AA131"/>
      <c r="AB131" s="95"/>
      <c r="AC131" s="12"/>
      <c r="AD131" s="12"/>
      <c r="AE131" s="12"/>
      <c r="AF131" s="12"/>
      <c r="AG131" s="81"/>
      <c r="AH131" s="81"/>
      <c r="AI131" s="81"/>
      <c r="AJ131" s="99"/>
      <c r="AK131" s="12"/>
      <c r="AL131" s="12"/>
    </row>
    <row r="132" spans="1:41">
      <c r="B132" s="12"/>
      <c r="C132" s="11"/>
      <c r="D132" s="12"/>
      <c r="E132" s="95" t="s">
        <v>259</v>
      </c>
      <c r="F132" s="93"/>
      <c r="G132" s="91"/>
      <c r="H132" s="91"/>
      <c r="P132" s="92"/>
      <c r="Q132" s="92"/>
      <c r="R132" s="92"/>
      <c r="S132" s="91"/>
      <c r="T132" s="91"/>
      <c r="U132" s="93"/>
      <c r="V132" s="93"/>
      <c r="W132" s="93"/>
      <c r="X132" s="78"/>
      <c r="Y132" s="78"/>
      <c r="Z132" s="78"/>
      <c r="AA132"/>
      <c r="AB132" s="95"/>
      <c r="AC132" s="96"/>
      <c r="AD132" s="93"/>
      <c r="AE132" s="93"/>
      <c r="AF132" s="12"/>
      <c r="AG132" s="12"/>
      <c r="AH132" s="12"/>
      <c r="AI132" s="12"/>
      <c r="AJ132" s="14"/>
      <c r="AK132" s="12"/>
      <c r="AL132" s="12"/>
    </row>
    <row r="133" spans="1:41">
      <c r="B133" s="12"/>
      <c r="C133" s="11"/>
      <c r="D133" s="95" t="s">
        <v>260</v>
      </c>
      <c r="E133" s="93"/>
      <c r="F133" s="93"/>
      <c r="G133" s="93"/>
      <c r="H133" s="93"/>
      <c r="I133" s="93"/>
      <c r="J133" s="91"/>
      <c r="K133" s="91"/>
      <c r="L133" s="91"/>
      <c r="M133" s="91"/>
      <c r="N133" s="91"/>
      <c r="O133" s="93"/>
      <c r="P133" s="93"/>
      <c r="Q133" s="93"/>
      <c r="R133" s="93"/>
      <c r="S133" s="91"/>
      <c r="T133" s="91"/>
      <c r="U133" s="93"/>
      <c r="V133" s="93"/>
      <c r="W133" s="93"/>
      <c r="X133" s="78"/>
      <c r="Y133" s="78"/>
      <c r="Z133" s="78"/>
      <c r="AA133"/>
      <c r="AB133" s="95"/>
      <c r="AC133" s="96"/>
      <c r="AD133" s="93"/>
      <c r="AE133" s="93"/>
      <c r="AF133" s="12"/>
      <c r="AG133" s="12"/>
      <c r="AH133" s="12"/>
      <c r="AI133" s="12"/>
      <c r="AJ133" s="14"/>
      <c r="AK133" s="12"/>
      <c r="AL133" s="12"/>
    </row>
    <row r="134" spans="1:41">
      <c r="B134" s="12"/>
      <c r="C134" s="11"/>
      <c r="D134" s="12"/>
      <c r="E134" s="95" t="s">
        <v>261</v>
      </c>
      <c r="F134" s="93"/>
      <c r="G134" s="91"/>
      <c r="H134" s="91"/>
      <c r="L134" s="91"/>
      <c r="Q134" s="93"/>
      <c r="R134" s="93"/>
      <c r="S134" s="91"/>
      <c r="T134" s="91"/>
      <c r="U134" s="93"/>
      <c r="V134" s="93"/>
      <c r="W134" s="93"/>
      <c r="X134" s="78"/>
      <c r="Y134" s="78"/>
      <c r="Z134" s="78"/>
      <c r="AA134"/>
      <c r="AB134" s="95"/>
      <c r="AC134" s="96"/>
      <c r="AD134" s="93"/>
      <c r="AE134" s="93"/>
      <c r="AF134" s="12"/>
      <c r="AG134" s="12"/>
      <c r="AH134" s="12"/>
      <c r="AI134" s="12"/>
      <c r="AJ134" s="14"/>
      <c r="AK134" s="12"/>
      <c r="AL134" s="12"/>
    </row>
    <row r="135" spans="1:41">
      <c r="B135" s="12"/>
      <c r="C135" s="11"/>
      <c r="D135" s="95" t="s">
        <v>262</v>
      </c>
      <c r="E135" s="93"/>
      <c r="F135" s="93"/>
      <c r="G135" s="93"/>
      <c r="AE135" s="93"/>
      <c r="AF135" s="12"/>
      <c r="AG135" s="12"/>
      <c r="AH135" s="12"/>
      <c r="AI135" s="12"/>
      <c r="AJ135" s="14"/>
      <c r="AK135" s="12"/>
      <c r="AL135" s="12"/>
    </row>
    <row r="136" spans="1:41" ht="21">
      <c r="B136" s="12"/>
      <c r="C136" s="11"/>
      <c r="D136" s="95"/>
      <c r="E136" s="588">
        <f>H130-H121</f>
        <v>16.700999999999997</v>
      </c>
      <c r="F136" s="588"/>
      <c r="G136" s="588"/>
      <c r="H136" s="95" t="s">
        <v>257</v>
      </c>
      <c r="I136" s="12"/>
      <c r="J136" s="93" t="s">
        <v>213</v>
      </c>
      <c r="K136" s="588">
        <f>N130-N121</f>
        <v>231.72412969084024</v>
      </c>
      <c r="L136" s="588"/>
      <c r="M136" s="588"/>
      <c r="N136" s="95" t="s">
        <v>256</v>
      </c>
      <c r="O136" s="96"/>
      <c r="P136" s="93" t="s">
        <v>213</v>
      </c>
      <c r="Q136" s="589">
        <f>T130-T121</f>
        <v>1064.6662969084025</v>
      </c>
      <c r="R136" s="589"/>
      <c r="S136" s="589"/>
      <c r="T136" s="95" t="s">
        <v>151</v>
      </c>
      <c r="U136" s="93" t="s">
        <v>213</v>
      </c>
      <c r="V136" s="589">
        <f>Y130-Y121</f>
        <v>-316.21684799999997</v>
      </c>
      <c r="W136" s="589"/>
      <c r="X136" s="589"/>
      <c r="Y136" s="95"/>
      <c r="Z136" s="96" t="s">
        <v>8</v>
      </c>
      <c r="AA136" s="100">
        <v>0</v>
      </c>
      <c r="AE136" s="93"/>
      <c r="AF136" s="12"/>
      <c r="AG136" s="12"/>
      <c r="AH136" s="12"/>
      <c r="AI136" s="12"/>
      <c r="AJ136" s="14"/>
      <c r="AK136" s="12"/>
      <c r="AL136" s="12"/>
    </row>
    <row r="137" spans="1:41">
      <c r="B137" s="12"/>
      <c r="C137" s="11"/>
      <c r="D137" s="95"/>
      <c r="E137" s="93"/>
      <c r="F137" s="93"/>
      <c r="G137" s="93"/>
      <c r="H137" s="93"/>
      <c r="I137" s="93"/>
      <c r="J137" s="91"/>
      <c r="K137" s="91"/>
      <c r="L137" s="91"/>
      <c r="M137" s="91"/>
      <c r="N137" s="91"/>
      <c r="O137" s="93"/>
      <c r="P137" s="93"/>
      <c r="Q137" s="93"/>
      <c r="R137" s="93"/>
      <c r="S137" s="91"/>
      <c r="T137" s="91"/>
      <c r="U137" s="93"/>
      <c r="V137" s="93"/>
      <c r="W137" s="93"/>
      <c r="X137" s="78"/>
      <c r="Y137" s="78"/>
      <c r="Z137" s="78"/>
      <c r="AA137"/>
      <c r="AB137" s="95"/>
      <c r="AC137" s="96"/>
      <c r="AD137" s="93"/>
      <c r="AE137" s="93"/>
      <c r="AF137" s="12"/>
      <c r="AG137" s="12"/>
      <c r="AH137" s="12"/>
      <c r="AI137" s="12"/>
      <c r="AJ137" s="14"/>
      <c r="AK137" s="12"/>
      <c r="AL137" s="12"/>
    </row>
    <row r="138" spans="1:41">
      <c r="B138" s="12"/>
      <c r="C138" s="11"/>
      <c r="D138" s="95" t="s">
        <v>263</v>
      </c>
      <c r="E138" s="93"/>
      <c r="F138" s="93"/>
      <c r="G138" s="93"/>
      <c r="H138" s="93"/>
      <c r="I138" s="93"/>
      <c r="J138" s="91"/>
      <c r="K138" s="91"/>
      <c r="L138" s="91"/>
      <c r="M138" s="91"/>
      <c r="N138" s="91"/>
      <c r="O138" s="93"/>
      <c r="P138" s="93"/>
      <c r="Q138" s="93"/>
      <c r="R138" s="93"/>
      <c r="S138" s="91"/>
      <c r="T138" s="91"/>
      <c r="U138" s="93"/>
      <c r="V138" s="93"/>
      <c r="W138" s="93"/>
      <c r="X138" s="78"/>
      <c r="Y138" s="78"/>
      <c r="Z138" s="78"/>
      <c r="AA138"/>
      <c r="AB138" s="95"/>
      <c r="AC138" s="96"/>
      <c r="AD138" s="93"/>
      <c r="AE138" s="93"/>
      <c r="AF138" s="12"/>
      <c r="AG138" s="12"/>
      <c r="AH138" s="12"/>
      <c r="AI138" s="12"/>
      <c r="AJ138" s="14"/>
      <c r="AK138" s="12"/>
      <c r="AL138" s="12"/>
    </row>
    <row r="139" spans="1:41" customFormat="1">
      <c r="A139" s="79"/>
      <c r="B139" s="79"/>
      <c r="C139" s="85"/>
      <c r="D139" s="79"/>
      <c r="E139" s="79"/>
      <c r="F139" s="82"/>
      <c r="G139" s="3"/>
      <c r="H139" s="83" t="s">
        <v>264</v>
      </c>
      <c r="I139" s="724">
        <f>-K136/(3*E136)</f>
        <v>-4.6249551861333709</v>
      </c>
      <c r="J139" s="724"/>
      <c r="K139" s="724"/>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4"/>
      <c r="AI139" s="85"/>
      <c r="AJ139" s="86"/>
      <c r="AK139" s="79"/>
      <c r="AL139" s="79"/>
      <c r="AM139" s="79"/>
      <c r="AN139" s="79"/>
      <c r="AO139" s="79"/>
    </row>
    <row r="140" spans="1:41" customFormat="1">
      <c r="A140" s="79"/>
      <c r="B140" s="79"/>
      <c r="C140" s="85"/>
      <c r="D140" s="79"/>
      <c r="E140" s="79"/>
      <c r="F140" s="85"/>
      <c r="G140" s="80" t="s">
        <v>265</v>
      </c>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79"/>
      <c r="AH140" s="86"/>
      <c r="AI140" s="85"/>
      <c r="AJ140" s="86"/>
      <c r="AK140" s="79"/>
      <c r="AL140" s="79"/>
      <c r="AM140" s="79"/>
      <c r="AN140" s="79"/>
      <c r="AO140" s="79"/>
    </row>
    <row r="141" spans="1:41" customFormat="1">
      <c r="A141" s="79"/>
      <c r="B141" s="79"/>
      <c r="C141" s="85"/>
      <c r="D141" s="79"/>
      <c r="E141" s="79"/>
      <c r="F141" s="85"/>
      <c r="G141" s="79"/>
      <c r="H141" s="79" t="s">
        <v>14</v>
      </c>
      <c r="I141" s="524">
        <f>Q136/E136-K136^2/(3*E136^2)</f>
        <v>-0.42197583722477106</v>
      </c>
      <c r="J141" s="524"/>
      <c r="K141" s="524"/>
      <c r="L141" s="79"/>
      <c r="M141" s="79"/>
      <c r="N141" s="79"/>
      <c r="O141" s="79"/>
      <c r="P141" s="79"/>
      <c r="Q141" s="79"/>
      <c r="R141" s="79"/>
      <c r="S141" s="79"/>
      <c r="T141" s="79"/>
      <c r="U141" s="79"/>
      <c r="V141" s="79"/>
      <c r="W141" s="79"/>
      <c r="X141" s="79" t="s">
        <v>266</v>
      </c>
      <c r="Y141" s="524">
        <f>(I142/2)^2+(I141/3)^3</f>
        <v>3358.8460269925395</v>
      </c>
      <c r="Z141" s="524"/>
      <c r="AA141" s="524"/>
      <c r="AB141" s="79"/>
      <c r="AC141" s="79"/>
      <c r="AD141" s="79"/>
      <c r="AE141" s="79"/>
      <c r="AF141" s="79"/>
      <c r="AG141" s="79"/>
      <c r="AH141" s="86"/>
      <c r="AI141" s="85"/>
      <c r="AJ141" s="86"/>
      <c r="AK141" s="79"/>
      <c r="AL141" s="79"/>
      <c r="AM141" s="79"/>
      <c r="AN141" s="79"/>
      <c r="AO141" s="79"/>
    </row>
    <row r="142" spans="1:41" customFormat="1">
      <c r="A142" s="79"/>
      <c r="B142" s="79"/>
      <c r="C142" s="85"/>
      <c r="D142" s="79"/>
      <c r="E142" s="79"/>
      <c r="F142" s="85"/>
      <c r="G142" s="79"/>
      <c r="H142" s="79" t="s">
        <v>184</v>
      </c>
      <c r="I142" s="524">
        <f>V136/E136-Q136*K136/(3*E136^2)+2*K136^3/(27*E136^3)</f>
        <v>-115.91115235216012</v>
      </c>
      <c r="J142" s="524"/>
      <c r="K142" s="524"/>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86"/>
      <c r="AI142" s="85"/>
      <c r="AJ142" s="86"/>
      <c r="AK142" s="79"/>
      <c r="AL142" s="79"/>
      <c r="AM142" s="79"/>
      <c r="AN142" s="79"/>
      <c r="AO142" s="79"/>
    </row>
    <row r="143" spans="1:41" customFormat="1">
      <c r="A143" s="79"/>
      <c r="B143" s="79"/>
      <c r="C143" s="85"/>
      <c r="D143" s="79"/>
      <c r="E143" s="79"/>
      <c r="F143" s="85"/>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86"/>
      <c r="AI143" s="85"/>
      <c r="AJ143" s="86"/>
      <c r="AK143" s="79"/>
      <c r="AL143" s="79"/>
      <c r="AM143" s="79"/>
      <c r="AN143" s="79"/>
      <c r="AO143" s="79"/>
    </row>
    <row r="144" spans="1:41" customFormat="1">
      <c r="A144" s="79"/>
      <c r="B144" s="79"/>
      <c r="C144" s="85"/>
      <c r="D144" s="79"/>
      <c r="E144" s="79"/>
      <c r="F144" s="85"/>
      <c r="G144" s="79"/>
      <c r="H144" s="79"/>
      <c r="I144" s="79" t="s">
        <v>267</v>
      </c>
      <c r="J144" s="79"/>
      <c r="K144" s="79"/>
      <c r="L144" s="79"/>
      <c r="M144" s="79" t="s">
        <v>268</v>
      </c>
      <c r="N144" s="79"/>
      <c r="O144" s="79"/>
      <c r="P144" s="79"/>
      <c r="Q144" s="79"/>
      <c r="R144" s="79"/>
      <c r="S144" s="79"/>
      <c r="T144" s="79"/>
      <c r="U144" s="79"/>
      <c r="V144" s="79"/>
      <c r="W144" s="79"/>
      <c r="X144" s="79"/>
      <c r="Y144" s="79" t="s">
        <v>269</v>
      </c>
      <c r="Z144" s="79"/>
      <c r="AA144" s="79"/>
      <c r="AB144" s="79"/>
      <c r="AC144" s="79"/>
      <c r="AD144" s="79"/>
      <c r="AE144" s="79"/>
      <c r="AF144" s="79"/>
      <c r="AG144" s="79"/>
      <c r="AH144" s="86"/>
      <c r="AI144" s="85"/>
      <c r="AJ144" s="86"/>
      <c r="AK144" s="79"/>
      <c r="AL144" s="79"/>
      <c r="AM144" s="79"/>
      <c r="AN144" s="79"/>
      <c r="AO144" s="79"/>
    </row>
    <row r="145" spans="1:41" customFormat="1">
      <c r="A145" s="79"/>
      <c r="B145" s="79"/>
      <c r="C145" s="85"/>
      <c r="D145" s="79"/>
      <c r="E145" s="79"/>
      <c r="F145" s="85"/>
      <c r="G145" s="79"/>
      <c r="H145" s="79" t="s">
        <v>270</v>
      </c>
      <c r="I145" s="524">
        <f>IF(Y141&gt;=0,-I142/2+SQRT(Y141),-I142/2)</f>
        <v>115.91112834317221</v>
      </c>
      <c r="J145" s="524"/>
      <c r="K145" s="524"/>
      <c r="L145" s="79" t="s">
        <v>213</v>
      </c>
      <c r="M145" s="524">
        <f>IF(Y141&gt;=0,0,SQRT(-Y141))</f>
        <v>0</v>
      </c>
      <c r="N145" s="524"/>
      <c r="O145" s="524"/>
      <c r="P145" s="79" t="s">
        <v>271</v>
      </c>
      <c r="Q145" s="79"/>
      <c r="R145" s="79"/>
      <c r="S145" s="79"/>
      <c r="T145" s="79"/>
      <c r="U145" s="79"/>
      <c r="V145" s="79"/>
      <c r="W145" s="79"/>
      <c r="X145" s="79" t="s">
        <v>272</v>
      </c>
      <c r="Y145" s="524">
        <f>SQRT(I145^2+M145^2)</f>
        <v>115.91112834317221</v>
      </c>
      <c r="Z145" s="524"/>
      <c r="AA145" s="524"/>
      <c r="AB145" s="79"/>
      <c r="AC145" s="79" t="s">
        <v>141</v>
      </c>
      <c r="AD145" s="524">
        <f>ATAN2(I145,M145)</f>
        <v>0</v>
      </c>
      <c r="AE145" s="524"/>
      <c r="AF145" s="524"/>
      <c r="AG145" s="79"/>
      <c r="AH145" s="86"/>
      <c r="AI145" s="85"/>
      <c r="AJ145" s="86"/>
      <c r="AK145" s="79"/>
      <c r="AL145" s="79"/>
      <c r="AM145" s="79"/>
      <c r="AN145" s="79"/>
      <c r="AO145" s="79"/>
    </row>
    <row r="146" spans="1:41" customFormat="1">
      <c r="A146" s="79"/>
      <c r="B146" s="79"/>
      <c r="C146" s="85"/>
      <c r="D146" s="79"/>
      <c r="E146" s="79"/>
      <c r="F146" s="85"/>
      <c r="G146" s="79"/>
      <c r="H146" s="79" t="s">
        <v>273</v>
      </c>
      <c r="I146" s="524">
        <f>IF(Y141&gt;=0,-I142/2-SQRT(Y141),-I142/2)</f>
        <v>2.4008987907109258E-5</v>
      </c>
      <c r="J146" s="524"/>
      <c r="K146" s="524"/>
      <c r="L146" s="79" t="s">
        <v>213</v>
      </c>
      <c r="M146" s="524">
        <f>IF(Y141&gt;=0,0,-SQRT(-Y141))</f>
        <v>0</v>
      </c>
      <c r="N146" s="524"/>
      <c r="O146" s="524"/>
      <c r="P146" s="79" t="s">
        <v>271</v>
      </c>
      <c r="Q146" s="79"/>
      <c r="R146" s="79"/>
      <c r="S146" s="79"/>
      <c r="T146" s="79"/>
      <c r="U146" s="79"/>
      <c r="V146" s="79"/>
      <c r="W146" s="79"/>
      <c r="X146" s="79" t="s">
        <v>272</v>
      </c>
      <c r="Y146" s="524">
        <f>SQRT(I146^2+M146^2)</f>
        <v>2.4008987907109258E-5</v>
      </c>
      <c r="Z146" s="524"/>
      <c r="AA146" s="524"/>
      <c r="AB146" s="79"/>
      <c r="AC146" s="79" t="s">
        <v>141</v>
      </c>
      <c r="AD146" s="524">
        <f>ATAN2(I146,M146)</f>
        <v>0</v>
      </c>
      <c r="AE146" s="524"/>
      <c r="AF146" s="524"/>
      <c r="AG146" s="79"/>
      <c r="AH146" s="86"/>
      <c r="AI146" s="85"/>
      <c r="AJ146" s="86"/>
      <c r="AK146" s="79"/>
      <c r="AL146" s="79"/>
      <c r="AM146" s="79"/>
      <c r="AN146" s="79"/>
      <c r="AO146" s="79"/>
    </row>
    <row r="147" spans="1:41" customFormat="1">
      <c r="A147" s="79"/>
      <c r="B147" s="79"/>
      <c r="C147" s="85"/>
      <c r="D147" s="79"/>
      <c r="E147" s="79"/>
      <c r="F147" s="85"/>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86"/>
      <c r="AI147" s="85"/>
      <c r="AJ147" s="86"/>
      <c r="AK147" s="79"/>
      <c r="AL147" s="79"/>
      <c r="AM147" s="79"/>
      <c r="AN147" s="79"/>
      <c r="AO147" s="79"/>
    </row>
    <row r="148" spans="1:41" customFormat="1">
      <c r="A148" s="79"/>
      <c r="B148" s="79"/>
      <c r="C148" s="85"/>
      <c r="D148" s="79"/>
      <c r="E148" s="79"/>
      <c r="F148" s="85"/>
      <c r="G148" s="80" t="s">
        <v>274</v>
      </c>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79"/>
      <c r="AH148" s="86"/>
      <c r="AI148" s="85"/>
      <c r="AJ148" s="86"/>
      <c r="AK148" s="79"/>
      <c r="AL148" s="79"/>
      <c r="AM148" s="79"/>
      <c r="AN148" s="79"/>
      <c r="AO148" s="79"/>
    </row>
    <row r="149" spans="1:41" customFormat="1">
      <c r="A149" s="79"/>
      <c r="B149" s="79"/>
      <c r="C149" s="85"/>
      <c r="D149" s="79"/>
      <c r="E149" s="79"/>
      <c r="F149" s="85"/>
      <c r="G149" s="79"/>
      <c r="H149" s="79"/>
      <c r="I149" s="79" t="s">
        <v>275</v>
      </c>
      <c r="J149" s="79"/>
      <c r="K149" s="79"/>
      <c r="L149" s="79"/>
      <c r="M149" s="79" t="s">
        <v>268</v>
      </c>
      <c r="N149" s="79"/>
      <c r="O149" s="79"/>
      <c r="P149" s="79"/>
      <c r="Q149" s="79"/>
      <c r="R149" s="79"/>
      <c r="S149" s="79"/>
      <c r="T149" s="79"/>
      <c r="U149" s="79"/>
      <c r="V149" s="79"/>
      <c r="W149" s="79"/>
      <c r="X149" s="79"/>
      <c r="Y149" s="79"/>
      <c r="Z149" s="79"/>
      <c r="AA149" s="79"/>
      <c r="AB149" s="79"/>
      <c r="AC149" s="79"/>
      <c r="AD149" s="79"/>
      <c r="AE149" s="79"/>
      <c r="AF149" s="79"/>
      <c r="AG149" s="79"/>
      <c r="AH149" s="86"/>
      <c r="AI149" s="85"/>
      <c r="AJ149" s="86"/>
      <c r="AK149" s="79"/>
      <c r="AL149" s="79"/>
      <c r="AM149" s="79"/>
      <c r="AN149" s="79"/>
      <c r="AO149" s="79"/>
    </row>
    <row r="150" spans="1:41" customFormat="1">
      <c r="A150" s="79"/>
      <c r="B150" s="79"/>
      <c r="C150" s="85"/>
      <c r="D150" s="79"/>
      <c r="E150" s="79"/>
      <c r="F150" s="85"/>
      <c r="G150" s="79"/>
      <c r="H150" s="79" t="s">
        <v>276</v>
      </c>
      <c r="I150" s="524">
        <f>IF(Y145&gt;0,Y145^(1/3)*COS(AD145/3),0)</f>
        <v>4.8757531630474231</v>
      </c>
      <c r="J150" s="524"/>
      <c r="K150" s="524"/>
      <c r="L150" s="79" t="s">
        <v>213</v>
      </c>
      <c r="M150" s="524">
        <f>IF(Y145&gt;0,Y145^(1/3)*SIN(AD145/3),0)</f>
        <v>0</v>
      </c>
      <c r="N150" s="524"/>
      <c r="O150" s="524"/>
      <c r="P150" s="79" t="s">
        <v>271</v>
      </c>
      <c r="Q150" s="79"/>
      <c r="R150" s="79"/>
      <c r="S150" s="79"/>
      <c r="T150" s="79"/>
      <c r="U150" s="79"/>
      <c r="V150" s="79"/>
      <c r="W150" s="79"/>
      <c r="X150" s="79" t="s">
        <v>272</v>
      </c>
      <c r="Y150" s="524">
        <f>I150^2+M150^2</f>
        <v>23.772968906966952</v>
      </c>
      <c r="Z150" s="524"/>
      <c r="AA150" s="524"/>
      <c r="AB150" s="79"/>
      <c r="AC150" s="79" t="s">
        <v>141</v>
      </c>
      <c r="AD150" s="524">
        <f>ATAN2(I150,M150)</f>
        <v>0</v>
      </c>
      <c r="AE150" s="524"/>
      <c r="AF150" s="524"/>
      <c r="AG150" s="79"/>
      <c r="AH150" s="86"/>
      <c r="AI150" s="85"/>
      <c r="AJ150" s="86"/>
      <c r="AK150" s="79"/>
      <c r="AL150" s="79"/>
      <c r="AM150" s="79"/>
      <c r="AN150" s="79"/>
      <c r="AO150" s="79"/>
    </row>
    <row r="151" spans="1:41" customFormat="1">
      <c r="A151" s="79"/>
      <c r="B151" s="79"/>
      <c r="C151" s="85"/>
      <c r="D151" s="79"/>
      <c r="E151" s="79"/>
      <c r="F151" s="85"/>
      <c r="G151" s="79"/>
      <c r="H151" s="79" t="s">
        <v>20</v>
      </c>
      <c r="I151" s="524">
        <f>IF(Y150&gt;0,-I141*I150/(3*Y150),Y146^(1/3)*COS(AD146/3))</f>
        <v>2.8848591736408403E-2</v>
      </c>
      <c r="J151" s="524"/>
      <c r="K151" s="524"/>
      <c r="L151" s="79" t="s">
        <v>213</v>
      </c>
      <c r="M151" s="524">
        <f>IF(Y150&gt;0, I141*M150/(3*Y150),Y146^(1/3)*SIN(AD146/3))</f>
        <v>0</v>
      </c>
      <c r="N151" s="524"/>
      <c r="O151" s="524"/>
      <c r="P151" s="79" t="s">
        <v>271</v>
      </c>
      <c r="Q151" s="79"/>
      <c r="R151" s="79"/>
      <c r="S151" s="79"/>
      <c r="T151" s="79"/>
      <c r="U151" s="79"/>
      <c r="V151" s="79"/>
      <c r="W151" s="79"/>
      <c r="X151" s="79" t="s">
        <v>272</v>
      </c>
      <c r="Y151" s="524">
        <f>I151^2+M151^2</f>
        <v>8.3224124517397113E-4</v>
      </c>
      <c r="Z151" s="524"/>
      <c r="AA151" s="524"/>
      <c r="AB151" s="79"/>
      <c r="AC151" s="79" t="s">
        <v>141</v>
      </c>
      <c r="AD151" s="524">
        <f>ATAN2(I151,M151)</f>
        <v>0</v>
      </c>
      <c r="AE151" s="524"/>
      <c r="AF151" s="524"/>
      <c r="AG151" s="79"/>
      <c r="AH151" s="86"/>
      <c r="AI151" s="85"/>
      <c r="AJ151" s="86"/>
      <c r="AK151" s="79"/>
      <c r="AL151" s="79"/>
      <c r="AM151" s="79"/>
      <c r="AN151" s="79"/>
      <c r="AO151" s="79"/>
    </row>
    <row r="152" spans="1:41" customFormat="1">
      <c r="A152" s="79"/>
      <c r="B152" s="79"/>
      <c r="C152" s="85"/>
      <c r="D152" s="79"/>
      <c r="E152" s="79"/>
      <c r="F152" s="85"/>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86"/>
      <c r="AI152" s="85"/>
      <c r="AJ152" s="86"/>
      <c r="AK152" s="79"/>
      <c r="AL152" s="79"/>
      <c r="AM152" s="79"/>
      <c r="AN152" s="79"/>
      <c r="AO152" s="79"/>
    </row>
    <row r="153" spans="1:41" customFormat="1">
      <c r="A153" s="79"/>
      <c r="B153" s="79"/>
      <c r="C153" s="85"/>
      <c r="D153" s="79"/>
      <c r="E153" s="79"/>
      <c r="F153" s="85"/>
      <c r="G153" s="79"/>
      <c r="H153" s="87" t="s">
        <v>277</v>
      </c>
      <c r="I153" s="524">
        <f>(-I150-M150*SQRT(3))/2</f>
        <v>-2.4378765815237116</v>
      </c>
      <c r="J153" s="524"/>
      <c r="K153" s="524"/>
      <c r="L153" s="79" t="s">
        <v>213</v>
      </c>
      <c r="M153" s="524">
        <f>(I150*SQRT(3)-M150)/2</f>
        <v>4.2225261017813986</v>
      </c>
      <c r="N153" s="524"/>
      <c r="O153" s="524"/>
      <c r="P153" s="79" t="s">
        <v>271</v>
      </c>
      <c r="Q153" s="79"/>
      <c r="R153" s="79"/>
      <c r="S153" s="79"/>
      <c r="T153" s="79"/>
      <c r="U153" s="79"/>
      <c r="V153" s="79"/>
      <c r="W153" s="79"/>
      <c r="X153" s="79" t="s">
        <v>272</v>
      </c>
      <c r="Y153" s="524">
        <f>I153^2+M153^2</f>
        <v>23.772968906966952</v>
      </c>
      <c r="Z153" s="524"/>
      <c r="AA153" s="524"/>
      <c r="AB153" s="79"/>
      <c r="AC153" s="79" t="s">
        <v>141</v>
      </c>
      <c r="AD153" s="524">
        <f>ATAN2(I153,M153)</f>
        <v>2.0943951023931953</v>
      </c>
      <c r="AE153" s="524"/>
      <c r="AF153" s="524"/>
      <c r="AG153" s="79"/>
      <c r="AH153" s="86"/>
      <c r="AI153" s="85"/>
      <c r="AJ153" s="86"/>
      <c r="AK153" s="79"/>
      <c r="AL153" s="79"/>
      <c r="AM153" s="79"/>
      <c r="AN153" s="79"/>
      <c r="AO153" s="79"/>
    </row>
    <row r="154" spans="1:41" customFormat="1">
      <c r="A154" s="79"/>
      <c r="B154" s="79"/>
      <c r="C154" s="85"/>
      <c r="D154" s="79"/>
      <c r="E154" s="79"/>
      <c r="F154" s="85"/>
      <c r="G154" s="79"/>
      <c r="H154" s="87" t="s">
        <v>278</v>
      </c>
      <c r="I154" s="524">
        <f>(-I151+M151*SQRT(3))/2</f>
        <v>-1.4424295868204201E-2</v>
      </c>
      <c r="J154" s="524"/>
      <c r="K154" s="524"/>
      <c r="L154" s="79" t="s">
        <v>213</v>
      </c>
      <c r="M154" s="524">
        <f>(-I151*SQRT(3)-M151)/2</f>
        <v>-2.4983613307135506E-2</v>
      </c>
      <c r="N154" s="524"/>
      <c r="O154" s="524"/>
      <c r="P154" s="79" t="s">
        <v>271</v>
      </c>
      <c r="Q154" s="79"/>
      <c r="R154" s="79"/>
      <c r="S154" s="79"/>
      <c r="T154" s="79"/>
      <c r="U154" s="79"/>
      <c r="V154" s="79"/>
      <c r="W154" s="79"/>
      <c r="X154" s="79" t="s">
        <v>272</v>
      </c>
      <c r="Y154" s="524">
        <f>I154^2+M154^2</f>
        <v>8.3224124517397113E-4</v>
      </c>
      <c r="Z154" s="524"/>
      <c r="AA154" s="524"/>
      <c r="AB154" s="79"/>
      <c r="AC154" s="79" t="s">
        <v>141</v>
      </c>
      <c r="AD154" s="524">
        <f>ATAN2(I154,M154)</f>
        <v>-2.0943951023931957</v>
      </c>
      <c r="AE154" s="524"/>
      <c r="AF154" s="524"/>
      <c r="AG154" s="79"/>
      <c r="AH154" s="86"/>
      <c r="AI154" s="85"/>
      <c r="AJ154" s="86"/>
      <c r="AK154" s="79"/>
      <c r="AL154" s="79"/>
      <c r="AM154" s="79"/>
      <c r="AN154" s="79"/>
      <c r="AO154" s="79"/>
    </row>
    <row r="155" spans="1:41" customFormat="1">
      <c r="A155" s="79"/>
      <c r="B155" s="79"/>
      <c r="C155" s="85"/>
      <c r="D155" s="79"/>
      <c r="E155" s="79"/>
      <c r="F155" s="85"/>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86"/>
      <c r="AI155" s="85"/>
      <c r="AJ155" s="86"/>
      <c r="AK155" s="79"/>
      <c r="AL155" s="79"/>
      <c r="AM155" s="79"/>
      <c r="AN155" s="79"/>
      <c r="AO155" s="79"/>
    </row>
    <row r="156" spans="1:41" customFormat="1">
      <c r="A156" s="79"/>
      <c r="B156" s="79"/>
      <c r="C156" s="85"/>
      <c r="D156" s="79"/>
      <c r="E156" s="79"/>
      <c r="F156" s="85"/>
      <c r="G156" s="79"/>
      <c r="H156" s="87" t="s">
        <v>279</v>
      </c>
      <c r="I156" s="524">
        <f>(-I150+M150*SQRT(3))/2</f>
        <v>-2.4378765815237116</v>
      </c>
      <c r="J156" s="524"/>
      <c r="K156" s="524"/>
      <c r="L156" s="79" t="s">
        <v>213</v>
      </c>
      <c r="M156" s="524">
        <f>(-I150*SQRT(3)-M150)/2</f>
        <v>-4.2225261017813986</v>
      </c>
      <c r="N156" s="524"/>
      <c r="O156" s="524"/>
      <c r="P156" s="79" t="s">
        <v>271</v>
      </c>
      <c r="Q156" s="79"/>
      <c r="R156" s="79"/>
      <c r="S156" s="79"/>
      <c r="T156" s="79"/>
      <c r="U156" s="79"/>
      <c r="V156" s="79"/>
      <c r="W156" s="79"/>
      <c r="X156" s="79" t="s">
        <v>272</v>
      </c>
      <c r="Y156" s="524">
        <f>I156^2+M156^2</f>
        <v>23.772968906966952</v>
      </c>
      <c r="Z156" s="524"/>
      <c r="AA156" s="524"/>
      <c r="AB156" s="79"/>
      <c r="AC156" s="79" t="s">
        <v>141</v>
      </c>
      <c r="AD156" s="524">
        <f>ATAN2(I156,M156)</f>
        <v>-2.0943951023931953</v>
      </c>
      <c r="AE156" s="524"/>
      <c r="AF156" s="524"/>
      <c r="AG156" s="79"/>
      <c r="AH156" s="86"/>
      <c r="AI156" s="85"/>
      <c r="AJ156" s="86"/>
      <c r="AK156" s="79"/>
      <c r="AL156" s="79"/>
      <c r="AM156" s="79"/>
      <c r="AN156" s="79"/>
      <c r="AO156" s="79"/>
    </row>
    <row r="157" spans="1:41" customFormat="1">
      <c r="A157" s="79"/>
      <c r="B157" s="79"/>
      <c r="C157" s="85"/>
      <c r="D157" s="79"/>
      <c r="E157" s="79"/>
      <c r="F157" s="85"/>
      <c r="G157" s="79"/>
      <c r="H157" s="87" t="s">
        <v>280</v>
      </c>
      <c r="I157" s="524">
        <f>(-I151-M151*SQRT(3))/2</f>
        <v>-1.4424295868204201E-2</v>
      </c>
      <c r="J157" s="524"/>
      <c r="K157" s="524"/>
      <c r="L157" s="79" t="s">
        <v>213</v>
      </c>
      <c r="M157" s="524">
        <f>(I151*SQRT(3)-M151)/2</f>
        <v>2.4983613307135506E-2</v>
      </c>
      <c r="N157" s="524"/>
      <c r="O157" s="524"/>
      <c r="P157" s="79" t="s">
        <v>271</v>
      </c>
      <c r="Q157" s="79"/>
      <c r="R157" s="79"/>
      <c r="S157" s="79"/>
      <c r="T157" s="79"/>
      <c r="U157" s="79"/>
      <c r="V157" s="79"/>
      <c r="W157" s="79"/>
      <c r="X157" s="79" t="s">
        <v>272</v>
      </c>
      <c r="Y157" s="524">
        <f>I157^2+M157^2</f>
        <v>8.3224124517397113E-4</v>
      </c>
      <c r="Z157" s="524"/>
      <c r="AA157" s="524"/>
      <c r="AB157" s="79"/>
      <c r="AC157" s="79" t="s">
        <v>141</v>
      </c>
      <c r="AD157" s="524">
        <f>ATAN2(I157,M157)</f>
        <v>2.0943951023931957</v>
      </c>
      <c r="AE157" s="524"/>
      <c r="AF157" s="524"/>
      <c r="AG157" s="79"/>
      <c r="AH157" s="86"/>
      <c r="AI157" s="85"/>
      <c r="AJ157" s="86"/>
      <c r="AK157" s="79"/>
      <c r="AL157" s="79"/>
      <c r="AM157" s="79"/>
      <c r="AN157" s="79"/>
      <c r="AO157" s="79"/>
    </row>
    <row r="158" spans="1:41" customFormat="1" ht="19.5" thickBot="1">
      <c r="A158" s="79"/>
      <c r="B158" s="79"/>
      <c r="C158" s="85"/>
      <c r="D158" s="79"/>
      <c r="E158" s="79"/>
      <c r="F158" s="85"/>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86"/>
      <c r="AI158" s="85"/>
      <c r="AJ158" s="86"/>
      <c r="AK158" s="79"/>
      <c r="AL158" s="79"/>
      <c r="AM158" s="79"/>
      <c r="AN158" s="79"/>
      <c r="AO158" s="79"/>
    </row>
    <row r="159" spans="1:41" customFormat="1" ht="19.5" thickBot="1">
      <c r="A159" s="79"/>
      <c r="B159" s="79"/>
      <c r="C159" s="85"/>
      <c r="D159" s="79"/>
      <c r="E159" s="79"/>
      <c r="F159" s="85"/>
      <c r="G159" s="79"/>
      <c r="H159" s="79" t="s">
        <v>281</v>
      </c>
      <c r="I159" s="563">
        <f>I139+I150+I151</f>
        <v>0.27964656865046067</v>
      </c>
      <c r="J159" s="564"/>
      <c r="K159" s="565"/>
      <c r="L159" s="79" t="s">
        <v>213</v>
      </c>
      <c r="M159" s="577">
        <f>M150+M151</f>
        <v>0</v>
      </c>
      <c r="N159" s="577"/>
      <c r="O159" s="577"/>
      <c r="P159" s="79" t="s">
        <v>271</v>
      </c>
      <c r="Q159" s="79"/>
      <c r="R159" s="79"/>
      <c r="S159" s="79"/>
      <c r="T159" s="79"/>
      <c r="U159" s="79"/>
      <c r="V159" s="79"/>
      <c r="W159" s="79"/>
      <c r="X159" s="79"/>
      <c r="Y159" s="79"/>
      <c r="Z159" s="79"/>
      <c r="AA159" s="79"/>
      <c r="AB159" s="79"/>
      <c r="AC159" s="79"/>
      <c r="AD159" s="79"/>
      <c r="AE159" s="79"/>
      <c r="AF159" s="79"/>
      <c r="AG159" s="79"/>
      <c r="AH159" s="86"/>
      <c r="AI159" s="85"/>
      <c r="AJ159" s="86"/>
      <c r="AK159" s="79"/>
      <c r="AL159" s="79"/>
      <c r="AM159" s="79"/>
      <c r="AN159" s="79"/>
      <c r="AO159" s="79"/>
    </row>
    <row r="160" spans="1:41" customFormat="1">
      <c r="A160" s="79"/>
      <c r="B160" s="79"/>
      <c r="C160" s="85"/>
      <c r="D160" s="79"/>
      <c r="E160" s="79"/>
      <c r="F160" s="85"/>
      <c r="G160" s="79"/>
      <c r="H160" s="79" t="s">
        <v>282</v>
      </c>
      <c r="I160" s="578">
        <f>I139+I153+I154</f>
        <v>-7.0772560635252866</v>
      </c>
      <c r="J160" s="579"/>
      <c r="K160" s="580"/>
      <c r="L160" s="79" t="s">
        <v>213</v>
      </c>
      <c r="M160" s="577">
        <f>M153+M154</f>
        <v>4.1975424884742631</v>
      </c>
      <c r="N160" s="577"/>
      <c r="O160" s="577"/>
      <c r="P160" s="79" t="s">
        <v>271</v>
      </c>
      <c r="Q160" s="79"/>
      <c r="R160" s="79"/>
      <c r="S160" s="79"/>
      <c r="T160" s="79"/>
      <c r="U160" s="79"/>
      <c r="V160" s="79"/>
      <c r="W160" s="79"/>
      <c r="X160" s="79"/>
      <c r="Y160" s="79"/>
      <c r="Z160" s="79"/>
      <c r="AA160" s="79"/>
      <c r="AB160" s="79"/>
      <c r="AC160" s="79"/>
      <c r="AD160" s="79"/>
      <c r="AE160" s="79"/>
      <c r="AF160" s="79"/>
      <c r="AG160" s="79"/>
      <c r="AH160" s="86"/>
      <c r="AI160" s="85"/>
      <c r="AJ160" s="86"/>
      <c r="AK160" s="79"/>
      <c r="AL160" s="79"/>
      <c r="AM160" s="79"/>
      <c r="AN160" s="79"/>
      <c r="AO160" s="79"/>
    </row>
    <row r="161" spans="1:41" customFormat="1">
      <c r="A161" s="79"/>
      <c r="B161" s="79"/>
      <c r="C161" s="85"/>
      <c r="D161" s="79"/>
      <c r="E161" s="79"/>
      <c r="F161" s="85"/>
      <c r="G161" s="79"/>
      <c r="H161" s="79" t="s">
        <v>283</v>
      </c>
      <c r="I161" s="521">
        <f>I139+I156+I157</f>
        <v>-7.0772560635252866</v>
      </c>
      <c r="J161" s="522"/>
      <c r="K161" s="523"/>
      <c r="L161" s="79" t="s">
        <v>213</v>
      </c>
      <c r="M161" s="577">
        <f>M156+M157</f>
        <v>-4.1975424884742631</v>
      </c>
      <c r="N161" s="577"/>
      <c r="O161" s="577"/>
      <c r="P161" s="79" t="s">
        <v>271</v>
      </c>
      <c r="Q161" s="79"/>
      <c r="R161" s="79"/>
      <c r="S161" s="79"/>
      <c r="T161" s="79"/>
      <c r="U161" s="79"/>
      <c r="V161" s="79"/>
      <c r="W161" s="79"/>
      <c r="X161" s="79"/>
      <c r="Y161" s="79"/>
      <c r="Z161" s="79"/>
      <c r="AA161" s="79"/>
      <c r="AB161" s="79"/>
      <c r="AC161" s="79"/>
      <c r="AD161" s="79"/>
      <c r="AE161" s="79"/>
      <c r="AF161" s="79"/>
      <c r="AG161" s="79"/>
      <c r="AH161" s="86"/>
      <c r="AI161" s="85"/>
      <c r="AJ161" s="86"/>
      <c r="AK161" s="79"/>
      <c r="AL161" s="79"/>
      <c r="AM161" s="79"/>
      <c r="AN161" s="79"/>
      <c r="AO161" s="79"/>
    </row>
    <row r="162" spans="1:41" customFormat="1">
      <c r="A162" s="79"/>
      <c r="B162" s="79"/>
      <c r="C162" s="85"/>
      <c r="D162" s="79"/>
      <c r="E162" s="79"/>
      <c r="F162" s="88"/>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9"/>
      <c r="AI162" s="85"/>
      <c r="AJ162" s="86"/>
      <c r="AK162" s="79"/>
      <c r="AL162" s="79"/>
      <c r="AM162" s="79"/>
      <c r="AN162" s="79"/>
      <c r="AO162" s="79"/>
    </row>
    <row r="163" spans="1:41" customFormat="1">
      <c r="A163" s="79"/>
      <c r="B163" s="79"/>
      <c r="C163" s="85"/>
      <c r="D163" s="79"/>
      <c r="E163" s="79"/>
      <c r="F163" s="79"/>
      <c r="G163" s="79"/>
      <c r="H163" s="79" t="s">
        <v>284</v>
      </c>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86"/>
      <c r="AK163" s="79"/>
      <c r="AL163" s="79"/>
      <c r="AM163" s="79"/>
      <c r="AN163" s="79"/>
      <c r="AO163" s="79"/>
    </row>
    <row r="164" spans="1:41" customFormat="1" ht="20.25">
      <c r="A164" s="79"/>
      <c r="B164" s="79"/>
      <c r="C164" s="85"/>
      <c r="D164" s="79"/>
      <c r="E164" s="79"/>
      <c r="F164" s="79"/>
      <c r="G164" s="79"/>
      <c r="H164" s="79" t="s">
        <v>285</v>
      </c>
      <c r="I164" s="79"/>
      <c r="J164" s="521">
        <f>I159</f>
        <v>0.27964656865046067</v>
      </c>
      <c r="K164" s="522"/>
      <c r="L164" s="523"/>
      <c r="M164" s="79" t="s">
        <v>9</v>
      </c>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86"/>
      <c r="AK164" s="79"/>
      <c r="AL164" s="79"/>
      <c r="AM164" s="79"/>
      <c r="AN164" s="79"/>
      <c r="AO164" s="79"/>
    </row>
    <row r="165" spans="1:41" customFormat="1">
      <c r="A165" s="79"/>
      <c r="B165" s="79"/>
      <c r="C165" s="85"/>
      <c r="D165" s="79"/>
      <c r="E165" s="79"/>
      <c r="F165" s="79"/>
      <c r="G165" s="79"/>
      <c r="H165" s="79"/>
      <c r="I165" s="79"/>
      <c r="J165" s="171"/>
      <c r="K165" s="171"/>
      <c r="L165" s="171"/>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86"/>
      <c r="AK165" s="79"/>
      <c r="AL165" s="79"/>
      <c r="AM165" s="79"/>
      <c r="AN165" s="79"/>
      <c r="AO165" s="79"/>
    </row>
    <row r="166" spans="1:41">
      <c r="B166" s="12"/>
      <c r="C166" s="11" t="s">
        <v>286</v>
      </c>
      <c r="D166" s="94"/>
      <c r="E166" s="93"/>
      <c r="F166" s="93"/>
      <c r="G166" s="93"/>
      <c r="H166" s="93"/>
      <c r="I166" s="93"/>
      <c r="J166" s="91"/>
      <c r="K166" s="91"/>
      <c r="L166" s="91"/>
      <c r="M166" s="91"/>
      <c r="N166" s="91"/>
      <c r="O166" s="92"/>
      <c r="P166" s="92"/>
      <c r="Q166" s="92"/>
      <c r="R166" s="92"/>
      <c r="S166" s="91"/>
      <c r="T166" s="91"/>
      <c r="U166" s="93"/>
      <c r="V166" s="93"/>
      <c r="W166" s="93"/>
      <c r="X166" s="78"/>
      <c r="Y166" s="78"/>
      <c r="Z166" s="78"/>
      <c r="AA166"/>
      <c r="AB166" s="95"/>
      <c r="AC166" s="96"/>
      <c r="AD166" s="93"/>
      <c r="AE166" s="93"/>
      <c r="AF166" s="12"/>
      <c r="AG166" s="12"/>
      <c r="AH166" s="12"/>
      <c r="AI166" s="12"/>
      <c r="AJ166" s="14"/>
      <c r="AK166" s="12"/>
      <c r="AL166" s="12"/>
    </row>
    <row r="167" spans="1:41" ht="20.25">
      <c r="B167" s="12"/>
      <c r="C167" s="11"/>
      <c r="D167" s="94"/>
      <c r="E167" s="93"/>
      <c r="F167" s="665" t="s">
        <v>287</v>
      </c>
      <c r="G167" s="665"/>
      <c r="H167" s="665"/>
      <c r="I167" s="665"/>
      <c r="J167" s="665"/>
      <c r="K167" s="665"/>
      <c r="L167" s="625">
        <f>H20</f>
        <v>1.2000000000000002</v>
      </c>
      <c r="M167" s="574"/>
      <c r="N167" s="91" t="s">
        <v>8</v>
      </c>
      <c r="O167" s="548">
        <f>J164</f>
        <v>0.27964656865046067</v>
      </c>
      <c r="P167" s="548"/>
      <c r="Q167" s="548"/>
      <c r="R167" s="92" t="s">
        <v>213</v>
      </c>
      <c r="S167" s="625">
        <f>L167</f>
        <v>1.2000000000000002</v>
      </c>
      <c r="T167" s="574"/>
      <c r="U167" s="574"/>
      <c r="V167" s="93" t="s">
        <v>8</v>
      </c>
      <c r="W167" s="626">
        <f>O167+S167</f>
        <v>1.4796465686504607</v>
      </c>
      <c r="X167" s="626"/>
      <c r="Y167" s="626"/>
      <c r="Z167" s="78" t="s">
        <v>288</v>
      </c>
      <c r="AA167" s="573">
        <f>AD5</f>
        <v>1.2</v>
      </c>
      <c r="AB167" s="574"/>
      <c r="AC167" s="96" t="s">
        <v>289</v>
      </c>
      <c r="AD167" s="92"/>
      <c r="AE167" s="92"/>
      <c r="AF167" s="92"/>
      <c r="AG167" s="91"/>
      <c r="AH167" s="91"/>
      <c r="AI167" s="12"/>
      <c r="AJ167" s="14"/>
    </row>
    <row r="168" spans="1:41">
      <c r="B168" s="12"/>
      <c r="C168" s="11"/>
      <c r="D168" s="94"/>
      <c r="E168" s="93"/>
      <c r="F168" s="93"/>
      <c r="G168" s="93"/>
      <c r="H168" s="79" t="s">
        <v>290</v>
      </c>
      <c r="I168" s="93"/>
      <c r="J168" s="521">
        <f>W167*AA167</f>
        <v>1.7755758823805528</v>
      </c>
      <c r="K168" s="522"/>
      <c r="L168" s="523"/>
      <c r="M168" s="91" t="s">
        <v>9</v>
      </c>
      <c r="N168" s="91"/>
      <c r="O168" s="92"/>
      <c r="P168" s="92"/>
      <c r="Q168" s="92"/>
      <c r="R168" s="92"/>
      <c r="S168" s="91"/>
      <c r="T168" s="91"/>
      <c r="U168" s="93"/>
      <c r="V168" s="93"/>
      <c r="W168" s="93"/>
      <c r="X168" s="78"/>
      <c r="Y168" s="78"/>
      <c r="Z168" s="78"/>
      <c r="AA168"/>
      <c r="AB168" s="95"/>
      <c r="AC168" s="96"/>
      <c r="AD168" s="93"/>
      <c r="AE168" s="93"/>
      <c r="AF168" s="12"/>
      <c r="AG168" s="12"/>
      <c r="AH168" s="12"/>
      <c r="AI168" s="12"/>
      <c r="AJ168" s="14"/>
      <c r="AK168" s="12"/>
      <c r="AL168" s="12"/>
    </row>
    <row r="169" spans="1:41">
      <c r="B169" s="12"/>
      <c r="C169" s="11"/>
      <c r="D169" s="94"/>
      <c r="E169" s="93"/>
      <c r="F169" s="93"/>
      <c r="G169" s="93"/>
      <c r="H169" s="79"/>
      <c r="I169" s="93"/>
      <c r="J169" s="171"/>
      <c r="K169" s="171"/>
      <c r="L169" s="171"/>
      <c r="M169" s="91"/>
      <c r="N169" s="91"/>
      <c r="O169" s="92"/>
      <c r="P169" s="92"/>
      <c r="Q169" s="92"/>
      <c r="R169" s="92"/>
      <c r="S169" s="91"/>
      <c r="T169" s="91"/>
      <c r="U169" s="93"/>
      <c r="V169" s="93"/>
      <c r="W169" s="93"/>
      <c r="X169" s="78"/>
      <c r="Y169" s="78"/>
      <c r="Z169" s="78"/>
      <c r="AA169"/>
      <c r="AB169" s="95"/>
      <c r="AC169" s="96"/>
      <c r="AD169" s="93"/>
      <c r="AE169" s="93"/>
      <c r="AF169" s="12"/>
      <c r="AG169" s="12"/>
      <c r="AH169" s="12"/>
      <c r="AI169" s="12"/>
      <c r="AJ169" s="14"/>
      <c r="AK169" s="12"/>
      <c r="AL169" s="12"/>
    </row>
    <row r="170" spans="1:41">
      <c r="B170" s="12"/>
      <c r="C170" s="11"/>
      <c r="D170" s="94"/>
      <c r="E170" s="93"/>
      <c r="F170" s="96" t="s">
        <v>291</v>
      </c>
      <c r="G170" s="93"/>
      <c r="H170" s="79"/>
      <c r="I170" s="93"/>
      <c r="J170" s="171"/>
      <c r="K170" s="171"/>
      <c r="L170" s="171"/>
      <c r="M170" s="91"/>
      <c r="N170" s="91"/>
      <c r="O170" s="92"/>
      <c r="P170" s="92"/>
      <c r="Q170" s="171"/>
      <c r="R170" s="92"/>
      <c r="S170" s="91"/>
      <c r="T170" s="91"/>
      <c r="U170" s="93"/>
      <c r="V170" s="93"/>
      <c r="W170" s="93"/>
      <c r="X170" s="78"/>
      <c r="Y170" s="78"/>
      <c r="Z170" s="78"/>
      <c r="AA170"/>
      <c r="AB170" s="95"/>
      <c r="AC170" s="96"/>
      <c r="AD170" s="93"/>
      <c r="AE170" s="93"/>
      <c r="AF170" s="12"/>
      <c r="AG170" s="12"/>
      <c r="AH170" s="12"/>
      <c r="AI170" s="12"/>
      <c r="AJ170" s="14"/>
      <c r="AK170" s="12"/>
      <c r="AL170" s="12"/>
    </row>
    <row r="171" spans="1:41">
      <c r="B171" s="12"/>
      <c r="C171" s="11"/>
      <c r="D171" s="94"/>
      <c r="E171" s="93"/>
      <c r="F171" s="93"/>
      <c r="G171" s="93"/>
      <c r="H171" s="33" t="s">
        <v>132</v>
      </c>
      <c r="I171" s="12" t="s">
        <v>8</v>
      </c>
      <c r="J171" s="577">
        <f>-AB10</f>
        <v>4.8</v>
      </c>
      <c r="K171" s="577"/>
      <c r="L171" s="577"/>
      <c r="M171" s="12" t="s">
        <v>213</v>
      </c>
      <c r="N171" s="577">
        <f>J168</f>
        <v>1.7755758823805528</v>
      </c>
      <c r="O171" s="577"/>
      <c r="P171" s="577"/>
      <c r="Q171" s="171"/>
      <c r="R171" s="92"/>
      <c r="S171" s="91"/>
      <c r="T171" s="91"/>
      <c r="U171" s="93"/>
      <c r="V171" s="93"/>
      <c r="W171" s="93"/>
      <c r="X171" s="78"/>
      <c r="Y171" s="78"/>
      <c r="Z171" s="78"/>
      <c r="AA171"/>
      <c r="AB171" s="95"/>
      <c r="AC171" s="96"/>
      <c r="AD171" s="93"/>
      <c r="AE171" s="93"/>
      <c r="AF171" s="12"/>
      <c r="AG171" s="12"/>
      <c r="AH171" s="12"/>
      <c r="AI171" s="12"/>
      <c r="AJ171" s="14"/>
      <c r="AK171" s="12"/>
      <c r="AL171" s="12"/>
    </row>
    <row r="172" spans="1:41">
      <c r="C172" s="101"/>
      <c r="D172" s="102"/>
      <c r="E172" s="102"/>
      <c r="F172" s="102"/>
      <c r="G172" s="102"/>
      <c r="H172" s="102"/>
      <c r="I172" s="102" t="s">
        <v>8</v>
      </c>
      <c r="J172" s="562">
        <f>J171+N171</f>
        <v>6.5755758823805524</v>
      </c>
      <c r="K172" s="562"/>
      <c r="L172" s="562"/>
      <c r="M172" s="102" t="s">
        <v>9</v>
      </c>
      <c r="N172" s="102"/>
      <c r="O172" s="102"/>
      <c r="P172" s="102"/>
      <c r="Q172" s="102"/>
      <c r="R172" s="102"/>
      <c r="S172" s="102"/>
      <c r="T172" s="102"/>
      <c r="U172" s="102"/>
      <c r="V172" s="102"/>
      <c r="W172" s="102"/>
      <c r="X172" s="102"/>
      <c r="Y172" s="102"/>
      <c r="Z172" s="102"/>
      <c r="AA172" s="102"/>
      <c r="AB172" s="102"/>
      <c r="AC172" s="102"/>
      <c r="AD172" s="103"/>
      <c r="AE172" s="103"/>
      <c r="AF172" s="104"/>
      <c r="AG172" s="104"/>
      <c r="AH172" s="104"/>
      <c r="AI172" s="104"/>
      <c r="AJ172" s="105"/>
      <c r="AK172" s="12"/>
      <c r="AL172" s="12"/>
    </row>
    <row r="173" spans="1:41">
      <c r="C173" s="55"/>
      <c r="D173" s="55"/>
      <c r="E173" s="55"/>
      <c r="F173" s="55"/>
      <c r="G173" s="55"/>
      <c r="H173" s="55"/>
      <c r="I173" s="55"/>
      <c r="J173" s="178"/>
      <c r="K173" s="178"/>
      <c r="L173" s="178"/>
      <c r="M173" s="55"/>
      <c r="N173" s="55"/>
      <c r="O173" s="55"/>
      <c r="P173" s="55"/>
      <c r="Q173" s="55"/>
      <c r="R173" s="55"/>
      <c r="S173" s="55"/>
      <c r="T173" s="55"/>
      <c r="U173" s="55"/>
      <c r="V173" s="55"/>
      <c r="W173" s="55"/>
      <c r="X173" s="55"/>
      <c r="Y173" s="55"/>
      <c r="Z173" s="55"/>
      <c r="AA173" s="55"/>
      <c r="AB173" s="55"/>
      <c r="AC173" s="55"/>
      <c r="AD173" s="39"/>
      <c r="AE173" s="39"/>
      <c r="AF173" s="41"/>
      <c r="AG173" s="41"/>
      <c r="AH173" s="41"/>
      <c r="AI173" s="41"/>
    </row>
    <row r="174" spans="1:41">
      <c r="A174" s="12"/>
      <c r="C174" s="12" t="s">
        <v>292</v>
      </c>
      <c r="D174" s="55"/>
      <c r="E174" s="55"/>
      <c r="F174" s="55"/>
      <c r="G174" s="55"/>
      <c r="H174" s="55"/>
      <c r="I174" s="55"/>
      <c r="J174" s="55"/>
      <c r="K174" s="55"/>
      <c r="L174" s="55"/>
      <c r="M174" s="55"/>
      <c r="N174" s="55"/>
      <c r="O174" s="55"/>
      <c r="P174" s="55"/>
      <c r="Q174" s="55"/>
      <c r="R174" s="55"/>
      <c r="S174" s="55"/>
      <c r="T174" s="55"/>
      <c r="U174" s="55"/>
      <c r="V174"/>
      <c r="W174" s="55"/>
      <c r="X174" s="55"/>
      <c r="Y174" s="55"/>
      <c r="Z174" s="55"/>
      <c r="AA174" s="55"/>
      <c r="AB174" s="55"/>
      <c r="AC174" s="39"/>
      <c r="AD174" s="39"/>
      <c r="AE174" s="41"/>
      <c r="AF174" s="41"/>
      <c r="AG174" s="41"/>
      <c r="AH174" s="41"/>
    </row>
    <row r="175" spans="1:41">
      <c r="B175" s="12"/>
      <c r="C175" s="8" t="s">
        <v>157</v>
      </c>
      <c r="D175" s="9"/>
      <c r="E175" s="9"/>
      <c r="F175" s="9"/>
      <c r="G175" s="9"/>
      <c r="H175" s="9"/>
      <c r="I175" s="9"/>
      <c r="J175" s="9"/>
      <c r="K175" s="9"/>
      <c r="L175" s="9"/>
      <c r="M175" s="9"/>
      <c r="N175" s="9"/>
      <c r="O175" s="9"/>
      <c r="P175" s="9"/>
      <c r="Q175" s="9"/>
      <c r="R175" s="9"/>
      <c r="S175" s="9"/>
      <c r="T175" s="9"/>
      <c r="U175" s="9"/>
      <c r="V175" s="9"/>
      <c r="W175" s="9"/>
      <c r="X175" s="9"/>
      <c r="Y175" s="9"/>
      <c r="Z175" s="9"/>
      <c r="AA175" s="3" t="s">
        <v>196</v>
      </c>
      <c r="AB175" s="9"/>
      <c r="AC175" s="9"/>
      <c r="AD175" s="9"/>
      <c r="AE175" s="9"/>
      <c r="AF175" s="9"/>
      <c r="AG175" s="9"/>
      <c r="AH175" s="9"/>
      <c r="AI175" s="9"/>
      <c r="AJ175" s="10"/>
    </row>
    <row r="176" spans="1:41">
      <c r="B176" s="12"/>
      <c r="C176" s="11"/>
      <c r="D176" s="12"/>
      <c r="E176" s="12"/>
      <c r="F176" s="12"/>
      <c r="G176"/>
      <c r="H176" s="455" t="s">
        <v>159</v>
      </c>
      <c r="I176" s="457"/>
      <c r="J176" s="455" t="s">
        <v>26</v>
      </c>
      <c r="K176" s="457"/>
      <c r="L176" s="452" t="s">
        <v>160</v>
      </c>
      <c r="M176" s="453"/>
      <c r="N176" s="453"/>
      <c r="O176" s="455"/>
      <c r="P176" s="457"/>
      <c r="Q176" s="455"/>
      <c r="R176" s="456"/>
      <c r="S176" s="456"/>
      <c r="T176" s="455"/>
      <c r="U176" s="457"/>
      <c r="V176" s="455"/>
      <c r="W176" s="456"/>
      <c r="X176" s="668" t="s">
        <v>161</v>
      </c>
      <c r="Y176" s="669"/>
      <c r="Z176" s="670"/>
      <c r="AA176" s="455" t="s">
        <v>162</v>
      </c>
      <c r="AB176" s="456"/>
      <c r="AC176" s="457"/>
      <c r="AD176" s="455" t="s">
        <v>163</v>
      </c>
      <c r="AE176" s="456"/>
      <c r="AF176" s="456"/>
      <c r="AG176" s="456"/>
      <c r="AH176" s="456"/>
      <c r="AI176" s="457"/>
      <c r="AJ176" s="90"/>
      <c r="AK176" s="12"/>
    </row>
    <row r="177" spans="2:37" ht="20.25">
      <c r="B177" s="12"/>
      <c r="C177" s="11"/>
      <c r="D177" s="12"/>
      <c r="E177" s="12"/>
      <c r="F177" s="12"/>
      <c r="G177"/>
      <c r="H177" s="438" t="s">
        <v>34</v>
      </c>
      <c r="I177" s="439"/>
      <c r="J177" s="440"/>
      <c r="K177" s="463"/>
      <c r="L177" s="438" t="s">
        <v>164</v>
      </c>
      <c r="M177" s="371"/>
      <c r="N177" s="371"/>
      <c r="O177" s="435" t="s">
        <v>35</v>
      </c>
      <c r="P177" s="437"/>
      <c r="Q177" s="616" t="s">
        <v>165</v>
      </c>
      <c r="R177" s="371"/>
      <c r="S177" s="439"/>
      <c r="T177" s="512" t="s">
        <v>39</v>
      </c>
      <c r="U177" s="513"/>
      <c r="V177" s="438" t="s">
        <v>166</v>
      </c>
      <c r="W177" s="371"/>
      <c r="X177" s="438" t="s">
        <v>167</v>
      </c>
      <c r="Y177" s="371"/>
      <c r="Z177" s="439"/>
      <c r="AA177" s="438" t="s">
        <v>168</v>
      </c>
      <c r="AB177" s="371"/>
      <c r="AC177" s="439"/>
      <c r="AD177" s="438" t="s">
        <v>169</v>
      </c>
      <c r="AE177" s="371"/>
      <c r="AF177" s="371"/>
      <c r="AG177" s="371"/>
      <c r="AH177" s="371"/>
      <c r="AI177" s="439"/>
      <c r="AJ177" s="90"/>
      <c r="AK177" s="12"/>
    </row>
    <row r="178" spans="2:37" ht="20.25">
      <c r="B178" s="12"/>
      <c r="C178" s="11"/>
      <c r="D178" s="12"/>
      <c r="E178" s="12"/>
      <c r="F178" s="12"/>
      <c r="G178"/>
      <c r="H178" s="501" t="s">
        <v>40</v>
      </c>
      <c r="I178" s="503"/>
      <c r="J178" s="501"/>
      <c r="K178" s="503"/>
      <c r="L178" s="501"/>
      <c r="M178" s="502"/>
      <c r="N178" s="502"/>
      <c r="O178" s="432" t="s">
        <v>41</v>
      </c>
      <c r="P178" s="434"/>
      <c r="Q178" s="432" t="s">
        <v>44</v>
      </c>
      <c r="R178" s="433"/>
      <c r="S178" s="433"/>
      <c r="T178" s="432" t="s">
        <v>44</v>
      </c>
      <c r="U178" s="433"/>
      <c r="V178" s="432" t="s">
        <v>44</v>
      </c>
      <c r="W178" s="433"/>
      <c r="X178" s="432" t="s">
        <v>44</v>
      </c>
      <c r="Y178" s="433"/>
      <c r="Z178" s="433"/>
      <c r="AA178" s="432" t="s">
        <v>44</v>
      </c>
      <c r="AB178" s="433"/>
      <c r="AC178" s="433"/>
      <c r="AD178" s="501" t="s">
        <v>44</v>
      </c>
      <c r="AE178" s="502"/>
      <c r="AF178" s="502"/>
      <c r="AG178" s="502"/>
      <c r="AH178" s="502"/>
      <c r="AI178" s="503"/>
      <c r="AJ178" s="90"/>
      <c r="AK178" s="12"/>
    </row>
    <row r="179" spans="2:37">
      <c r="B179" s="12"/>
      <c r="C179" s="11"/>
      <c r="D179" s="594" t="s">
        <v>45</v>
      </c>
      <c r="E179" s="595"/>
      <c r="F179" s="452" t="s">
        <v>170</v>
      </c>
      <c r="G179" s="454"/>
      <c r="H179" s="514">
        <f>'1.設計条件'!F23</f>
        <v>1</v>
      </c>
      <c r="I179" s="617"/>
      <c r="J179" s="491" t="str">
        <f>'1.設計条件'!H23</f>
        <v>砂質</v>
      </c>
      <c r="K179" s="602"/>
      <c r="L179" s="491">
        <f>ROUND(TAN(RADIANS(45-'1.設計条件'!AB23/2))^2,3)</f>
        <v>0.376</v>
      </c>
      <c r="M179" s="492"/>
      <c r="N179" s="492"/>
      <c r="O179" s="491">
        <f>IF('1.設計条件'!L23="-",'1.設計条件'!P23,'1.設計条件'!X23)</f>
        <v>18</v>
      </c>
      <c r="P179" s="602"/>
      <c r="Q179" s="504">
        <f>'1.設計条件'!R$15</f>
        <v>10</v>
      </c>
      <c r="R179" s="505"/>
      <c r="S179" s="550"/>
      <c r="T179" s="483">
        <f>'1.設計条件'!AF23</f>
        <v>0</v>
      </c>
      <c r="U179" s="484"/>
      <c r="V179" s="491">
        <f>2*T179*SQRT(L179)</f>
        <v>0</v>
      </c>
      <c r="W179" s="492"/>
      <c r="X179" s="504">
        <f>L179*Q179-V179</f>
        <v>3.76</v>
      </c>
      <c r="Y179" s="505"/>
      <c r="Z179" s="550"/>
      <c r="AA179" s="504">
        <v>0</v>
      </c>
      <c r="AB179" s="505"/>
      <c r="AC179" s="550"/>
      <c r="AD179" s="552" t="s">
        <v>171</v>
      </c>
      <c r="AE179" s="553"/>
      <c r="AF179" s="553"/>
      <c r="AG179" s="505">
        <f>IF(J179="砂質",IF(X179&lt;0, 0,X179), IF(X179&gt;AA179,X179,AA179))</f>
        <v>3.76</v>
      </c>
      <c r="AH179" s="505"/>
      <c r="AI179" s="550"/>
      <c r="AJ179" s="90"/>
      <c r="AK179" s="12"/>
    </row>
    <row r="180" spans="2:37">
      <c r="B180" s="12"/>
      <c r="C180" s="11"/>
      <c r="D180" s="596"/>
      <c r="E180" s="597"/>
      <c r="F180" s="432" t="s">
        <v>172</v>
      </c>
      <c r="G180" s="434"/>
      <c r="H180" s="516"/>
      <c r="I180" s="664"/>
      <c r="J180" s="493"/>
      <c r="K180" s="603"/>
      <c r="L180" s="493"/>
      <c r="M180" s="494"/>
      <c r="N180" s="494"/>
      <c r="O180" s="493"/>
      <c r="P180" s="603"/>
      <c r="Q180" s="506">
        <f>H179*O179+'1.設計条件'!R$15</f>
        <v>28</v>
      </c>
      <c r="R180" s="507"/>
      <c r="S180" s="542"/>
      <c r="T180" s="485"/>
      <c r="U180" s="486"/>
      <c r="V180" s="493"/>
      <c r="W180" s="494"/>
      <c r="X180" s="506">
        <f>L179*Q180-V179</f>
        <v>10.528</v>
      </c>
      <c r="Y180" s="507"/>
      <c r="Z180" s="542"/>
      <c r="AA180" s="506">
        <f>0.3*H179*O179</f>
        <v>5.3999999999999995</v>
      </c>
      <c r="AB180" s="507"/>
      <c r="AC180" s="542"/>
      <c r="AD180" s="568" t="s">
        <v>173</v>
      </c>
      <c r="AE180" s="569"/>
      <c r="AF180" s="569"/>
      <c r="AG180" s="548">
        <f>IF(J179="砂質",IF(X180&lt;0,0,X180), IF(X180&gt;AA180,X180,AA180))</f>
        <v>10.528</v>
      </c>
      <c r="AH180" s="548"/>
      <c r="AI180" s="549"/>
      <c r="AJ180" s="90"/>
      <c r="AK180" s="12"/>
    </row>
    <row r="181" spans="2:37">
      <c r="B181" s="12"/>
      <c r="C181" s="11"/>
      <c r="D181" s="599" t="s">
        <v>174</v>
      </c>
      <c r="E181" s="599"/>
      <c r="F181" s="452" t="s">
        <v>170</v>
      </c>
      <c r="G181" s="454"/>
      <c r="H181" s="681">
        <f>'1.設計条件'!F24-H183</f>
        <v>2.8</v>
      </c>
      <c r="I181" s="682"/>
      <c r="J181" s="514" t="str">
        <f>'1.設計条件'!H24</f>
        <v>砂質</v>
      </c>
      <c r="K181" s="617"/>
      <c r="L181" s="491">
        <f>ROUND(TAN(RADIANS(45-'1.設計条件'!AB24/2))^2,3)</f>
        <v>0.376</v>
      </c>
      <c r="M181" s="492"/>
      <c r="N181" s="492"/>
      <c r="O181" s="491">
        <f>IF('1.設計条件'!L24="-",'1.設計条件'!P24,'1.設計条件'!X24)</f>
        <v>18</v>
      </c>
      <c r="P181" s="602"/>
      <c r="Q181" s="504">
        <f>Q180</f>
        <v>28</v>
      </c>
      <c r="R181" s="505"/>
      <c r="S181" s="505"/>
      <c r="T181" s="483">
        <f>'1.設計条件'!AF24</f>
        <v>0</v>
      </c>
      <c r="U181" s="484"/>
      <c r="V181" s="491">
        <f t="shared" ref="V181" si="2">2*T181*SQRT(L181)</f>
        <v>0</v>
      </c>
      <c r="W181" s="492"/>
      <c r="X181" s="504">
        <f>L181*Q181-V181</f>
        <v>10.528</v>
      </c>
      <c r="Y181" s="505"/>
      <c r="Z181" s="505"/>
      <c r="AA181" s="504">
        <f>AA180</f>
        <v>5.3999999999999995</v>
      </c>
      <c r="AB181" s="505"/>
      <c r="AC181" s="505"/>
      <c r="AD181" s="552" t="s">
        <v>175</v>
      </c>
      <c r="AE181" s="553"/>
      <c r="AF181" s="553"/>
      <c r="AG181" s="505">
        <f>IF(J181="砂質",IF(X181&lt;0, 0,X181), IF(X181&gt;AA181,X181,AA181))</f>
        <v>10.528</v>
      </c>
      <c r="AH181" s="505"/>
      <c r="AI181" s="550"/>
      <c r="AJ181" s="90"/>
      <c r="AK181" s="12"/>
    </row>
    <row r="182" spans="2:37">
      <c r="B182" s="12"/>
      <c r="C182" s="11"/>
      <c r="D182" s="599"/>
      <c r="E182" s="599"/>
      <c r="F182" s="432" t="s">
        <v>172</v>
      </c>
      <c r="G182" s="434"/>
      <c r="H182" s="683"/>
      <c r="I182" s="684"/>
      <c r="J182" s="516"/>
      <c r="K182" s="664"/>
      <c r="L182" s="493"/>
      <c r="M182" s="494"/>
      <c r="N182" s="494"/>
      <c r="O182" s="493"/>
      <c r="P182" s="603"/>
      <c r="Q182" s="506">
        <f>H181*O181+Q181</f>
        <v>78.400000000000006</v>
      </c>
      <c r="R182" s="507"/>
      <c r="S182" s="507"/>
      <c r="T182" s="485"/>
      <c r="U182" s="486"/>
      <c r="V182" s="493"/>
      <c r="W182" s="494"/>
      <c r="X182" s="506">
        <f>L181*Q182-V181</f>
        <v>29.478400000000001</v>
      </c>
      <c r="Y182" s="507"/>
      <c r="Z182" s="507"/>
      <c r="AA182" s="506">
        <f>0.3*H181*O181+AA181</f>
        <v>20.52</v>
      </c>
      <c r="AB182" s="507"/>
      <c r="AC182" s="507"/>
      <c r="AD182" s="568" t="s">
        <v>176</v>
      </c>
      <c r="AE182" s="569"/>
      <c r="AF182" s="569"/>
      <c r="AG182" s="548">
        <f>IF(J181="砂質",IF(X182&lt;0,0,X182), IF(X182&gt;AA182,X182,AA182))</f>
        <v>29.478400000000001</v>
      </c>
      <c r="AH182" s="548"/>
      <c r="AI182" s="549"/>
      <c r="AJ182" s="90"/>
      <c r="AK182" s="12"/>
    </row>
    <row r="183" spans="2:37">
      <c r="B183" s="12"/>
      <c r="C183" s="11"/>
      <c r="D183" s="599" t="s">
        <v>177</v>
      </c>
      <c r="E183" s="599"/>
      <c r="F183" s="452" t="s">
        <v>170</v>
      </c>
      <c r="G183" s="454"/>
      <c r="H183" s="514">
        <f>'1.設計条件'!F24+'1.設計条件'!T70-'1.設計条件'!T69</f>
        <v>2.2000000000000002</v>
      </c>
      <c r="I183" s="617"/>
      <c r="J183" s="514" t="str">
        <f>'1.設計条件'!H24</f>
        <v>砂質</v>
      </c>
      <c r="K183" s="617"/>
      <c r="L183" s="491">
        <f>ROUND(TAN(RADIANS(45-'1.設計条件'!AB24/2))^2,3)</f>
        <v>0.376</v>
      </c>
      <c r="M183" s="492"/>
      <c r="N183" s="492"/>
      <c r="O183" s="491">
        <f>IF('1.設計条件'!L24="-",'1.設計条件'!P24,'1.設計条件'!X24)</f>
        <v>18</v>
      </c>
      <c r="P183" s="602"/>
      <c r="Q183" s="504">
        <f>Q182</f>
        <v>78.400000000000006</v>
      </c>
      <c r="R183" s="505"/>
      <c r="S183" s="505"/>
      <c r="T183" s="483">
        <f>'1.設計条件'!AF24</f>
        <v>0</v>
      </c>
      <c r="U183" s="484"/>
      <c r="V183" s="491">
        <f t="shared" ref="V183" si="3">2*T183*SQRT(L183)</f>
        <v>0</v>
      </c>
      <c r="W183" s="492"/>
      <c r="X183" s="504">
        <f>L183*Q183-V183</f>
        <v>29.478400000000001</v>
      </c>
      <c r="Y183" s="505"/>
      <c r="Z183" s="505"/>
      <c r="AA183" s="504">
        <f>AA182</f>
        <v>20.52</v>
      </c>
      <c r="AB183" s="505"/>
      <c r="AC183" s="505"/>
      <c r="AD183" s="552" t="s">
        <v>178</v>
      </c>
      <c r="AE183" s="553"/>
      <c r="AF183" s="553"/>
      <c r="AG183" s="505">
        <f>IF(J183="砂質",IF(X183&lt;0, 0,X183), IF(X183&gt;AA183,X183,AA183))</f>
        <v>29.478400000000001</v>
      </c>
      <c r="AH183" s="505"/>
      <c r="AI183" s="550"/>
      <c r="AJ183" s="90"/>
      <c r="AK183" s="12"/>
    </row>
    <row r="184" spans="2:37">
      <c r="B184" s="12"/>
      <c r="C184" s="11"/>
      <c r="D184" s="599"/>
      <c r="E184" s="599"/>
      <c r="F184" s="432" t="s">
        <v>172</v>
      </c>
      <c r="G184" s="434"/>
      <c r="H184" s="516"/>
      <c r="I184" s="664"/>
      <c r="J184" s="516"/>
      <c r="K184" s="664"/>
      <c r="L184" s="493"/>
      <c r="M184" s="494"/>
      <c r="N184" s="494"/>
      <c r="O184" s="493"/>
      <c r="P184" s="603"/>
      <c r="Q184" s="506">
        <f>H183*O183+Q183</f>
        <v>118</v>
      </c>
      <c r="R184" s="507"/>
      <c r="S184" s="507"/>
      <c r="T184" s="485"/>
      <c r="U184" s="486"/>
      <c r="V184" s="493"/>
      <c r="W184" s="494"/>
      <c r="X184" s="506">
        <f>L183*Q184-V183</f>
        <v>44.368000000000002</v>
      </c>
      <c r="Y184" s="507"/>
      <c r="Z184" s="507"/>
      <c r="AA184" s="506">
        <f>0.3*H183*O183+AA183</f>
        <v>32.4</v>
      </c>
      <c r="AB184" s="507"/>
      <c r="AC184" s="507"/>
      <c r="AD184" s="568" t="s">
        <v>179</v>
      </c>
      <c r="AE184" s="569"/>
      <c r="AF184" s="569"/>
      <c r="AG184" s="548">
        <f>IF(J183="砂質",IF(X184&lt;0,0,X184), IF(X184&gt;AA184,X184,AA184))</f>
        <v>44.368000000000002</v>
      </c>
      <c r="AH184" s="548"/>
      <c r="AI184" s="549"/>
      <c r="AJ184" s="90"/>
      <c r="AK184" s="12"/>
    </row>
    <row r="185" spans="2:37">
      <c r="B185" s="12"/>
      <c r="C185" s="11"/>
      <c r="D185" s="633" t="s">
        <v>49</v>
      </c>
      <c r="E185" s="633"/>
      <c r="F185" s="635" t="s">
        <v>170</v>
      </c>
      <c r="G185" s="636"/>
      <c r="H185" s="637">
        <f>'1.設計条件'!F25</f>
        <v>0.5</v>
      </c>
      <c r="I185" s="638"/>
      <c r="J185" s="637" t="str">
        <f>'1.設計条件'!H25</f>
        <v>砂質</v>
      </c>
      <c r="K185" s="638"/>
      <c r="L185" s="491">
        <f>ROUND(TAN(RADIANS(45-'1.設計条件'!AB25/2))^2,3)</f>
        <v>0.22800000000000001</v>
      </c>
      <c r="M185" s="492"/>
      <c r="N185" s="492"/>
      <c r="O185" s="639">
        <f>IF('1.設計条件'!L25="-",'1.設計条件'!P25,'1.設計条件'!X25)</f>
        <v>19</v>
      </c>
      <c r="P185" s="640"/>
      <c r="Q185" s="624">
        <f>Q184</f>
        <v>118</v>
      </c>
      <c r="R185" s="548"/>
      <c r="S185" s="548"/>
      <c r="T185" s="483">
        <f>'1.設計条件'!AF25</f>
        <v>62</v>
      </c>
      <c r="U185" s="484"/>
      <c r="V185" s="514">
        <f t="shared" ref="V185" si="4">2*T185*SQRT(L185)</f>
        <v>59.209188476114079</v>
      </c>
      <c r="W185" s="617"/>
      <c r="X185" s="624">
        <f>L185*Q185-V185</f>
        <v>-32.305188476114083</v>
      </c>
      <c r="Y185" s="548"/>
      <c r="Z185" s="548"/>
      <c r="AA185" s="624">
        <f>AA184</f>
        <v>32.4</v>
      </c>
      <c r="AB185" s="548"/>
      <c r="AC185" s="548"/>
      <c r="AD185" s="566" t="s">
        <v>180</v>
      </c>
      <c r="AE185" s="567"/>
      <c r="AF185" s="567"/>
      <c r="AG185" s="505">
        <f>IF(J185="砂質",IF(X185&lt;0, 0,X185), IF(X185&gt;AA185,X185,AA185))</f>
        <v>0</v>
      </c>
      <c r="AH185" s="505"/>
      <c r="AI185" s="550"/>
      <c r="AJ185" s="90"/>
      <c r="AK185" s="12"/>
    </row>
    <row r="186" spans="2:37" ht="19.5" thickBot="1">
      <c r="B186" s="12"/>
      <c r="C186" s="11"/>
      <c r="D186" s="634"/>
      <c r="E186" s="634"/>
      <c r="F186" s="643" t="s">
        <v>172</v>
      </c>
      <c r="G186" s="644"/>
      <c r="H186" s="618"/>
      <c r="I186" s="619"/>
      <c r="J186" s="618"/>
      <c r="K186" s="619"/>
      <c r="L186" s="495"/>
      <c r="M186" s="496"/>
      <c r="N186" s="496"/>
      <c r="O186" s="495"/>
      <c r="P186" s="620"/>
      <c r="Q186" s="508">
        <f>H185*O185+Q185</f>
        <v>127.5</v>
      </c>
      <c r="R186" s="509"/>
      <c r="S186" s="509"/>
      <c r="T186" s="487"/>
      <c r="U186" s="488"/>
      <c r="V186" s="618"/>
      <c r="W186" s="619"/>
      <c r="X186" s="508">
        <f>L185*Q186-V185</f>
        <v>-30.139188476114079</v>
      </c>
      <c r="Y186" s="509"/>
      <c r="Z186" s="509"/>
      <c r="AA186" s="508">
        <f>0.3*H185*O185+AA185</f>
        <v>35.25</v>
      </c>
      <c r="AB186" s="509"/>
      <c r="AC186" s="509"/>
      <c r="AD186" s="621" t="s">
        <v>181</v>
      </c>
      <c r="AE186" s="622"/>
      <c r="AF186" s="622"/>
      <c r="AG186" s="509">
        <f>IF(J185="砂質",IF(X186&lt;0,0,X186), IF(X186&gt;AA186,X186,AA186))</f>
        <v>0</v>
      </c>
      <c r="AH186" s="509"/>
      <c r="AI186" s="570"/>
      <c r="AJ186" s="90"/>
      <c r="AK186" s="12"/>
    </row>
    <row r="187" spans="2:37" ht="18.75" customHeight="1" thickTop="1">
      <c r="B187" s="12"/>
      <c r="C187" s="11"/>
      <c r="D187" s="598" t="s">
        <v>52</v>
      </c>
      <c r="E187" s="598"/>
      <c r="F187" s="614" t="s">
        <v>170</v>
      </c>
      <c r="G187" s="615"/>
      <c r="H187" s="641" t="s">
        <v>151</v>
      </c>
      <c r="I187" s="642"/>
      <c r="J187" s="497" t="str">
        <f>'1.設計条件'!H27</f>
        <v>砂質</v>
      </c>
      <c r="K187" s="645"/>
      <c r="L187" s="497">
        <f>ROUND(TAN(RADIANS(45-'1.設計条件'!AB27/2))^2,3)</f>
        <v>0.22800000000000001</v>
      </c>
      <c r="M187" s="498"/>
      <c r="N187" s="498"/>
      <c r="O187" s="497">
        <f>IF('1.設計条件'!L27="-",'1.設計条件'!P27,'1.設計条件'!X27)</f>
        <v>19</v>
      </c>
      <c r="P187" s="645"/>
      <c r="Q187" s="510">
        <f>Q186</f>
        <v>127.5</v>
      </c>
      <c r="R187" s="511"/>
      <c r="S187" s="511"/>
      <c r="T187" s="489">
        <f>'1.設計条件'!AF27</f>
        <v>62</v>
      </c>
      <c r="U187" s="490"/>
      <c r="V187" s="637">
        <f t="shared" ref="V187" si="5">2*T187*SQRT(L187)</f>
        <v>59.209188476114079</v>
      </c>
      <c r="W187" s="625"/>
      <c r="X187" s="510">
        <f>L187*Q187-V187</f>
        <v>-30.139188476114079</v>
      </c>
      <c r="Y187" s="511"/>
      <c r="Z187" s="511"/>
      <c r="AA187" s="510">
        <f>AA184</f>
        <v>32.4</v>
      </c>
      <c r="AB187" s="511"/>
      <c r="AC187" s="511"/>
      <c r="AD187" s="671" t="s">
        <v>293</v>
      </c>
      <c r="AE187" s="672"/>
      <c r="AF187" s="672"/>
      <c r="AG187" s="511">
        <f>IF(J187="砂質",IF(X187&lt;0, 0,X187), IF(X187&gt;AA187,X187,AA187))</f>
        <v>0</v>
      </c>
      <c r="AH187" s="511"/>
      <c r="AI187" s="675"/>
      <c r="AJ187" s="90"/>
      <c r="AK187" s="12"/>
    </row>
    <row r="188" spans="2:37">
      <c r="B188" s="12"/>
      <c r="C188" s="11"/>
      <c r="D188" s="599"/>
      <c r="E188" s="599"/>
      <c r="F188" s="432" t="s">
        <v>172</v>
      </c>
      <c r="G188" s="434"/>
      <c r="H188" s="631"/>
      <c r="I188" s="632"/>
      <c r="J188" s="493"/>
      <c r="K188" s="603"/>
      <c r="L188" s="493"/>
      <c r="M188" s="494"/>
      <c r="N188" s="494"/>
      <c r="O188" s="493"/>
      <c r="P188" s="603"/>
      <c r="Q188" s="506"/>
      <c r="R188" s="507"/>
      <c r="S188" s="507"/>
      <c r="T188" s="485"/>
      <c r="U188" s="486"/>
      <c r="V188" s="516"/>
      <c r="W188" s="517"/>
      <c r="X188" s="506"/>
      <c r="Y188" s="507"/>
      <c r="Z188" s="507"/>
      <c r="AA188" s="506"/>
      <c r="AB188" s="507"/>
      <c r="AC188" s="507"/>
      <c r="AD188" s="568" t="s">
        <v>294</v>
      </c>
      <c r="AE188" s="569"/>
      <c r="AF188" s="569"/>
      <c r="AG188" s="507">
        <v>0</v>
      </c>
      <c r="AH188" s="507"/>
      <c r="AI188" s="542"/>
      <c r="AJ188" s="90"/>
      <c r="AK188" s="12"/>
    </row>
    <row r="189" spans="2:37" ht="18.75" customHeight="1">
      <c r="B189" s="12"/>
      <c r="C189" s="11"/>
      <c r="D189" s="31"/>
      <c r="E189" s="31"/>
      <c r="F189" s="212"/>
      <c r="G189" s="212"/>
      <c r="H189" s="12"/>
      <c r="I189" s="12"/>
      <c r="J189" s="316"/>
      <c r="K189" s="316"/>
      <c r="L189" s="316"/>
      <c r="M189" s="316"/>
      <c r="N189" s="316"/>
      <c r="O189" s="316"/>
      <c r="P189" s="316"/>
      <c r="Q189" s="98"/>
      <c r="R189" s="98"/>
      <c r="S189" s="98"/>
      <c r="T189" s="316"/>
      <c r="U189" s="316"/>
      <c r="V189" s="316"/>
      <c r="W189" s="98"/>
      <c r="X189" s="98"/>
      <c r="Y189" s="98"/>
      <c r="Z189" s="98"/>
      <c r="AA189" s="98"/>
      <c r="AB189" s="98"/>
      <c r="AC189" s="213"/>
      <c r="AD189" s="213"/>
      <c r="AE189" s="213"/>
      <c r="AF189" s="98"/>
      <c r="AG189" s="98"/>
      <c r="AH189" s="98"/>
      <c r="AI189" s="12"/>
      <c r="AJ189" s="14"/>
      <c r="AK189" s="12"/>
    </row>
    <row r="190" spans="2:37">
      <c r="B190" s="14"/>
      <c r="C190" s="12"/>
      <c r="D190" s="27"/>
      <c r="E190" s="27"/>
      <c r="F190" s="154"/>
      <c r="G190" s="154"/>
      <c r="H190" s="93"/>
      <c r="I190" s="78"/>
      <c r="J190" s="93"/>
      <c r="K190" s="78"/>
      <c r="L190" s="123"/>
      <c r="M190" s="123"/>
      <c r="N190" s="123"/>
      <c r="O190" s="93"/>
      <c r="P190" s="93"/>
      <c r="Q190" s="93"/>
      <c r="R190" s="12"/>
      <c r="S190" s="12"/>
      <c r="T190" s="12"/>
      <c r="U190" s="12"/>
      <c r="V190" s="12"/>
      <c r="W190" s="12"/>
      <c r="X190" s="12"/>
      <c r="Y190" s="12"/>
      <c r="Z190" s="12"/>
      <c r="AA190" s="12"/>
      <c r="AB190" s="12"/>
      <c r="AC190" s="12"/>
      <c r="AD190" s="12"/>
      <c r="AE190" s="12"/>
      <c r="AF190" s="12"/>
      <c r="AG190" s="12"/>
      <c r="AH190" s="12"/>
      <c r="AI190" s="12"/>
      <c r="AJ190" s="14"/>
    </row>
    <row r="191" spans="2:37">
      <c r="B191" s="12"/>
      <c r="C191" s="11"/>
      <c r="D191" s="12"/>
      <c r="E191" s="12"/>
      <c r="F191" s="12"/>
      <c r="G191"/>
      <c r="H191" s="455" t="s">
        <v>159</v>
      </c>
      <c r="I191" s="457"/>
      <c r="J191" s="455" t="s">
        <v>26</v>
      </c>
      <c r="K191" s="457"/>
      <c r="L191" s="456" t="s">
        <v>28</v>
      </c>
      <c r="M191" s="457"/>
      <c r="N191" s="455" t="s">
        <v>163</v>
      </c>
      <c r="O191" s="456"/>
      <c r="P191" s="456"/>
      <c r="Q191" s="456"/>
      <c r="R191" s="456"/>
      <c r="S191" s="457"/>
      <c r="T191" s="455" t="s">
        <v>182</v>
      </c>
      <c r="U191" s="456"/>
      <c r="V191" s="456"/>
      <c r="W191" s="455" t="s">
        <v>183</v>
      </c>
      <c r="X191" s="456"/>
      <c r="Y191" s="456"/>
      <c r="Z191" s="456"/>
      <c r="AA191" s="456"/>
      <c r="AB191" s="457"/>
      <c r="AC191" s="12"/>
      <c r="AJ191" s="14"/>
      <c r="AK191" s="12"/>
    </row>
    <row r="192" spans="2:37">
      <c r="B192" s="12"/>
      <c r="C192" s="11"/>
      <c r="D192" s="12"/>
      <c r="E192" s="12"/>
      <c r="F192" s="12"/>
      <c r="G192"/>
      <c r="H192" s="438" t="s">
        <v>34</v>
      </c>
      <c r="I192" s="439"/>
      <c r="J192" s="440"/>
      <c r="K192" s="463"/>
      <c r="L192" s="441"/>
      <c r="M192" s="463"/>
      <c r="N192" s="438" t="s">
        <v>169</v>
      </c>
      <c r="O192" s="371"/>
      <c r="P192" s="371"/>
      <c r="Q192" s="371"/>
      <c r="R192" s="371"/>
      <c r="S192" s="439"/>
      <c r="T192" s="623" t="s">
        <v>184</v>
      </c>
      <c r="U192" s="427"/>
      <c r="V192" s="427"/>
      <c r="W192" s="438" t="s">
        <v>185</v>
      </c>
      <c r="X192" s="371"/>
      <c r="Y192" s="371"/>
      <c r="Z192" s="371"/>
      <c r="AA192" s="371"/>
      <c r="AB192" s="439"/>
      <c r="AC192" s="12"/>
      <c r="AJ192" s="14"/>
      <c r="AK192" s="12"/>
    </row>
    <row r="193" spans="2:38" ht="20.25">
      <c r="B193" s="12"/>
      <c r="C193" s="11"/>
      <c r="D193" s="12"/>
      <c r="E193" s="12"/>
      <c r="F193" s="12"/>
      <c r="G193"/>
      <c r="H193" s="501" t="s">
        <v>40</v>
      </c>
      <c r="I193" s="503"/>
      <c r="J193" s="501"/>
      <c r="K193" s="503"/>
      <c r="L193" s="433"/>
      <c r="M193" s="434"/>
      <c r="N193" s="501" t="s">
        <v>44</v>
      </c>
      <c r="O193" s="502"/>
      <c r="P193" s="502"/>
      <c r="Q193" s="502"/>
      <c r="R193" s="502"/>
      <c r="S193" s="503"/>
      <c r="T193" s="432" t="s">
        <v>40</v>
      </c>
      <c r="U193" s="433"/>
      <c r="V193" s="433"/>
      <c r="W193" s="501" t="s">
        <v>186</v>
      </c>
      <c r="X193" s="502"/>
      <c r="Y193" s="502"/>
      <c r="Z193" s="502"/>
      <c r="AA193" s="502"/>
      <c r="AB193" s="503"/>
      <c r="AC193" s="12"/>
      <c r="AJ193" s="14"/>
      <c r="AK193" s="12"/>
    </row>
    <row r="194" spans="2:38">
      <c r="B194" s="12"/>
      <c r="C194" s="11"/>
      <c r="D194" s="599" t="s">
        <v>177</v>
      </c>
      <c r="E194" s="599"/>
      <c r="F194" s="452" t="s">
        <v>170</v>
      </c>
      <c r="G194" s="454"/>
      <c r="H194" s="514">
        <f>H183</f>
        <v>2.2000000000000002</v>
      </c>
      <c r="I194" s="617"/>
      <c r="J194" s="491" t="str">
        <f>J183</f>
        <v>砂質</v>
      </c>
      <c r="K194" s="602"/>
      <c r="L194" s="491">
        <f>'1.設計条件'!N24</f>
        <v>10</v>
      </c>
      <c r="M194" s="602"/>
      <c r="N194" s="552" t="s">
        <v>178</v>
      </c>
      <c r="O194" s="553"/>
      <c r="P194" s="553"/>
      <c r="Q194" s="604">
        <f t="shared" ref="Q194:Q199" si="6">AG183</f>
        <v>29.478400000000001</v>
      </c>
      <c r="R194" s="604"/>
      <c r="S194" s="605"/>
      <c r="T194" s="504">
        <f>'1.設計条件'!R$12</f>
        <v>1.5</v>
      </c>
      <c r="U194" s="505"/>
      <c r="V194" s="505"/>
      <c r="W194" s="552" t="s">
        <v>191</v>
      </c>
      <c r="X194" s="553"/>
      <c r="Y194" s="553"/>
      <c r="Z194" s="505">
        <f t="shared" ref="Z194:Z199" si="7">T194*Q194</f>
        <v>44.217600000000004</v>
      </c>
      <c r="AA194" s="505"/>
      <c r="AB194" s="550"/>
      <c r="AJ194" s="14"/>
      <c r="AK194" s="12"/>
    </row>
    <row r="195" spans="2:38">
      <c r="B195" s="12"/>
      <c r="C195" s="11"/>
      <c r="D195" s="599"/>
      <c r="E195" s="599"/>
      <c r="F195" s="432" t="s">
        <v>172</v>
      </c>
      <c r="G195" s="434"/>
      <c r="H195" s="516"/>
      <c r="I195" s="664"/>
      <c r="J195" s="493"/>
      <c r="K195" s="603"/>
      <c r="L195" s="493"/>
      <c r="M195" s="603"/>
      <c r="N195" s="566" t="s">
        <v>179</v>
      </c>
      <c r="O195" s="567"/>
      <c r="P195" s="567"/>
      <c r="Q195" s="555">
        <f t="shared" si="6"/>
        <v>44.368000000000002</v>
      </c>
      <c r="R195" s="555"/>
      <c r="S195" s="680"/>
      <c r="T195" s="506">
        <f>'1.設計条件'!R$12</f>
        <v>1.5</v>
      </c>
      <c r="U195" s="507"/>
      <c r="V195" s="507"/>
      <c r="W195" s="566" t="s">
        <v>192</v>
      </c>
      <c r="X195" s="567"/>
      <c r="Y195" s="567"/>
      <c r="Z195" s="548">
        <f t="shared" si="7"/>
        <v>66.552000000000007</v>
      </c>
      <c r="AA195" s="548"/>
      <c r="AB195" s="549"/>
      <c r="AJ195" s="14"/>
      <c r="AK195" s="12"/>
    </row>
    <row r="196" spans="2:38">
      <c r="B196" s="12"/>
      <c r="C196" s="11"/>
      <c r="D196" s="599" t="s">
        <v>49</v>
      </c>
      <c r="E196" s="599"/>
      <c r="F196" s="452" t="s">
        <v>170</v>
      </c>
      <c r="G196" s="454"/>
      <c r="H196" s="514">
        <f>H185</f>
        <v>0.5</v>
      </c>
      <c r="I196" s="617"/>
      <c r="J196" s="514" t="str">
        <f>J185</f>
        <v>砂質</v>
      </c>
      <c r="K196" s="617"/>
      <c r="L196" s="491">
        <f>'1.設計条件'!N25</f>
        <v>75</v>
      </c>
      <c r="M196" s="602"/>
      <c r="N196" s="552" t="s">
        <v>180</v>
      </c>
      <c r="O196" s="553"/>
      <c r="P196" s="553"/>
      <c r="Q196" s="604">
        <f t="shared" si="6"/>
        <v>0</v>
      </c>
      <c r="R196" s="604"/>
      <c r="S196" s="605"/>
      <c r="T196" s="504">
        <f>'1.設計条件'!R$12</f>
        <v>1.5</v>
      </c>
      <c r="U196" s="505"/>
      <c r="V196" s="505"/>
      <c r="W196" s="552" t="s">
        <v>193</v>
      </c>
      <c r="X196" s="553"/>
      <c r="Y196" s="553"/>
      <c r="Z196" s="505">
        <f t="shared" si="7"/>
        <v>0</v>
      </c>
      <c r="AA196" s="505"/>
      <c r="AB196" s="550"/>
      <c r="AJ196" s="14"/>
      <c r="AK196" s="12"/>
    </row>
    <row r="197" spans="2:38" ht="19.5" thickBot="1">
      <c r="B197" s="12"/>
      <c r="C197" s="11"/>
      <c r="D197" s="634"/>
      <c r="E197" s="634"/>
      <c r="F197" s="643" t="s">
        <v>172</v>
      </c>
      <c r="G197" s="644"/>
      <c r="H197" s="618"/>
      <c r="I197" s="619"/>
      <c r="J197" s="618"/>
      <c r="K197" s="619"/>
      <c r="L197" s="495"/>
      <c r="M197" s="620"/>
      <c r="N197" s="621" t="s">
        <v>181</v>
      </c>
      <c r="O197" s="622"/>
      <c r="P197" s="622"/>
      <c r="Q197" s="676">
        <f t="shared" si="6"/>
        <v>0</v>
      </c>
      <c r="R197" s="676"/>
      <c r="S197" s="677"/>
      <c r="T197" s="508">
        <f>'1.設計条件'!R$12</f>
        <v>1.5</v>
      </c>
      <c r="U197" s="509"/>
      <c r="V197" s="509"/>
      <c r="W197" s="621" t="s">
        <v>194</v>
      </c>
      <c r="X197" s="622"/>
      <c r="Y197" s="622"/>
      <c r="Z197" s="509">
        <f t="shared" si="7"/>
        <v>0</v>
      </c>
      <c r="AA197" s="509"/>
      <c r="AB197" s="570"/>
      <c r="AJ197" s="14"/>
      <c r="AK197" s="12"/>
    </row>
    <row r="198" spans="2:38" ht="19.5" thickTop="1">
      <c r="B198" s="12"/>
      <c r="C198" s="11"/>
      <c r="D198" s="598" t="s">
        <v>52</v>
      </c>
      <c r="E198" s="598"/>
      <c r="F198" s="614" t="s">
        <v>170</v>
      </c>
      <c r="G198" s="615"/>
      <c r="H198" s="641" t="s">
        <v>151</v>
      </c>
      <c r="I198" s="642"/>
      <c r="J198" s="678" t="str">
        <f>J187</f>
        <v>砂質</v>
      </c>
      <c r="K198" s="679"/>
      <c r="L198" s="497">
        <f>'1.設計条件'!N27</f>
        <v>75</v>
      </c>
      <c r="M198" s="645"/>
      <c r="N198" s="671" t="s">
        <v>293</v>
      </c>
      <c r="O198" s="672"/>
      <c r="P198" s="672"/>
      <c r="Q198" s="673">
        <f t="shared" si="6"/>
        <v>0</v>
      </c>
      <c r="R198" s="673"/>
      <c r="S198" s="674"/>
      <c r="T198" s="510">
        <f>IF(L198&lt;=10, '1.設計条件'!T$34/1000, 2*'1.設計条件'!T$34/1000)</f>
        <v>0.6</v>
      </c>
      <c r="U198" s="511"/>
      <c r="V198" s="511"/>
      <c r="W198" s="671" t="s">
        <v>295</v>
      </c>
      <c r="X198" s="672"/>
      <c r="Y198" s="672"/>
      <c r="Z198" s="511">
        <f t="shared" si="7"/>
        <v>0</v>
      </c>
      <c r="AA198" s="511"/>
      <c r="AB198" s="675"/>
      <c r="AJ198" s="14"/>
      <c r="AK198" s="12"/>
    </row>
    <row r="199" spans="2:38">
      <c r="B199" s="12"/>
      <c r="C199" s="11"/>
      <c r="D199" s="599"/>
      <c r="E199" s="599"/>
      <c r="F199" s="432" t="s">
        <v>172</v>
      </c>
      <c r="G199" s="434"/>
      <c r="H199" s="631"/>
      <c r="I199" s="632"/>
      <c r="J199" s="516"/>
      <c r="K199" s="664"/>
      <c r="L199" s="493"/>
      <c r="M199" s="603"/>
      <c r="N199" s="568" t="s">
        <v>294</v>
      </c>
      <c r="O199" s="569"/>
      <c r="P199" s="569"/>
      <c r="Q199" s="556">
        <f t="shared" si="6"/>
        <v>0</v>
      </c>
      <c r="R199" s="556"/>
      <c r="S199" s="572"/>
      <c r="T199" s="506">
        <f>IF(L198&lt;=10, '1.設計条件'!T$34/1000, 2*'1.設計条件'!T$34/1000)</f>
        <v>0.6</v>
      </c>
      <c r="U199" s="507"/>
      <c r="V199" s="507"/>
      <c r="W199" s="568" t="s">
        <v>296</v>
      </c>
      <c r="X199" s="569"/>
      <c r="Y199" s="569"/>
      <c r="Z199" s="507">
        <f t="shared" si="7"/>
        <v>0</v>
      </c>
      <c r="AA199" s="507"/>
      <c r="AB199" s="542"/>
      <c r="AJ199" s="14"/>
      <c r="AK199" s="12"/>
    </row>
    <row r="200" spans="2:38">
      <c r="B200" s="12"/>
      <c r="C200" s="11"/>
      <c r="D200" s="31"/>
      <c r="E200" s="31"/>
      <c r="F200" s="212"/>
      <c r="G200" s="212"/>
      <c r="H200" s="318"/>
      <c r="I200" s="318"/>
      <c r="J200" s="319"/>
      <c r="K200" s="319"/>
      <c r="L200" s="316"/>
      <c r="M200" s="316"/>
      <c r="N200" s="98"/>
      <c r="O200" s="98"/>
      <c r="P200" s="98"/>
      <c r="Q200" s="213"/>
      <c r="R200" s="213"/>
      <c r="S200" s="213"/>
      <c r="T200" s="81"/>
      <c r="U200" s="81"/>
      <c r="V200" s="81"/>
      <c r="W200" s="213"/>
      <c r="X200" s="213"/>
      <c r="Y200" s="213"/>
      <c r="Z200" s="98"/>
      <c r="AA200" s="98"/>
      <c r="AB200" s="98"/>
      <c r="AJ200" s="14"/>
      <c r="AK200" s="12"/>
      <c r="AL200" s="12"/>
    </row>
    <row r="201" spans="2:38">
      <c r="B201" s="12"/>
      <c r="C201" s="11"/>
      <c r="D201" s="31"/>
      <c r="E201" s="31"/>
      <c r="F201" s="212"/>
      <c r="G201" s="212"/>
      <c r="H201" s="318"/>
      <c r="I201" s="318"/>
      <c r="J201" s="319"/>
      <c r="K201" s="319"/>
      <c r="L201" s="316"/>
      <c r="M201" s="316"/>
      <c r="N201" s="98"/>
      <c r="O201" s="98"/>
      <c r="P201" s="98"/>
      <c r="Q201" s="213"/>
      <c r="R201" s="213"/>
      <c r="S201" s="213"/>
      <c r="T201" s="81"/>
      <c r="U201" s="81"/>
      <c r="V201" s="81"/>
      <c r="W201" s="213"/>
      <c r="X201" s="213"/>
      <c r="Y201" s="213"/>
      <c r="Z201" s="98"/>
      <c r="AA201" s="98"/>
      <c r="AB201" s="98"/>
      <c r="AJ201" s="14"/>
      <c r="AK201" s="12"/>
      <c r="AL201" s="12"/>
    </row>
    <row r="202" spans="2:38">
      <c r="B202" s="12"/>
      <c r="C202" s="11" t="s">
        <v>195</v>
      </c>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t="s">
        <v>297</v>
      </c>
      <c r="AB202" s="12"/>
      <c r="AC202" s="12"/>
      <c r="AD202" s="12"/>
      <c r="AE202" s="12"/>
      <c r="AF202" s="12"/>
      <c r="AG202" s="12"/>
      <c r="AH202" s="12"/>
      <c r="AI202" s="12"/>
      <c r="AJ202" s="14"/>
    </row>
    <row r="203" spans="2:38">
      <c r="B203" s="12"/>
      <c r="C203" s="11"/>
      <c r="D203" s="12"/>
      <c r="E203" s="12"/>
      <c r="F203" s="12"/>
      <c r="G203"/>
      <c r="H203" s="455" t="s">
        <v>159</v>
      </c>
      <c r="I203" s="457"/>
      <c r="J203" s="455" t="s">
        <v>26</v>
      </c>
      <c r="K203" s="457"/>
      <c r="L203" s="452" t="s">
        <v>197</v>
      </c>
      <c r="M203" s="453"/>
      <c r="N203" s="453"/>
      <c r="O203" s="454"/>
      <c r="P203" s="455"/>
      <c r="Q203" s="457"/>
      <c r="R203" s="455"/>
      <c r="S203" s="456"/>
      <c r="T203" s="456"/>
      <c r="U203" s="455"/>
      <c r="V203" s="457"/>
      <c r="W203" s="456"/>
      <c r="X203" s="456"/>
      <c r="Y203" s="457"/>
      <c r="Z203" s="668" t="s">
        <v>198</v>
      </c>
      <c r="AA203" s="669"/>
      <c r="AB203" s="670"/>
      <c r="AC203" s="455" t="s">
        <v>199</v>
      </c>
      <c r="AD203" s="456"/>
      <c r="AE203" s="456"/>
      <c r="AF203" s="456"/>
      <c r="AG203" s="456"/>
      <c r="AH203" s="457"/>
      <c r="AI203" s="12"/>
      <c r="AJ203" s="14"/>
    </row>
    <row r="204" spans="2:38" ht="20.25">
      <c r="B204" s="12"/>
      <c r="C204" s="11"/>
      <c r="D204" s="12"/>
      <c r="E204" s="12"/>
      <c r="F204" s="12"/>
      <c r="G204"/>
      <c r="H204" s="438" t="s">
        <v>200</v>
      </c>
      <c r="I204" s="439"/>
      <c r="J204" s="440"/>
      <c r="K204" s="463"/>
      <c r="L204" s="438" t="s">
        <v>201</v>
      </c>
      <c r="M204" s="371"/>
      <c r="N204" s="371"/>
      <c r="O204" s="439"/>
      <c r="P204" s="435" t="s">
        <v>35</v>
      </c>
      <c r="Q204" s="437"/>
      <c r="R204" s="616" t="s">
        <v>298</v>
      </c>
      <c r="S204" s="371"/>
      <c r="T204" s="439"/>
      <c r="U204" s="512" t="s">
        <v>39</v>
      </c>
      <c r="V204" s="744"/>
      <c r="W204" s="33" t="s">
        <v>214</v>
      </c>
      <c r="X204" s="33"/>
      <c r="Y204" s="56"/>
      <c r="Z204" s="438" t="s">
        <v>203</v>
      </c>
      <c r="AA204" s="371"/>
      <c r="AB204" s="439"/>
      <c r="AC204" s="606" t="s">
        <v>204</v>
      </c>
      <c r="AD204" s="607"/>
      <c r="AE204" s="607"/>
      <c r="AF204" s="607"/>
      <c r="AG204" s="607"/>
      <c r="AH204" s="608"/>
      <c r="AI204" s="12"/>
      <c r="AJ204" s="14"/>
    </row>
    <row r="205" spans="2:38" ht="20.25">
      <c r="B205" s="12"/>
      <c r="C205" s="11"/>
      <c r="D205" s="12"/>
      <c r="E205" s="12"/>
      <c r="F205" s="12"/>
      <c r="G205"/>
      <c r="H205" s="501" t="s">
        <v>40</v>
      </c>
      <c r="I205" s="503"/>
      <c r="J205" s="501"/>
      <c r="K205" s="503"/>
      <c r="L205" s="501"/>
      <c r="M205" s="502"/>
      <c r="N205" s="502"/>
      <c r="O205" s="503"/>
      <c r="P205" s="432" t="s">
        <v>41</v>
      </c>
      <c r="Q205" s="434"/>
      <c r="R205" s="432" t="s">
        <v>44</v>
      </c>
      <c r="S205" s="433"/>
      <c r="T205" s="433"/>
      <c r="U205" s="432" t="s">
        <v>44</v>
      </c>
      <c r="V205" s="434"/>
      <c r="W205" s="433" t="s">
        <v>44</v>
      </c>
      <c r="X205" s="433"/>
      <c r="Y205" s="433"/>
      <c r="Z205" s="432" t="s">
        <v>44</v>
      </c>
      <c r="AA205" s="433"/>
      <c r="AB205" s="433"/>
      <c r="AC205" s="501" t="s">
        <v>44</v>
      </c>
      <c r="AD205" s="502"/>
      <c r="AE205" s="502"/>
      <c r="AF205" s="502"/>
      <c r="AG205" s="502"/>
      <c r="AH205" s="503"/>
      <c r="AI205" s="12"/>
      <c r="AJ205" s="14"/>
    </row>
    <row r="206" spans="2:38" ht="18.75" customHeight="1">
      <c r="B206" s="12"/>
      <c r="C206" s="11"/>
      <c r="D206" s="599" t="s">
        <v>52</v>
      </c>
      <c r="E206" s="599"/>
      <c r="F206" s="452" t="s">
        <v>170</v>
      </c>
      <c r="G206" s="454"/>
      <c r="H206" s="629" t="s">
        <v>151</v>
      </c>
      <c r="I206" s="630"/>
      <c r="J206" s="491" t="str">
        <f>'1.設計条件'!H27</f>
        <v>砂質</v>
      </c>
      <c r="K206" s="602"/>
      <c r="L206" s="514">
        <f>ROUND(TAN(RADIANS(45+'1.設計条件'!AB27/2))^2,3)</f>
        <v>4.3949999999999996</v>
      </c>
      <c r="M206" s="515"/>
      <c r="N206" s="515"/>
      <c r="O206" s="617"/>
      <c r="P206" s="491">
        <f>IF('1.設計条件'!L27="-",'1.設計条件'!P27,'1.設計条件'!X27)</f>
        <v>19</v>
      </c>
      <c r="Q206" s="602"/>
      <c r="R206" s="504">
        <v>0</v>
      </c>
      <c r="S206" s="505"/>
      <c r="T206" s="505"/>
      <c r="U206" s="483">
        <f>'1.設計条件'!AF27</f>
        <v>62</v>
      </c>
      <c r="V206" s="484"/>
      <c r="W206" s="514">
        <f>2*U206*SQRT(L206)</f>
        <v>259.95676563613415</v>
      </c>
      <c r="X206" s="515"/>
      <c r="Y206" s="617"/>
      <c r="Z206" s="504">
        <f>L206*R206+W206</f>
        <v>259.95676563613415</v>
      </c>
      <c r="AA206" s="505"/>
      <c r="AB206" s="505"/>
      <c r="AC206" s="552" t="s">
        <v>299</v>
      </c>
      <c r="AD206" s="553"/>
      <c r="AE206" s="553"/>
      <c r="AF206" s="627">
        <f>Z206</f>
        <v>259.95676563613415</v>
      </c>
      <c r="AG206" s="627"/>
      <c r="AH206" s="628"/>
      <c r="AI206" s="12"/>
      <c r="AJ206" s="14"/>
    </row>
    <row r="207" spans="2:38">
      <c r="B207" s="12"/>
      <c r="C207" s="11"/>
      <c r="D207" s="599"/>
      <c r="E207" s="599"/>
      <c r="F207" s="432" t="s">
        <v>172</v>
      </c>
      <c r="G207" s="434"/>
      <c r="H207" s="631"/>
      <c r="I207" s="632"/>
      <c r="J207" s="493"/>
      <c r="K207" s="603"/>
      <c r="L207" s="516"/>
      <c r="M207" s="517"/>
      <c r="N207" s="517"/>
      <c r="O207" s="664"/>
      <c r="P207" s="493"/>
      <c r="Q207" s="603"/>
      <c r="R207" s="506"/>
      <c r="S207" s="507"/>
      <c r="T207" s="507"/>
      <c r="U207" s="485"/>
      <c r="V207" s="486"/>
      <c r="W207" s="516"/>
      <c r="X207" s="517"/>
      <c r="Y207" s="664"/>
      <c r="Z207" s="506"/>
      <c r="AA207" s="507"/>
      <c r="AB207" s="507"/>
      <c r="AC207" s="568" t="s">
        <v>300</v>
      </c>
      <c r="AD207" s="569"/>
      <c r="AE207" s="569"/>
      <c r="AF207" s="666" t="s">
        <v>209</v>
      </c>
      <c r="AG207" s="666"/>
      <c r="AH207" s="667"/>
      <c r="AI207" s="12"/>
      <c r="AJ207" s="14"/>
    </row>
    <row r="208" spans="2:38" ht="18.75" customHeight="1">
      <c r="B208" s="12"/>
      <c r="C208" s="11"/>
      <c r="D208" s="31"/>
      <c r="E208" s="31"/>
      <c r="F208" s="212"/>
      <c r="G208" s="212"/>
      <c r="H208" s="12"/>
      <c r="I208" s="12"/>
      <c r="J208" s="316"/>
      <c r="K208" s="316"/>
      <c r="L208" s="319"/>
      <c r="M208" s="319"/>
      <c r="N208" s="319"/>
      <c r="O208" s="316"/>
      <c r="P208" s="316"/>
      <c r="Q208" s="98"/>
      <c r="R208" s="98"/>
      <c r="S208" s="98"/>
      <c r="T208" s="316"/>
      <c r="U208" s="316"/>
      <c r="V208" s="316"/>
      <c r="W208" s="98"/>
      <c r="X208" s="98"/>
      <c r="Y208" s="98"/>
      <c r="Z208" s="98"/>
      <c r="AA208" s="98"/>
      <c r="AB208" s="98"/>
      <c r="AC208" s="213"/>
      <c r="AD208" s="213"/>
      <c r="AE208" s="213"/>
      <c r="AF208" s="190"/>
      <c r="AG208" s="190"/>
      <c r="AH208" s="190"/>
      <c r="AI208" s="12"/>
      <c r="AJ208" s="14"/>
      <c r="AK208" s="12"/>
    </row>
    <row r="209" spans="2:38">
      <c r="B209" s="12"/>
      <c r="C209" s="11"/>
      <c r="D209" s="591" t="s">
        <v>301</v>
      </c>
      <c r="E209" s="591"/>
      <c r="F209" s="591"/>
      <c r="G209" s="548" t="s">
        <v>302</v>
      </c>
      <c r="H209" s="548"/>
      <c r="I209" s="548"/>
      <c r="J209" s="548"/>
      <c r="K209" s="548"/>
      <c r="L209" s="548"/>
      <c r="M209" s="264" t="s">
        <v>303</v>
      </c>
      <c r="R209" s="97"/>
      <c r="S209" s="78"/>
      <c r="T209" s="91"/>
      <c r="U209" s="93"/>
      <c r="V209" s="93"/>
      <c r="W209" s="93"/>
      <c r="X209" s="317"/>
      <c r="Y209" s="317"/>
      <c r="Z209" s="317"/>
      <c r="AA209" s="316"/>
      <c r="AB209" s="316"/>
      <c r="AC209" s="96"/>
      <c r="AD209" s="93"/>
      <c r="AE209" s="93"/>
      <c r="AF209" s="12"/>
      <c r="AG209" s="12"/>
      <c r="AH209" s="12"/>
      <c r="AI209" s="12"/>
      <c r="AJ209" s="14"/>
    </row>
    <row r="210" spans="2:38">
      <c r="B210" s="12"/>
      <c r="C210" s="11"/>
      <c r="D210" s="591" t="s">
        <v>8</v>
      </c>
      <c r="E210" s="591"/>
      <c r="F210" s="591"/>
      <c r="G210" s="556">
        <f>L206</f>
        <v>4.3949999999999996</v>
      </c>
      <c r="H210" s="556"/>
      <c r="I210" s="556"/>
      <c r="J210" s="1" t="s">
        <v>215</v>
      </c>
      <c r="K210" s="1" t="s">
        <v>216</v>
      </c>
      <c r="L210" s="656">
        <f>P206</f>
        <v>19</v>
      </c>
      <c r="M210" s="656"/>
      <c r="N210" s="529" t="s">
        <v>217</v>
      </c>
      <c r="O210" s="529"/>
      <c r="P210" s="1" t="s">
        <v>213</v>
      </c>
      <c r="Q210" s="657">
        <f>R206</f>
        <v>0</v>
      </c>
      <c r="R210" s="657"/>
      <c r="S210" s="657"/>
      <c r="T210" s="1" t="s">
        <v>218</v>
      </c>
      <c r="U210" s="93" t="s">
        <v>213</v>
      </c>
      <c r="V210" s="657">
        <f>W206</f>
        <v>259.95676563613415</v>
      </c>
      <c r="W210" s="657"/>
      <c r="X210" s="657"/>
      <c r="Y210" s="320"/>
      <c r="AC210" s="96"/>
      <c r="AD210" s="93"/>
      <c r="AE210" s="93"/>
      <c r="AF210" s="12"/>
      <c r="AG210" s="12"/>
      <c r="AH210" s="12"/>
      <c r="AI210" s="12"/>
      <c r="AJ210" s="14"/>
    </row>
    <row r="211" spans="2:38" ht="20.25">
      <c r="B211" s="12"/>
      <c r="C211" s="11"/>
      <c r="D211" s="591" t="s">
        <v>8</v>
      </c>
      <c r="E211" s="591"/>
      <c r="F211" s="591"/>
      <c r="G211" s="649">
        <f>L206*P206</f>
        <v>83.504999999999995</v>
      </c>
      <c r="H211" s="650"/>
      <c r="I211" s="651"/>
      <c r="J211" s="574" t="s">
        <v>219</v>
      </c>
      <c r="K211" s="574"/>
      <c r="L211" s="652">
        <f>L206*R206+W206</f>
        <v>259.95676563613415</v>
      </c>
      <c r="M211" s="653"/>
      <c r="N211" s="653"/>
      <c r="O211" s="653"/>
      <c r="P211" s="653"/>
      <c r="Q211" s="654"/>
      <c r="R211" s="97" t="s">
        <v>44</v>
      </c>
      <c r="S211" s="78"/>
      <c r="T211" s="91"/>
      <c r="U211" s="93"/>
      <c r="V211" s="93"/>
      <c r="W211" s="93"/>
      <c r="X211" s="78"/>
      <c r="Y211" s="78"/>
      <c r="Z211" s="78"/>
      <c r="AA211"/>
      <c r="AB211" s="95"/>
      <c r="AC211" s="96"/>
      <c r="AD211" s="93"/>
      <c r="AE211" s="93"/>
      <c r="AF211" s="12"/>
      <c r="AG211" s="12"/>
      <c r="AH211" s="12"/>
      <c r="AI211" s="12"/>
      <c r="AJ211" s="14"/>
    </row>
    <row r="212" spans="2:38">
      <c r="B212" s="12"/>
      <c r="C212" s="11"/>
      <c r="D212" s="314"/>
      <c r="E212" s="314"/>
      <c r="F212" s="314"/>
      <c r="G212" s="321"/>
      <c r="H212" s="322"/>
      <c r="I212" s="322"/>
      <c r="J212" s="20"/>
      <c r="K212" s="91"/>
      <c r="L212" s="323"/>
      <c r="M212" s="323"/>
      <c r="N212" s="323"/>
      <c r="O212" s="323"/>
      <c r="P212" s="323"/>
      <c r="Q212" s="323"/>
      <c r="R212" s="97"/>
      <c r="S212" s="78"/>
      <c r="T212" s="91"/>
      <c r="U212" s="93"/>
      <c r="V212" s="93"/>
      <c r="W212" s="93"/>
      <c r="X212" s="78"/>
      <c r="Y212" s="78"/>
      <c r="Z212" s="78"/>
      <c r="AA212"/>
      <c r="AB212" s="95"/>
      <c r="AC212" s="96"/>
      <c r="AD212" s="93"/>
      <c r="AE212" s="93"/>
      <c r="AF212" s="12"/>
      <c r="AG212" s="12"/>
      <c r="AH212" s="12"/>
      <c r="AI212" s="12"/>
      <c r="AJ212" s="14"/>
    </row>
    <row r="213" spans="2:38">
      <c r="B213" s="12"/>
      <c r="C213" s="11"/>
      <c r="D213" s="12"/>
      <c r="E213" s="12"/>
      <c r="F213" s="12"/>
      <c r="G213"/>
      <c r="H213" s="455" t="s">
        <v>159</v>
      </c>
      <c r="I213" s="457"/>
      <c r="J213" s="455" t="s">
        <v>26</v>
      </c>
      <c r="K213" s="457"/>
      <c r="L213" s="456" t="s">
        <v>28</v>
      </c>
      <c r="M213" s="457"/>
      <c r="N213" s="455" t="s">
        <v>199</v>
      </c>
      <c r="O213" s="456"/>
      <c r="P213" s="456"/>
      <c r="Q213" s="456"/>
      <c r="R213" s="456"/>
      <c r="S213" s="457"/>
      <c r="T213" s="455" t="s">
        <v>182</v>
      </c>
      <c r="U213" s="456"/>
      <c r="V213" s="456"/>
      <c r="W213" s="455" t="s">
        <v>183</v>
      </c>
      <c r="X213" s="456"/>
      <c r="Y213" s="456"/>
      <c r="Z213" s="456"/>
      <c r="AA213" s="456"/>
      <c r="AB213" s="457"/>
      <c r="AC213" s="7"/>
      <c r="AD213" s="12"/>
      <c r="AE213" s="12"/>
      <c r="AF213" s="12"/>
      <c r="AJ213" s="14"/>
      <c r="AK213" s="12"/>
    </row>
    <row r="214" spans="2:38">
      <c r="B214" s="12"/>
      <c r="C214" s="11"/>
      <c r="D214" s="12"/>
      <c r="E214" s="12"/>
      <c r="F214" s="12"/>
      <c r="G214"/>
      <c r="H214" s="438" t="s">
        <v>200</v>
      </c>
      <c r="I214" s="439"/>
      <c r="J214" s="440"/>
      <c r="K214" s="463"/>
      <c r="L214" s="441"/>
      <c r="M214" s="463"/>
      <c r="N214" s="606" t="s">
        <v>204</v>
      </c>
      <c r="O214" s="607"/>
      <c r="P214" s="607"/>
      <c r="Q214" s="607"/>
      <c r="R214" s="607"/>
      <c r="S214" s="608"/>
      <c r="T214" s="623" t="s">
        <v>184</v>
      </c>
      <c r="U214" s="427"/>
      <c r="V214" s="427"/>
      <c r="W214" s="606" t="s">
        <v>220</v>
      </c>
      <c r="X214" s="607"/>
      <c r="Y214" s="607"/>
      <c r="Z214" s="607"/>
      <c r="AA214" s="607"/>
      <c r="AB214" s="608"/>
      <c r="AC214" s="308"/>
      <c r="AD214" s="12"/>
      <c r="AE214" s="12"/>
      <c r="AF214" s="12"/>
      <c r="AJ214" s="14"/>
      <c r="AK214" s="12"/>
    </row>
    <row r="215" spans="2:38" ht="20.25">
      <c r="B215" s="12"/>
      <c r="C215" s="11"/>
      <c r="D215" s="12"/>
      <c r="E215" s="12"/>
      <c r="F215" s="12"/>
      <c r="G215"/>
      <c r="H215" s="501" t="s">
        <v>40</v>
      </c>
      <c r="I215" s="503"/>
      <c r="J215" s="501"/>
      <c r="K215" s="503"/>
      <c r="L215" s="433"/>
      <c r="M215" s="434"/>
      <c r="N215" s="501" t="s">
        <v>44</v>
      </c>
      <c r="O215" s="502"/>
      <c r="P215" s="502"/>
      <c r="Q215" s="502"/>
      <c r="R215" s="502"/>
      <c r="S215" s="503"/>
      <c r="T215" s="432" t="s">
        <v>40</v>
      </c>
      <c r="U215" s="433"/>
      <c r="V215" s="433"/>
      <c r="W215" s="501" t="s">
        <v>44</v>
      </c>
      <c r="X215" s="502"/>
      <c r="Y215" s="502"/>
      <c r="Z215" s="502"/>
      <c r="AA215" s="502"/>
      <c r="AB215" s="503"/>
      <c r="AC215" s="7"/>
      <c r="AD215" s="12"/>
      <c r="AE215" s="12"/>
      <c r="AF215" s="12"/>
      <c r="AJ215" s="14"/>
      <c r="AK215" s="12"/>
    </row>
    <row r="216" spans="2:38" ht="18.75" customHeight="1">
      <c r="B216" s="12"/>
      <c r="C216" s="11"/>
      <c r="D216" s="599" t="s">
        <v>52</v>
      </c>
      <c r="E216" s="599"/>
      <c r="F216" s="452" t="s">
        <v>170</v>
      </c>
      <c r="G216" s="454"/>
      <c r="H216" s="629" t="s">
        <v>151</v>
      </c>
      <c r="I216" s="630"/>
      <c r="J216" s="514" t="str">
        <f>J206</f>
        <v>砂質</v>
      </c>
      <c r="K216" s="602"/>
      <c r="L216" s="491">
        <f>'1.設計条件'!N27</f>
        <v>75</v>
      </c>
      <c r="M216" s="602"/>
      <c r="N216" s="552" t="s">
        <v>299</v>
      </c>
      <c r="O216" s="553"/>
      <c r="P216" s="553"/>
      <c r="Q216" s="604">
        <f>AF206</f>
        <v>259.95676563613415</v>
      </c>
      <c r="R216" s="604"/>
      <c r="S216" s="605"/>
      <c r="T216" s="504">
        <f>IF(L216&lt;=10, '1.設計条件'!T$34/1000, 2*'1.設計条件'!T$34/1000)</f>
        <v>0.6</v>
      </c>
      <c r="U216" s="505"/>
      <c r="V216" s="550"/>
      <c r="W216" s="552" t="s">
        <v>304</v>
      </c>
      <c r="X216" s="553"/>
      <c r="Y216" s="553"/>
      <c r="Z216" s="627">
        <f>T216*Q216</f>
        <v>155.97405938168049</v>
      </c>
      <c r="AA216" s="627"/>
      <c r="AB216" s="628"/>
      <c r="AC216" s="307"/>
      <c r="AD216" s="12"/>
      <c r="AE216" s="12"/>
      <c r="AF216" s="12"/>
      <c r="AJ216" s="14"/>
      <c r="AK216" s="12"/>
    </row>
    <row r="217" spans="2:38">
      <c r="B217" s="12"/>
      <c r="C217" s="11"/>
      <c r="D217" s="599"/>
      <c r="E217" s="599"/>
      <c r="F217" s="432" t="s">
        <v>172</v>
      </c>
      <c r="G217" s="434"/>
      <c r="H217" s="631"/>
      <c r="I217" s="632"/>
      <c r="J217" s="493"/>
      <c r="K217" s="603"/>
      <c r="L217" s="493"/>
      <c r="M217" s="603"/>
      <c r="N217" s="568" t="s">
        <v>300</v>
      </c>
      <c r="O217" s="569"/>
      <c r="P217" s="569"/>
      <c r="Q217" s="556" t="s">
        <v>224</v>
      </c>
      <c r="R217" s="556"/>
      <c r="S217" s="572"/>
      <c r="T217" s="506">
        <f>IF(L216&lt;=10, '1.設計条件'!T$34/1000, 2*'1.設計条件'!T$34/1000)</f>
        <v>0.6</v>
      </c>
      <c r="U217" s="507"/>
      <c r="V217" s="507"/>
      <c r="W217" s="568" t="s">
        <v>305</v>
      </c>
      <c r="X217" s="569"/>
      <c r="Y217" s="569"/>
      <c r="Z217" s="666" t="s">
        <v>226</v>
      </c>
      <c r="AA217" s="666"/>
      <c r="AB217" s="667"/>
      <c r="AC217" s="307"/>
      <c r="AD217" s="12"/>
      <c r="AE217" s="12"/>
      <c r="AF217" s="12"/>
      <c r="AJ217" s="14"/>
      <c r="AK217" s="12"/>
    </row>
    <row r="218" spans="2:38">
      <c r="B218" s="12"/>
      <c r="C218" s="11"/>
      <c r="D218" s="94"/>
      <c r="E218" s="93"/>
      <c r="F218" s="93"/>
      <c r="G218" s="93"/>
      <c r="H218" s="93"/>
      <c r="I218" s="93"/>
      <c r="J218" s="91"/>
      <c r="K218" s="91"/>
      <c r="L218" s="91"/>
      <c r="M218" s="91"/>
      <c r="N218" s="91"/>
      <c r="O218" s="92"/>
      <c r="P218" s="92"/>
      <c r="Q218" s="92"/>
      <c r="R218" s="92"/>
      <c r="S218" s="91"/>
      <c r="T218" s="91"/>
      <c r="U218" s="93"/>
      <c r="V218" s="93"/>
      <c r="W218" s="93"/>
      <c r="X218" s="78"/>
      <c r="Y218" s="78"/>
      <c r="Z218" s="78"/>
      <c r="AA218"/>
      <c r="AB218" s="95"/>
      <c r="AC218" s="96"/>
      <c r="AD218" s="93"/>
      <c r="AE218" s="93"/>
      <c r="AF218" s="12"/>
      <c r="AG218" s="12"/>
      <c r="AH218" s="12"/>
      <c r="AI218" s="12"/>
      <c r="AJ218" s="14"/>
      <c r="AK218" s="12"/>
      <c r="AL218" s="12"/>
    </row>
    <row r="219" spans="2:38">
      <c r="B219" s="12"/>
      <c r="C219" s="11"/>
      <c r="D219" s="591" t="s">
        <v>306</v>
      </c>
      <c r="E219" s="591"/>
      <c r="F219" s="591"/>
      <c r="G219" s="427" t="s">
        <v>184</v>
      </c>
      <c r="H219" s="427"/>
      <c r="I219" s="427"/>
      <c r="J219" s="98" t="s">
        <v>215</v>
      </c>
      <c r="K219" s="721" t="s">
        <v>307</v>
      </c>
      <c r="L219" s="722"/>
      <c r="M219" s="722"/>
      <c r="N219" s="205"/>
      <c r="O219" s="205"/>
      <c r="P219" s="205"/>
      <c r="Q219" s="205"/>
      <c r="R219" s="97"/>
      <c r="S219" s="78"/>
      <c r="T219" s="91"/>
      <c r="U219" s="93"/>
      <c r="V219" s="93"/>
      <c r="W219" s="93"/>
      <c r="X219" s="78"/>
      <c r="Y219" s="78"/>
      <c r="Z219" s="78"/>
      <c r="AA219"/>
      <c r="AB219" s="95"/>
      <c r="AC219" s="96"/>
      <c r="AD219" s="93"/>
      <c r="AE219" s="93"/>
      <c r="AF219" s="12"/>
      <c r="AG219" s="12"/>
      <c r="AH219" s="12"/>
      <c r="AI219" s="12"/>
      <c r="AJ219" s="14"/>
      <c r="AK219" s="12"/>
      <c r="AL219" s="12"/>
    </row>
    <row r="220" spans="2:38" ht="20.25">
      <c r="B220" s="12"/>
      <c r="C220" s="11"/>
      <c r="D220" s="591" t="s">
        <v>8</v>
      </c>
      <c r="E220" s="591"/>
      <c r="F220" s="591"/>
      <c r="G220" s="719">
        <f>T217</f>
        <v>0.6</v>
      </c>
      <c r="H220" s="719"/>
      <c r="I220" s="719"/>
      <c r="J220" s="1" t="s">
        <v>215</v>
      </c>
      <c r="K220" s="1" t="s">
        <v>216</v>
      </c>
      <c r="L220" s="720">
        <f>G211</f>
        <v>83.504999999999995</v>
      </c>
      <c r="M220" s="720"/>
      <c r="N220" s="574" t="s">
        <v>219</v>
      </c>
      <c r="O220" s="574"/>
      <c r="P220" s="723">
        <f>L211</f>
        <v>259.95676563613415</v>
      </c>
      <c r="Q220" s="723"/>
      <c r="R220" s="723"/>
      <c r="S220" s="723"/>
      <c r="T220" s="309" t="s">
        <v>218</v>
      </c>
      <c r="U220" s="93"/>
      <c r="V220" s="190"/>
      <c r="W220" s="190"/>
      <c r="X220" s="190"/>
      <c r="Y220" s="78"/>
      <c r="Z220" s="78"/>
      <c r="AA220"/>
      <c r="AB220" s="95"/>
      <c r="AC220" s="96"/>
      <c r="AD220" s="93"/>
      <c r="AE220" s="93"/>
      <c r="AF220" s="12"/>
      <c r="AG220" s="12"/>
      <c r="AH220" s="12"/>
      <c r="AI220" s="12"/>
      <c r="AJ220" s="14"/>
      <c r="AK220" s="12"/>
      <c r="AL220" s="12"/>
    </row>
    <row r="221" spans="2:38" ht="20.25">
      <c r="B221" s="12"/>
      <c r="C221" s="11"/>
      <c r="D221" s="591" t="s">
        <v>8</v>
      </c>
      <c r="E221" s="591"/>
      <c r="F221" s="591"/>
      <c r="G221" s="649">
        <f>G220*L220</f>
        <v>50.102999999999994</v>
      </c>
      <c r="H221" s="650"/>
      <c r="I221" s="651"/>
      <c r="J221" s="574" t="s">
        <v>219</v>
      </c>
      <c r="K221" s="574"/>
      <c r="L221" s="652">
        <f>G220*P220</f>
        <v>155.97405938168049</v>
      </c>
      <c r="M221" s="653"/>
      <c r="N221" s="653"/>
      <c r="O221" s="653"/>
      <c r="P221" s="653"/>
      <c r="Q221" s="654"/>
      <c r="R221" s="97" t="s">
        <v>44</v>
      </c>
      <c r="S221" s="78"/>
      <c r="T221" s="91"/>
      <c r="U221" s="93"/>
      <c r="V221" s="93"/>
      <c r="W221" s="93"/>
      <c r="X221" s="78"/>
      <c r="Y221" s="78"/>
      <c r="Z221" s="78"/>
      <c r="AA221"/>
      <c r="AB221" s="95"/>
      <c r="AC221" s="96"/>
      <c r="AD221" s="93"/>
      <c r="AE221" s="93"/>
      <c r="AF221" s="12"/>
      <c r="AG221" s="12"/>
      <c r="AH221" s="12"/>
      <c r="AI221" s="12"/>
      <c r="AJ221" s="14"/>
      <c r="AK221" s="12"/>
      <c r="AL221" s="12"/>
    </row>
    <row r="222" spans="2:38" s="205" customFormat="1">
      <c r="B222" s="240"/>
      <c r="C222" s="113"/>
      <c r="D222" s="191"/>
      <c r="E222" s="191"/>
      <c r="F222" s="154"/>
      <c r="G222" s="154"/>
      <c r="H222" s="93"/>
      <c r="I222" s="78"/>
      <c r="J222" s="93"/>
      <c r="K222" s="78"/>
      <c r="L222" s="123"/>
      <c r="M222" s="123"/>
      <c r="N222" s="123"/>
      <c r="O222" s="93"/>
      <c r="P222" s="93"/>
      <c r="Q222" s="93"/>
      <c r="R222" s="113"/>
      <c r="S222" s="113"/>
      <c r="T222" s="113"/>
      <c r="U222" s="113"/>
      <c r="V222" s="113"/>
      <c r="W222" s="113"/>
      <c r="X222" s="113"/>
      <c r="Y222" s="113"/>
      <c r="Z222" s="113"/>
      <c r="AA222" s="113"/>
      <c r="AB222" s="113"/>
      <c r="AC222" s="113"/>
      <c r="AD222" s="113"/>
      <c r="AE222" s="113"/>
      <c r="AF222" s="113"/>
      <c r="AG222" s="113"/>
      <c r="AH222" s="113"/>
      <c r="AI222" s="113"/>
      <c r="AJ222" s="240"/>
      <c r="AK222" s="113"/>
      <c r="AL222" s="113"/>
    </row>
    <row r="223" spans="2:38">
      <c r="B223" s="14"/>
      <c r="C223" s="12"/>
      <c r="D223" s="94"/>
      <c r="E223" s="93"/>
      <c r="F223" s="93"/>
      <c r="G223" s="93"/>
      <c r="H223" s="93"/>
      <c r="I223" s="93"/>
      <c r="J223" s="91"/>
      <c r="K223" s="91"/>
      <c r="L223" s="91"/>
      <c r="M223" s="91"/>
      <c r="N223" s="91"/>
      <c r="O223" s="92"/>
      <c r="P223" s="92"/>
      <c r="Q223" s="92"/>
      <c r="R223" s="92"/>
      <c r="S223" s="91"/>
      <c r="T223" s="91"/>
      <c r="U223" s="93"/>
      <c r="V223" s="93"/>
      <c r="W223" s="93"/>
      <c r="X223" s="78"/>
      <c r="Y223" s="78"/>
      <c r="Z223" s="78"/>
      <c r="AA223"/>
      <c r="AB223" s="95"/>
      <c r="AC223" s="96"/>
      <c r="AD223" s="93"/>
      <c r="AE223" s="93"/>
      <c r="AF223" s="12"/>
      <c r="AG223" s="12"/>
      <c r="AH223" s="12"/>
      <c r="AI223" s="12"/>
      <c r="AJ223" s="14"/>
    </row>
    <row r="224" spans="2:38">
      <c r="B224" s="14"/>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4"/>
    </row>
    <row r="225" spans="1:36">
      <c r="B225" s="12"/>
      <c r="C225" s="11"/>
      <c r="D225" s="12"/>
      <c r="E225" s="12"/>
      <c r="F225" s="12"/>
      <c r="G225"/>
      <c r="H225"/>
      <c r="I225"/>
      <c r="J225"/>
      <c r="K225"/>
      <c r="L225"/>
      <c r="M225"/>
      <c r="N225"/>
      <c r="O225"/>
      <c r="P225"/>
      <c r="Q225"/>
      <c r="R225" s="12"/>
      <c r="S225" s="12"/>
      <c r="T225" s="12"/>
      <c r="U225" s="12"/>
      <c r="V225" s="12"/>
      <c r="W225" s="12"/>
      <c r="X225" s="12"/>
      <c r="Y225" s="12"/>
      <c r="Z225" s="12"/>
      <c r="AA225" s="12"/>
      <c r="AB225" s="12"/>
      <c r="AC225" s="12"/>
      <c r="AD225" s="12"/>
      <c r="AE225" s="12"/>
      <c r="AF225" s="12"/>
      <c r="AG225" s="12"/>
      <c r="AH225" s="12"/>
      <c r="AI225" s="12"/>
      <c r="AJ225" s="14"/>
    </row>
    <row r="226" spans="1:36">
      <c r="B226" s="12"/>
      <c r="C226" s="11"/>
      <c r="D226" s="12"/>
      <c r="E226" s="12"/>
      <c r="F226" s="12"/>
      <c r="G226"/>
      <c r="H226" s="33"/>
      <c r="I226" s="33"/>
      <c r="J226"/>
      <c r="K226"/>
      <c r="L226" s="33"/>
      <c r="M226" s="33"/>
      <c r="N226" s="33"/>
      <c r="O226" s="33"/>
      <c r="P226" s="33"/>
      <c r="Q226" s="33"/>
      <c r="R226" s="12"/>
      <c r="S226" s="12"/>
      <c r="T226" s="12"/>
      <c r="U226" s="12"/>
      <c r="V226" s="12"/>
      <c r="W226" s="12"/>
      <c r="X226" s="12"/>
      <c r="Y226" s="12"/>
      <c r="Z226" s="12"/>
      <c r="AA226" s="12"/>
      <c r="AB226" s="12"/>
      <c r="AC226" s="12"/>
      <c r="AD226" s="12"/>
      <c r="AE226" s="12"/>
      <c r="AF226" s="12"/>
      <c r="AG226" s="12"/>
      <c r="AH226" s="12"/>
      <c r="AI226" s="12"/>
      <c r="AJ226" s="14"/>
    </row>
    <row r="227" spans="1:36">
      <c r="B227" s="12"/>
      <c r="C227" s="11"/>
      <c r="D227" s="12"/>
      <c r="E227" s="12"/>
      <c r="F227" s="12"/>
      <c r="G227"/>
      <c r="H227"/>
      <c r="I227"/>
      <c r="J227"/>
      <c r="K227"/>
      <c r="L227"/>
      <c r="M227"/>
      <c r="N227"/>
      <c r="O227"/>
      <c r="P227"/>
      <c r="Q227"/>
      <c r="R227" s="12"/>
      <c r="S227" s="12"/>
      <c r="T227" s="12"/>
      <c r="U227" s="12"/>
      <c r="V227" s="12"/>
      <c r="W227" s="12"/>
      <c r="X227" s="12"/>
      <c r="Y227" s="12"/>
      <c r="Z227" s="12"/>
      <c r="AA227" s="12"/>
      <c r="AB227" s="12"/>
      <c r="AC227" s="12"/>
      <c r="AD227" s="12"/>
      <c r="AE227" s="12"/>
      <c r="AF227" s="12"/>
      <c r="AG227" s="12"/>
      <c r="AH227" s="12"/>
      <c r="AI227" s="12"/>
      <c r="AJ227" s="14"/>
    </row>
    <row r="228" spans="1:36">
      <c r="B228" s="12"/>
      <c r="C228" s="11"/>
      <c r="D228" s="31"/>
      <c r="E228" s="31"/>
      <c r="F228" s="212"/>
      <c r="G228" s="212"/>
      <c r="H228"/>
      <c r="I228"/>
      <c r="J228"/>
      <c r="K228"/>
      <c r="L228" s="213"/>
      <c r="M228" s="213"/>
      <c r="N228" s="213"/>
      <c r="O228" s="190"/>
      <c r="P228" s="190"/>
      <c r="Q228" s="190"/>
      <c r="R228" s="12"/>
      <c r="S228" s="12"/>
      <c r="T228" s="12"/>
      <c r="U228" s="12"/>
      <c r="V228" s="12"/>
      <c r="W228" s="12"/>
      <c r="X228" s="12"/>
      <c r="Y228" s="12"/>
      <c r="Z228" s="12"/>
      <c r="AA228" s="12"/>
      <c r="AB228" s="12"/>
      <c r="AC228" s="12"/>
      <c r="AD228" s="12"/>
      <c r="AE228" s="12"/>
      <c r="AF228" s="12"/>
      <c r="AG228" s="12"/>
      <c r="AH228" s="12"/>
      <c r="AI228" s="12"/>
      <c r="AJ228" s="14"/>
    </row>
    <row r="229" spans="1:36">
      <c r="B229" s="12"/>
      <c r="C229" s="11"/>
      <c r="D229" s="31"/>
      <c r="E229" s="31"/>
      <c r="F229" s="212"/>
      <c r="G229" s="212"/>
      <c r="H229" s="190"/>
      <c r="I229"/>
      <c r="J229" s="190"/>
      <c r="K229"/>
      <c r="L229" s="213"/>
      <c r="M229" s="213"/>
      <c r="N229" s="213"/>
      <c r="O229" s="190"/>
      <c r="P229" s="190"/>
      <c r="Q229" s="190"/>
      <c r="R229" s="12"/>
      <c r="S229" s="12"/>
      <c r="T229" s="12"/>
      <c r="U229" s="12"/>
      <c r="V229" s="12"/>
      <c r="W229" s="12"/>
      <c r="X229" s="12"/>
      <c r="Y229" s="12"/>
      <c r="Z229" s="12"/>
      <c r="AA229" s="12"/>
      <c r="AB229" s="12"/>
      <c r="AC229" s="12"/>
      <c r="AD229" s="12"/>
      <c r="AE229" s="12"/>
      <c r="AF229" s="12"/>
      <c r="AG229" s="12"/>
      <c r="AH229" s="12"/>
      <c r="AI229" s="12"/>
      <c r="AJ229" s="14"/>
    </row>
    <row r="230" spans="1:36">
      <c r="B230" s="12"/>
      <c r="C230" s="11"/>
      <c r="D230" s="31"/>
      <c r="E230" s="31"/>
      <c r="F230" s="212"/>
      <c r="G230" s="212"/>
      <c r="H230" s="190"/>
      <c r="I230" s="190"/>
      <c r="J230" s="190"/>
      <c r="K230" s="190"/>
      <c r="L230" s="213"/>
      <c r="M230" s="213"/>
      <c r="N230" s="213"/>
      <c r="O230" s="190"/>
      <c r="P230" s="190"/>
      <c r="Q230" s="190"/>
      <c r="R230" s="12"/>
      <c r="S230" s="12"/>
      <c r="T230" s="12"/>
      <c r="U230" s="12"/>
      <c r="V230" s="12"/>
      <c r="W230" s="12"/>
      <c r="X230" s="12"/>
      <c r="Y230" s="12"/>
      <c r="Z230" s="12"/>
      <c r="AA230" s="12"/>
      <c r="AB230" s="12"/>
      <c r="AC230" s="12"/>
      <c r="AD230" s="12"/>
      <c r="AE230" s="12"/>
      <c r="AF230" s="12"/>
      <c r="AG230" s="12"/>
      <c r="AH230" s="12"/>
      <c r="AI230" s="12"/>
      <c r="AJ230" s="14"/>
    </row>
    <row r="231" spans="1:36">
      <c r="B231" s="12"/>
      <c r="C231" s="11"/>
      <c r="D231" s="31"/>
      <c r="E231" s="31"/>
      <c r="F231" s="212"/>
      <c r="G231" s="212"/>
      <c r="H231" s="190"/>
      <c r="I231"/>
      <c r="J231" s="190"/>
      <c r="K231"/>
      <c r="L231" s="213"/>
      <c r="M231" s="213"/>
      <c r="N231" s="213"/>
      <c r="O231" s="190"/>
      <c r="P231" s="190"/>
      <c r="Q231" s="190"/>
      <c r="R231" s="12"/>
      <c r="S231" s="12"/>
      <c r="T231" s="12"/>
      <c r="U231" s="12"/>
      <c r="V231" s="12"/>
      <c r="W231" s="12"/>
      <c r="X231" s="12"/>
      <c r="Y231" s="12"/>
      <c r="Z231" s="12"/>
      <c r="AA231" s="12"/>
      <c r="AB231" s="12"/>
      <c r="AC231" s="12"/>
      <c r="AD231" s="12"/>
      <c r="AE231" s="12"/>
      <c r="AF231" s="12"/>
      <c r="AG231" s="12"/>
      <c r="AH231" s="12"/>
      <c r="AI231" s="12"/>
      <c r="AJ231" s="14"/>
    </row>
    <row r="232" spans="1:36">
      <c r="B232" s="12"/>
      <c r="C232" s="11"/>
      <c r="D232" s="31"/>
      <c r="E232" s="31"/>
      <c r="F232" s="212"/>
      <c r="G232" s="212"/>
      <c r="H232" s="190"/>
      <c r="I232" s="190"/>
      <c r="J232" s="190"/>
      <c r="K232" s="190"/>
      <c r="L232" s="213"/>
      <c r="M232" s="213"/>
      <c r="N232" s="213"/>
      <c r="O232" s="190"/>
      <c r="P232" s="190"/>
      <c r="Q232" s="190"/>
      <c r="R232" s="12"/>
      <c r="S232" s="12"/>
      <c r="T232" s="12"/>
      <c r="U232" s="12"/>
      <c r="V232" s="12"/>
      <c r="W232" s="12"/>
      <c r="X232" s="12"/>
      <c r="Y232" s="12"/>
      <c r="Z232" s="12"/>
      <c r="AA232" s="12"/>
      <c r="AB232" s="12"/>
      <c r="AC232" s="12"/>
      <c r="AD232" s="12"/>
      <c r="AE232" s="12"/>
      <c r="AF232" s="12"/>
      <c r="AG232" s="12"/>
      <c r="AH232" s="12"/>
      <c r="AI232" s="12"/>
      <c r="AJ232" s="14"/>
    </row>
    <row r="233" spans="1:36">
      <c r="B233" s="12"/>
      <c r="C233" s="11"/>
      <c r="D233" s="31"/>
      <c r="E233" s="31"/>
      <c r="F233" s="212"/>
      <c r="G233" s="212"/>
      <c r="H233" s="190"/>
      <c r="I233"/>
      <c r="J233" s="190"/>
      <c r="K233"/>
      <c r="L233" s="213"/>
      <c r="M233" s="213"/>
      <c r="N233" s="213"/>
      <c r="O233" s="190"/>
      <c r="P233" s="190"/>
      <c r="Q233" s="190"/>
      <c r="R233" s="12"/>
      <c r="S233" s="12"/>
      <c r="T233" s="12"/>
      <c r="U233" s="12"/>
      <c r="V233" s="12"/>
      <c r="W233" s="12"/>
      <c r="X233" s="12"/>
      <c r="Y233" s="12"/>
      <c r="Z233" s="12"/>
      <c r="AA233" s="12"/>
      <c r="AB233" s="12"/>
      <c r="AC233" s="12"/>
      <c r="AD233" s="12"/>
      <c r="AE233" s="12"/>
      <c r="AF233" s="12"/>
      <c r="AG233" s="12"/>
      <c r="AH233" s="12"/>
      <c r="AI233" s="12"/>
      <c r="AJ233" s="14"/>
    </row>
    <row r="234" spans="1:36">
      <c r="B234" s="14"/>
      <c r="C234" s="12"/>
      <c r="D234" s="31"/>
      <c r="E234" s="31"/>
      <c r="F234" s="212"/>
      <c r="G234" s="212"/>
      <c r="H234" s="190"/>
      <c r="I234" s="190"/>
      <c r="J234" s="190"/>
      <c r="K234" s="190"/>
      <c r="L234" s="213"/>
      <c r="M234" s="213"/>
      <c r="N234" s="213"/>
      <c r="O234" s="190"/>
      <c r="P234" s="190"/>
      <c r="Q234" s="190"/>
      <c r="R234" s="12"/>
      <c r="S234" s="12"/>
      <c r="T234" s="12"/>
      <c r="U234" s="12"/>
      <c r="V234" s="12"/>
      <c r="W234" s="12"/>
      <c r="X234" s="12"/>
      <c r="Y234" s="12"/>
      <c r="Z234" s="12"/>
      <c r="AA234" s="12"/>
      <c r="AB234" s="12"/>
      <c r="AC234" s="12"/>
      <c r="AD234" s="12"/>
      <c r="AE234" s="12"/>
      <c r="AF234" s="12"/>
      <c r="AG234" s="12"/>
      <c r="AH234" s="12"/>
      <c r="AI234" s="12"/>
      <c r="AJ234" s="14"/>
    </row>
    <row r="235" spans="1:36">
      <c r="B235" s="14"/>
      <c r="C235" s="12"/>
      <c r="D235" s="31"/>
      <c r="E235" s="31"/>
      <c r="F235" s="212"/>
      <c r="G235" s="212"/>
      <c r="H235" s="190"/>
      <c r="I235"/>
      <c r="J235" s="190"/>
      <c r="K235"/>
      <c r="L235" s="213"/>
      <c r="M235" s="213"/>
      <c r="N235" s="213"/>
      <c r="O235" s="190"/>
      <c r="P235" s="190"/>
      <c r="Q235" s="190"/>
      <c r="R235" s="12"/>
      <c r="S235" s="12"/>
      <c r="T235" s="12"/>
      <c r="U235" s="12"/>
      <c r="V235" s="12"/>
      <c r="W235" s="12"/>
      <c r="X235" s="12"/>
      <c r="Y235" s="12"/>
      <c r="Z235" s="12"/>
      <c r="AA235" s="12"/>
      <c r="AB235" s="12"/>
      <c r="AC235" s="12"/>
      <c r="AD235" s="12"/>
      <c r="AE235" s="12"/>
      <c r="AF235" s="12"/>
      <c r="AG235" s="12"/>
      <c r="AH235" s="12"/>
      <c r="AI235" s="12"/>
      <c r="AJ235" s="14"/>
    </row>
    <row r="236" spans="1:36">
      <c r="B236" s="14"/>
      <c r="C236" s="12"/>
      <c r="D236" s="31"/>
      <c r="E236" s="31"/>
      <c r="F236" s="212"/>
      <c r="G236" s="212"/>
      <c r="H236"/>
      <c r="I236"/>
      <c r="J236"/>
      <c r="K236"/>
      <c r="L236" s="213"/>
      <c r="M236" s="213"/>
      <c r="N236" s="213"/>
      <c r="O236" s="190"/>
      <c r="P236" s="190"/>
      <c r="Q236" s="190"/>
      <c r="R236" s="12"/>
      <c r="S236" s="12"/>
      <c r="T236" s="12"/>
      <c r="U236" s="12"/>
      <c r="V236" s="12"/>
      <c r="W236" s="12"/>
      <c r="X236" s="12"/>
      <c r="Y236" s="12"/>
      <c r="Z236" s="12"/>
      <c r="AA236" s="12"/>
      <c r="AB236" s="12"/>
      <c r="AC236" s="12"/>
      <c r="AD236" s="12"/>
      <c r="AE236" s="12"/>
      <c r="AF236" s="12"/>
      <c r="AG236" s="12"/>
      <c r="AH236" s="12"/>
      <c r="AI236" s="12"/>
      <c r="AJ236" s="14"/>
    </row>
    <row r="237" spans="1:36">
      <c r="B237" s="14"/>
      <c r="C237" s="12"/>
      <c r="D237" s="31"/>
      <c r="E237" s="31"/>
      <c r="F237" s="212"/>
      <c r="G237" s="212"/>
      <c r="H237" s="190"/>
      <c r="I237"/>
      <c r="J237" s="190"/>
      <c r="K237"/>
      <c r="L237" s="213"/>
      <c r="M237" s="213"/>
      <c r="N237" s="213"/>
      <c r="O237" s="190"/>
      <c r="P237" s="190"/>
      <c r="Q237" s="190"/>
      <c r="R237" s="12"/>
      <c r="S237" s="12"/>
      <c r="T237" s="12"/>
      <c r="U237" s="12"/>
      <c r="V237" s="12"/>
      <c r="W237" s="12"/>
      <c r="X237" s="12"/>
      <c r="Y237" s="12"/>
      <c r="Z237" s="12"/>
      <c r="AA237" s="12"/>
      <c r="AB237" s="12"/>
      <c r="AC237" s="12"/>
      <c r="AD237" s="12"/>
      <c r="AE237" s="12"/>
      <c r="AF237" s="12"/>
      <c r="AG237" s="12"/>
      <c r="AH237" s="12"/>
      <c r="AI237" s="12"/>
      <c r="AJ237" s="14"/>
    </row>
    <row r="238" spans="1:36">
      <c r="B238" s="14"/>
      <c r="C238" s="12"/>
      <c r="D238" s="31"/>
      <c r="E238" s="31"/>
      <c r="F238" s="212"/>
      <c r="G238" s="212"/>
      <c r="H238"/>
      <c r="I238"/>
      <c r="J238"/>
      <c r="K238"/>
      <c r="L238" s="213"/>
      <c r="M238" s="213"/>
      <c r="N238" s="213"/>
      <c r="O238" s="190"/>
      <c r="P238" s="190"/>
      <c r="Q238" s="190"/>
      <c r="R238" s="12"/>
      <c r="S238" s="12"/>
      <c r="T238" s="12"/>
      <c r="U238" s="12"/>
      <c r="V238" s="12"/>
      <c r="W238" s="12"/>
      <c r="X238" s="12"/>
      <c r="Y238" s="12"/>
      <c r="Z238" s="12"/>
      <c r="AA238" s="12"/>
      <c r="AB238" s="12"/>
      <c r="AC238" s="12"/>
      <c r="AD238" s="12"/>
      <c r="AE238" s="12"/>
      <c r="AF238" s="12"/>
      <c r="AG238" s="12"/>
      <c r="AH238" s="12"/>
      <c r="AI238" s="12"/>
      <c r="AJ238" s="14"/>
    </row>
    <row r="239" spans="1:36">
      <c r="B239" s="14"/>
      <c r="C239" s="12"/>
      <c r="D239" s="31"/>
      <c r="E239" s="31"/>
      <c r="F239" s="212"/>
      <c r="G239" s="212"/>
      <c r="H239" s="190"/>
      <c r="I239"/>
      <c r="J239" s="190"/>
      <c r="K239"/>
      <c r="L239" s="213"/>
      <c r="M239" s="213"/>
      <c r="N239" s="213"/>
      <c r="O239" s="190"/>
      <c r="P239" s="190"/>
      <c r="Q239" s="190"/>
      <c r="R239" s="12"/>
      <c r="S239" s="12"/>
      <c r="T239" s="12"/>
      <c r="U239" s="12"/>
      <c r="V239" s="12"/>
      <c r="W239" s="12"/>
      <c r="X239" s="12"/>
      <c r="Y239" s="12"/>
      <c r="Z239" s="12"/>
      <c r="AA239" s="12"/>
      <c r="AB239" s="12"/>
      <c r="AC239" s="12"/>
      <c r="AD239" s="12"/>
      <c r="AE239" s="12"/>
      <c r="AF239" s="12"/>
      <c r="AG239" s="12"/>
      <c r="AH239" s="12"/>
      <c r="AI239" s="12"/>
      <c r="AJ239" s="14"/>
    </row>
    <row r="240" spans="1:36">
      <c r="A240" s="12"/>
      <c r="B240" s="12"/>
      <c r="C240" s="182"/>
      <c r="D240" s="55"/>
      <c r="E240" s="55"/>
      <c r="F240" s="55"/>
      <c r="G240" s="55"/>
      <c r="H240" s="55"/>
      <c r="I240" s="55"/>
      <c r="J240" s="55"/>
      <c r="K240" s="55"/>
      <c r="L240" s="55"/>
      <c r="M240" s="55"/>
      <c r="N240" s="55"/>
      <c r="O240" s="55"/>
      <c r="P240" s="55"/>
      <c r="Q240" s="55"/>
      <c r="R240" s="55"/>
      <c r="S240" s="55"/>
      <c r="T240" s="55"/>
      <c r="U240" s="55"/>
      <c r="V240"/>
      <c r="W240" s="55"/>
      <c r="X240" s="55"/>
      <c r="Y240" s="55"/>
      <c r="Z240" s="55"/>
      <c r="AA240" s="55"/>
      <c r="AB240" s="55"/>
      <c r="AC240" s="39"/>
      <c r="AD240" s="39"/>
      <c r="AE240" s="41"/>
      <c r="AF240" s="41"/>
      <c r="AG240" s="41"/>
      <c r="AH240" s="41"/>
      <c r="AI240" s="12"/>
      <c r="AJ240" s="14"/>
    </row>
    <row r="241" spans="2:36">
      <c r="B241" s="12"/>
      <c r="C241" s="11" t="s">
        <v>229</v>
      </c>
      <c r="D241" s="94"/>
      <c r="E241" s="93"/>
      <c r="F241" s="93"/>
      <c r="G241" s="93"/>
      <c r="H241" s="93"/>
      <c r="I241" s="93"/>
      <c r="J241" s="91"/>
      <c r="K241" s="91"/>
      <c r="L241" s="91"/>
      <c r="M241" s="91"/>
      <c r="N241" s="91"/>
      <c r="O241" s="92"/>
      <c r="P241" s="92"/>
      <c r="Q241" s="92"/>
      <c r="R241" s="92"/>
      <c r="S241" s="91"/>
      <c r="T241" s="91"/>
      <c r="U241" s="93"/>
      <c r="V241" s="93"/>
      <c r="W241" s="93"/>
      <c r="X241" s="78"/>
      <c r="Y241" s="78"/>
      <c r="Z241" s="78"/>
      <c r="AA241"/>
      <c r="AB241" s="95"/>
      <c r="AC241" s="96"/>
      <c r="AD241" s="93"/>
      <c r="AE241" s="93"/>
      <c r="AF241" s="12"/>
      <c r="AG241" s="12"/>
      <c r="AH241" s="12"/>
      <c r="AI241" s="12"/>
      <c r="AJ241" s="14"/>
    </row>
    <row r="242" spans="2:36">
      <c r="B242" s="12"/>
      <c r="C242" s="11"/>
      <c r="D242" s="94"/>
      <c r="E242" s="93"/>
      <c r="F242" s="93"/>
      <c r="G242" s="93"/>
      <c r="H242" s="659" t="s">
        <v>230</v>
      </c>
      <c r="I242" s="660"/>
      <c r="J242" s="660"/>
      <c r="K242" s="660"/>
      <c r="L242" s="660"/>
      <c r="M242" s="660"/>
      <c r="N242" s="660"/>
      <c r="O242" s="660"/>
      <c r="P242" s="660"/>
      <c r="Q242" s="660"/>
      <c r="R242" s="660"/>
      <c r="S242" s="660"/>
      <c r="T242" s="661"/>
      <c r="U242" s="455" t="s">
        <v>231</v>
      </c>
      <c r="V242" s="456"/>
      <c r="W242" s="456"/>
      <c r="X242" s="456"/>
      <c r="Y242" s="456"/>
      <c r="Z242" s="456"/>
      <c r="AA242" s="456"/>
      <c r="AB242" s="456"/>
      <c r="AC242" s="456"/>
      <c r="AD242" s="456"/>
      <c r="AE242" s="456"/>
      <c r="AF242" s="456"/>
      <c r="AG242" s="456"/>
      <c r="AH242" s="457"/>
      <c r="AI242" s="12"/>
      <c r="AJ242" s="14"/>
    </row>
    <row r="243" spans="2:36">
      <c r="B243" s="12"/>
      <c r="C243" s="11"/>
      <c r="D243" s="12"/>
      <c r="E243" s="93"/>
      <c r="F243" s="93"/>
      <c r="G243" s="93"/>
      <c r="H243" s="538"/>
      <c r="I243" s="539"/>
      <c r="J243" s="539"/>
      <c r="K243" s="539"/>
      <c r="L243" s="539"/>
      <c r="M243" s="539"/>
      <c r="N243" s="539"/>
      <c r="O243" s="539"/>
      <c r="P243" s="539"/>
      <c r="Q243" s="539"/>
      <c r="R243" s="539"/>
      <c r="S243" s="539"/>
      <c r="T243" s="540"/>
      <c r="U243" s="585" t="s">
        <v>308</v>
      </c>
      <c r="V243" s="586"/>
      <c r="W243" s="586"/>
      <c r="X243" s="586"/>
      <c r="Y243" s="586"/>
      <c r="Z243" s="586"/>
      <c r="AA243" s="586"/>
      <c r="AB243" s="586"/>
      <c r="AC243" s="586"/>
      <c r="AD243" s="586"/>
      <c r="AE243" s="586"/>
      <c r="AF243" s="586"/>
      <c r="AG243" s="586"/>
      <c r="AH243" s="587"/>
      <c r="AI243" s="12"/>
      <c r="AJ243" s="14"/>
    </row>
    <row r="244" spans="2:36">
      <c r="B244" s="12"/>
      <c r="C244" s="11"/>
      <c r="D244" s="94"/>
      <c r="E244" s="93"/>
      <c r="F244" s="93"/>
      <c r="G244" s="93"/>
      <c r="H244" s="15"/>
      <c r="I244" s="24"/>
      <c r="J244" s="24"/>
      <c r="K244" s="24"/>
      <c r="L244" s="24"/>
      <c r="M244" s="24"/>
      <c r="N244" s="24"/>
      <c r="O244" s="24"/>
      <c r="P244" s="24"/>
      <c r="Q244" s="24"/>
      <c r="R244" s="16"/>
      <c r="S244" s="20"/>
      <c r="T244" s="172"/>
      <c r="U244" s="501" t="s">
        <v>234</v>
      </c>
      <c r="V244" s="502"/>
      <c r="W244" s="502"/>
      <c r="X244" s="502"/>
      <c r="Y244" s="502"/>
      <c r="Z244" s="502"/>
      <c r="AA244" s="502"/>
      <c r="AB244" s="502"/>
      <c r="AC244" s="502"/>
      <c r="AD244" s="502"/>
      <c r="AE244" s="502"/>
      <c r="AF244" s="502"/>
      <c r="AG244" s="502"/>
      <c r="AH244" s="503"/>
      <c r="AI244" s="12"/>
      <c r="AJ244" s="14"/>
    </row>
    <row r="245" spans="2:36">
      <c r="B245" s="12"/>
      <c r="C245" s="11"/>
      <c r="D245" s="594" t="s">
        <v>177</v>
      </c>
      <c r="E245" s="595"/>
      <c r="F245" s="646" t="s">
        <v>235</v>
      </c>
      <c r="G245" s="647"/>
      <c r="H245" s="662">
        <f>Z194</f>
        <v>44.217600000000004</v>
      </c>
      <c r="I245" s="571"/>
      <c r="J245" s="29" t="s">
        <v>215</v>
      </c>
      <c r="K245" s="571">
        <f>H194</f>
        <v>2.2000000000000002</v>
      </c>
      <c r="L245" s="571"/>
      <c r="M245" s="29" t="s">
        <v>236</v>
      </c>
      <c r="N245" s="62">
        <v>2</v>
      </c>
      <c r="O245" s="29" t="s">
        <v>8</v>
      </c>
      <c r="P245" s="29"/>
      <c r="Q245" s="29"/>
      <c r="R245" s="29"/>
      <c r="S245" s="63"/>
      <c r="T245" s="63"/>
      <c r="U245" s="551"/>
      <c r="V245" s="546"/>
      <c r="W245" s="546"/>
      <c r="X245" s="65"/>
      <c r="Y245" s="66"/>
      <c r="Z245" s="64"/>
      <c r="AA245" s="546"/>
      <c r="AB245" s="546"/>
      <c r="AC245" s="546"/>
      <c r="AD245" s="29"/>
      <c r="AE245" s="29"/>
      <c r="AF245" s="546">
        <f>K245*H245/N245</f>
        <v>48.639360000000011</v>
      </c>
      <c r="AG245" s="546"/>
      <c r="AH245" s="547"/>
      <c r="AI245" s="12"/>
      <c r="AJ245" s="14"/>
    </row>
    <row r="246" spans="2:36">
      <c r="B246" s="12"/>
      <c r="C246" s="11"/>
      <c r="D246" s="596"/>
      <c r="E246" s="597"/>
      <c r="F246" s="655" t="s">
        <v>237</v>
      </c>
      <c r="G246" s="655"/>
      <c r="H246" s="590">
        <f>Z195</f>
        <v>66.552000000000007</v>
      </c>
      <c r="I246" s="562"/>
      <c r="J246" s="16" t="s">
        <v>215</v>
      </c>
      <c r="K246" s="562">
        <f>H194</f>
        <v>2.2000000000000002</v>
      </c>
      <c r="L246" s="562"/>
      <c r="M246" s="16" t="s">
        <v>236</v>
      </c>
      <c r="N246" s="48">
        <v>2</v>
      </c>
      <c r="O246" s="16" t="s">
        <v>8</v>
      </c>
      <c r="P246" s="16"/>
      <c r="Q246" s="16"/>
      <c r="R246" s="16"/>
      <c r="S246" s="20"/>
      <c r="T246" s="20"/>
      <c r="U246" s="551"/>
      <c r="V246" s="546"/>
      <c r="W246" s="546"/>
      <c r="X246" s="65"/>
      <c r="Y246" s="66"/>
      <c r="Z246" s="64"/>
      <c r="AA246" s="546"/>
      <c r="AB246" s="546"/>
      <c r="AC246" s="546"/>
      <c r="AD246" s="29"/>
      <c r="AE246" s="29"/>
      <c r="AF246" s="546">
        <f>K246*H246/N246</f>
        <v>73.207200000000014</v>
      </c>
      <c r="AG246" s="546"/>
      <c r="AH246" s="547"/>
      <c r="AI246" s="12"/>
      <c r="AJ246" s="14"/>
    </row>
    <row r="247" spans="2:36" s="205" customFormat="1">
      <c r="B247" s="113"/>
      <c r="C247" s="239"/>
      <c r="D247" s="94"/>
      <c r="E247" s="93"/>
      <c r="F247" s="93"/>
      <c r="G247" s="93"/>
      <c r="H247" s="93"/>
      <c r="I247" s="93"/>
      <c r="J247" s="91"/>
      <c r="K247" s="91"/>
      <c r="L247" s="91"/>
      <c r="M247" s="91"/>
      <c r="N247" s="91"/>
      <c r="O247" s="92"/>
      <c r="P247" s="92"/>
      <c r="Q247" s="92"/>
      <c r="R247" s="92"/>
      <c r="S247" s="91"/>
      <c r="T247" s="91"/>
      <c r="U247" s="93"/>
      <c r="V247" s="93"/>
      <c r="W247" s="93"/>
      <c r="X247" s="78"/>
      <c r="Y247" s="78"/>
      <c r="Z247" s="78"/>
      <c r="AA247"/>
      <c r="AB247" s="95"/>
      <c r="AC247" s="96"/>
      <c r="AD247" s="93"/>
      <c r="AE247" s="93"/>
      <c r="AF247" s="113"/>
      <c r="AG247" s="113"/>
      <c r="AH247" s="113"/>
      <c r="AI247" s="113"/>
      <c r="AJ247" s="240"/>
    </row>
    <row r="248" spans="2:36">
      <c r="B248" s="12"/>
      <c r="C248" s="11"/>
      <c r="D248" s="94"/>
      <c r="E248" s="93"/>
      <c r="F248" s="93"/>
      <c r="G248" s="93"/>
      <c r="H248" s="581" t="s">
        <v>230</v>
      </c>
      <c r="I248" s="582"/>
      <c r="J248" s="582"/>
      <c r="K248" s="582"/>
      <c r="L248" s="582"/>
      <c r="M248" s="582"/>
      <c r="N248" s="582"/>
      <c r="O248" s="582"/>
      <c r="P248" s="582"/>
      <c r="Q248" s="582"/>
      <c r="R248" s="582"/>
      <c r="S248" s="582"/>
      <c r="T248" s="583"/>
      <c r="U248" s="455" t="s">
        <v>240</v>
      </c>
      <c r="V248" s="456"/>
      <c r="W248" s="456"/>
      <c r="X248" s="456"/>
      <c r="Y248" s="456"/>
      <c r="Z248" s="456"/>
      <c r="AA248" s="456"/>
      <c r="AB248" s="456"/>
      <c r="AC248" s="456"/>
      <c r="AD248" s="456"/>
      <c r="AE248" s="456"/>
      <c r="AF248" s="456"/>
      <c r="AG248" s="456"/>
      <c r="AH248" s="457"/>
      <c r="AI248" s="12"/>
      <c r="AJ248" s="14"/>
    </row>
    <row r="249" spans="2:36">
      <c r="B249" s="12"/>
      <c r="C249" s="11"/>
      <c r="D249" s="12"/>
      <c r="E249" s="93"/>
      <c r="F249" s="93"/>
      <c r="G249" s="93"/>
      <c r="H249" s="388" t="s">
        <v>232</v>
      </c>
      <c r="I249" s="385"/>
      <c r="J249" s="385"/>
      <c r="K249" s="385"/>
      <c r="L249" s="385"/>
      <c r="M249" s="385"/>
      <c r="N249" s="385"/>
      <c r="O249" s="385"/>
      <c r="P249" s="385"/>
      <c r="Q249" s="385"/>
      <c r="R249" s="385"/>
      <c r="S249" s="385"/>
      <c r="T249" s="584"/>
      <c r="U249" s="585" t="s">
        <v>309</v>
      </c>
      <c r="V249" s="586"/>
      <c r="W249" s="586"/>
      <c r="X249" s="586"/>
      <c r="Y249" s="586"/>
      <c r="Z249" s="586"/>
      <c r="AA249" s="586"/>
      <c r="AB249" s="586"/>
      <c r="AC249" s="586"/>
      <c r="AD249" s="586"/>
      <c r="AE249" s="586"/>
      <c r="AF249" s="586"/>
      <c r="AG249" s="586"/>
      <c r="AH249" s="587"/>
      <c r="AI249" s="12"/>
      <c r="AJ249" s="14"/>
    </row>
    <row r="250" spans="2:36">
      <c r="B250" s="12"/>
      <c r="C250" s="11"/>
      <c r="D250" s="94"/>
      <c r="E250" s="93"/>
      <c r="F250" s="93"/>
      <c r="G250" s="93"/>
      <c r="H250" s="189"/>
      <c r="I250" s="24"/>
      <c r="J250" s="24"/>
      <c r="K250" s="24"/>
      <c r="L250" s="24"/>
      <c r="M250" s="24"/>
      <c r="N250" s="24"/>
      <c r="O250" s="24"/>
      <c r="P250" s="24"/>
      <c r="Q250" s="24"/>
      <c r="R250" s="185"/>
      <c r="S250" s="20"/>
      <c r="T250" s="172"/>
      <c r="U250" s="440" t="s">
        <v>234</v>
      </c>
      <c r="V250" s="441"/>
      <c r="W250" s="441"/>
      <c r="X250" s="441"/>
      <c r="Y250" s="441"/>
      <c r="Z250" s="441"/>
      <c r="AA250" s="441"/>
      <c r="AB250" s="441"/>
      <c r="AC250" s="441"/>
      <c r="AD250" s="441"/>
      <c r="AE250" s="441"/>
      <c r="AF250" s="441"/>
      <c r="AG250" s="441"/>
      <c r="AH250" s="463"/>
      <c r="AI250" s="12"/>
      <c r="AJ250" s="14"/>
    </row>
    <row r="251" spans="2:36" ht="20.25">
      <c r="B251" s="12"/>
      <c r="C251" s="11"/>
      <c r="D251" s="594" t="s">
        <v>52</v>
      </c>
      <c r="E251" s="595"/>
      <c r="F251" s="600" t="s">
        <v>238</v>
      </c>
      <c r="G251" s="601"/>
      <c r="H251" s="662">
        <f>Z216</f>
        <v>155.97405938168049</v>
      </c>
      <c r="I251" s="571"/>
      <c r="J251" s="571"/>
      <c r="K251" s="29" t="s">
        <v>215</v>
      </c>
      <c r="L251" s="714" t="s">
        <v>151</v>
      </c>
      <c r="M251" s="714"/>
      <c r="N251" s="68" t="s">
        <v>236</v>
      </c>
      <c r="O251" s="62">
        <v>2</v>
      </c>
      <c r="P251" s="29" t="s">
        <v>8</v>
      </c>
      <c r="Q251" s="29"/>
      <c r="R251" s="29"/>
      <c r="S251" s="63"/>
      <c r="T251" s="63"/>
      <c r="U251" s="525"/>
      <c r="V251" s="526"/>
      <c r="W251" s="526"/>
      <c r="X251" s="65"/>
      <c r="Y251" s="66"/>
      <c r="Z251" s="64"/>
      <c r="AA251" s="546">
        <f>H251/O251</f>
        <v>77.987029690840245</v>
      </c>
      <c r="AB251" s="546"/>
      <c r="AC251" s="546"/>
      <c r="AD251" s="65" t="s">
        <v>151</v>
      </c>
      <c r="AE251" s="29"/>
      <c r="AF251" s="526"/>
      <c r="AG251" s="526"/>
      <c r="AH251" s="527"/>
      <c r="AI251" s="12"/>
      <c r="AJ251" s="14"/>
    </row>
    <row r="252" spans="2:36" ht="21.75" thickBot="1">
      <c r="B252" s="12"/>
      <c r="C252" s="11"/>
      <c r="D252" s="596"/>
      <c r="E252" s="597"/>
      <c r="F252" s="646" t="s">
        <v>239</v>
      </c>
      <c r="G252" s="647"/>
      <c r="H252" s="339" t="s">
        <v>216</v>
      </c>
      <c r="I252" s="612">
        <f>G221</f>
        <v>50.102999999999994</v>
      </c>
      <c r="J252" s="612"/>
      <c r="K252" s="726" t="s">
        <v>219</v>
      </c>
      <c r="L252" s="726"/>
      <c r="M252" s="613">
        <f>L221</f>
        <v>155.97405938168049</v>
      </c>
      <c r="N252" s="613"/>
      <c r="O252" s="613"/>
      <c r="P252" s="725" t="s">
        <v>310</v>
      </c>
      <c r="Q252" s="725"/>
      <c r="R252" s="725"/>
      <c r="S252" s="340">
        <v>2</v>
      </c>
      <c r="T252" s="70" t="s">
        <v>8</v>
      </c>
      <c r="U252" s="739">
        <f>I252/S252</f>
        <v>25.051499999999997</v>
      </c>
      <c r="V252" s="613"/>
      <c r="W252" s="613"/>
      <c r="X252" s="71" t="s">
        <v>256</v>
      </c>
      <c r="Y252" s="72"/>
      <c r="Z252" s="73" t="s">
        <v>213</v>
      </c>
      <c r="AA252" s="725">
        <f>M252/S252</f>
        <v>77.987029690840245</v>
      </c>
      <c r="AB252" s="725"/>
      <c r="AC252" s="725"/>
      <c r="AD252" s="71" t="s">
        <v>151</v>
      </c>
      <c r="AE252" s="70"/>
      <c r="AF252" s="613"/>
      <c r="AG252" s="613"/>
      <c r="AH252" s="648"/>
      <c r="AI252" s="12"/>
      <c r="AJ252" s="14"/>
    </row>
    <row r="253" spans="2:36" ht="21" thickTop="1">
      <c r="B253" s="12"/>
      <c r="C253" s="11"/>
      <c r="D253" s="543" t="s">
        <v>246</v>
      </c>
      <c r="E253" s="544"/>
      <c r="F253" s="544"/>
      <c r="G253" s="545"/>
      <c r="H253" s="21"/>
      <c r="I253" s="21"/>
      <c r="J253" s="20"/>
      <c r="K253" s="20"/>
      <c r="L253" s="20"/>
      <c r="M253" s="20"/>
      <c r="N253" s="20"/>
      <c r="O253" s="327"/>
      <c r="P253" s="327"/>
      <c r="Q253" s="327"/>
      <c r="R253" s="327"/>
      <c r="S253" s="20"/>
      <c r="T253" s="20"/>
      <c r="U253" s="575">
        <f>SUM(U251:W252)</f>
        <v>25.051499999999997</v>
      </c>
      <c r="V253" s="560"/>
      <c r="W253" s="560"/>
      <c r="X253" s="25" t="s">
        <v>245</v>
      </c>
      <c r="Y253" s="22"/>
      <c r="Z253" s="21" t="s">
        <v>213</v>
      </c>
      <c r="AA253" s="560">
        <f>SUM(AA251:AC252)</f>
        <v>155.97405938168049</v>
      </c>
      <c r="AB253" s="560"/>
      <c r="AC253" s="560"/>
      <c r="AD253" s="25" t="s">
        <v>151</v>
      </c>
      <c r="AE253" s="21"/>
      <c r="AF253" s="560"/>
      <c r="AG253" s="560"/>
      <c r="AH253" s="561"/>
      <c r="AI253" s="12"/>
      <c r="AJ253" s="14"/>
    </row>
    <row r="254" spans="2:36">
      <c r="B254" s="12"/>
      <c r="C254" s="11"/>
      <c r="D254" s="94"/>
      <c r="E254" s="93"/>
      <c r="F254" s="93"/>
      <c r="G254" s="93"/>
      <c r="H254" s="93"/>
      <c r="I254" s="93"/>
      <c r="J254" s="91"/>
      <c r="K254" s="91"/>
      <c r="L254" s="91"/>
      <c r="M254" s="91"/>
      <c r="N254" s="91"/>
      <c r="O254" s="92"/>
      <c r="P254" s="92"/>
      <c r="Q254" s="92"/>
      <c r="R254" s="92"/>
      <c r="S254" s="91"/>
      <c r="T254" s="91"/>
      <c r="U254" s="93"/>
      <c r="V254" s="93"/>
      <c r="W254" s="93"/>
      <c r="X254" s="19"/>
      <c r="Y254" s="19"/>
      <c r="Z254" s="19"/>
      <c r="AA254" s="24"/>
      <c r="AB254" s="25"/>
      <c r="AC254" s="22"/>
      <c r="AD254" s="21"/>
      <c r="AE254" s="21"/>
      <c r="AF254" s="16"/>
      <c r="AG254" s="16"/>
      <c r="AH254" s="16"/>
      <c r="AI254" s="12"/>
      <c r="AJ254" s="14"/>
    </row>
    <row r="255" spans="2:36">
      <c r="B255" s="12"/>
      <c r="C255" s="11"/>
      <c r="D255" s="94"/>
      <c r="E255" s="93"/>
      <c r="F255" s="93"/>
      <c r="G255"/>
      <c r="H255" s="659" t="s">
        <v>230</v>
      </c>
      <c r="I255" s="660"/>
      <c r="J255" s="660"/>
      <c r="K255" s="660"/>
      <c r="L255" s="660"/>
      <c r="M255" s="660"/>
      <c r="N255" s="660"/>
      <c r="O255" s="660"/>
      <c r="P255" s="660"/>
      <c r="Q255" s="660"/>
      <c r="R255" s="660"/>
      <c r="S255" s="660"/>
      <c r="T255" s="661"/>
      <c r="U255" s="455" t="s">
        <v>247</v>
      </c>
      <c r="V255" s="456"/>
      <c r="W255" s="456"/>
      <c r="X255" s="456"/>
      <c r="Y255" s="456"/>
      <c r="Z255" s="456"/>
      <c r="AA255" s="456"/>
      <c r="AB255" s="456"/>
      <c r="AC255" s="456"/>
      <c r="AD255" s="456"/>
      <c r="AE255" s="456"/>
      <c r="AF255" s="456"/>
      <c r="AG255" s="456"/>
      <c r="AH255" s="457"/>
      <c r="AI255" s="12"/>
      <c r="AJ255" s="14"/>
    </row>
    <row r="256" spans="2:36">
      <c r="B256" s="12"/>
      <c r="C256" s="11"/>
      <c r="D256" s="94"/>
      <c r="E256" s="93"/>
      <c r="F256" s="93"/>
      <c r="G256"/>
      <c r="H256" s="538" t="s">
        <v>248</v>
      </c>
      <c r="I256" s="539"/>
      <c r="J256" s="539"/>
      <c r="K256" s="539"/>
      <c r="L256" s="539"/>
      <c r="M256" s="539"/>
      <c r="N256" s="539"/>
      <c r="O256" s="539"/>
      <c r="P256" s="539"/>
      <c r="Q256" s="539"/>
      <c r="R256" s="539"/>
      <c r="S256" s="539"/>
      <c r="T256" s="540"/>
      <c r="U256" s="585" t="s">
        <v>249</v>
      </c>
      <c r="V256" s="586"/>
      <c r="W256" s="586"/>
      <c r="X256" s="586"/>
      <c r="Y256" s="586"/>
      <c r="Z256" s="586"/>
      <c r="AA256" s="586"/>
      <c r="AB256" s="586"/>
      <c r="AC256" s="586"/>
      <c r="AD256" s="586"/>
      <c r="AE256" s="586"/>
      <c r="AF256" s="586"/>
      <c r="AG256" s="586"/>
      <c r="AH256" s="587"/>
      <c r="AI256" s="12"/>
      <c r="AJ256" s="14"/>
    </row>
    <row r="257" spans="2:36">
      <c r="B257" s="12"/>
      <c r="C257" s="11"/>
      <c r="D257" s="94"/>
      <c r="E257" s="93"/>
      <c r="F257" s="93"/>
      <c r="G257"/>
      <c r="H257" s="15"/>
      <c r="I257" s="24"/>
      <c r="J257" s="24"/>
      <c r="K257" s="24"/>
      <c r="L257" s="24"/>
      <c r="M257" s="24"/>
      <c r="N257" s="24"/>
      <c r="O257" s="24"/>
      <c r="P257" s="24"/>
      <c r="Q257" s="24"/>
      <c r="R257" s="16"/>
      <c r="S257" s="20"/>
      <c r="T257" s="172"/>
      <c r="U257" s="501" t="s">
        <v>40</v>
      </c>
      <c r="V257" s="502"/>
      <c r="W257" s="502"/>
      <c r="X257" s="502"/>
      <c r="Y257" s="502"/>
      <c r="Z257" s="502"/>
      <c r="AA257" s="502"/>
      <c r="AB257" s="502"/>
      <c r="AC257" s="502"/>
      <c r="AD257" s="502"/>
      <c r="AE257" s="502"/>
      <c r="AF257" s="502"/>
      <c r="AG257" s="502"/>
      <c r="AH257" s="503"/>
      <c r="AI257" s="12"/>
      <c r="AJ257" s="14"/>
    </row>
    <row r="258" spans="2:36">
      <c r="B258" s="12"/>
      <c r="C258" s="11"/>
      <c r="D258" s="594" t="s">
        <v>177</v>
      </c>
      <c r="E258" s="595"/>
      <c r="F258" s="646" t="s">
        <v>235</v>
      </c>
      <c r="G258" s="647"/>
      <c r="H258" s="412">
        <f>H$183</f>
        <v>2.2000000000000002</v>
      </c>
      <c r="I258" s="413"/>
      <c r="J258" s="67"/>
      <c r="K258" s="413"/>
      <c r="L258" s="413"/>
      <c r="M258" s="184"/>
      <c r="N258" s="413"/>
      <c r="O258" s="413"/>
      <c r="P258" s="184" t="s">
        <v>236</v>
      </c>
      <c r="Q258" s="186">
        <v>3</v>
      </c>
      <c r="R258" s="184" t="s">
        <v>215</v>
      </c>
      <c r="S258" s="186">
        <v>1</v>
      </c>
      <c r="T258" s="184" t="s">
        <v>8</v>
      </c>
      <c r="U258" s="551"/>
      <c r="V258" s="546"/>
      <c r="W258" s="546"/>
      <c r="X258" s="68"/>
      <c r="Y258" s="65"/>
      <c r="Z258" s="66"/>
      <c r="AA258" s="546"/>
      <c r="AB258" s="556"/>
      <c r="AC258" s="556"/>
      <c r="AD258" s="12"/>
      <c r="AE258" s="12"/>
      <c r="AF258" s="546">
        <f>H258/Q258*S258</f>
        <v>0.73333333333333339</v>
      </c>
      <c r="AG258" s="546"/>
      <c r="AH258" s="547"/>
      <c r="AI258" s="12"/>
      <c r="AJ258" s="14"/>
    </row>
    <row r="259" spans="2:36">
      <c r="B259" s="12"/>
      <c r="C259" s="11"/>
      <c r="D259" s="596"/>
      <c r="E259" s="597"/>
      <c r="F259" s="655" t="s">
        <v>237</v>
      </c>
      <c r="G259" s="655"/>
      <c r="H259" s="412">
        <f>H$183</f>
        <v>2.2000000000000002</v>
      </c>
      <c r="I259" s="413"/>
      <c r="J259" s="46"/>
      <c r="K259" s="546"/>
      <c r="L259" s="546"/>
      <c r="M259" s="29"/>
      <c r="N259" s="546"/>
      <c r="O259" s="546"/>
      <c r="P259" s="16" t="s">
        <v>236</v>
      </c>
      <c r="Q259" s="28">
        <v>3</v>
      </c>
      <c r="R259" s="16" t="s">
        <v>215</v>
      </c>
      <c r="S259" s="28">
        <v>2</v>
      </c>
      <c r="T259" s="16" t="s">
        <v>8</v>
      </c>
      <c r="U259" s="658"/>
      <c r="V259" s="556"/>
      <c r="W259" s="556"/>
      <c r="X259" s="68"/>
      <c r="Y259" s="65"/>
      <c r="Z259" s="66"/>
      <c r="AA259" s="556"/>
      <c r="AB259" s="556"/>
      <c r="AC259" s="556"/>
      <c r="AD259" s="29"/>
      <c r="AE259" s="29"/>
      <c r="AF259" s="556">
        <f>H259/Q259*S259</f>
        <v>1.4666666666666668</v>
      </c>
      <c r="AG259" s="556"/>
      <c r="AH259" s="572"/>
      <c r="AI259" s="12"/>
      <c r="AJ259" s="14"/>
    </row>
    <row r="260" spans="2:36">
      <c r="B260" s="12"/>
      <c r="C260" s="11"/>
      <c r="D260" s="94"/>
      <c r="E260" s="93"/>
      <c r="F260" s="93"/>
      <c r="G260" s="93"/>
      <c r="H260" s="93"/>
      <c r="I260" s="93"/>
      <c r="J260" s="91"/>
      <c r="K260" s="91"/>
      <c r="L260" s="91"/>
      <c r="M260" s="91"/>
      <c r="N260" s="91"/>
      <c r="O260" s="92"/>
      <c r="P260" s="92"/>
      <c r="Q260" s="92"/>
      <c r="R260" s="92"/>
      <c r="S260" s="91"/>
      <c r="T260" s="91"/>
      <c r="U260" s="93"/>
      <c r="V260" s="93"/>
      <c r="W260" s="93"/>
      <c r="X260" s="19"/>
      <c r="Y260" s="19"/>
      <c r="Z260" s="19"/>
      <c r="AA260" s="24"/>
      <c r="AB260" s="25"/>
      <c r="AC260" s="22"/>
      <c r="AD260" s="21"/>
      <c r="AE260" s="21"/>
      <c r="AF260" s="16"/>
      <c r="AG260" s="16"/>
      <c r="AH260" s="16"/>
      <c r="AI260" s="12"/>
      <c r="AJ260" s="14"/>
    </row>
    <row r="261" spans="2:36">
      <c r="B261" s="12"/>
      <c r="C261" s="11"/>
      <c r="D261" s="94"/>
      <c r="E261" s="93"/>
      <c r="F261" s="93"/>
      <c r="G261"/>
      <c r="H261" s="581" t="s">
        <v>230</v>
      </c>
      <c r="I261" s="582"/>
      <c r="J261" s="582"/>
      <c r="K261" s="582"/>
      <c r="L261" s="582"/>
      <c r="M261" s="582"/>
      <c r="N261" s="582"/>
      <c r="O261" s="582"/>
      <c r="P261" s="582"/>
      <c r="Q261" s="582"/>
      <c r="R261" s="582"/>
      <c r="S261" s="582"/>
      <c r="T261" s="583"/>
      <c r="U261" s="455" t="s">
        <v>247</v>
      </c>
      <c r="V261" s="456"/>
      <c r="W261" s="456"/>
      <c r="X261" s="456"/>
      <c r="Y261" s="456"/>
      <c r="Z261" s="456"/>
      <c r="AA261" s="456"/>
      <c r="AB261" s="456"/>
      <c r="AC261" s="456"/>
      <c r="AD261" s="456"/>
      <c r="AE261" s="456"/>
      <c r="AF261" s="456"/>
      <c r="AG261" s="456"/>
      <c r="AH261" s="457"/>
      <c r="AI261" s="12"/>
      <c r="AJ261" s="14"/>
    </row>
    <row r="262" spans="2:36">
      <c r="B262" s="12"/>
      <c r="C262" s="11"/>
      <c r="D262" s="94"/>
      <c r="E262" s="93"/>
      <c r="F262" s="93"/>
      <c r="G262"/>
      <c r="H262" s="388" t="s">
        <v>248</v>
      </c>
      <c r="I262" s="385"/>
      <c r="J262" s="385"/>
      <c r="K262" s="385"/>
      <c r="L262" s="385"/>
      <c r="M262" s="385"/>
      <c r="N262" s="385"/>
      <c r="O262" s="385"/>
      <c r="P262" s="385"/>
      <c r="Q262" s="385"/>
      <c r="R262" s="385"/>
      <c r="S262" s="385"/>
      <c r="T262" s="584"/>
      <c r="U262" s="585" t="s">
        <v>249</v>
      </c>
      <c r="V262" s="586"/>
      <c r="W262" s="586"/>
      <c r="X262" s="586"/>
      <c r="Y262" s="586"/>
      <c r="Z262" s="586"/>
      <c r="AA262" s="586"/>
      <c r="AB262" s="586"/>
      <c r="AC262" s="586"/>
      <c r="AD262" s="586"/>
      <c r="AE262" s="586"/>
      <c r="AF262" s="586"/>
      <c r="AG262" s="586"/>
      <c r="AH262" s="587"/>
      <c r="AI262" s="12"/>
      <c r="AJ262" s="14"/>
    </row>
    <row r="263" spans="2:36">
      <c r="B263" s="12"/>
      <c r="C263" s="11"/>
      <c r="D263" s="94"/>
      <c r="E263" s="93"/>
      <c r="F263" s="93"/>
      <c r="G263"/>
      <c r="H263" s="189"/>
      <c r="I263" s="24"/>
      <c r="J263" s="24"/>
      <c r="K263" s="24"/>
      <c r="L263" s="24"/>
      <c r="M263" s="24"/>
      <c r="N263" s="24"/>
      <c r="O263" s="24"/>
      <c r="P263" s="24"/>
      <c r="Q263" s="24"/>
      <c r="R263" s="185"/>
      <c r="S263" s="20"/>
      <c r="T263" s="172"/>
      <c r="U263" s="501" t="s">
        <v>40</v>
      </c>
      <c r="V263" s="502"/>
      <c r="W263" s="502"/>
      <c r="X263" s="502"/>
      <c r="Y263" s="502"/>
      <c r="Z263" s="502"/>
      <c r="AA263" s="502"/>
      <c r="AB263" s="502"/>
      <c r="AC263" s="502"/>
      <c r="AD263" s="502"/>
      <c r="AE263" s="502"/>
      <c r="AF263" s="502"/>
      <c r="AG263" s="502"/>
      <c r="AH263" s="503"/>
      <c r="AI263" s="12"/>
      <c r="AJ263" s="14"/>
    </row>
    <row r="264" spans="2:36" ht="20.25">
      <c r="B264" s="12"/>
      <c r="C264" s="11"/>
      <c r="D264" s="594" t="s">
        <v>52</v>
      </c>
      <c r="E264" s="595"/>
      <c r="F264" s="600" t="s">
        <v>238</v>
      </c>
      <c r="G264" s="601"/>
      <c r="H264" s="551">
        <f>H$183</f>
        <v>2.2000000000000002</v>
      </c>
      <c r="I264" s="546"/>
      <c r="J264" s="67" t="s">
        <v>213</v>
      </c>
      <c r="K264" s="546">
        <f>H$185</f>
        <v>0.5</v>
      </c>
      <c r="L264" s="546"/>
      <c r="M264" s="29" t="s">
        <v>213</v>
      </c>
      <c r="N264" s="546" t="s">
        <v>151</v>
      </c>
      <c r="O264" s="546"/>
      <c r="P264" s="29" t="s">
        <v>236</v>
      </c>
      <c r="Q264" s="45">
        <v>3</v>
      </c>
      <c r="R264" s="29" t="s">
        <v>215</v>
      </c>
      <c r="S264" s="45">
        <v>1</v>
      </c>
      <c r="T264" s="29" t="s">
        <v>8</v>
      </c>
      <c r="U264" s="551"/>
      <c r="V264" s="546"/>
      <c r="W264" s="546"/>
      <c r="X264" s="68"/>
      <c r="Y264" s="65"/>
      <c r="Z264" s="66"/>
      <c r="AA264" s="556">
        <f>1/Q264*S264</f>
        <v>0.33333333333333331</v>
      </c>
      <c r="AB264" s="556"/>
      <c r="AC264" s="556"/>
      <c r="AD264" s="65" t="s">
        <v>219</v>
      </c>
      <c r="AE264" s="64"/>
      <c r="AF264" s="546">
        <f>H264+K264</f>
        <v>2.7</v>
      </c>
      <c r="AG264" s="546"/>
      <c r="AH264" s="547"/>
      <c r="AI264" s="12"/>
      <c r="AJ264" s="14"/>
    </row>
    <row r="265" spans="2:36" ht="20.25">
      <c r="B265" s="12"/>
      <c r="C265" s="11"/>
      <c r="D265" s="596"/>
      <c r="E265" s="597"/>
      <c r="F265" s="646" t="s">
        <v>239</v>
      </c>
      <c r="G265" s="647"/>
      <c r="H265" s="551">
        <f>H$183</f>
        <v>2.2000000000000002</v>
      </c>
      <c r="I265" s="546"/>
      <c r="J265" s="67" t="s">
        <v>213</v>
      </c>
      <c r="K265" s="546">
        <f>H$185</f>
        <v>0.5</v>
      </c>
      <c r="L265" s="546"/>
      <c r="M265" s="16" t="s">
        <v>213</v>
      </c>
      <c r="N265" s="546" t="s">
        <v>151</v>
      </c>
      <c r="O265" s="546"/>
      <c r="P265" s="16" t="s">
        <v>236</v>
      </c>
      <c r="Q265" s="28">
        <v>3</v>
      </c>
      <c r="R265" s="16" t="s">
        <v>215</v>
      </c>
      <c r="S265" s="28">
        <v>2</v>
      </c>
      <c r="T265" s="16" t="s">
        <v>8</v>
      </c>
      <c r="U265" s="658"/>
      <c r="V265" s="556"/>
      <c r="W265" s="556"/>
      <c r="X265" s="68"/>
      <c r="Y265" s="65"/>
      <c r="Z265" s="66"/>
      <c r="AA265" s="556">
        <f>1/Q265*S265</f>
        <v>0.66666666666666663</v>
      </c>
      <c r="AB265" s="556"/>
      <c r="AC265" s="556"/>
      <c r="AD265" s="65" t="s">
        <v>219</v>
      </c>
      <c r="AE265" s="64"/>
      <c r="AF265" s="546">
        <f>H265+K265</f>
        <v>2.7</v>
      </c>
      <c r="AG265" s="546"/>
      <c r="AH265" s="547"/>
      <c r="AI265" s="12"/>
      <c r="AJ265" s="14"/>
    </row>
    <row r="266" spans="2:36">
      <c r="B266" s="12"/>
      <c r="C266" s="11"/>
      <c r="D266" s="191"/>
      <c r="E266" s="191"/>
      <c r="F266" s="192"/>
      <c r="G266" s="192"/>
      <c r="H266" s="176"/>
      <c r="I266" s="176"/>
      <c r="J266" s="193"/>
      <c r="K266" s="23"/>
      <c r="L266" s="23"/>
      <c r="M266" s="12"/>
      <c r="N266" s="23"/>
      <c r="O266" s="23"/>
      <c r="P266" s="12"/>
      <c r="Q266" s="30"/>
      <c r="R266" s="12"/>
      <c r="S266" s="30"/>
      <c r="T266" s="12"/>
      <c r="U266" s="23"/>
      <c r="V266" s="23"/>
      <c r="W266" s="23"/>
      <c r="X266" s="3"/>
      <c r="Y266" s="57"/>
      <c r="Z266" s="58"/>
      <c r="AA266" s="179"/>
      <c r="AB266" s="23"/>
      <c r="AC266" s="23"/>
      <c r="AD266" s="95"/>
      <c r="AE266" s="93"/>
      <c r="AF266" s="23"/>
      <c r="AG266" s="23"/>
      <c r="AH266" s="23"/>
      <c r="AI266" s="12"/>
      <c r="AJ266" s="14"/>
    </row>
    <row r="267" spans="2:36">
      <c r="B267" s="12"/>
      <c r="C267" s="11"/>
      <c r="D267" s="94"/>
      <c r="E267" s="93"/>
      <c r="F267" s="93"/>
      <c r="G267" s="93"/>
      <c r="H267" s="93"/>
      <c r="I267" s="93"/>
      <c r="J267" s="91"/>
      <c r="K267" s="91"/>
      <c r="L267" s="91"/>
      <c r="M267" s="91"/>
      <c r="N267" s="91"/>
      <c r="O267" s="92"/>
      <c r="P267" s="92"/>
      <c r="Q267" s="92"/>
      <c r="R267" s="92"/>
      <c r="S267" s="91"/>
      <c r="T267" s="91"/>
      <c r="U267" s="93"/>
      <c r="V267" s="93"/>
      <c r="W267" s="93"/>
      <c r="X267" s="19"/>
      <c r="Y267" s="19"/>
      <c r="Z267" s="19"/>
      <c r="AA267" s="24"/>
      <c r="AB267" s="95"/>
      <c r="AC267" s="96"/>
      <c r="AD267" s="93"/>
      <c r="AE267" s="93"/>
      <c r="AF267" s="12"/>
      <c r="AG267" s="12"/>
      <c r="AH267" s="12"/>
      <c r="AI267" s="12"/>
      <c r="AJ267" s="14"/>
    </row>
    <row r="268" spans="2:36">
      <c r="B268" s="12"/>
      <c r="C268" s="11"/>
      <c r="D268" s="94"/>
      <c r="E268" s="93"/>
      <c r="F268" s="93"/>
      <c r="G268" s="93"/>
      <c r="H268" s="455" t="s">
        <v>250</v>
      </c>
      <c r="I268" s="456"/>
      <c r="J268" s="456"/>
      <c r="K268" s="456"/>
      <c r="L268" s="456"/>
      <c r="M268" s="456"/>
      <c r="N268" s="456"/>
      <c r="O268" s="456"/>
      <c r="P268" s="456"/>
      <c r="Q268" s="456"/>
      <c r="R268" s="456"/>
      <c r="S268" s="456"/>
      <c r="T268" s="456"/>
      <c r="U268" s="456"/>
      <c r="V268" s="456"/>
      <c r="W268" s="456"/>
      <c r="X268" s="456"/>
      <c r="Y268" s="456"/>
      <c r="Z268" s="456"/>
      <c r="AA268" s="457"/>
      <c r="AB268" s="12"/>
      <c r="AC268" s="12"/>
      <c r="AD268" s="12"/>
      <c r="AE268" s="12"/>
      <c r="AF268" s="12"/>
      <c r="AG268" s="12"/>
      <c r="AH268" s="12"/>
      <c r="AI268" s="12"/>
      <c r="AJ268" s="14"/>
    </row>
    <row r="269" spans="2:36">
      <c r="B269" s="12"/>
      <c r="C269" s="11"/>
      <c r="D269" s="12"/>
      <c r="E269" s="93"/>
      <c r="F269" s="93"/>
      <c r="G269" s="93"/>
      <c r="H269" s="585" t="s">
        <v>251</v>
      </c>
      <c r="I269" s="586"/>
      <c r="J269" s="586"/>
      <c r="K269" s="586"/>
      <c r="L269" s="586"/>
      <c r="M269" s="586"/>
      <c r="N269" s="586"/>
      <c r="O269" s="586"/>
      <c r="P269" s="586"/>
      <c r="Q269" s="586"/>
      <c r="R269" s="586"/>
      <c r="S269" s="586"/>
      <c r="T269" s="586"/>
      <c r="U269" s="586"/>
      <c r="V269" s="586"/>
      <c r="W269" s="586"/>
      <c r="X269" s="586"/>
      <c r="Y269" s="586"/>
      <c r="Z269" s="586"/>
      <c r="AA269" s="587"/>
      <c r="AB269" s="12"/>
      <c r="AC269" s="12"/>
      <c r="AD269" s="12"/>
      <c r="AE269" s="12"/>
      <c r="AF269" s="12"/>
      <c r="AG269" s="12"/>
      <c r="AH269" s="12"/>
      <c r="AI269" s="12"/>
      <c r="AJ269" s="14"/>
    </row>
    <row r="270" spans="2:36">
      <c r="B270" s="12"/>
      <c r="C270" s="11"/>
      <c r="D270" s="94"/>
      <c r="E270" s="93"/>
      <c r="F270" s="93"/>
      <c r="G270" s="93"/>
      <c r="H270" s="501" t="s">
        <v>252</v>
      </c>
      <c r="I270" s="502"/>
      <c r="J270" s="502"/>
      <c r="K270" s="502"/>
      <c r="L270" s="502"/>
      <c r="M270" s="502"/>
      <c r="N270" s="502"/>
      <c r="O270" s="502"/>
      <c r="P270" s="502"/>
      <c r="Q270" s="502"/>
      <c r="R270" s="502"/>
      <c r="S270" s="502"/>
      <c r="T270" s="502"/>
      <c r="U270" s="502"/>
      <c r="V270" s="502"/>
      <c r="W270" s="502"/>
      <c r="X270" s="502"/>
      <c r="Y270" s="502"/>
      <c r="Z270" s="502"/>
      <c r="AA270" s="503"/>
      <c r="AB270" s="12"/>
      <c r="AC270" s="12"/>
      <c r="AD270" s="12"/>
      <c r="AE270" s="12"/>
      <c r="AF270" s="12"/>
      <c r="AG270" s="12"/>
      <c r="AH270" s="12"/>
      <c r="AI270" s="12"/>
      <c r="AJ270" s="14"/>
    </row>
    <row r="271" spans="2:36">
      <c r="B271" s="12"/>
      <c r="C271" s="11"/>
      <c r="D271" s="594" t="s">
        <v>177</v>
      </c>
      <c r="E271" s="595"/>
      <c r="F271" s="646" t="s">
        <v>235</v>
      </c>
      <c r="G271" s="647"/>
      <c r="H271" s="740"/>
      <c r="I271" s="741"/>
      <c r="J271" s="741"/>
      <c r="K271" s="183"/>
      <c r="L271" s="183"/>
      <c r="M271" s="184"/>
      <c r="N271" s="413"/>
      <c r="O271" s="413"/>
      <c r="P271" s="413"/>
      <c r="Q271" s="65"/>
      <c r="R271" s="66"/>
      <c r="S271" s="64"/>
      <c r="T271" s="413"/>
      <c r="U271" s="413"/>
      <c r="V271" s="413"/>
      <c r="W271" s="184"/>
      <c r="X271" s="184"/>
      <c r="Y271" s="413">
        <f>AF245*AF258</f>
        <v>35.668864000000013</v>
      </c>
      <c r="Z271" s="413"/>
      <c r="AA271" s="414"/>
      <c r="AB271" s="12"/>
      <c r="AC271" s="12"/>
      <c r="AD271" s="12"/>
      <c r="AE271" s="12"/>
      <c r="AF271" s="12"/>
      <c r="AG271" s="12"/>
      <c r="AH271" s="12"/>
      <c r="AI271" s="12"/>
      <c r="AJ271" s="14"/>
    </row>
    <row r="272" spans="2:36" ht="19.5" thickBot="1">
      <c r="B272" s="12"/>
      <c r="C272" s="11"/>
      <c r="D272" s="596"/>
      <c r="E272" s="597"/>
      <c r="F272" s="655" t="s">
        <v>237</v>
      </c>
      <c r="G272" s="655"/>
      <c r="H272" s="611"/>
      <c r="I272" s="612"/>
      <c r="J272" s="612"/>
      <c r="K272" s="69"/>
      <c r="L272" s="69"/>
      <c r="M272" s="70"/>
      <c r="N272" s="613"/>
      <c r="O272" s="613"/>
      <c r="P272" s="613"/>
      <c r="Q272" s="71"/>
      <c r="R272" s="72"/>
      <c r="S272" s="73"/>
      <c r="T272" s="613"/>
      <c r="U272" s="613"/>
      <c r="V272" s="613"/>
      <c r="W272" s="70"/>
      <c r="X272" s="12"/>
      <c r="Y272" s="546">
        <f>AF246*AF259</f>
        <v>107.37056000000003</v>
      </c>
      <c r="Z272" s="546"/>
      <c r="AA272" s="547"/>
      <c r="AB272" s="12"/>
      <c r="AC272" s="12"/>
      <c r="AD272" s="12"/>
      <c r="AE272" s="12"/>
      <c r="AF272" s="12"/>
      <c r="AG272" s="12"/>
      <c r="AH272" s="12"/>
      <c r="AI272" s="12"/>
      <c r="AJ272" s="14"/>
    </row>
    <row r="273" spans="2:36" ht="19.5" thickTop="1">
      <c r="B273" s="12"/>
      <c r="C273" s="11"/>
      <c r="D273" s="543" t="s">
        <v>253</v>
      </c>
      <c r="E273" s="544"/>
      <c r="F273" s="544"/>
      <c r="G273" s="545"/>
      <c r="H273" s="590"/>
      <c r="I273" s="562"/>
      <c r="J273" s="562"/>
      <c r="K273" s="25"/>
      <c r="L273" s="16"/>
      <c r="M273" s="21"/>
      <c r="N273" s="562"/>
      <c r="O273" s="562"/>
      <c r="P273" s="562"/>
      <c r="Q273" s="25"/>
      <c r="R273" s="22"/>
      <c r="S273" s="21"/>
      <c r="T273" s="562"/>
      <c r="U273" s="562"/>
      <c r="V273" s="562"/>
      <c r="W273" s="25"/>
      <c r="X273" s="75"/>
      <c r="Y273" s="592">
        <f>SUM(Y271:AA272)</f>
        <v>143.03942400000005</v>
      </c>
      <c r="Z273" s="592"/>
      <c r="AA273" s="593"/>
      <c r="AB273" s="95"/>
      <c r="AC273" s="96"/>
      <c r="AD273" s="93"/>
      <c r="AE273" s="93"/>
      <c r="AF273" s="12"/>
      <c r="AG273" s="12"/>
      <c r="AH273" s="12"/>
      <c r="AI273" s="12"/>
      <c r="AJ273" s="14"/>
    </row>
    <row r="274" spans="2:36">
      <c r="B274" s="12"/>
      <c r="C274" s="11"/>
      <c r="D274" s="154"/>
      <c r="E274" s="154"/>
      <c r="F274" s="154"/>
      <c r="G274" s="154"/>
      <c r="H274" s="178"/>
      <c r="I274" s="178"/>
      <c r="J274" s="178"/>
      <c r="K274" s="95"/>
      <c r="L274" s="12"/>
      <c r="M274" s="93"/>
      <c r="N274" s="178"/>
      <c r="O274" s="178"/>
      <c r="P274" s="178"/>
      <c r="Q274" s="95"/>
      <c r="R274" s="96"/>
      <c r="S274" s="93"/>
      <c r="T274" s="178"/>
      <c r="U274" s="178"/>
      <c r="V274" s="178"/>
      <c r="W274" s="95"/>
      <c r="X274" s="93"/>
      <c r="Y274" s="178"/>
      <c r="Z274" s="178"/>
      <c r="AA274" s="178"/>
      <c r="AB274" s="95"/>
      <c r="AC274" s="96"/>
      <c r="AD274" s="93"/>
      <c r="AE274" s="93"/>
      <c r="AF274" s="12"/>
      <c r="AG274" s="12"/>
      <c r="AH274" s="12"/>
      <c r="AI274" s="12"/>
      <c r="AJ274" s="14"/>
    </row>
    <row r="275" spans="2:36">
      <c r="B275" s="12"/>
      <c r="C275" s="11"/>
      <c r="D275" s="94"/>
      <c r="E275" s="93"/>
      <c r="F275" s="93"/>
      <c r="G275" s="93"/>
      <c r="H275" s="93"/>
      <c r="I275" s="93"/>
      <c r="J275" s="91"/>
      <c r="K275" s="91"/>
      <c r="L275" s="91"/>
      <c r="M275" s="91"/>
      <c r="N275" s="91"/>
      <c r="O275" s="92"/>
      <c r="P275" s="92"/>
      <c r="Q275" s="92"/>
      <c r="R275" s="92"/>
      <c r="S275" s="91"/>
      <c r="T275" s="91"/>
      <c r="U275" s="93"/>
      <c r="V275" s="93"/>
      <c r="W275" s="93"/>
      <c r="X275" s="78"/>
      <c r="Y275" s="78"/>
      <c r="Z275" s="78"/>
      <c r="AA275"/>
      <c r="AB275" s="95"/>
      <c r="AC275" s="96"/>
      <c r="AD275" s="93"/>
      <c r="AE275" s="93"/>
      <c r="AF275" s="12"/>
      <c r="AG275" s="12"/>
      <c r="AH275" s="12"/>
      <c r="AI275" s="12"/>
      <c r="AJ275" s="14"/>
    </row>
    <row r="276" spans="2:36">
      <c r="B276" s="12"/>
      <c r="C276" s="11"/>
      <c r="D276" s="94"/>
      <c r="E276" s="93"/>
      <c r="F276" s="93"/>
      <c r="G276" s="93"/>
      <c r="H276" s="455" t="s">
        <v>254</v>
      </c>
      <c r="I276" s="456"/>
      <c r="J276" s="456"/>
      <c r="K276" s="456"/>
      <c r="L276" s="456"/>
      <c r="M276" s="456"/>
      <c r="N276" s="456"/>
      <c r="O276" s="456"/>
      <c r="P276" s="456"/>
      <c r="Q276" s="456"/>
      <c r="R276" s="456"/>
      <c r="S276" s="456"/>
      <c r="T276" s="456"/>
      <c r="U276" s="456"/>
      <c r="V276" s="456"/>
      <c r="W276" s="456"/>
      <c r="X276" s="456"/>
      <c r="Y276" s="456"/>
      <c r="Z276" s="456"/>
      <c r="AA276" s="457"/>
      <c r="AB276" s="12"/>
      <c r="AC276" s="12"/>
      <c r="AD276" s="12"/>
      <c r="AE276" s="12"/>
      <c r="AF276" s="12"/>
      <c r="AG276" s="12"/>
      <c r="AH276" s="12"/>
      <c r="AI276" s="12"/>
      <c r="AJ276" s="14"/>
    </row>
    <row r="277" spans="2:36">
      <c r="B277" s="12"/>
      <c r="C277" s="11"/>
      <c r="D277" s="12"/>
      <c r="E277" s="93"/>
      <c r="F277" s="93"/>
      <c r="G277" s="93"/>
      <c r="H277" s="585" t="s">
        <v>255</v>
      </c>
      <c r="I277" s="586"/>
      <c r="J277" s="586"/>
      <c r="K277" s="586"/>
      <c r="L277" s="586"/>
      <c r="M277" s="586"/>
      <c r="N277" s="586"/>
      <c r="O277" s="586"/>
      <c r="P277" s="586"/>
      <c r="Q277" s="586"/>
      <c r="R277" s="586"/>
      <c r="S277" s="586"/>
      <c r="T277" s="586"/>
      <c r="U277" s="586"/>
      <c r="V277" s="586"/>
      <c r="W277" s="586"/>
      <c r="X277" s="586"/>
      <c r="Y277" s="586"/>
      <c r="Z277" s="586"/>
      <c r="AA277" s="587"/>
      <c r="AB277" s="12"/>
      <c r="AC277" s="12"/>
      <c r="AD277" s="12"/>
      <c r="AE277" s="12"/>
      <c r="AF277" s="12"/>
      <c r="AG277" s="12"/>
      <c r="AH277" s="12"/>
      <c r="AI277" s="12"/>
      <c r="AJ277" s="14"/>
    </row>
    <row r="278" spans="2:36">
      <c r="B278" s="12"/>
      <c r="C278" s="11"/>
      <c r="D278" s="94"/>
      <c r="E278" s="93"/>
      <c r="F278" s="93"/>
      <c r="G278" s="93"/>
      <c r="H278" s="501" t="s">
        <v>252</v>
      </c>
      <c r="I278" s="502"/>
      <c r="J278" s="502"/>
      <c r="K278" s="502"/>
      <c r="L278" s="502"/>
      <c r="M278" s="502"/>
      <c r="N278" s="502"/>
      <c r="O278" s="502"/>
      <c r="P278" s="502"/>
      <c r="Q278" s="502"/>
      <c r="R278" s="502"/>
      <c r="S278" s="502"/>
      <c r="T278" s="502"/>
      <c r="U278" s="502"/>
      <c r="V278" s="502"/>
      <c r="W278" s="502"/>
      <c r="X278" s="502"/>
      <c r="Y278" s="502"/>
      <c r="Z278" s="502"/>
      <c r="AA278" s="503"/>
      <c r="AB278" s="12"/>
      <c r="AC278" s="12"/>
      <c r="AD278" s="12"/>
      <c r="AE278" s="12"/>
      <c r="AF278" s="12"/>
      <c r="AG278" s="12"/>
      <c r="AH278" s="12"/>
      <c r="AI278" s="12"/>
      <c r="AJ278" s="14"/>
    </row>
    <row r="279" spans="2:36" ht="21">
      <c r="B279" s="12"/>
      <c r="C279" s="11"/>
      <c r="D279" s="594" t="s">
        <v>52</v>
      </c>
      <c r="E279" s="595"/>
      <c r="F279" s="600" t="s">
        <v>238</v>
      </c>
      <c r="G279" s="601"/>
      <c r="H279" s="128"/>
      <c r="I279" s="29"/>
      <c r="J279" s="29"/>
      <c r="K279" s="29"/>
      <c r="L279" s="29"/>
      <c r="M279" s="29"/>
      <c r="N279" s="546">
        <f>AA251*AA264</f>
        <v>25.995676563613415</v>
      </c>
      <c r="O279" s="546"/>
      <c r="P279" s="546"/>
      <c r="Q279" s="65" t="s">
        <v>256</v>
      </c>
      <c r="R279" s="66"/>
      <c r="S279" s="64" t="s">
        <v>213</v>
      </c>
      <c r="T279" s="571">
        <f>AA251*AF264</f>
        <v>210.56498016526868</v>
      </c>
      <c r="U279" s="571"/>
      <c r="V279" s="571"/>
      <c r="W279" s="65" t="s">
        <v>151</v>
      </c>
      <c r="X279" s="29"/>
      <c r="Y279" s="29"/>
      <c r="Z279" s="29"/>
      <c r="AA279" s="77"/>
      <c r="AB279" s="12"/>
      <c r="AC279" s="12"/>
      <c r="AD279" s="12"/>
      <c r="AE279" s="12"/>
      <c r="AF279" s="12"/>
      <c r="AG279" s="12"/>
      <c r="AH279" s="12"/>
      <c r="AI279" s="12"/>
      <c r="AJ279" s="14"/>
    </row>
    <row r="280" spans="2:36" ht="21.75" thickBot="1">
      <c r="B280" s="12"/>
      <c r="C280" s="11"/>
      <c r="D280" s="596"/>
      <c r="E280" s="597"/>
      <c r="F280" s="646" t="s">
        <v>239</v>
      </c>
      <c r="G280" s="647"/>
      <c r="H280" s="590">
        <f>U252*AA265</f>
        <v>16.700999999999997</v>
      </c>
      <c r="I280" s="562"/>
      <c r="J280" s="562"/>
      <c r="K280" s="187" t="s">
        <v>257</v>
      </c>
      <c r="L280" s="12"/>
      <c r="M280" s="21" t="s">
        <v>213</v>
      </c>
      <c r="N280" s="556">
        <f>U252*AF265+AA252*AA265</f>
        <v>119.63040312722683</v>
      </c>
      <c r="O280" s="556"/>
      <c r="P280" s="556"/>
      <c r="Q280" s="187" t="s">
        <v>256</v>
      </c>
      <c r="R280" s="22"/>
      <c r="S280" s="64" t="s">
        <v>213</v>
      </c>
      <c r="T280" s="571">
        <f>AA252*AF265</f>
        <v>210.56498016526868</v>
      </c>
      <c r="U280" s="571"/>
      <c r="V280" s="571"/>
      <c r="W280" s="71" t="s">
        <v>151</v>
      </c>
      <c r="X280" s="16"/>
      <c r="Y280" s="556"/>
      <c r="Z280" s="556"/>
      <c r="AA280" s="572"/>
      <c r="AB280" s="12"/>
      <c r="AC280" s="12"/>
      <c r="AD280" s="12"/>
      <c r="AE280" s="12"/>
      <c r="AF280" s="12"/>
      <c r="AG280" s="12"/>
      <c r="AH280" s="12"/>
      <c r="AI280" s="12"/>
      <c r="AJ280" s="14"/>
    </row>
    <row r="281" spans="2:36" ht="21.75" thickTop="1">
      <c r="B281" s="12"/>
      <c r="C281" s="11"/>
      <c r="D281" s="543" t="s">
        <v>258</v>
      </c>
      <c r="E281" s="544"/>
      <c r="F281" s="544"/>
      <c r="G281" s="545"/>
      <c r="H281" s="663">
        <f>SUM(H279:J280)</f>
        <v>16.700999999999997</v>
      </c>
      <c r="I281" s="592"/>
      <c r="J281" s="592"/>
      <c r="K281" s="25" t="s">
        <v>257</v>
      </c>
      <c r="L281" s="74"/>
      <c r="M281" s="75" t="s">
        <v>213</v>
      </c>
      <c r="N281" s="592">
        <f>SUM(N279:P280)</f>
        <v>145.62607969084024</v>
      </c>
      <c r="O281" s="592"/>
      <c r="P281" s="592"/>
      <c r="Q281" s="25" t="s">
        <v>256</v>
      </c>
      <c r="R281" s="76"/>
      <c r="S281" s="75" t="s">
        <v>213</v>
      </c>
      <c r="T281" s="592">
        <f>SUM(T279:V280)</f>
        <v>421.12996033053736</v>
      </c>
      <c r="U281" s="592"/>
      <c r="V281" s="592"/>
      <c r="W281" s="25" t="s">
        <v>151</v>
      </c>
      <c r="X281" s="75"/>
      <c r="Y281" s="592"/>
      <c r="Z281" s="592"/>
      <c r="AA281" s="593"/>
      <c r="AB281" s="95"/>
      <c r="AC281" s="96"/>
      <c r="AD281" s="93"/>
      <c r="AE281" s="93"/>
      <c r="AF281" s="12"/>
      <c r="AG281" s="12"/>
      <c r="AH281" s="12"/>
      <c r="AI281" s="12"/>
      <c r="AJ281" s="14"/>
    </row>
    <row r="282" spans="2:36">
      <c r="B282" s="12"/>
      <c r="C282" s="11"/>
      <c r="D282" s="94"/>
      <c r="E282" s="93"/>
      <c r="F282" s="93"/>
      <c r="G282" s="93"/>
      <c r="H282" s="93"/>
      <c r="I282" s="93"/>
      <c r="J282" s="91"/>
      <c r="K282" s="91"/>
      <c r="L282" s="91"/>
      <c r="M282" s="12"/>
      <c r="N282" s="12"/>
      <c r="O282" s="12"/>
      <c r="P282" s="92"/>
      <c r="Q282" s="92"/>
      <c r="R282" s="92"/>
      <c r="S282" s="91"/>
      <c r="T282" s="91"/>
      <c r="U282" s="93"/>
      <c r="V282" s="93"/>
      <c r="W282" s="93"/>
      <c r="X282" s="78"/>
      <c r="Y282" s="78"/>
      <c r="Z282" s="78"/>
      <c r="AA282"/>
      <c r="AB282" s="95"/>
      <c r="AC282" s="12"/>
      <c r="AD282" s="12"/>
      <c r="AE282" s="12"/>
      <c r="AF282" s="12"/>
      <c r="AG282" s="81"/>
      <c r="AH282" s="81"/>
      <c r="AI282" s="81"/>
      <c r="AJ282" s="14"/>
    </row>
    <row r="283" spans="2:36">
      <c r="B283" s="12"/>
      <c r="C283" s="11"/>
      <c r="D283" s="12"/>
      <c r="E283" s="95" t="s">
        <v>259</v>
      </c>
      <c r="F283" s="93"/>
      <c r="G283" s="91"/>
      <c r="H283" s="91"/>
      <c r="P283" s="92"/>
      <c r="Q283" s="92"/>
      <c r="R283" s="92"/>
      <c r="S283" s="91"/>
      <c r="T283" s="91"/>
      <c r="U283" s="93"/>
      <c r="V283" s="93"/>
      <c r="W283" s="93"/>
      <c r="X283" s="78"/>
      <c r="Y283" s="78"/>
      <c r="Z283" s="78"/>
      <c r="AA283"/>
      <c r="AB283" s="95"/>
      <c r="AC283" s="96"/>
      <c r="AD283" s="93"/>
      <c r="AE283" s="93"/>
      <c r="AF283" s="12"/>
      <c r="AG283" s="12"/>
      <c r="AH283" s="12"/>
      <c r="AI283" s="12"/>
      <c r="AJ283" s="14"/>
    </row>
    <row r="284" spans="2:36">
      <c r="B284" s="12"/>
      <c r="C284" s="11"/>
      <c r="D284" s="95" t="s">
        <v>260</v>
      </c>
      <c r="E284" s="93"/>
      <c r="F284" s="93"/>
      <c r="G284" s="93"/>
      <c r="H284" s="93"/>
      <c r="I284" s="93"/>
      <c r="J284" s="91"/>
      <c r="K284" s="91"/>
      <c r="L284" s="91"/>
      <c r="M284" s="91"/>
      <c r="N284" s="91"/>
      <c r="O284" s="93"/>
      <c r="P284" s="93"/>
      <c r="Q284" s="93"/>
      <c r="R284" s="93"/>
      <c r="S284" s="91"/>
      <c r="T284" s="91"/>
      <c r="U284" s="93"/>
      <c r="V284" s="93"/>
      <c r="W284" s="93"/>
      <c r="X284" s="78"/>
      <c r="Y284" s="78"/>
      <c r="Z284" s="78"/>
      <c r="AA284"/>
      <c r="AB284" s="95"/>
      <c r="AC284" s="96"/>
      <c r="AD284" s="93"/>
      <c r="AE284" s="93"/>
      <c r="AF284" s="12"/>
      <c r="AG284" s="12"/>
      <c r="AH284" s="12"/>
      <c r="AI284" s="12"/>
      <c r="AJ284" s="14"/>
    </row>
    <row r="285" spans="2:36">
      <c r="B285" s="12"/>
      <c r="C285" s="11"/>
      <c r="D285" s="12"/>
      <c r="E285" s="95" t="s">
        <v>261</v>
      </c>
      <c r="F285" s="93"/>
      <c r="G285" s="91"/>
      <c r="H285" s="91"/>
      <c r="L285" s="91"/>
      <c r="Q285" s="93"/>
      <c r="R285" s="93"/>
      <c r="S285" s="91"/>
      <c r="T285" s="91"/>
      <c r="U285" s="93"/>
      <c r="V285" s="93"/>
      <c r="W285" s="93"/>
      <c r="X285" s="78"/>
      <c r="Y285" s="78"/>
      <c r="Z285" s="78"/>
      <c r="AA285"/>
      <c r="AB285" s="95"/>
      <c r="AC285" s="96"/>
      <c r="AD285" s="93"/>
      <c r="AE285" s="93"/>
      <c r="AF285" s="12"/>
      <c r="AG285" s="12"/>
      <c r="AH285" s="12"/>
      <c r="AI285" s="12"/>
      <c r="AJ285" s="14"/>
    </row>
    <row r="286" spans="2:36">
      <c r="B286" s="12"/>
      <c r="C286" s="11"/>
      <c r="D286" s="95" t="s">
        <v>262</v>
      </c>
      <c r="E286" s="93"/>
      <c r="F286" s="93"/>
      <c r="G286" s="93"/>
      <c r="AE286" s="93"/>
      <c r="AF286" s="12"/>
      <c r="AG286" s="12"/>
      <c r="AH286" s="12"/>
      <c r="AI286" s="12"/>
      <c r="AJ286" s="14"/>
    </row>
    <row r="287" spans="2:36" ht="21">
      <c r="B287" s="12"/>
      <c r="C287" s="11"/>
      <c r="D287" s="95"/>
      <c r="E287" s="588">
        <f>H281-H273</f>
        <v>16.700999999999997</v>
      </c>
      <c r="F287" s="588"/>
      <c r="G287" s="588"/>
      <c r="H287" s="95" t="s">
        <v>257</v>
      </c>
      <c r="I287" s="12"/>
      <c r="J287" s="93" t="s">
        <v>213</v>
      </c>
      <c r="K287" s="588">
        <f>N281-N273</f>
        <v>145.62607969084024</v>
      </c>
      <c r="L287" s="588"/>
      <c r="M287" s="588"/>
      <c r="N287" s="95" t="s">
        <v>256</v>
      </c>
      <c r="O287" s="96"/>
      <c r="P287" s="93" t="s">
        <v>213</v>
      </c>
      <c r="Q287" s="588">
        <f>T281-T273</f>
        <v>421.12996033053736</v>
      </c>
      <c r="R287" s="588"/>
      <c r="S287" s="588"/>
      <c r="T287" s="95" t="s">
        <v>151</v>
      </c>
      <c r="U287" s="93" t="s">
        <v>213</v>
      </c>
      <c r="V287" s="589">
        <f>Y281-Y273</f>
        <v>-143.03942400000005</v>
      </c>
      <c r="W287" s="589"/>
      <c r="X287" s="589"/>
      <c r="Y287" s="95"/>
      <c r="Z287" s="96" t="s">
        <v>8</v>
      </c>
      <c r="AA287" s="100">
        <v>0</v>
      </c>
      <c r="AE287" s="93"/>
      <c r="AF287" s="12"/>
      <c r="AG287" s="12"/>
      <c r="AH287" s="12"/>
      <c r="AI287" s="12"/>
      <c r="AJ287" s="14"/>
    </row>
    <row r="288" spans="2:36">
      <c r="B288" s="12"/>
      <c r="C288" s="11"/>
      <c r="D288" s="95"/>
      <c r="E288" s="93"/>
      <c r="F288" s="93"/>
      <c r="G288" s="93"/>
      <c r="H288" s="93"/>
      <c r="I288" s="93"/>
      <c r="J288" s="91"/>
      <c r="K288" s="91"/>
      <c r="L288" s="91"/>
      <c r="M288" s="91"/>
      <c r="N288" s="91"/>
      <c r="O288" s="93"/>
      <c r="P288" s="93"/>
      <c r="Q288" s="93"/>
      <c r="R288" s="93"/>
      <c r="S288" s="91"/>
      <c r="T288" s="91"/>
      <c r="U288" s="93"/>
      <c r="V288" s="93"/>
      <c r="W288" s="93"/>
      <c r="X288" s="78"/>
      <c r="Y288" s="78"/>
      <c r="Z288" s="78"/>
      <c r="AA288"/>
      <c r="AB288" s="95"/>
      <c r="AC288" s="96"/>
      <c r="AD288" s="93"/>
      <c r="AE288" s="93"/>
      <c r="AF288" s="12"/>
      <c r="AG288" s="12"/>
      <c r="AH288" s="12"/>
      <c r="AI288" s="12"/>
      <c r="AJ288" s="14"/>
    </row>
    <row r="289" spans="1:40">
      <c r="B289" s="12"/>
      <c r="C289" s="11"/>
      <c r="D289" s="95" t="s">
        <v>263</v>
      </c>
      <c r="E289" s="93"/>
      <c r="F289" s="93"/>
      <c r="G289" s="93"/>
      <c r="H289" s="93"/>
      <c r="I289" s="93"/>
      <c r="J289" s="91"/>
      <c r="K289" s="91"/>
      <c r="L289" s="91"/>
      <c r="M289" s="91"/>
      <c r="N289" s="91"/>
      <c r="O289" s="93"/>
      <c r="P289" s="93"/>
      <c r="Q289" s="93"/>
      <c r="R289" s="93"/>
      <c r="S289" s="91"/>
      <c r="T289" s="91"/>
      <c r="U289" s="93"/>
      <c r="V289" s="93"/>
      <c r="W289" s="93"/>
      <c r="X289" s="78"/>
      <c r="Y289" s="78"/>
      <c r="Z289" s="78"/>
      <c r="AA289"/>
      <c r="AB289" s="95"/>
      <c r="AC289" s="96"/>
      <c r="AD289" s="93"/>
      <c r="AE289" s="93"/>
      <c r="AF289" s="12"/>
      <c r="AG289" s="12"/>
      <c r="AH289" s="12"/>
      <c r="AI289" s="12"/>
      <c r="AJ289" s="14"/>
    </row>
    <row r="290" spans="1:40" customFormat="1">
      <c r="A290" s="79"/>
      <c r="B290" s="79"/>
      <c r="C290" s="85"/>
      <c r="D290" s="79"/>
      <c r="E290" s="79"/>
      <c r="F290" s="82"/>
      <c r="G290" s="3"/>
      <c r="H290" s="83" t="s">
        <v>264</v>
      </c>
      <c r="I290" s="724">
        <f>-K287/(3*E287)</f>
        <v>-2.9065341335017916</v>
      </c>
      <c r="J290" s="724"/>
      <c r="K290" s="724"/>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4"/>
      <c r="AI290" s="79"/>
      <c r="AJ290" s="86"/>
      <c r="AK290" s="79"/>
      <c r="AL290" s="79"/>
      <c r="AM290" s="79"/>
      <c r="AN290" s="79"/>
    </row>
    <row r="291" spans="1:40" customFormat="1">
      <c r="A291" s="79"/>
      <c r="B291" s="79"/>
      <c r="C291" s="85"/>
      <c r="D291" s="79"/>
      <c r="E291" s="79"/>
      <c r="F291" s="85"/>
      <c r="G291" s="80" t="s">
        <v>265</v>
      </c>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79"/>
      <c r="AH291" s="86"/>
      <c r="AI291" s="79"/>
      <c r="AJ291" s="86"/>
      <c r="AK291" s="79"/>
      <c r="AL291" s="79"/>
      <c r="AM291" s="79"/>
      <c r="AN291" s="79"/>
    </row>
    <row r="292" spans="1:40" customFormat="1">
      <c r="A292" s="79"/>
      <c r="B292" s="79"/>
      <c r="C292" s="85"/>
      <c r="D292" s="79"/>
      <c r="E292" s="79"/>
      <c r="F292" s="85"/>
      <c r="G292" s="79"/>
      <c r="H292" s="79" t="s">
        <v>14</v>
      </c>
      <c r="I292" s="524">
        <f>Q287/E287-K287^2/(3*E287^2)</f>
        <v>-0.12796904490401317</v>
      </c>
      <c r="J292" s="524"/>
      <c r="K292" s="524"/>
      <c r="L292" s="79"/>
      <c r="M292" s="79"/>
      <c r="N292" s="79"/>
      <c r="O292" s="79"/>
      <c r="P292" s="79"/>
      <c r="Q292" s="79"/>
      <c r="R292" s="79"/>
      <c r="S292" s="79"/>
      <c r="T292" s="79"/>
      <c r="U292" s="79"/>
      <c r="V292" s="79"/>
      <c r="W292" s="79"/>
      <c r="X292" s="79" t="s">
        <v>266</v>
      </c>
      <c r="Y292" s="524">
        <f>(I293/2)^2+(I292/3)^3</f>
        <v>268.0914840414099</v>
      </c>
      <c r="Z292" s="524"/>
      <c r="AA292" s="524"/>
      <c r="AB292" s="79"/>
      <c r="AC292" s="79"/>
      <c r="AD292" s="79"/>
      <c r="AE292" s="79"/>
      <c r="AF292" s="79"/>
      <c r="AG292" s="79"/>
      <c r="AH292" s="86"/>
      <c r="AI292" s="79"/>
      <c r="AJ292" s="86"/>
      <c r="AK292" s="79"/>
      <c r="AL292" s="79"/>
      <c r="AM292" s="79"/>
      <c r="AN292" s="79"/>
    </row>
    <row r="293" spans="1:40" customFormat="1">
      <c r="A293" s="79"/>
      <c r="B293" s="79"/>
      <c r="C293" s="85"/>
      <c r="D293" s="79"/>
      <c r="E293" s="79"/>
      <c r="F293" s="85"/>
      <c r="G293" s="79"/>
      <c r="H293" s="79" t="s">
        <v>184</v>
      </c>
      <c r="I293" s="524">
        <f>V287/E287-Q287*K287/(3*E287^2)+2*K287^3/(27*E287^3)</f>
        <v>-32.747003628263016</v>
      </c>
      <c r="J293" s="524"/>
      <c r="K293" s="524"/>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86"/>
      <c r="AI293" s="79"/>
      <c r="AJ293" s="86"/>
      <c r="AK293" s="79"/>
      <c r="AL293" s="79"/>
      <c r="AM293" s="79"/>
      <c r="AN293" s="79"/>
    </row>
    <row r="294" spans="1:40" customFormat="1">
      <c r="A294" s="79"/>
      <c r="B294" s="79"/>
      <c r="C294" s="85"/>
      <c r="D294" s="79"/>
      <c r="E294" s="79"/>
      <c r="F294" s="85"/>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86"/>
      <c r="AI294" s="79"/>
      <c r="AJ294" s="86"/>
      <c r="AK294" s="79"/>
      <c r="AL294" s="79"/>
      <c r="AM294" s="79"/>
      <c r="AN294" s="79"/>
    </row>
    <row r="295" spans="1:40" customFormat="1">
      <c r="A295" s="79"/>
      <c r="B295" s="79"/>
      <c r="C295" s="85"/>
      <c r="D295" s="79"/>
      <c r="E295" s="79"/>
      <c r="F295" s="85"/>
      <c r="G295" s="79"/>
      <c r="H295" s="79"/>
      <c r="I295" s="79" t="s">
        <v>267</v>
      </c>
      <c r="J295" s="79"/>
      <c r="K295" s="79"/>
      <c r="L295" s="79"/>
      <c r="M295" s="79" t="s">
        <v>268</v>
      </c>
      <c r="N295" s="79"/>
      <c r="O295" s="79"/>
      <c r="P295" s="79"/>
      <c r="Q295" s="79"/>
      <c r="R295" s="79"/>
      <c r="S295" s="79"/>
      <c r="T295" s="79"/>
      <c r="U295" s="79"/>
      <c r="V295" s="79"/>
      <c r="W295" s="79"/>
      <c r="X295" s="79"/>
      <c r="Y295" s="79" t="s">
        <v>269</v>
      </c>
      <c r="Z295" s="79"/>
      <c r="AA295" s="79"/>
      <c r="AB295" s="79"/>
      <c r="AC295" s="79"/>
      <c r="AD295" s="79"/>
      <c r="AE295" s="79"/>
      <c r="AF295" s="79"/>
      <c r="AG295" s="79"/>
      <c r="AH295" s="86"/>
      <c r="AI295" s="79"/>
      <c r="AJ295" s="86"/>
      <c r="AK295" s="79"/>
      <c r="AL295" s="79"/>
      <c r="AM295" s="79"/>
      <c r="AN295" s="79"/>
    </row>
    <row r="296" spans="1:40" customFormat="1">
      <c r="A296" s="79"/>
      <c r="B296" s="79"/>
      <c r="C296" s="85"/>
      <c r="D296" s="79"/>
      <c r="E296" s="79"/>
      <c r="F296" s="85"/>
      <c r="G296" s="79"/>
      <c r="H296" s="79" t="s">
        <v>270</v>
      </c>
      <c r="I296" s="524">
        <f>IF(Y292&gt;=0,-I293/2+SQRT(Y292),-I293/2)</f>
        <v>32.747001258093078</v>
      </c>
      <c r="J296" s="524"/>
      <c r="K296" s="524"/>
      <c r="L296" s="79" t="s">
        <v>213</v>
      </c>
      <c r="M296" s="524">
        <f>IF(Y292&gt;=0,0,SQRT(-Y292))</f>
        <v>0</v>
      </c>
      <c r="N296" s="524"/>
      <c r="O296" s="524"/>
      <c r="P296" s="79" t="s">
        <v>271</v>
      </c>
      <c r="Q296" s="79"/>
      <c r="R296" s="79"/>
      <c r="S296" s="79"/>
      <c r="T296" s="79"/>
      <c r="U296" s="79"/>
      <c r="V296" s="79"/>
      <c r="W296" s="79"/>
      <c r="X296" s="79" t="s">
        <v>272</v>
      </c>
      <c r="Y296" s="524">
        <f>SQRT(I296^2+M296^2)</f>
        <v>32.747001258093078</v>
      </c>
      <c r="Z296" s="524"/>
      <c r="AA296" s="524"/>
      <c r="AB296" s="79"/>
      <c r="AC296" s="79" t="s">
        <v>141</v>
      </c>
      <c r="AD296" s="524">
        <f>ATAN2(I296,M296)</f>
        <v>0</v>
      </c>
      <c r="AE296" s="524"/>
      <c r="AF296" s="524"/>
      <c r="AG296" s="79"/>
      <c r="AH296" s="86"/>
      <c r="AI296" s="79"/>
      <c r="AJ296" s="86"/>
      <c r="AK296" s="79"/>
      <c r="AL296" s="79"/>
      <c r="AM296" s="79"/>
      <c r="AN296" s="79"/>
    </row>
    <row r="297" spans="1:40" customFormat="1">
      <c r="A297" s="79"/>
      <c r="B297" s="79"/>
      <c r="C297" s="85"/>
      <c r="D297" s="79"/>
      <c r="E297" s="79"/>
      <c r="F297" s="85"/>
      <c r="G297" s="79"/>
      <c r="H297" s="79" t="s">
        <v>273</v>
      </c>
      <c r="I297" s="524">
        <f>IF(Y292&gt;=0,-I293/2-SQRT(Y292),-I293/2)</f>
        <v>2.370169937648825E-6</v>
      </c>
      <c r="J297" s="524"/>
      <c r="K297" s="524"/>
      <c r="L297" s="79" t="s">
        <v>213</v>
      </c>
      <c r="M297" s="524">
        <f>IF(Y292&gt;=0,0,-SQRT(-Y292))</f>
        <v>0</v>
      </c>
      <c r="N297" s="524"/>
      <c r="O297" s="524"/>
      <c r="P297" s="79" t="s">
        <v>271</v>
      </c>
      <c r="Q297" s="79"/>
      <c r="R297" s="79"/>
      <c r="S297" s="79"/>
      <c r="T297" s="79"/>
      <c r="U297" s="79"/>
      <c r="V297" s="79"/>
      <c r="W297" s="79"/>
      <c r="X297" s="79" t="s">
        <v>272</v>
      </c>
      <c r="Y297" s="524">
        <f>SQRT(I297^2+M297^2)</f>
        <v>2.370169937648825E-6</v>
      </c>
      <c r="Z297" s="524"/>
      <c r="AA297" s="524"/>
      <c r="AB297" s="79"/>
      <c r="AC297" s="79" t="s">
        <v>141</v>
      </c>
      <c r="AD297" s="524">
        <f>ATAN2(I297,M297)</f>
        <v>0</v>
      </c>
      <c r="AE297" s="524"/>
      <c r="AF297" s="524"/>
      <c r="AG297" s="79"/>
      <c r="AH297" s="86"/>
      <c r="AI297" s="79"/>
      <c r="AJ297" s="86"/>
      <c r="AK297" s="79"/>
      <c r="AL297" s="79"/>
      <c r="AM297" s="79"/>
      <c r="AN297" s="79"/>
    </row>
    <row r="298" spans="1:40" customFormat="1">
      <c r="A298" s="79"/>
      <c r="B298" s="79"/>
      <c r="C298" s="85"/>
      <c r="D298" s="79"/>
      <c r="E298" s="79"/>
      <c r="F298" s="85"/>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86"/>
      <c r="AI298" s="79"/>
      <c r="AJ298" s="86"/>
      <c r="AK298" s="79"/>
      <c r="AL298" s="79"/>
      <c r="AM298" s="79"/>
      <c r="AN298" s="79"/>
    </row>
    <row r="299" spans="1:40" customFormat="1">
      <c r="A299" s="79"/>
      <c r="B299" s="79"/>
      <c r="C299" s="85"/>
      <c r="D299" s="79"/>
      <c r="E299" s="79"/>
      <c r="F299" s="85"/>
      <c r="G299" s="80" t="s">
        <v>274</v>
      </c>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79"/>
      <c r="AH299" s="86"/>
      <c r="AI299" s="79"/>
      <c r="AJ299" s="86"/>
      <c r="AK299" s="79"/>
      <c r="AL299" s="79"/>
      <c r="AM299" s="79"/>
      <c r="AN299" s="79"/>
    </row>
    <row r="300" spans="1:40" customFormat="1">
      <c r="A300" s="79"/>
      <c r="B300" s="79"/>
      <c r="C300" s="85"/>
      <c r="D300" s="79"/>
      <c r="E300" s="79"/>
      <c r="F300" s="85"/>
      <c r="G300" s="79"/>
      <c r="H300" s="79"/>
      <c r="I300" s="79" t="s">
        <v>275</v>
      </c>
      <c r="J300" s="79"/>
      <c r="K300" s="79"/>
      <c r="L300" s="79"/>
      <c r="M300" s="79" t="s">
        <v>268</v>
      </c>
      <c r="N300" s="79"/>
      <c r="O300" s="79"/>
      <c r="P300" s="79"/>
      <c r="Q300" s="79"/>
      <c r="R300" s="79"/>
      <c r="S300" s="79"/>
      <c r="T300" s="79"/>
      <c r="U300" s="79"/>
      <c r="V300" s="79"/>
      <c r="W300" s="79"/>
      <c r="X300" s="79"/>
      <c r="Y300" s="79"/>
      <c r="Z300" s="79"/>
      <c r="AA300" s="79"/>
      <c r="AB300" s="79"/>
      <c r="AC300" s="79"/>
      <c r="AD300" s="79"/>
      <c r="AE300" s="79"/>
      <c r="AF300" s="79"/>
      <c r="AG300" s="79"/>
      <c r="AH300" s="86"/>
      <c r="AI300" s="79"/>
      <c r="AJ300" s="86"/>
      <c r="AK300" s="79"/>
      <c r="AL300" s="79"/>
      <c r="AM300" s="79"/>
      <c r="AN300" s="79"/>
    </row>
    <row r="301" spans="1:40" customFormat="1">
      <c r="A301" s="79"/>
      <c r="B301" s="79"/>
      <c r="C301" s="85"/>
      <c r="D301" s="79"/>
      <c r="E301" s="79"/>
      <c r="F301" s="85"/>
      <c r="G301" s="79"/>
      <c r="H301" s="79" t="s">
        <v>276</v>
      </c>
      <c r="I301" s="524">
        <f>IF(Y296&gt;0,Y296^(1/3)*COS(AD296/3),0)</f>
        <v>3.1993163011376615</v>
      </c>
      <c r="J301" s="524"/>
      <c r="K301" s="524"/>
      <c r="L301" s="79" t="s">
        <v>213</v>
      </c>
      <c r="M301" s="524">
        <f>IF(Y296&gt;0,Y296^(1/3)*SIN(AD296/3),0)</f>
        <v>0</v>
      </c>
      <c r="N301" s="524"/>
      <c r="O301" s="524"/>
      <c r="P301" s="79" t="s">
        <v>271</v>
      </c>
      <c r="Q301" s="79"/>
      <c r="R301" s="79"/>
      <c r="S301" s="79"/>
      <c r="T301" s="79"/>
      <c r="U301" s="79"/>
      <c r="V301" s="79"/>
      <c r="W301" s="79"/>
      <c r="X301" s="79" t="s">
        <v>272</v>
      </c>
      <c r="Y301" s="524">
        <f>I301^2+M301^2</f>
        <v>10.235624794725169</v>
      </c>
      <c r="Z301" s="524"/>
      <c r="AA301" s="524"/>
      <c r="AB301" s="79"/>
      <c r="AC301" s="79" t="s">
        <v>141</v>
      </c>
      <c r="AD301" s="524">
        <f>ATAN2(I301,M301)</f>
        <v>0</v>
      </c>
      <c r="AE301" s="524"/>
      <c r="AF301" s="524"/>
      <c r="AG301" s="79"/>
      <c r="AH301" s="86"/>
      <c r="AI301" s="79"/>
      <c r="AJ301" s="86"/>
      <c r="AK301" s="79"/>
      <c r="AL301" s="79"/>
      <c r="AM301" s="79"/>
      <c r="AN301" s="79"/>
    </row>
    <row r="302" spans="1:40" customFormat="1">
      <c r="A302" s="79"/>
      <c r="B302" s="79"/>
      <c r="C302" s="85"/>
      <c r="D302" s="79"/>
      <c r="E302" s="79"/>
      <c r="F302" s="85"/>
      <c r="G302" s="79"/>
      <c r="H302" s="79" t="s">
        <v>20</v>
      </c>
      <c r="I302" s="524">
        <f>IF(Y301&gt;0,-I292*I301/(3*Y301),Y297^(1/3)*COS(AD297/3))</f>
        <v>1.3332957509130725E-2</v>
      </c>
      <c r="J302" s="524"/>
      <c r="K302" s="524"/>
      <c r="L302" s="79" t="s">
        <v>213</v>
      </c>
      <c r="M302" s="524">
        <f>IF(Y301&gt;0, I292*M301/(3*Y301),Y297^(1/3)*SIN(AD297/3))</f>
        <v>0</v>
      </c>
      <c r="N302" s="524"/>
      <c r="O302" s="524"/>
      <c r="P302" s="79" t="s">
        <v>271</v>
      </c>
      <c r="Q302" s="79"/>
      <c r="R302" s="79"/>
      <c r="S302" s="79"/>
      <c r="T302" s="79"/>
      <c r="U302" s="79"/>
      <c r="V302" s="79"/>
      <c r="W302" s="79"/>
      <c r="X302" s="79" t="s">
        <v>272</v>
      </c>
      <c r="Y302" s="524">
        <f>I302^2+M302^2</f>
        <v>1.7776775594028539E-4</v>
      </c>
      <c r="Z302" s="524"/>
      <c r="AA302" s="524"/>
      <c r="AB302" s="79"/>
      <c r="AC302" s="79" t="s">
        <v>141</v>
      </c>
      <c r="AD302" s="524">
        <f>ATAN2(I302,M302)</f>
        <v>0</v>
      </c>
      <c r="AE302" s="524"/>
      <c r="AF302" s="524"/>
      <c r="AG302" s="79"/>
      <c r="AH302" s="86"/>
      <c r="AI302" s="79"/>
      <c r="AJ302" s="86"/>
      <c r="AK302" s="79"/>
      <c r="AL302" s="79"/>
      <c r="AM302" s="79"/>
      <c r="AN302" s="79"/>
    </row>
    <row r="303" spans="1:40" customFormat="1">
      <c r="A303" s="79"/>
      <c r="B303" s="79"/>
      <c r="C303" s="85"/>
      <c r="D303" s="79"/>
      <c r="E303" s="79"/>
      <c r="F303" s="85"/>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86"/>
      <c r="AI303" s="79"/>
      <c r="AJ303" s="86"/>
      <c r="AK303" s="79"/>
      <c r="AL303" s="79"/>
      <c r="AM303" s="79"/>
      <c r="AN303" s="79"/>
    </row>
    <row r="304" spans="1:40" customFormat="1">
      <c r="A304" s="79"/>
      <c r="B304" s="79"/>
      <c r="C304" s="85"/>
      <c r="D304" s="79"/>
      <c r="E304" s="79"/>
      <c r="F304" s="85"/>
      <c r="G304" s="79"/>
      <c r="H304" s="87" t="s">
        <v>277</v>
      </c>
      <c r="I304" s="524">
        <f>(-I301-M301*SQRT(3))/2</f>
        <v>-1.5996581505688308</v>
      </c>
      <c r="J304" s="524"/>
      <c r="K304" s="524"/>
      <c r="L304" s="79" t="s">
        <v>213</v>
      </c>
      <c r="M304" s="524">
        <f>(I301*SQRT(3)-M301)/2</f>
        <v>2.7706891915268796</v>
      </c>
      <c r="N304" s="524"/>
      <c r="O304" s="524"/>
      <c r="P304" s="79" t="s">
        <v>271</v>
      </c>
      <c r="Q304" s="79"/>
      <c r="R304" s="79"/>
      <c r="S304" s="79"/>
      <c r="T304" s="79"/>
      <c r="U304" s="79"/>
      <c r="V304" s="79"/>
      <c r="W304" s="79"/>
      <c r="X304" s="79" t="s">
        <v>272</v>
      </c>
      <c r="Y304" s="524">
        <f>I304^2+M304^2</f>
        <v>10.235624794725165</v>
      </c>
      <c r="Z304" s="524"/>
      <c r="AA304" s="524"/>
      <c r="AB304" s="79"/>
      <c r="AC304" s="79" t="s">
        <v>141</v>
      </c>
      <c r="AD304" s="524">
        <f>ATAN2(I304,M304)</f>
        <v>2.0943951023931957</v>
      </c>
      <c r="AE304" s="524"/>
      <c r="AF304" s="524"/>
      <c r="AG304" s="79"/>
      <c r="AH304" s="86"/>
      <c r="AI304" s="79"/>
      <c r="AJ304" s="86"/>
      <c r="AK304" s="79"/>
      <c r="AL304" s="79"/>
      <c r="AM304" s="79"/>
      <c r="AN304" s="79"/>
    </row>
    <row r="305" spans="1:40" customFormat="1">
      <c r="A305" s="79"/>
      <c r="B305" s="79"/>
      <c r="C305" s="85"/>
      <c r="D305" s="79"/>
      <c r="E305" s="79"/>
      <c r="F305" s="85"/>
      <c r="G305" s="79"/>
      <c r="H305" s="87" t="s">
        <v>278</v>
      </c>
      <c r="I305" s="524">
        <f>(-I302+M302*SQRT(3))/2</f>
        <v>-6.6664787545653624E-3</v>
      </c>
      <c r="J305" s="524"/>
      <c r="K305" s="524"/>
      <c r="L305" s="79" t="s">
        <v>213</v>
      </c>
      <c r="M305" s="524">
        <f>(-I302*SQRT(3)-M302)/2</f>
        <v>-1.1546679910485698E-2</v>
      </c>
      <c r="N305" s="524"/>
      <c r="O305" s="524"/>
      <c r="P305" s="79" t="s">
        <v>271</v>
      </c>
      <c r="Q305" s="79"/>
      <c r="R305" s="79"/>
      <c r="S305" s="79"/>
      <c r="T305" s="79"/>
      <c r="U305" s="79"/>
      <c r="V305" s="79"/>
      <c r="W305" s="79"/>
      <c r="X305" s="79" t="s">
        <v>272</v>
      </c>
      <c r="Y305" s="524">
        <f>I305^2+M305^2</f>
        <v>1.7776775594028537E-4</v>
      </c>
      <c r="Z305" s="524"/>
      <c r="AA305" s="524"/>
      <c r="AB305" s="79"/>
      <c r="AC305" s="79" t="s">
        <v>141</v>
      </c>
      <c r="AD305" s="524">
        <f>ATAN2(I305,M305)</f>
        <v>-2.0943951023931957</v>
      </c>
      <c r="AE305" s="524"/>
      <c r="AF305" s="524"/>
      <c r="AG305" s="79"/>
      <c r="AH305" s="86"/>
      <c r="AI305" s="79"/>
      <c r="AJ305" s="86"/>
      <c r="AK305" s="79"/>
      <c r="AL305" s="79"/>
      <c r="AM305" s="79"/>
      <c r="AN305" s="79"/>
    </row>
    <row r="306" spans="1:40" customFormat="1">
      <c r="A306" s="79"/>
      <c r="B306" s="79"/>
      <c r="C306" s="85"/>
      <c r="D306" s="79"/>
      <c r="E306" s="79"/>
      <c r="F306" s="85"/>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86"/>
      <c r="AI306" s="79"/>
      <c r="AJ306" s="86"/>
      <c r="AK306" s="79"/>
      <c r="AL306" s="79"/>
      <c r="AM306" s="79"/>
      <c r="AN306" s="79"/>
    </row>
    <row r="307" spans="1:40" customFormat="1">
      <c r="A307" s="79"/>
      <c r="B307" s="79"/>
      <c r="C307" s="85"/>
      <c r="D307" s="79"/>
      <c r="E307" s="79"/>
      <c r="F307" s="85"/>
      <c r="G307" s="79"/>
      <c r="H307" s="87" t="s">
        <v>279</v>
      </c>
      <c r="I307" s="524">
        <f>(-I301+M301*SQRT(3))/2</f>
        <v>-1.5996581505688308</v>
      </c>
      <c r="J307" s="524"/>
      <c r="K307" s="524"/>
      <c r="L307" s="79" t="s">
        <v>213</v>
      </c>
      <c r="M307" s="524">
        <f>(-I301*SQRT(3)-M301)/2</f>
        <v>-2.7706891915268796</v>
      </c>
      <c r="N307" s="524"/>
      <c r="O307" s="524"/>
      <c r="P307" s="79" t="s">
        <v>271</v>
      </c>
      <c r="Q307" s="79"/>
      <c r="R307" s="79"/>
      <c r="S307" s="79"/>
      <c r="T307" s="79"/>
      <c r="U307" s="79"/>
      <c r="V307" s="79"/>
      <c r="W307" s="79"/>
      <c r="X307" s="79" t="s">
        <v>272</v>
      </c>
      <c r="Y307" s="524">
        <f>I307^2+M307^2</f>
        <v>10.235624794725165</v>
      </c>
      <c r="Z307" s="524"/>
      <c r="AA307" s="524"/>
      <c r="AB307" s="79"/>
      <c r="AC307" s="79" t="s">
        <v>141</v>
      </c>
      <c r="AD307" s="524">
        <f>ATAN2(I307,M307)</f>
        <v>-2.0943951023931957</v>
      </c>
      <c r="AE307" s="524"/>
      <c r="AF307" s="524"/>
      <c r="AG307" s="79"/>
      <c r="AH307" s="86"/>
      <c r="AI307" s="79"/>
      <c r="AJ307" s="86"/>
      <c r="AK307" s="79"/>
      <c r="AL307" s="79"/>
      <c r="AM307" s="79"/>
      <c r="AN307" s="79"/>
    </row>
    <row r="308" spans="1:40" customFormat="1">
      <c r="A308" s="79"/>
      <c r="B308" s="79"/>
      <c r="C308" s="85"/>
      <c r="D308" s="79"/>
      <c r="E308" s="79"/>
      <c r="F308" s="85"/>
      <c r="G308" s="79"/>
      <c r="H308" s="87" t="s">
        <v>280</v>
      </c>
      <c r="I308" s="524">
        <f>(-I302-M302*SQRT(3))/2</f>
        <v>-6.6664787545653624E-3</v>
      </c>
      <c r="J308" s="524"/>
      <c r="K308" s="524"/>
      <c r="L308" s="79" t="s">
        <v>213</v>
      </c>
      <c r="M308" s="524">
        <f>(I302*SQRT(3)-M302)/2</f>
        <v>1.1546679910485698E-2</v>
      </c>
      <c r="N308" s="524"/>
      <c r="O308" s="524"/>
      <c r="P308" s="79" t="s">
        <v>271</v>
      </c>
      <c r="Q308" s="79"/>
      <c r="R308" s="79"/>
      <c r="S308" s="79"/>
      <c r="T308" s="79"/>
      <c r="U308" s="79"/>
      <c r="V308" s="79"/>
      <c r="W308" s="79"/>
      <c r="X308" s="79" t="s">
        <v>272</v>
      </c>
      <c r="Y308" s="524">
        <f>I308^2+M308^2</f>
        <v>1.7776775594028537E-4</v>
      </c>
      <c r="Z308" s="524"/>
      <c r="AA308" s="524"/>
      <c r="AB308" s="79"/>
      <c r="AC308" s="79" t="s">
        <v>141</v>
      </c>
      <c r="AD308" s="524">
        <f>ATAN2(I308,M308)</f>
        <v>2.0943951023931957</v>
      </c>
      <c r="AE308" s="524"/>
      <c r="AF308" s="524"/>
      <c r="AG308" s="79"/>
      <c r="AH308" s="86"/>
      <c r="AI308" s="79"/>
      <c r="AJ308" s="86"/>
      <c r="AK308" s="79"/>
      <c r="AL308" s="79"/>
      <c r="AM308" s="79"/>
      <c r="AN308" s="79"/>
    </row>
    <row r="309" spans="1:40" customFormat="1" ht="19.5" thickBot="1">
      <c r="A309" s="79"/>
      <c r="B309" s="79"/>
      <c r="C309" s="85"/>
      <c r="D309" s="79"/>
      <c r="E309" s="79"/>
      <c r="F309" s="85"/>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86"/>
      <c r="AI309" s="79"/>
      <c r="AJ309" s="86"/>
      <c r="AK309" s="79"/>
      <c r="AL309" s="79"/>
      <c r="AM309" s="79"/>
      <c r="AN309" s="79"/>
    </row>
    <row r="310" spans="1:40" customFormat="1" ht="19.5" thickBot="1">
      <c r="A310" s="79"/>
      <c r="B310" s="79"/>
      <c r="C310" s="85"/>
      <c r="D310" s="79"/>
      <c r="E310" s="79"/>
      <c r="F310" s="85"/>
      <c r="G310" s="79"/>
      <c r="H310" s="79" t="s">
        <v>281</v>
      </c>
      <c r="I310" s="563">
        <f>I290+I301+I302</f>
        <v>0.30611512514500067</v>
      </c>
      <c r="J310" s="564"/>
      <c r="K310" s="565"/>
      <c r="L310" s="79" t="s">
        <v>213</v>
      </c>
      <c r="M310" s="577">
        <f>M301+M302</f>
        <v>0</v>
      </c>
      <c r="N310" s="577"/>
      <c r="O310" s="577"/>
      <c r="P310" s="79" t="s">
        <v>271</v>
      </c>
      <c r="Q310" s="79"/>
      <c r="R310" s="79"/>
      <c r="S310" s="79"/>
      <c r="T310" s="79"/>
      <c r="U310" s="79"/>
      <c r="V310" s="79"/>
      <c r="W310" s="79"/>
      <c r="X310" s="79"/>
      <c r="Y310" s="79"/>
      <c r="Z310" s="79"/>
      <c r="AA310" s="79"/>
      <c r="AB310" s="79"/>
      <c r="AC310" s="79"/>
      <c r="AD310" s="79"/>
      <c r="AE310" s="79"/>
      <c r="AF310" s="79"/>
      <c r="AG310" s="79"/>
      <c r="AH310" s="86"/>
      <c r="AI310" s="79"/>
      <c r="AJ310" s="86"/>
      <c r="AK310" s="79"/>
      <c r="AL310" s="79"/>
      <c r="AM310" s="79"/>
      <c r="AN310" s="79"/>
    </row>
    <row r="311" spans="1:40" customFormat="1">
      <c r="A311" s="79"/>
      <c r="B311" s="79"/>
      <c r="C311" s="85"/>
      <c r="D311" s="79"/>
      <c r="E311" s="79"/>
      <c r="F311" s="85"/>
      <c r="G311" s="79"/>
      <c r="H311" s="79" t="s">
        <v>282</v>
      </c>
      <c r="I311" s="578">
        <f>I290+I304+I305</f>
        <v>-4.5128587628251875</v>
      </c>
      <c r="J311" s="579"/>
      <c r="K311" s="580"/>
      <c r="L311" s="79" t="s">
        <v>213</v>
      </c>
      <c r="M311" s="577">
        <f>M304+M305</f>
        <v>2.7591425116163939</v>
      </c>
      <c r="N311" s="577"/>
      <c r="O311" s="577"/>
      <c r="P311" s="79" t="s">
        <v>271</v>
      </c>
      <c r="Q311" s="79"/>
      <c r="R311" s="79"/>
      <c r="S311" s="79"/>
      <c r="T311" s="79"/>
      <c r="U311" s="79"/>
      <c r="V311" s="79"/>
      <c r="W311" s="79"/>
      <c r="X311" s="79"/>
      <c r="Y311" s="79"/>
      <c r="Z311" s="79"/>
      <c r="AA311" s="79"/>
      <c r="AB311" s="79"/>
      <c r="AC311" s="79"/>
      <c r="AD311" s="79"/>
      <c r="AE311" s="79"/>
      <c r="AF311" s="79"/>
      <c r="AG311" s="79"/>
      <c r="AH311" s="86"/>
      <c r="AI311" s="79"/>
      <c r="AJ311" s="86"/>
      <c r="AK311" s="79"/>
      <c r="AL311" s="79"/>
      <c r="AM311" s="79"/>
      <c r="AN311" s="79"/>
    </row>
    <row r="312" spans="1:40" customFormat="1">
      <c r="A312" s="79"/>
      <c r="B312" s="79"/>
      <c r="C312" s="85"/>
      <c r="D312" s="79"/>
      <c r="E312" s="79"/>
      <c r="F312" s="85"/>
      <c r="G312" s="79"/>
      <c r="H312" s="79" t="s">
        <v>283</v>
      </c>
      <c r="I312" s="521">
        <f>I290+I307+I308</f>
        <v>-4.5128587628251875</v>
      </c>
      <c r="J312" s="522"/>
      <c r="K312" s="523"/>
      <c r="L312" s="79" t="s">
        <v>213</v>
      </c>
      <c r="M312" s="577">
        <f>M307+M308</f>
        <v>-2.7591425116163939</v>
      </c>
      <c r="N312" s="577"/>
      <c r="O312" s="577"/>
      <c r="P312" s="79" t="s">
        <v>271</v>
      </c>
      <c r="Q312" s="79"/>
      <c r="R312" s="79"/>
      <c r="S312" s="79"/>
      <c r="T312" s="79"/>
      <c r="U312" s="79"/>
      <c r="V312" s="79"/>
      <c r="W312" s="79"/>
      <c r="X312" s="79"/>
      <c r="Y312" s="79"/>
      <c r="Z312" s="79"/>
      <c r="AA312" s="79"/>
      <c r="AB312" s="79"/>
      <c r="AC312" s="79"/>
      <c r="AD312" s="79"/>
      <c r="AE312" s="79"/>
      <c r="AF312" s="79"/>
      <c r="AG312" s="79"/>
      <c r="AH312" s="86"/>
      <c r="AI312" s="79"/>
      <c r="AJ312" s="86"/>
      <c r="AK312" s="79"/>
      <c r="AL312" s="79"/>
      <c r="AM312" s="79"/>
      <c r="AN312" s="79"/>
    </row>
    <row r="313" spans="1:40" customFormat="1">
      <c r="A313" s="79"/>
      <c r="B313" s="79"/>
      <c r="C313" s="85"/>
      <c r="D313" s="79"/>
      <c r="E313" s="79"/>
      <c r="F313" s="88"/>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9"/>
      <c r="AI313" s="79"/>
      <c r="AJ313" s="86"/>
      <c r="AK313" s="79"/>
      <c r="AL313" s="79"/>
      <c r="AM313" s="79"/>
      <c r="AN313" s="79"/>
    </row>
    <row r="314" spans="1:40" customFormat="1">
      <c r="A314" s="79"/>
      <c r="B314" s="79"/>
      <c r="C314" s="85"/>
      <c r="D314" s="79"/>
      <c r="E314" s="79"/>
      <c r="F314" s="79"/>
      <c r="G314" s="79"/>
      <c r="H314" s="79" t="s">
        <v>284</v>
      </c>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86"/>
      <c r="AK314" s="79"/>
      <c r="AL314" s="79"/>
      <c r="AM314" s="79"/>
      <c r="AN314" s="79"/>
    </row>
    <row r="315" spans="1:40" customFormat="1" ht="20.25">
      <c r="A315" s="79"/>
      <c r="B315" s="79"/>
      <c r="C315" s="85"/>
      <c r="D315" s="79"/>
      <c r="E315" s="79"/>
      <c r="F315" s="79"/>
      <c r="G315" s="79"/>
      <c r="H315" s="79" t="s">
        <v>285</v>
      </c>
      <c r="I315" s="79"/>
      <c r="J315" s="521">
        <f>I310</f>
        <v>0.30611512514500067</v>
      </c>
      <c r="K315" s="522"/>
      <c r="L315" s="523"/>
      <c r="M315" s="79" t="s">
        <v>9</v>
      </c>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86"/>
      <c r="AK315" s="79"/>
      <c r="AL315" s="79"/>
      <c r="AM315" s="79"/>
      <c r="AN315" s="79"/>
    </row>
    <row r="316" spans="1:40" customFormat="1">
      <c r="A316" s="79"/>
      <c r="B316" s="79"/>
      <c r="C316" s="85"/>
      <c r="D316" s="79"/>
      <c r="E316" s="79"/>
      <c r="F316" s="79"/>
      <c r="G316" s="79"/>
      <c r="H316" s="79"/>
      <c r="I316" s="79"/>
      <c r="J316" s="171"/>
      <c r="K316" s="171"/>
      <c r="L316" s="171"/>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86"/>
      <c r="AK316" s="79"/>
      <c r="AL316" s="79"/>
      <c r="AM316" s="79"/>
      <c r="AN316" s="79"/>
    </row>
    <row r="317" spans="1:40">
      <c r="B317" s="12"/>
      <c r="C317" s="11" t="s">
        <v>286</v>
      </c>
      <c r="D317" s="94"/>
      <c r="E317" s="93"/>
      <c r="F317" s="93"/>
      <c r="G317" s="93"/>
      <c r="H317" s="93"/>
      <c r="I317" s="93"/>
      <c r="J317" s="91"/>
      <c r="K317" s="91"/>
      <c r="L317" s="91"/>
      <c r="M317" s="91"/>
      <c r="N317" s="91"/>
      <c r="O317" s="92"/>
      <c r="P317" s="92"/>
      <c r="Q317" s="92"/>
      <c r="R317" s="92"/>
      <c r="S317" s="91"/>
      <c r="T317" s="91"/>
      <c r="U317" s="93"/>
      <c r="V317" s="93"/>
      <c r="W317" s="93"/>
      <c r="X317" s="78"/>
      <c r="Y317" s="78"/>
      <c r="Z317" s="78"/>
      <c r="AA317"/>
      <c r="AB317" s="95"/>
      <c r="AC317" s="96"/>
      <c r="AD317" s="93"/>
      <c r="AE317" s="93"/>
      <c r="AF317" s="12"/>
      <c r="AG317" s="12"/>
      <c r="AH317" s="12"/>
      <c r="AI317" s="12"/>
      <c r="AJ317" s="14"/>
    </row>
    <row r="318" spans="1:40" ht="20.25">
      <c r="B318" s="12"/>
      <c r="C318" s="11"/>
      <c r="D318" s="94"/>
      <c r="E318" s="93"/>
      <c r="F318" s="665" t="s">
        <v>311</v>
      </c>
      <c r="G318" s="665"/>
      <c r="H318" s="665"/>
      <c r="I318" s="665"/>
      <c r="J318" s="665"/>
      <c r="K318" s="665"/>
      <c r="L318" s="93" t="s">
        <v>8</v>
      </c>
      <c r="M318" s="548">
        <f>J315</f>
        <v>0.30611512514500067</v>
      </c>
      <c r="N318" s="548"/>
      <c r="O318" s="548"/>
      <c r="P318" s="78" t="s">
        <v>288</v>
      </c>
      <c r="Q318" s="573">
        <f>AD5</f>
        <v>1.2</v>
      </c>
      <c r="R318" s="574"/>
      <c r="S318" s="96" t="s">
        <v>289</v>
      </c>
      <c r="T318" s="316"/>
      <c r="U318" s="316"/>
      <c r="AD318" s="92"/>
      <c r="AE318" s="92"/>
      <c r="AF318" s="92"/>
      <c r="AG318" s="91"/>
      <c r="AH318" s="12"/>
      <c r="AI318" s="12"/>
      <c r="AJ318" s="14"/>
    </row>
    <row r="319" spans="1:40">
      <c r="B319" s="12"/>
      <c r="C319" s="11"/>
      <c r="D319" s="94"/>
      <c r="E319" s="93"/>
      <c r="F319" s="93"/>
      <c r="G319" s="93"/>
      <c r="H319" s="79" t="s">
        <v>312</v>
      </c>
      <c r="I319" s="93"/>
      <c r="J319" s="521">
        <f>M318*Q318</f>
        <v>0.36733815017400079</v>
      </c>
      <c r="K319" s="522"/>
      <c r="L319" s="523"/>
      <c r="M319" s="91" t="s">
        <v>9</v>
      </c>
      <c r="N319" s="91"/>
      <c r="O319" s="92"/>
      <c r="P319" s="92"/>
      <c r="Q319" s="92"/>
      <c r="R319" s="92"/>
      <c r="S319" s="91"/>
      <c r="T319" s="91"/>
      <c r="U319" s="93"/>
      <c r="V319" s="93"/>
      <c r="W319" s="93"/>
      <c r="X319" s="78"/>
      <c r="Y319" s="78"/>
      <c r="Z319" s="78"/>
      <c r="AA319"/>
      <c r="AB319" s="95"/>
      <c r="AC319" s="96"/>
      <c r="AD319" s="93"/>
      <c r="AE319" s="93"/>
      <c r="AF319" s="12"/>
      <c r="AG319" s="12"/>
      <c r="AH319" s="12"/>
      <c r="AI319" s="12"/>
      <c r="AJ319" s="14"/>
    </row>
    <row r="320" spans="1:40">
      <c r="B320" s="12"/>
      <c r="C320" s="11"/>
      <c r="D320" s="94"/>
      <c r="E320" s="93"/>
      <c r="F320" s="93"/>
      <c r="G320" s="93"/>
      <c r="H320" s="79"/>
      <c r="I320" s="93"/>
      <c r="J320" s="171"/>
      <c r="K320" s="171"/>
      <c r="L320" s="171"/>
      <c r="M320" s="91"/>
      <c r="N320" s="91"/>
      <c r="O320" s="92"/>
      <c r="P320" s="92"/>
      <c r="Q320" s="92"/>
      <c r="R320" s="92"/>
      <c r="S320" s="91"/>
      <c r="T320" s="91"/>
      <c r="U320" s="93"/>
      <c r="V320" s="93"/>
      <c r="W320" s="93"/>
      <c r="X320" s="78"/>
      <c r="Y320" s="78"/>
      <c r="Z320" s="78"/>
      <c r="AA320"/>
      <c r="AB320" s="95"/>
      <c r="AC320" s="96"/>
      <c r="AD320" s="93"/>
      <c r="AE320" s="93"/>
      <c r="AF320" s="12"/>
      <c r="AG320" s="12"/>
      <c r="AH320" s="12"/>
      <c r="AI320" s="12"/>
      <c r="AJ320" s="14"/>
    </row>
    <row r="321" spans="2:36">
      <c r="B321" s="12"/>
      <c r="C321" s="11"/>
      <c r="D321" s="94"/>
      <c r="E321" s="93"/>
      <c r="F321" s="96" t="s">
        <v>313</v>
      </c>
      <c r="G321" s="93"/>
      <c r="H321" s="79"/>
      <c r="I321" s="93"/>
      <c r="J321" s="171"/>
      <c r="K321" s="171"/>
      <c r="L321" s="171"/>
      <c r="M321" s="91"/>
      <c r="N321" s="91"/>
      <c r="O321" s="92"/>
      <c r="P321" s="92"/>
      <c r="Q321" s="171"/>
      <c r="R321" s="92"/>
      <c r="S321" s="91"/>
      <c r="T321" s="91"/>
      <c r="U321" s="93"/>
      <c r="V321" s="93"/>
      <c r="W321" s="93"/>
      <c r="X321" s="78"/>
      <c r="Y321" s="78"/>
      <c r="Z321" s="78"/>
      <c r="AA321"/>
      <c r="AB321" s="95"/>
      <c r="AC321" s="96"/>
      <c r="AD321" s="93"/>
      <c r="AE321" s="93"/>
      <c r="AF321" s="12"/>
      <c r="AG321" s="12"/>
      <c r="AH321" s="12"/>
      <c r="AI321" s="12"/>
      <c r="AJ321" s="14"/>
    </row>
    <row r="322" spans="2:36">
      <c r="B322" s="12"/>
      <c r="C322" s="11"/>
      <c r="D322" s="94"/>
      <c r="E322" s="93"/>
      <c r="F322" s="93"/>
      <c r="G322" s="93"/>
      <c r="H322" s="33" t="s">
        <v>132</v>
      </c>
      <c r="I322" s="12" t="s">
        <v>8</v>
      </c>
      <c r="J322" s="577">
        <f>'1.設計条件'!R10</f>
        <v>6.5</v>
      </c>
      <c r="K322" s="577"/>
      <c r="L322" s="577"/>
      <c r="M322" s="12" t="s">
        <v>213</v>
      </c>
      <c r="N322" s="577">
        <f>J319</f>
        <v>0.36733815017400079</v>
      </c>
      <c r="O322" s="577"/>
      <c r="P322" s="577"/>
      <c r="Q322" s="171"/>
      <c r="R322" s="92"/>
      <c r="S322" s="91"/>
      <c r="T322" s="91"/>
      <c r="U322" s="93"/>
      <c r="V322" s="93"/>
      <c r="W322" s="93"/>
      <c r="X322" s="78"/>
      <c r="Y322" s="78"/>
      <c r="Z322" s="78"/>
      <c r="AA322"/>
      <c r="AB322" s="95"/>
      <c r="AC322" s="96"/>
      <c r="AD322" s="93"/>
      <c r="AE322" s="93"/>
      <c r="AF322" s="12"/>
      <c r="AG322" s="12"/>
      <c r="AH322" s="12"/>
      <c r="AI322" s="12"/>
      <c r="AJ322" s="14"/>
    </row>
    <row r="323" spans="2:36">
      <c r="C323" s="101"/>
      <c r="D323" s="102"/>
      <c r="E323" s="102"/>
      <c r="F323" s="102"/>
      <c r="G323" s="102"/>
      <c r="H323" s="102"/>
      <c r="I323" s="102" t="s">
        <v>8</v>
      </c>
      <c r="J323" s="562">
        <f>J322+N322</f>
        <v>6.8673381501740005</v>
      </c>
      <c r="K323" s="562"/>
      <c r="L323" s="562"/>
      <c r="M323" s="102" t="s">
        <v>9</v>
      </c>
      <c r="N323" s="102"/>
      <c r="O323" s="102"/>
      <c r="P323" s="102"/>
      <c r="Q323" s="102"/>
      <c r="R323" s="102"/>
      <c r="S323" s="102"/>
      <c r="T323" s="102"/>
      <c r="U323" s="102"/>
      <c r="V323" s="102"/>
      <c r="W323" s="102"/>
      <c r="X323" s="102"/>
      <c r="Y323" s="102"/>
      <c r="Z323" s="102"/>
      <c r="AA323" s="102"/>
      <c r="AB323" s="102"/>
      <c r="AC323" s="102"/>
      <c r="AD323" s="103"/>
      <c r="AE323" s="103"/>
      <c r="AF323" s="104"/>
      <c r="AG323" s="104"/>
      <c r="AH323" s="104"/>
      <c r="AI323" s="104"/>
      <c r="AJ323" s="18"/>
    </row>
    <row r="324" spans="2:36">
      <c r="C324" s="55"/>
      <c r="D324" s="55"/>
      <c r="E324" s="55"/>
      <c r="F324" s="55"/>
      <c r="G324" s="55"/>
      <c r="H324" s="55"/>
      <c r="I324" s="55"/>
      <c r="J324" s="178"/>
      <c r="K324" s="178"/>
      <c r="L324" s="178"/>
      <c r="M324" s="55"/>
      <c r="N324" s="55"/>
      <c r="O324" s="55"/>
      <c r="P324" s="55"/>
      <c r="Q324" s="55"/>
      <c r="R324" s="55"/>
      <c r="S324" s="55"/>
      <c r="T324" s="55"/>
      <c r="U324" s="55"/>
      <c r="V324" s="55"/>
      <c r="W324" s="55"/>
      <c r="X324" s="55"/>
      <c r="Y324" s="55"/>
      <c r="Z324" s="55"/>
      <c r="AA324" s="55"/>
      <c r="AB324" s="55"/>
      <c r="AC324" s="55"/>
      <c r="AD324" s="39"/>
      <c r="AE324" s="39"/>
      <c r="AF324" s="41"/>
      <c r="AG324" s="41"/>
      <c r="AH324" s="41"/>
      <c r="AI324" s="41"/>
    </row>
    <row r="325" spans="2:36">
      <c r="C325" s="12" t="s">
        <v>314</v>
      </c>
      <c r="D325" s="55"/>
      <c r="E325" s="55"/>
      <c r="F325" s="55"/>
      <c r="G325" s="55"/>
      <c r="H325" s="55"/>
      <c r="I325" s="55"/>
      <c r="J325" s="178"/>
      <c r="K325" s="178"/>
      <c r="L325" s="178"/>
      <c r="M325" s="55"/>
      <c r="N325" s="55"/>
      <c r="O325" s="55"/>
      <c r="P325" s="55"/>
      <c r="Q325" s="55"/>
      <c r="R325" s="55"/>
      <c r="S325" s="55"/>
      <c r="T325" s="55"/>
      <c r="U325" s="55"/>
      <c r="V325" s="55"/>
      <c r="W325" s="55"/>
      <c r="X325" s="55"/>
      <c r="Y325" s="55"/>
      <c r="Z325" s="55"/>
      <c r="AA325" s="55"/>
      <c r="AB325" s="55"/>
      <c r="AC325" s="55"/>
      <c r="AD325" s="39"/>
      <c r="AE325" s="39"/>
      <c r="AF325" s="41"/>
      <c r="AG325" s="41"/>
      <c r="AH325" s="41"/>
      <c r="AI325" s="41"/>
    </row>
    <row r="326" spans="2:36">
      <c r="B326" s="12"/>
      <c r="C326" s="197"/>
      <c r="D326" s="181"/>
      <c r="E326" s="181"/>
      <c r="F326" s="181"/>
      <c r="G326" s="181"/>
      <c r="H326" s="181"/>
      <c r="I326" s="181"/>
      <c r="J326" s="59"/>
      <c r="K326" s="59"/>
      <c r="L326" s="59"/>
      <c r="M326" s="181"/>
      <c r="N326" s="181"/>
      <c r="O326" s="181"/>
      <c r="P326" s="181"/>
      <c r="Q326" s="181"/>
      <c r="R326" s="181"/>
      <c r="S326" s="181"/>
      <c r="T326" s="181"/>
      <c r="U326" s="181"/>
      <c r="V326" s="181"/>
      <c r="W326" s="181"/>
      <c r="X326" s="181"/>
      <c r="Y326" s="181"/>
      <c r="Z326" s="181"/>
      <c r="AA326" s="181"/>
      <c r="AB326" s="181"/>
      <c r="AC326" s="181"/>
      <c r="AD326" s="188"/>
      <c r="AE326" s="188"/>
      <c r="AF326" s="198"/>
      <c r="AG326" s="198"/>
      <c r="AH326" s="198"/>
      <c r="AI326" s="198"/>
      <c r="AJ326" s="199"/>
    </row>
    <row r="327" spans="2:36">
      <c r="B327" s="12"/>
      <c r="C327" s="182"/>
      <c r="D327" s="519"/>
      <c r="E327" s="520"/>
      <c r="F327" s="520"/>
      <c r="G327" s="520"/>
      <c r="H327" s="520"/>
      <c r="I327" s="520"/>
      <c r="J327" s="520"/>
      <c r="K327" s="520"/>
      <c r="L327" s="518" t="s">
        <v>315</v>
      </c>
      <c r="M327" s="518"/>
      <c r="N327" s="518"/>
      <c r="O327" s="518"/>
      <c r="P327" s="732" t="s">
        <v>316</v>
      </c>
      <c r="Q327" s="732"/>
      <c r="R327" s="732"/>
      <c r="S327" s="732"/>
      <c r="T327" s="732"/>
      <c r="U327" s="732"/>
      <c r="V327" s="732"/>
      <c r="W327" s="55"/>
      <c r="X327" s="55"/>
      <c r="Y327" s="55"/>
      <c r="Z327" s="55"/>
      <c r="AA327" s="55"/>
      <c r="AB327" s="55"/>
      <c r="AC327" s="55"/>
      <c r="AD327" s="39"/>
      <c r="AE327" s="39"/>
      <c r="AF327" s="41"/>
      <c r="AG327" s="41"/>
      <c r="AH327" s="41"/>
      <c r="AI327" s="41"/>
      <c r="AJ327" s="196"/>
    </row>
    <row r="328" spans="2:36">
      <c r="B328" s="12"/>
      <c r="C328" s="182"/>
      <c r="D328" s="743" t="s">
        <v>317</v>
      </c>
      <c r="E328" s="743"/>
      <c r="F328" s="743"/>
      <c r="G328" s="743"/>
      <c r="H328" s="743"/>
      <c r="I328" s="743"/>
      <c r="J328" s="743"/>
      <c r="K328" s="743"/>
      <c r="L328" s="518">
        <f>J168</f>
        <v>1.7755758823805528</v>
      </c>
      <c r="M328" s="518"/>
      <c r="N328" s="518"/>
      <c r="O328" s="518"/>
      <c r="P328" s="518">
        <f>J172</f>
        <v>6.5755758823805524</v>
      </c>
      <c r="Q328" s="518"/>
      <c r="R328" s="518"/>
      <c r="S328" s="518"/>
      <c r="T328" s="518"/>
      <c r="U328" s="518"/>
      <c r="V328" s="518"/>
      <c r="W328" s="55"/>
      <c r="X328" s="55"/>
      <c r="Y328" s="55"/>
      <c r="Z328" s="55"/>
      <c r="AA328" s="55"/>
      <c r="AB328" s="55"/>
      <c r="AC328" s="55"/>
      <c r="AD328" s="39"/>
      <c r="AE328" s="39"/>
      <c r="AF328" s="41"/>
      <c r="AG328" s="41"/>
      <c r="AH328" s="41"/>
      <c r="AI328" s="41"/>
      <c r="AJ328" s="196"/>
    </row>
    <row r="329" spans="2:36">
      <c r="C329" s="182"/>
      <c r="D329" s="743" t="s">
        <v>318</v>
      </c>
      <c r="E329" s="743"/>
      <c r="F329" s="743"/>
      <c r="G329" s="743"/>
      <c r="H329" s="743"/>
      <c r="I329" s="743"/>
      <c r="J329" s="743"/>
      <c r="K329" s="743"/>
      <c r="L329" s="518">
        <f>J319</f>
        <v>0.36733815017400079</v>
      </c>
      <c r="M329" s="518"/>
      <c r="N329" s="518"/>
      <c r="O329" s="518"/>
      <c r="P329" s="518">
        <f>J323</f>
        <v>6.8673381501740005</v>
      </c>
      <c r="Q329" s="518"/>
      <c r="R329" s="518"/>
      <c r="S329" s="518"/>
      <c r="T329" s="518"/>
      <c r="U329" s="518"/>
      <c r="V329" s="518"/>
      <c r="W329" s="55"/>
      <c r="X329" s="55"/>
      <c r="Y329" s="55"/>
      <c r="Z329" s="55"/>
      <c r="AA329" s="55"/>
      <c r="AB329" s="55"/>
      <c r="AC329" s="55"/>
      <c r="AD329" s="39"/>
      <c r="AE329" s="39"/>
      <c r="AF329" s="41"/>
      <c r="AG329" s="41"/>
      <c r="AH329" s="41"/>
      <c r="AI329" s="41"/>
      <c r="AJ329" s="196"/>
    </row>
    <row r="330" spans="2:36">
      <c r="C330" s="182"/>
      <c r="D330" s="55"/>
      <c r="E330" s="55"/>
      <c r="F330" s="55"/>
      <c r="G330" s="55"/>
      <c r="H330" s="55"/>
      <c r="I330" s="55"/>
      <c r="J330" s="55"/>
      <c r="K330" s="55"/>
      <c r="L330" s="178"/>
      <c r="M330" s="178"/>
      <c r="N330" s="178"/>
      <c r="O330" s="178"/>
      <c r="P330" s="178"/>
      <c r="Q330" s="178"/>
      <c r="R330" s="178"/>
      <c r="S330" s="178"/>
      <c r="T330" s="178"/>
      <c r="U330" s="178"/>
      <c r="V330" s="178"/>
      <c r="W330" s="55"/>
      <c r="X330" s="55"/>
      <c r="Y330" s="55"/>
      <c r="Z330" s="55"/>
      <c r="AA330" s="55"/>
      <c r="AB330" s="55"/>
      <c r="AC330" s="55"/>
      <c r="AD330" s="39"/>
      <c r="AE330" s="39"/>
      <c r="AF330" s="41"/>
      <c r="AG330" s="41"/>
      <c r="AH330" s="41"/>
      <c r="AI330" s="41"/>
      <c r="AJ330" s="196"/>
    </row>
    <row r="331" spans="2:36">
      <c r="C331" s="182"/>
      <c r="D331" s="12" t="s">
        <v>319</v>
      </c>
      <c r="E331" s="55"/>
      <c r="F331" s="55"/>
      <c r="G331" s="55"/>
      <c r="H331" s="55"/>
      <c r="I331" s="55"/>
      <c r="J331" s="55"/>
      <c r="K331" s="55"/>
      <c r="L331" s="178"/>
      <c r="M331" s="178"/>
      <c r="N331" s="178"/>
      <c r="O331" s="178"/>
      <c r="P331" s="178"/>
      <c r="Q331" s="178"/>
      <c r="R331" s="178"/>
      <c r="S331" s="178"/>
      <c r="T331" s="178"/>
      <c r="U331" s="178"/>
      <c r="V331" s="178"/>
      <c r="W331" s="55"/>
      <c r="X331" s="55"/>
      <c r="Y331" s="55"/>
      <c r="Z331" s="55"/>
      <c r="AA331" s="55"/>
      <c r="AB331" s="55"/>
      <c r="AC331" s="55"/>
      <c r="AD331" s="39"/>
      <c r="AE331" s="39"/>
      <c r="AF331" s="41"/>
      <c r="AG331" s="41"/>
      <c r="AH331" s="41"/>
      <c r="AI331" s="41"/>
      <c r="AJ331" s="196"/>
    </row>
    <row r="332" spans="2:36">
      <c r="C332" s="182"/>
      <c r="D332" s="55"/>
      <c r="E332" s="55"/>
      <c r="F332" s="55"/>
      <c r="G332" s="55"/>
      <c r="H332" s="79" t="s">
        <v>290</v>
      </c>
      <c r="I332" s="93"/>
      <c r="J332" s="521">
        <f>L329</f>
        <v>0.36733815017400079</v>
      </c>
      <c r="K332" s="522"/>
      <c r="L332" s="523"/>
      <c r="M332" s="91" t="s">
        <v>9</v>
      </c>
      <c r="N332" s="178"/>
      <c r="O332" s="12"/>
      <c r="P332" s="178"/>
      <c r="Q332" s="178"/>
      <c r="R332" s="178"/>
      <c r="S332" s="178"/>
      <c r="T332" s="178"/>
      <c r="U332" s="178"/>
      <c r="V332" s="178"/>
      <c r="W332" s="55"/>
      <c r="X332" s="55"/>
      <c r="Y332" s="55"/>
      <c r="Z332" s="55"/>
      <c r="AA332" s="55"/>
      <c r="AB332" s="55"/>
      <c r="AC332" s="55"/>
      <c r="AD332" s="39"/>
      <c r="AE332" s="39"/>
      <c r="AF332" s="41"/>
      <c r="AG332" s="41"/>
      <c r="AH332" s="41"/>
      <c r="AI332" s="41"/>
      <c r="AJ332" s="196"/>
    </row>
    <row r="333" spans="2:36">
      <c r="C333" s="101"/>
      <c r="D333" s="102"/>
      <c r="E333" s="102"/>
      <c r="F333" s="102"/>
      <c r="G333" s="102"/>
      <c r="H333" s="102"/>
      <c r="I333" s="102"/>
      <c r="J333" s="102"/>
      <c r="K333" s="102"/>
      <c r="L333" s="60"/>
      <c r="M333" s="60"/>
      <c r="N333" s="60"/>
      <c r="O333" s="60"/>
      <c r="P333" s="60"/>
      <c r="Q333" s="60"/>
      <c r="R333" s="60"/>
      <c r="S333" s="60"/>
      <c r="T333" s="60"/>
      <c r="U333" s="60"/>
      <c r="V333" s="60"/>
      <c r="W333" s="102"/>
      <c r="X333" s="102"/>
      <c r="Y333" s="102"/>
      <c r="Z333" s="102"/>
      <c r="AA333" s="102"/>
      <c r="AB333" s="102"/>
      <c r="AC333" s="102"/>
      <c r="AD333" s="103"/>
      <c r="AE333" s="103"/>
      <c r="AF333" s="104"/>
      <c r="AG333" s="104"/>
      <c r="AH333" s="104"/>
      <c r="AI333" s="104"/>
      <c r="AJ333" s="105"/>
    </row>
    <row r="335" spans="2:36">
      <c r="B335" s="1" t="s">
        <v>320</v>
      </c>
      <c r="W335" t="s">
        <v>147</v>
      </c>
    </row>
    <row r="336" spans="2:36">
      <c r="C336" s="8" t="s">
        <v>321</v>
      </c>
      <c r="D336" s="9"/>
      <c r="E336" s="9"/>
      <c r="F336" s="9"/>
      <c r="G336" s="9"/>
      <c r="H336" s="9"/>
      <c r="I336" s="9"/>
      <c r="J336" s="9"/>
      <c r="K336" s="9"/>
      <c r="L336" s="9"/>
      <c r="M336" s="9"/>
      <c r="N336" s="9"/>
      <c r="O336" s="9"/>
      <c r="P336" s="9"/>
      <c r="Q336" s="9"/>
      <c r="R336" s="9"/>
      <c r="S336" s="9"/>
      <c r="T336" s="9"/>
      <c r="U336" s="9"/>
      <c r="V336" s="9"/>
      <c r="W336" s="3" t="s">
        <v>24</v>
      </c>
      <c r="X336" s="9"/>
      <c r="Y336" s="9"/>
      <c r="Z336" s="9"/>
      <c r="AA336" s="9"/>
      <c r="AB336" s="9"/>
      <c r="AC336" s="9"/>
      <c r="AD336" s="9"/>
      <c r="AE336" s="9"/>
      <c r="AF336" s="9"/>
      <c r="AG336" s="9"/>
      <c r="AH336" s="9"/>
      <c r="AI336" s="10"/>
    </row>
    <row r="337" spans="2:40">
      <c r="C337" s="15"/>
      <c r="D337" s="16"/>
      <c r="E337" s="16"/>
      <c r="F337" s="16"/>
      <c r="G337" s="16"/>
      <c r="H337" s="16"/>
      <c r="I337" s="16"/>
      <c r="J337" s="16"/>
      <c r="K337" s="16"/>
      <c r="L337" s="16"/>
      <c r="M337" s="16"/>
      <c r="N337" s="16"/>
      <c r="O337" s="16"/>
      <c r="P337" s="16"/>
      <c r="Q337" s="16"/>
      <c r="R337" s="16"/>
      <c r="S337" s="16"/>
      <c r="T337" s="16"/>
      <c r="U337" s="16"/>
      <c r="V337" s="16"/>
      <c r="W337" s="24"/>
      <c r="X337" s="16"/>
      <c r="Y337" s="16"/>
      <c r="Z337" s="16"/>
      <c r="AA337" s="16"/>
      <c r="AB337" s="16"/>
      <c r="AC337" s="16"/>
      <c r="AD337" s="16"/>
      <c r="AE337" s="16"/>
      <c r="AF337" s="16"/>
      <c r="AG337" s="16"/>
      <c r="AH337" s="16"/>
      <c r="AI337" s="18"/>
    </row>
    <row r="339" spans="2:40">
      <c r="B339" s="1" t="s">
        <v>322</v>
      </c>
      <c r="C339" s="12"/>
      <c r="D339" s="12"/>
      <c r="E339" s="12"/>
      <c r="F339" s="12"/>
      <c r="G339" s="12"/>
      <c r="H339" s="12"/>
      <c r="I339" s="12"/>
      <c r="J339" s="12"/>
      <c r="K339" s="12"/>
      <c r="L339" s="12"/>
      <c r="M339" s="12"/>
      <c r="N339" s="12"/>
      <c r="O339" s="12"/>
      <c r="P339" s="12"/>
      <c r="Q339" s="12"/>
      <c r="R339" s="12"/>
      <c r="S339" s="12"/>
      <c r="T339" s="12"/>
      <c r="U339" s="12"/>
      <c r="V339" s="12"/>
      <c r="W339" t="s">
        <v>323</v>
      </c>
      <c r="X339" s="12"/>
      <c r="Y339" s="12"/>
      <c r="Z339" s="12"/>
      <c r="AA339" s="12"/>
      <c r="AB339" s="12"/>
      <c r="AC339" s="12"/>
      <c r="AD339" s="12"/>
      <c r="AE339" s="12"/>
      <c r="AF339" s="12"/>
      <c r="AG339" s="12"/>
      <c r="AH339" s="12"/>
      <c r="AI339" s="12"/>
    </row>
    <row r="340" spans="2:40" s="205" customFormat="1">
      <c r="C340" s="262" t="s">
        <v>324</v>
      </c>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c r="AA340" s="194"/>
      <c r="AB340" s="194"/>
      <c r="AC340" s="194"/>
      <c r="AD340" s="194"/>
      <c r="AE340" s="194"/>
      <c r="AF340" s="194"/>
      <c r="AG340" s="194"/>
      <c r="AH340" s="194"/>
      <c r="AI340" s="263"/>
    </row>
    <row r="341" spans="2:40">
      <c r="C341" s="11" t="s">
        <v>325</v>
      </c>
      <c r="D341" s="12"/>
      <c r="E341" s="12"/>
      <c r="F341" s="12"/>
      <c r="G341" s="12"/>
      <c r="H341" s="12"/>
      <c r="I341" s="12"/>
      <c r="J341" s="12"/>
      <c r="K341" s="12"/>
      <c r="L341" s="12"/>
      <c r="M341" s="12"/>
      <c r="N341" s="12"/>
      <c r="O341" s="12"/>
      <c r="P341" s="12"/>
      <c r="Q341" s="12"/>
      <c r="R341" s="12"/>
      <c r="S341" s="12"/>
      <c r="T341" s="12"/>
      <c r="U341" s="12"/>
      <c r="V341" s="12"/>
      <c r="W341" t="s">
        <v>326</v>
      </c>
      <c r="X341" s="12"/>
      <c r="Y341" s="12"/>
      <c r="Z341" s="12"/>
      <c r="AA341" s="12"/>
      <c r="AB341" s="12"/>
      <c r="AC341" s="12"/>
      <c r="AD341" s="12"/>
      <c r="AE341" s="12"/>
      <c r="AF341" s="12"/>
      <c r="AG341" s="12"/>
      <c r="AH341" s="12"/>
      <c r="AI341" s="14"/>
    </row>
    <row r="342" spans="2:40">
      <c r="C342" s="11"/>
      <c r="D342" s="12" t="s">
        <v>327</v>
      </c>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4"/>
    </row>
    <row r="343" spans="2:40">
      <c r="C343" s="11"/>
      <c r="D343" s="12"/>
      <c r="E343" s="557" t="s">
        <v>328</v>
      </c>
      <c r="F343" s="557"/>
      <c r="G343" s="541" t="s">
        <v>8</v>
      </c>
      <c r="H343" s="129" t="s">
        <v>35</v>
      </c>
      <c r="I343" s="119" t="s">
        <v>7</v>
      </c>
      <c r="J343" s="541" t="s">
        <v>329</v>
      </c>
      <c r="K343" s="609">
        <v>3.14</v>
      </c>
      <c r="L343" s="609"/>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4"/>
    </row>
    <row r="344" spans="2:40">
      <c r="C344" s="11"/>
      <c r="D344" s="12"/>
      <c r="E344" s="557"/>
      <c r="F344" s="557"/>
      <c r="G344" s="541"/>
      <c r="H344" s="610" t="s">
        <v>39</v>
      </c>
      <c r="I344" s="610"/>
      <c r="J344" s="541"/>
      <c r="K344" s="609"/>
      <c r="L344" s="609"/>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4"/>
    </row>
    <row r="345" spans="2:40">
      <c r="C345" s="11"/>
      <c r="D345" s="12"/>
      <c r="E345" s="12"/>
      <c r="F345" s="12" t="s">
        <v>330</v>
      </c>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4"/>
    </row>
    <row r="346" spans="2:40">
      <c r="C346" s="11"/>
      <c r="D346" s="12"/>
      <c r="E346" s="12"/>
      <c r="F346" s="12"/>
      <c r="G346" s="37" t="s">
        <v>331</v>
      </c>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4"/>
    </row>
    <row r="347" spans="2:40" ht="20.25">
      <c r="C347" s="11"/>
      <c r="D347" s="12"/>
      <c r="E347" s="12"/>
      <c r="F347" s="12"/>
      <c r="G347" s="36" t="s">
        <v>332</v>
      </c>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4"/>
    </row>
    <row r="348" spans="2:40">
      <c r="C348" s="11"/>
      <c r="D348" s="12"/>
      <c r="E348" s="12"/>
      <c r="F348" s="12"/>
      <c r="G348" s="37" t="s">
        <v>333</v>
      </c>
      <c r="H348" s="12"/>
      <c r="I348" s="33"/>
      <c r="J348" s="12"/>
      <c r="K348" s="36"/>
      <c r="L348" s="12"/>
      <c r="M348" s="324"/>
      <c r="N348" s="324"/>
      <c r="O348" s="12"/>
      <c r="P348" s="12"/>
      <c r="Q348" s="12"/>
      <c r="R348" s="12"/>
      <c r="S348" s="12"/>
      <c r="T348" s="12"/>
      <c r="U348" s="12"/>
      <c r="V348" s="12"/>
      <c r="W348" s="12"/>
      <c r="X348" s="12"/>
      <c r="Y348" s="12"/>
      <c r="Z348" s="12"/>
      <c r="AA348" s="12"/>
      <c r="AB348" s="12"/>
      <c r="AC348" s="12"/>
      <c r="AD348" s="12"/>
      <c r="AF348" s="12"/>
      <c r="AG348" s="12"/>
      <c r="AH348" s="12"/>
      <c r="AI348" s="14"/>
    </row>
    <row r="349" spans="2:40" ht="20.25">
      <c r="C349" s="11"/>
      <c r="D349" s="12"/>
      <c r="E349" s="12"/>
      <c r="F349" s="12"/>
      <c r="G349" s="37" t="s">
        <v>334</v>
      </c>
      <c r="H349" s="12"/>
      <c r="I349" s="12"/>
      <c r="J349" s="36"/>
      <c r="K349" s="12"/>
      <c r="L349" s="12"/>
      <c r="M349" s="12"/>
      <c r="N349" s="12"/>
      <c r="O349" s="12"/>
      <c r="P349" s="12"/>
      <c r="Q349" s="12"/>
      <c r="R349" s="12"/>
      <c r="S349" s="12"/>
      <c r="T349" s="33" t="s">
        <v>335</v>
      </c>
      <c r="U349" s="576">
        <f>'1.設計条件'!AF27</f>
        <v>62</v>
      </c>
      <c r="V349" s="576"/>
      <c r="Z349" s="12"/>
      <c r="AA349" s="12"/>
      <c r="AB349" s="12"/>
      <c r="AC349" s="12"/>
      <c r="AD349" s="12"/>
      <c r="AE349" s="12"/>
      <c r="AF349" s="12"/>
      <c r="AG349" s="12"/>
      <c r="AH349" s="12"/>
      <c r="AI349" s="14"/>
    </row>
    <row r="350" spans="2:40">
      <c r="C350" s="11"/>
      <c r="D350" s="12"/>
      <c r="E350" s="12"/>
      <c r="F350" s="12"/>
      <c r="G350" s="12"/>
      <c r="H350" s="12"/>
      <c r="I350" s="12" t="s">
        <v>336</v>
      </c>
      <c r="J350" s="12"/>
      <c r="K350" s="12"/>
      <c r="L350" s="12"/>
      <c r="M350" s="12"/>
      <c r="N350" s="12"/>
      <c r="O350" s="12"/>
      <c r="P350" s="12"/>
      <c r="Q350" s="12"/>
      <c r="R350" s="12"/>
      <c r="S350" s="12"/>
      <c r="T350" s="12"/>
      <c r="U350" s="12"/>
      <c r="V350" s="36"/>
      <c r="W350" s="12"/>
      <c r="X350" s="113"/>
      <c r="Y350" s="113"/>
      <c r="Z350" s="12"/>
      <c r="AA350" s="12"/>
      <c r="AB350" s="12"/>
      <c r="AC350" s="12"/>
      <c r="AD350" s="12"/>
      <c r="AE350" s="12"/>
      <c r="AF350" s="12"/>
      <c r="AG350" s="12"/>
      <c r="AH350" s="12"/>
      <c r="AI350" s="14"/>
    </row>
    <row r="351" spans="2:40">
      <c r="C351" s="11"/>
      <c r="D351" s="12"/>
      <c r="E351" s="12"/>
      <c r="F351" s="12"/>
      <c r="G351" s="12"/>
      <c r="H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4"/>
    </row>
    <row r="352" spans="2:40">
      <c r="C352" s="11"/>
      <c r="G352" s="12"/>
      <c r="H352" s="12"/>
      <c r="I352"/>
      <c r="J352"/>
      <c r="K352"/>
      <c r="L352" s="455" t="s">
        <v>25</v>
      </c>
      <c r="M352" s="457"/>
      <c r="N352" s="452" t="s">
        <v>29</v>
      </c>
      <c r="O352" s="453"/>
      <c r="P352" s="453"/>
      <c r="Q352" s="454"/>
      <c r="R352" s="452"/>
      <c r="S352" s="453"/>
      <c r="T352" s="453"/>
      <c r="U352" s="454"/>
      <c r="V352" s="452" t="s">
        <v>31</v>
      </c>
      <c r="W352" s="453"/>
      <c r="X352" s="453"/>
      <c r="Y352" s="454"/>
      <c r="Z352" s="452" t="s">
        <v>337</v>
      </c>
      <c r="AA352" s="453"/>
      <c r="AB352" s="453"/>
      <c r="AC352" s="454"/>
      <c r="AD352" s="8"/>
      <c r="AE352" s="9"/>
      <c r="AF352" s="9"/>
      <c r="AG352" s="9"/>
      <c r="AH352" s="10"/>
      <c r="AI352" s="14"/>
      <c r="AN352" s="12"/>
    </row>
    <row r="353" spans="3:40" ht="20.25">
      <c r="C353" s="11"/>
      <c r="G353" s="12"/>
      <c r="H353" s="12"/>
      <c r="I353"/>
      <c r="J353"/>
      <c r="K353"/>
      <c r="L353" s="438" t="s">
        <v>34</v>
      </c>
      <c r="M353" s="439"/>
      <c r="N353" s="435" t="s">
        <v>35</v>
      </c>
      <c r="O353" s="436"/>
      <c r="P353" s="436"/>
      <c r="Q353" s="437"/>
      <c r="R353" s="458" t="s">
        <v>338</v>
      </c>
      <c r="S353" s="459"/>
      <c r="T353" s="459"/>
      <c r="U353" s="460"/>
      <c r="V353" s="435" t="s">
        <v>37</v>
      </c>
      <c r="W353" s="436"/>
      <c r="X353" s="436"/>
      <c r="Y353" s="437"/>
      <c r="Z353" s="435" t="s">
        <v>339</v>
      </c>
      <c r="AA353" s="436"/>
      <c r="AB353" s="436"/>
      <c r="AC353" s="437"/>
      <c r="AD353" s="538" t="s">
        <v>340</v>
      </c>
      <c r="AE353" s="539"/>
      <c r="AF353" s="539"/>
      <c r="AG353" s="539"/>
      <c r="AH353" s="540"/>
      <c r="AI353" s="14"/>
      <c r="AN353" s="12"/>
    </row>
    <row r="354" spans="3:40" ht="20.25">
      <c r="C354" s="11"/>
      <c r="G354" s="12"/>
      <c r="H354" s="12"/>
      <c r="I354"/>
      <c r="J354"/>
      <c r="K354"/>
      <c r="L354" s="432" t="s">
        <v>40</v>
      </c>
      <c r="M354" s="434"/>
      <c r="N354" s="432" t="s">
        <v>41</v>
      </c>
      <c r="O354" s="433"/>
      <c r="P354" s="433"/>
      <c r="Q354" s="434"/>
      <c r="R354" s="432" t="s">
        <v>42</v>
      </c>
      <c r="S354" s="433"/>
      <c r="T354" s="433"/>
      <c r="U354" s="434"/>
      <c r="V354" s="432" t="s">
        <v>41</v>
      </c>
      <c r="W354" s="433"/>
      <c r="X354" s="433"/>
      <c r="Y354" s="434"/>
      <c r="Z354" s="432" t="s">
        <v>341</v>
      </c>
      <c r="AA354" s="433"/>
      <c r="AB354" s="433"/>
      <c r="AC354" s="434"/>
      <c r="AD354" s="528" t="s">
        <v>44</v>
      </c>
      <c r="AE354" s="529"/>
      <c r="AF354" s="529"/>
      <c r="AG354" s="529"/>
      <c r="AH354" s="530"/>
      <c r="AI354" s="14"/>
      <c r="AN354" s="12"/>
    </row>
    <row r="355" spans="3:40">
      <c r="C355" s="11"/>
      <c r="G355" s="12"/>
      <c r="H355" s="12"/>
      <c r="I355"/>
      <c r="J355" s="442" t="s">
        <v>45</v>
      </c>
      <c r="K355" s="442"/>
      <c r="L355" s="462">
        <f>'1.設計条件'!F23</f>
        <v>1</v>
      </c>
      <c r="M355" s="462"/>
      <c r="N355" s="415">
        <f>'1.設計条件'!P23</f>
        <v>18</v>
      </c>
      <c r="O355" s="416"/>
      <c r="P355" s="416"/>
      <c r="Q355" s="417"/>
      <c r="R355" s="531">
        <v>0</v>
      </c>
      <c r="S355" s="532"/>
      <c r="T355" s="532"/>
      <c r="U355" s="533"/>
      <c r="V355" s="534">
        <f>N355+R355</f>
        <v>18</v>
      </c>
      <c r="W355" s="534"/>
      <c r="X355" s="534"/>
      <c r="Y355" s="534"/>
      <c r="Z355" s="736">
        <v>0</v>
      </c>
      <c r="AA355" s="736"/>
      <c r="AB355" s="736"/>
      <c r="AC355" s="736"/>
      <c r="AD355" s="525">
        <f>L355*(V355+Z355)</f>
        <v>18</v>
      </c>
      <c r="AE355" s="526"/>
      <c r="AF355" s="526"/>
      <c r="AG355" s="526"/>
      <c r="AH355" s="527"/>
      <c r="AI355" s="14"/>
      <c r="AN355" s="12"/>
    </row>
    <row r="356" spans="3:40">
      <c r="C356" s="11"/>
      <c r="G356" s="12"/>
      <c r="H356" s="12"/>
      <c r="I356"/>
      <c r="J356" s="442" t="s">
        <v>48</v>
      </c>
      <c r="K356" s="442"/>
      <c r="L356" s="462">
        <f>'1.設計条件'!F24</f>
        <v>5</v>
      </c>
      <c r="M356" s="462"/>
      <c r="N356" s="415">
        <f>'1.設計条件'!P24</f>
        <v>18</v>
      </c>
      <c r="O356" s="416"/>
      <c r="P356" s="416"/>
      <c r="Q356" s="417"/>
      <c r="R356" s="531">
        <v>0</v>
      </c>
      <c r="S356" s="532"/>
      <c r="T356" s="532"/>
      <c r="U356" s="533"/>
      <c r="V356" s="534">
        <f t="shared" ref="V356:V357" si="8">N356+R356</f>
        <v>18</v>
      </c>
      <c r="W356" s="534"/>
      <c r="X356" s="534"/>
      <c r="Y356" s="534"/>
      <c r="Z356" s="535">
        <v>0</v>
      </c>
      <c r="AA356" s="536"/>
      <c r="AB356" s="536"/>
      <c r="AC356" s="537"/>
      <c r="AD356" s="525">
        <f t="shared" ref="AD356:AD357" si="9">L356*(V356+Z356)</f>
        <v>90</v>
      </c>
      <c r="AE356" s="526"/>
      <c r="AF356" s="526"/>
      <c r="AG356" s="526"/>
      <c r="AH356" s="527"/>
      <c r="AI356" s="14"/>
      <c r="AN356" s="12"/>
    </row>
    <row r="357" spans="3:40">
      <c r="C357" s="11"/>
      <c r="G357" s="12"/>
      <c r="H357" s="12"/>
      <c r="I357"/>
      <c r="J357" s="442" t="s">
        <v>49</v>
      </c>
      <c r="K357" s="442"/>
      <c r="L357" s="462">
        <f>'1.設計条件'!F25</f>
        <v>0.5</v>
      </c>
      <c r="M357" s="462"/>
      <c r="N357" s="415">
        <f>'1.設計条件'!P25</f>
        <v>19</v>
      </c>
      <c r="O357" s="416"/>
      <c r="P357" s="416"/>
      <c r="Q357" s="417"/>
      <c r="R357" s="531">
        <v>0</v>
      </c>
      <c r="S357" s="532"/>
      <c r="T357" s="532"/>
      <c r="U357" s="533"/>
      <c r="V357" s="534">
        <f t="shared" si="8"/>
        <v>19</v>
      </c>
      <c r="W357" s="534"/>
      <c r="X357" s="534"/>
      <c r="Y357" s="534"/>
      <c r="Z357" s="535">
        <v>0</v>
      </c>
      <c r="AA357" s="536"/>
      <c r="AB357" s="536"/>
      <c r="AC357" s="537"/>
      <c r="AD357" s="525">
        <f t="shared" si="9"/>
        <v>9.5</v>
      </c>
      <c r="AE357" s="526"/>
      <c r="AF357" s="526"/>
      <c r="AG357" s="526"/>
      <c r="AH357" s="527"/>
      <c r="AI357" s="14"/>
      <c r="AN357" s="12"/>
    </row>
    <row r="358" spans="3:40">
      <c r="C358" s="11"/>
      <c r="D358" s="12"/>
      <c r="E358" s="12"/>
      <c r="F358" s="12"/>
      <c r="G358" s="12"/>
      <c r="H358" s="12"/>
      <c r="I358" s="12"/>
      <c r="J358" s="525" t="s">
        <v>342</v>
      </c>
      <c r="K358" s="526"/>
      <c r="L358" s="551"/>
      <c r="M358" s="547"/>
      <c r="N358" s="29"/>
      <c r="O358" s="29"/>
      <c r="P358" s="29"/>
      <c r="Q358" s="526"/>
      <c r="R358" s="526"/>
      <c r="S358" s="526"/>
      <c r="T358" s="526"/>
      <c r="U358" s="29"/>
      <c r="V358" s="29"/>
      <c r="W358" s="29"/>
      <c r="X358" s="29"/>
      <c r="Y358" s="29"/>
      <c r="Z358" s="525"/>
      <c r="AA358" s="526"/>
      <c r="AB358" s="526"/>
      <c r="AC358" s="527"/>
      <c r="AD358" s="525">
        <f>SUM(AD355:AH357)</f>
        <v>117.5</v>
      </c>
      <c r="AE358" s="526"/>
      <c r="AF358" s="526"/>
      <c r="AG358" s="526"/>
      <c r="AH358" s="527"/>
      <c r="AI358" s="14"/>
    </row>
    <row r="359" spans="3:40">
      <c r="C359" s="11"/>
      <c r="D359" s="12"/>
      <c r="E359" s="12"/>
      <c r="F359" s="12"/>
      <c r="G359" s="12"/>
      <c r="H359" s="12"/>
      <c r="I359" s="12"/>
      <c r="J359" s="13"/>
      <c r="K359" s="13"/>
      <c r="L359" s="111"/>
      <c r="M359" s="111"/>
      <c r="N359" s="12"/>
      <c r="O359" s="12"/>
      <c r="P359" s="12"/>
      <c r="Q359" s="13"/>
      <c r="R359" s="13"/>
      <c r="S359" s="13"/>
      <c r="T359" s="13"/>
      <c r="U359" s="12"/>
      <c r="V359" s="12"/>
      <c r="W359" s="12"/>
      <c r="X359" s="12"/>
      <c r="Y359" s="12"/>
      <c r="Z359" s="13"/>
      <c r="AA359" s="13"/>
      <c r="AB359" s="13"/>
      <c r="AC359" s="13"/>
      <c r="AD359" s="12"/>
      <c r="AE359" s="12"/>
      <c r="AF359" s="12"/>
      <c r="AG359" s="12"/>
      <c r="AH359" s="12"/>
      <c r="AI359" s="14"/>
    </row>
    <row r="360" spans="3:40">
      <c r="C360" s="11"/>
      <c r="D360" s="12"/>
      <c r="E360" s="12"/>
      <c r="F360" s="12" t="s">
        <v>262</v>
      </c>
      <c r="G360" s="12"/>
      <c r="H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4"/>
    </row>
    <row r="361" spans="3:40" ht="20.25">
      <c r="C361" s="11"/>
      <c r="D361" s="12"/>
      <c r="E361" s="12"/>
      <c r="F361" s="557" t="s">
        <v>328</v>
      </c>
      <c r="G361" s="557"/>
      <c r="H361" s="541" t="s">
        <v>8</v>
      </c>
      <c r="I361" s="129" t="s">
        <v>35</v>
      </c>
      <c r="J361" s="119" t="s">
        <v>7</v>
      </c>
      <c r="K361" s="12"/>
      <c r="L361" s="541" t="s">
        <v>8</v>
      </c>
      <c r="M361" s="558" t="s">
        <v>343</v>
      </c>
      <c r="N361" s="558"/>
      <c r="O361" s="558"/>
      <c r="P361" s="558"/>
      <c r="Q361" s="16" t="s">
        <v>344</v>
      </c>
      <c r="R361" s="119" t="s">
        <v>34</v>
      </c>
      <c r="X361" s="325"/>
      <c r="Y361" s="325"/>
      <c r="Z361" s="325"/>
      <c r="AA361" s="325"/>
      <c r="AB361" s="12"/>
      <c r="AC361" s="12"/>
      <c r="AD361" s="12"/>
      <c r="AE361" s="12"/>
      <c r="AF361" s="12"/>
      <c r="AG361" s="12"/>
      <c r="AH361" s="12"/>
      <c r="AI361" s="14"/>
    </row>
    <row r="362" spans="3:40">
      <c r="C362" s="11"/>
      <c r="D362" s="12"/>
      <c r="E362" s="12"/>
      <c r="F362" s="557"/>
      <c r="G362" s="557"/>
      <c r="H362" s="541"/>
      <c r="I362" s="610" t="s">
        <v>39</v>
      </c>
      <c r="J362" s="610"/>
      <c r="K362" s="12"/>
      <c r="L362" s="541"/>
      <c r="O362" s="371" t="s">
        <v>39</v>
      </c>
      <c r="P362" s="371"/>
      <c r="Q362" s="12"/>
      <c r="R362" s="12"/>
      <c r="W362" s="12"/>
      <c r="X362" s="325"/>
      <c r="Y362" s="325"/>
      <c r="Z362" s="325"/>
      <c r="AA362" s="325"/>
      <c r="AB362" s="12"/>
      <c r="AC362" s="12"/>
      <c r="AD362" s="12"/>
      <c r="AE362" s="12"/>
      <c r="AF362" s="12"/>
      <c r="AG362" s="12"/>
      <c r="AH362" s="12"/>
      <c r="AI362" s="14"/>
    </row>
    <row r="363" spans="3:40">
      <c r="C363" s="11"/>
      <c r="D363" s="12"/>
      <c r="E363" s="12"/>
      <c r="F363" s="12"/>
      <c r="G363" s="12"/>
      <c r="H363" s="12"/>
      <c r="I363" s="12"/>
      <c r="J363" s="180"/>
      <c r="K363" s="180"/>
      <c r="L363" s="180"/>
      <c r="M363" s="541"/>
      <c r="N363" s="541"/>
      <c r="O363" s="541"/>
      <c r="P363" s="541"/>
      <c r="Q363" s="13"/>
      <c r="R363" s="12"/>
      <c r="S363" s="315"/>
      <c r="T363" s="23"/>
      <c r="U363" s="23"/>
      <c r="V363" s="23"/>
      <c r="W363" s="12"/>
      <c r="X363" s="315"/>
      <c r="Y363" s="315"/>
      <c r="Z363" s="315"/>
      <c r="AA363" s="315"/>
      <c r="AB363" s="12"/>
      <c r="AC363" s="12"/>
      <c r="AD363" s="12"/>
      <c r="AE363" s="12"/>
      <c r="AF363" s="12"/>
      <c r="AG363" s="12"/>
      <c r="AH363" s="12"/>
      <c r="AI363" s="14"/>
    </row>
    <row r="364" spans="3:40">
      <c r="C364" s="11"/>
      <c r="D364" s="12"/>
      <c r="E364" s="12"/>
      <c r="F364" s="12"/>
      <c r="G364" s="12"/>
      <c r="H364" s="541" t="s">
        <v>8</v>
      </c>
      <c r="I364" s="558">
        <f>AD358</f>
        <v>117.5</v>
      </c>
      <c r="J364" s="558"/>
      <c r="K364" s="180"/>
      <c r="L364" s="180"/>
      <c r="M364" s="541"/>
      <c r="N364" s="541"/>
      <c r="O364" s="541"/>
      <c r="P364" s="541"/>
      <c r="Q364" s="13"/>
      <c r="R364" s="12"/>
      <c r="S364" s="315"/>
      <c r="T364" s="23"/>
      <c r="U364" s="23"/>
      <c r="V364" s="23"/>
      <c r="W364" s="12"/>
      <c r="X364" s="315"/>
      <c r="Y364" s="315"/>
      <c r="Z364" s="315"/>
      <c r="AA364" s="315"/>
      <c r="AB364" s="12"/>
      <c r="AC364" s="12"/>
      <c r="AD364" s="12"/>
      <c r="AE364" s="12"/>
      <c r="AF364" s="12"/>
      <c r="AG364" s="12"/>
      <c r="AH364" s="12"/>
      <c r="AI364" s="14"/>
    </row>
    <row r="365" spans="3:40">
      <c r="C365" s="11"/>
      <c r="D365" s="12"/>
      <c r="E365" s="12"/>
      <c r="F365" s="12"/>
      <c r="G365" s="12"/>
      <c r="H365" s="541"/>
      <c r="I365" s="559">
        <f>U349</f>
        <v>62</v>
      </c>
      <c r="J365" s="559"/>
      <c r="K365" s="180"/>
      <c r="L365" s="180"/>
      <c r="M365" s="180"/>
      <c r="N365" s="13"/>
      <c r="O365" s="13"/>
      <c r="P365" s="13"/>
      <c r="Q365" s="13"/>
      <c r="R365" s="12"/>
      <c r="S365" s="315"/>
      <c r="T365" s="23"/>
      <c r="U365" s="23"/>
      <c r="V365" s="23"/>
      <c r="W365" s="12"/>
      <c r="X365" s="315"/>
      <c r="Y365" s="315"/>
      <c r="Z365" s="315"/>
      <c r="AA365" s="315"/>
      <c r="AB365" s="12"/>
      <c r="AC365" s="12"/>
      <c r="AD365" s="12"/>
      <c r="AE365" s="12"/>
      <c r="AF365" s="12"/>
      <c r="AG365" s="12"/>
      <c r="AH365" s="12"/>
      <c r="AI365" s="14"/>
    </row>
    <row r="366" spans="3:40">
      <c r="C366" s="11"/>
      <c r="D366" s="12"/>
      <c r="E366" s="12"/>
      <c r="F366" s="12"/>
      <c r="G366" s="12"/>
      <c r="H366" s="12"/>
      <c r="I366" s="12"/>
      <c r="J366" s="180"/>
      <c r="K366" s="180"/>
      <c r="L366" s="180"/>
      <c r="M366" s="737"/>
      <c r="N366" s="737"/>
      <c r="O366" s="737"/>
      <c r="P366" s="12"/>
      <c r="Q366" s="13"/>
      <c r="R366" s="12"/>
      <c r="S366" s="315"/>
      <c r="T366" s="23"/>
      <c r="U366" s="23"/>
      <c r="V366" s="23"/>
      <c r="W366" s="12"/>
      <c r="X366" s="315"/>
      <c r="Y366" s="315"/>
      <c r="Z366" s="315"/>
      <c r="AA366" s="315"/>
      <c r="AB366" s="12"/>
      <c r="AC366" s="12"/>
      <c r="AD366" s="12"/>
      <c r="AE366" s="12"/>
      <c r="AF366" s="12"/>
      <c r="AG366" s="12"/>
      <c r="AH366" s="12"/>
      <c r="AI366" s="14"/>
    </row>
    <row r="367" spans="3:40">
      <c r="C367" s="11"/>
      <c r="D367" s="12"/>
      <c r="E367" s="12"/>
      <c r="F367" s="12"/>
      <c r="G367" s="12"/>
      <c r="H367" s="12" t="s">
        <v>8</v>
      </c>
      <c r="I367" s="738">
        <f>I364/I365</f>
        <v>1.8951612903225807</v>
      </c>
      <c r="J367" s="738"/>
      <c r="K367" s="738"/>
      <c r="L367" s="12" t="str">
        <f>IF(I367&lt;M367, "&lt;", "≧")</f>
        <v>&lt;</v>
      </c>
      <c r="M367" s="555">
        <f>K343</f>
        <v>3.14</v>
      </c>
      <c r="N367" s="555"/>
      <c r="O367" s="555"/>
      <c r="P367" s="12"/>
      <c r="Q367" s="12"/>
      <c r="R367" s="12"/>
      <c r="S367" s="12" t="str">
        <f>IF(L367="&lt;","よって、ヒービングの検討を省略する","よって、ヒービングの検討を行う。")</f>
        <v>よって、ヒービングの検討を省略する</v>
      </c>
      <c r="T367" s="12"/>
      <c r="U367" s="23"/>
      <c r="V367" s="23"/>
      <c r="W367" s="12"/>
      <c r="X367" s="315"/>
      <c r="Y367" s="315"/>
      <c r="Z367" s="315"/>
      <c r="AA367" s="315"/>
      <c r="AB367" s="12"/>
      <c r="AC367" s="12"/>
      <c r="AD367" s="12"/>
      <c r="AE367" s="12"/>
      <c r="AF367" s="12"/>
      <c r="AG367" s="12"/>
      <c r="AH367" s="12"/>
      <c r="AI367" s="14"/>
    </row>
    <row r="368" spans="3:40">
      <c r="C368" s="15"/>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8"/>
    </row>
    <row r="370" spans="2:35">
      <c r="B370" s="1" t="s">
        <v>345</v>
      </c>
      <c r="W370" t="s">
        <v>147</v>
      </c>
    </row>
    <row r="371" spans="2:35" s="205" customFormat="1">
      <c r="C371" s="262"/>
      <c r="D371" s="194"/>
      <c r="E371" s="194"/>
      <c r="F371" s="194"/>
      <c r="G371" s="194"/>
      <c r="H371" s="194"/>
      <c r="I371" s="194"/>
      <c r="J371" s="194"/>
      <c r="K371" s="194"/>
      <c r="L371" s="194"/>
      <c r="M371" s="194"/>
      <c r="N371" s="194"/>
      <c r="O371" s="194"/>
      <c r="P371" s="194"/>
      <c r="Q371" s="194"/>
      <c r="R371" s="194"/>
      <c r="S371" s="194"/>
      <c r="T371" s="194"/>
      <c r="U371" s="194"/>
      <c r="V371" s="194"/>
      <c r="W371" s="3"/>
      <c r="X371" s="194"/>
      <c r="Y371" s="194"/>
      <c r="Z371" s="194"/>
      <c r="AA371" s="194"/>
      <c r="AB371" s="194"/>
      <c r="AC371" s="194"/>
      <c r="AD371" s="194"/>
      <c r="AE371" s="194"/>
      <c r="AF371" s="194"/>
      <c r="AG371" s="194"/>
      <c r="AH371" s="194"/>
      <c r="AI371" s="263"/>
    </row>
    <row r="372" spans="2:35">
      <c r="C372" s="11"/>
      <c r="D372" s="33"/>
      <c r="E372" s="539" t="s">
        <v>346</v>
      </c>
      <c r="F372" s="539"/>
      <c r="G372" s="12" t="s">
        <v>8</v>
      </c>
      <c r="H372" s="467">
        <v>1.5</v>
      </c>
      <c r="I372" s="468"/>
      <c r="J372" s="469"/>
      <c r="K372" s="12" t="s">
        <v>9</v>
      </c>
      <c r="L372" s="30"/>
      <c r="M372" s="12"/>
      <c r="N372" s="12"/>
      <c r="O372" s="12"/>
      <c r="T372" s="12"/>
      <c r="U372" s="12"/>
      <c r="V372" s="12"/>
      <c r="W372" s="12"/>
      <c r="X372" s="12"/>
      <c r="Y372" s="12"/>
      <c r="Z372" s="12"/>
      <c r="AA372" s="12"/>
      <c r="AB372" s="12"/>
      <c r="AC372" s="12"/>
      <c r="AD372" s="12"/>
      <c r="AE372" s="12"/>
      <c r="AF372" s="12"/>
      <c r="AG372" s="12"/>
      <c r="AH372" s="12"/>
      <c r="AI372" s="14"/>
    </row>
    <row r="373" spans="2:35">
      <c r="C373" s="15"/>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8"/>
    </row>
    <row r="375" spans="2:35">
      <c r="B375" s="1" t="s">
        <v>347</v>
      </c>
      <c r="W375" t="s">
        <v>147</v>
      </c>
    </row>
    <row r="376" spans="2:35">
      <c r="C376" s="8" t="s">
        <v>348</v>
      </c>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10"/>
    </row>
    <row r="377" spans="2:35">
      <c r="C377" s="11"/>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4"/>
    </row>
    <row r="378" spans="2:35">
      <c r="C378" s="11"/>
      <c r="D378" s="12" t="s">
        <v>349</v>
      </c>
      <c r="E378" s="12"/>
      <c r="F378" s="12"/>
      <c r="G378" s="12"/>
      <c r="H378" s="12"/>
      <c r="I378" s="12"/>
      <c r="J378" s="12"/>
      <c r="K378" s="12"/>
      <c r="L378" s="12"/>
      <c r="M378" s="12"/>
      <c r="N378" s="12"/>
      <c r="O378" s="12"/>
      <c r="P378" s="12"/>
      <c r="Q378" s="12"/>
      <c r="R378" s="12"/>
      <c r="S378" s="12"/>
      <c r="T378" s="12"/>
      <c r="U378" s="12"/>
      <c r="V378" s="12"/>
      <c r="W378" s="12"/>
      <c r="X378" s="12"/>
      <c r="Y378" s="12" t="s">
        <v>350</v>
      </c>
      <c r="Z378" s="12"/>
      <c r="AA378" s="12" t="s">
        <v>8</v>
      </c>
      <c r="AB378" s="555">
        <f>J332</f>
        <v>0.36733815017400079</v>
      </c>
      <c r="AC378" s="555"/>
      <c r="AD378" s="555"/>
      <c r="AE378" s="12"/>
      <c r="AF378" s="12"/>
      <c r="AG378" s="12"/>
      <c r="AH378" s="12"/>
      <c r="AI378" s="14"/>
    </row>
    <row r="379" spans="2:35" ht="20.25">
      <c r="C379" s="11"/>
      <c r="D379" s="12" t="s">
        <v>351</v>
      </c>
      <c r="E379" s="12"/>
      <c r="F379" s="12"/>
      <c r="G379" s="12"/>
      <c r="H379" s="12"/>
      <c r="I379" s="12"/>
      <c r="J379" s="12"/>
      <c r="K379" s="12"/>
      <c r="L379" s="12"/>
      <c r="M379" s="12"/>
      <c r="N379" s="12"/>
      <c r="O379" s="12"/>
      <c r="P379" s="12"/>
      <c r="Q379" s="12"/>
      <c r="R379" s="12"/>
      <c r="S379" s="12"/>
      <c r="T379" s="12"/>
      <c r="U379" s="12"/>
      <c r="V379" s="12"/>
      <c r="W379" s="12"/>
      <c r="X379" s="12"/>
      <c r="Y379" s="12" t="s">
        <v>352</v>
      </c>
      <c r="Z379" s="12"/>
      <c r="AA379" s="12" t="s">
        <v>8</v>
      </c>
      <c r="AB379" s="555" t="s">
        <v>12</v>
      </c>
      <c r="AC379" s="555"/>
      <c r="AD379" s="555"/>
      <c r="AE379" s="12"/>
      <c r="AF379" s="539" t="str">
        <f>IF(AB379="-", "省略", AB379)</f>
        <v>省略</v>
      </c>
      <c r="AG379" s="539"/>
      <c r="AH379" s="12"/>
      <c r="AI379" s="14"/>
    </row>
    <row r="380" spans="2:35">
      <c r="C380" s="11"/>
      <c r="D380" s="12" t="s">
        <v>353</v>
      </c>
      <c r="E380" s="12"/>
      <c r="F380" s="12"/>
      <c r="G380" s="12"/>
      <c r="H380" s="12"/>
      <c r="I380" s="12"/>
      <c r="J380" s="12"/>
      <c r="K380" s="12"/>
      <c r="L380" s="12"/>
      <c r="M380" s="12"/>
      <c r="N380" s="12"/>
      <c r="O380" s="12"/>
      <c r="P380" s="12"/>
      <c r="Q380" s="12"/>
      <c r="Y380" s="12" t="s">
        <v>346</v>
      </c>
      <c r="Z380" s="12"/>
      <c r="AA380" s="12" t="s">
        <v>8</v>
      </c>
      <c r="AB380" s="555">
        <f>H372</f>
        <v>1.5</v>
      </c>
      <c r="AC380" s="555"/>
      <c r="AD380" s="555"/>
      <c r="AE380" s="12"/>
      <c r="AF380" s="12"/>
      <c r="AG380" s="12"/>
      <c r="AH380" s="12"/>
      <c r="AI380" s="14"/>
    </row>
    <row r="381" spans="2:35">
      <c r="C381" s="11"/>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4"/>
    </row>
    <row r="382" spans="2:35">
      <c r="C382" s="11" t="s">
        <v>262</v>
      </c>
      <c r="D382" s="12"/>
      <c r="E382" s="12"/>
      <c r="F382" s="12"/>
      <c r="G382" s="12"/>
      <c r="H382" s="12"/>
      <c r="I382" s="12"/>
      <c r="J382" s="12"/>
      <c r="K382" s="12"/>
      <c r="L382" s="12"/>
      <c r="M382" s="12" t="s">
        <v>315</v>
      </c>
      <c r="N382" s="12"/>
      <c r="O382" s="12"/>
      <c r="P382" s="12"/>
      <c r="Q382" s="12"/>
      <c r="R382" s="33" t="s">
        <v>354</v>
      </c>
      <c r="S382" s="12"/>
      <c r="T382" s="12" t="s">
        <v>8</v>
      </c>
      <c r="U382" s="551">
        <f>MAX(AB378:AD380)</f>
        <v>1.5</v>
      </c>
      <c r="V382" s="546"/>
      <c r="W382" s="547"/>
      <c r="X382" s="12" t="s">
        <v>9</v>
      </c>
      <c r="Y382" s="12"/>
      <c r="Z382" s="12"/>
      <c r="AA382" s="12"/>
      <c r="AB382" s="12"/>
      <c r="AC382" s="12"/>
      <c r="AD382" s="12"/>
      <c r="AE382" s="12"/>
      <c r="AF382" s="12"/>
      <c r="AG382" s="12"/>
      <c r="AH382" s="12"/>
      <c r="AI382" s="14"/>
    </row>
    <row r="383" spans="2:35">
      <c r="C383" s="15"/>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8"/>
    </row>
    <row r="385" spans="2:35">
      <c r="B385" s="1" t="s">
        <v>355</v>
      </c>
      <c r="W385"/>
    </row>
    <row r="386" spans="2:35">
      <c r="C386" s="8" t="s">
        <v>356</v>
      </c>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10"/>
    </row>
    <row r="387" spans="2:35">
      <c r="C387" s="11"/>
      <c r="D387" s="33" t="s">
        <v>132</v>
      </c>
      <c r="E387" s="12" t="s">
        <v>8</v>
      </c>
      <c r="F387" s="371" t="s">
        <v>7</v>
      </c>
      <c r="G387" s="371"/>
      <c r="H387" s="371"/>
      <c r="I387" s="12" t="s">
        <v>213</v>
      </c>
      <c r="J387" s="742" t="s">
        <v>354</v>
      </c>
      <c r="K387" s="742"/>
      <c r="L387" s="74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4"/>
    </row>
    <row r="388" spans="2:35">
      <c r="C388" s="11"/>
      <c r="D388" s="33"/>
      <c r="E388" s="12" t="s">
        <v>8</v>
      </c>
      <c r="F388" s="539">
        <f>'1.設計条件'!R10</f>
        <v>6.5</v>
      </c>
      <c r="G388" s="539"/>
      <c r="H388" s="539"/>
      <c r="I388" s="12" t="s">
        <v>213</v>
      </c>
      <c r="J388" s="555">
        <f>U382</f>
        <v>1.5</v>
      </c>
      <c r="K388" s="555"/>
      <c r="L388" s="555"/>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4"/>
    </row>
    <row r="389" spans="2:35">
      <c r="C389" s="11"/>
      <c r="D389" s="12"/>
      <c r="E389" s="12" t="s">
        <v>8</v>
      </c>
      <c r="F389" s="555">
        <f>F388+J388</f>
        <v>8</v>
      </c>
      <c r="G389" s="555"/>
      <c r="H389" s="555"/>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4"/>
    </row>
    <row r="390" spans="2:35">
      <c r="C390" s="11"/>
      <c r="D390" s="12"/>
      <c r="E390" s="12" t="s">
        <v>357</v>
      </c>
      <c r="F390" s="733">
        <f>ROUNDUP(F389/0.5, 0) * 0.5</f>
        <v>8</v>
      </c>
      <c r="G390" s="734"/>
      <c r="H390" s="735"/>
      <c r="I390" s="12" t="s">
        <v>9</v>
      </c>
      <c r="J390" s="12"/>
      <c r="K390" s="12"/>
      <c r="L390" s="12" t="s">
        <v>358</v>
      </c>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4"/>
    </row>
    <row r="391" spans="2:35">
      <c r="C391" s="11"/>
      <c r="D391" s="12"/>
      <c r="E391" s="12"/>
      <c r="F391" s="12"/>
      <c r="G391" s="12"/>
      <c r="H391" s="12"/>
      <c r="I391" s="12"/>
      <c r="J391" s="12"/>
      <c r="K391" s="12"/>
      <c r="L391" s="12" t="s">
        <v>359</v>
      </c>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4"/>
    </row>
    <row r="392" spans="2:35">
      <c r="C392" s="11"/>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4"/>
    </row>
    <row r="393" spans="2:35">
      <c r="C393" s="11"/>
      <c r="D393" s="12"/>
      <c r="F393" s="12"/>
      <c r="G393" s="12"/>
      <c r="H393" s="12"/>
      <c r="I393" s="12"/>
      <c r="J393" s="12"/>
      <c r="K393" s="12" t="s">
        <v>360</v>
      </c>
      <c r="L393" s="12"/>
      <c r="N393" s="12"/>
      <c r="O393" s="12"/>
      <c r="P393" s="12"/>
      <c r="Q393" s="12"/>
      <c r="S393" t="s">
        <v>361</v>
      </c>
      <c r="T393" s="12"/>
      <c r="U393" s="12"/>
      <c r="V393" s="12"/>
      <c r="W393" s="12"/>
      <c r="X393" s="12" t="s">
        <v>362</v>
      </c>
      <c r="Y393" s="12"/>
      <c r="Z393" s="12"/>
      <c r="AA393" s="12"/>
      <c r="AB393" s="12"/>
      <c r="AC393" s="12"/>
      <c r="AD393" s="12"/>
      <c r="AE393" s="12"/>
      <c r="AF393" s="12"/>
      <c r="AG393" s="12"/>
      <c r="AH393" s="12"/>
      <c r="AI393" s="14"/>
    </row>
    <row r="394" spans="2:35">
      <c r="C394" s="11"/>
      <c r="D394" s="12"/>
      <c r="E394" s="12"/>
      <c r="F394" s="12"/>
      <c r="G394" s="12"/>
      <c r="H394" s="12"/>
      <c r="I394" s="12"/>
      <c r="J394" s="14"/>
      <c r="K394" s="527" t="s">
        <v>363</v>
      </c>
      <c r="L394" s="534"/>
      <c r="M394" s="534"/>
      <c r="N394" s="534"/>
      <c r="O394" s="534"/>
      <c r="P394" s="534"/>
      <c r="Q394" s="534"/>
      <c r="R394" s="534"/>
      <c r="S394" s="534" t="s">
        <v>364</v>
      </c>
      <c r="T394" s="534"/>
      <c r="U394" s="534"/>
      <c r="V394" s="534"/>
      <c r="W394" s="534"/>
      <c r="X394" s="534"/>
      <c r="Y394" s="534" t="s">
        <v>365</v>
      </c>
      <c r="Z394" s="534"/>
      <c r="AA394" s="534"/>
      <c r="AB394" s="12"/>
      <c r="AC394" s="12"/>
      <c r="AD394" s="12"/>
      <c r="AE394" s="12"/>
      <c r="AF394" s="12"/>
      <c r="AG394" s="12"/>
      <c r="AH394" s="12"/>
      <c r="AI394" s="14"/>
    </row>
    <row r="395" spans="2:35">
      <c r="C395" s="11"/>
      <c r="D395" s="12"/>
      <c r="E395" s="12"/>
      <c r="F395" s="31"/>
      <c r="G395" s="31"/>
      <c r="H395" s="31"/>
      <c r="I395" s="31"/>
      <c r="J395" s="44" t="str">
        <f>IF('1.設計条件'!T$32='2.根入れ長'!K395,1,"")</f>
        <v/>
      </c>
      <c r="K395" s="527" t="s">
        <v>366</v>
      </c>
      <c r="L395" s="534"/>
      <c r="M395" s="534"/>
      <c r="N395" s="534"/>
      <c r="O395" s="534"/>
      <c r="P395" s="534"/>
      <c r="Q395" s="534"/>
      <c r="R395" s="534"/>
      <c r="S395" s="415">
        <v>4</v>
      </c>
      <c r="T395" s="416"/>
      <c r="U395" s="526" t="s">
        <v>367</v>
      </c>
      <c r="V395" s="526"/>
      <c r="W395" s="416">
        <v>8</v>
      </c>
      <c r="X395" s="417"/>
      <c r="Y395" s="700">
        <v>4</v>
      </c>
      <c r="Z395" s="700"/>
      <c r="AA395" s="700"/>
      <c r="AC395" s="12"/>
      <c r="AD395" s="12"/>
      <c r="AE395" s="12"/>
      <c r="AF395" s="12"/>
      <c r="AG395" s="12"/>
      <c r="AH395" s="12"/>
      <c r="AI395" s="14"/>
    </row>
    <row r="396" spans="2:35">
      <c r="C396" s="11"/>
      <c r="D396" s="12"/>
      <c r="E396" s="12"/>
      <c r="F396" s="31"/>
      <c r="G396" s="31"/>
      <c r="H396" s="31"/>
      <c r="I396" s="31"/>
      <c r="J396" s="44" t="str">
        <f>IF('1.設計条件'!T$32='2.根入れ長'!K396,1,"")</f>
        <v/>
      </c>
      <c r="K396" s="527" t="s">
        <v>368</v>
      </c>
      <c r="L396" s="534"/>
      <c r="M396" s="534"/>
      <c r="N396" s="534"/>
      <c r="O396" s="534"/>
      <c r="P396" s="534"/>
      <c r="Q396" s="534"/>
      <c r="R396" s="534"/>
      <c r="S396" s="415">
        <v>6</v>
      </c>
      <c r="T396" s="416"/>
      <c r="U396" s="526" t="s">
        <v>367</v>
      </c>
      <c r="V396" s="526"/>
      <c r="W396" s="416">
        <v>12</v>
      </c>
      <c r="X396" s="417"/>
      <c r="Y396" s="700">
        <v>4</v>
      </c>
      <c r="Z396" s="700"/>
      <c r="AA396" s="700"/>
      <c r="AC396" s="12"/>
      <c r="AD396" s="12"/>
      <c r="AE396" s="12"/>
      <c r="AF396" s="12"/>
      <c r="AG396" s="12"/>
      <c r="AH396" s="12"/>
      <c r="AI396" s="14"/>
    </row>
    <row r="397" spans="2:35">
      <c r="C397" s="11"/>
      <c r="D397" s="12"/>
      <c r="E397" s="12"/>
      <c r="F397" s="31"/>
      <c r="G397" s="31"/>
      <c r="H397" s="31"/>
      <c r="I397" s="31"/>
      <c r="J397" s="44">
        <f>IF('1.設計条件'!T$32='2.根入れ長'!K397,1,"")</f>
        <v>1</v>
      </c>
      <c r="K397" s="527" t="s">
        <v>369</v>
      </c>
      <c r="L397" s="534"/>
      <c r="M397" s="534"/>
      <c r="N397" s="534"/>
      <c r="O397" s="534"/>
      <c r="P397" s="534"/>
      <c r="Q397" s="534"/>
      <c r="R397" s="534"/>
      <c r="S397" s="415">
        <v>8</v>
      </c>
      <c r="T397" s="416"/>
      <c r="U397" s="526" t="s">
        <v>367</v>
      </c>
      <c r="V397" s="526"/>
      <c r="W397" s="416">
        <v>16</v>
      </c>
      <c r="X397" s="417"/>
      <c r="Y397" s="700">
        <v>5</v>
      </c>
      <c r="Z397" s="700"/>
      <c r="AA397" s="700"/>
      <c r="AC397" s="12"/>
      <c r="AD397" s="12"/>
      <c r="AE397" s="12"/>
      <c r="AF397" s="12"/>
      <c r="AG397" s="12"/>
      <c r="AH397" s="12"/>
      <c r="AI397" s="14"/>
    </row>
    <row r="398" spans="2:35">
      <c r="C398" s="11"/>
      <c r="D398" s="12"/>
      <c r="E398" s="12"/>
      <c r="F398" s="31"/>
      <c r="G398" s="31"/>
      <c r="H398" s="31"/>
      <c r="I398" s="31"/>
      <c r="J398" s="44" t="str">
        <f>IF('1.設計条件'!T$32='2.根入れ長'!K398,1,"")</f>
        <v/>
      </c>
      <c r="K398" s="525" t="s">
        <v>370</v>
      </c>
      <c r="L398" s="526"/>
      <c r="M398" s="526"/>
      <c r="N398" s="526"/>
      <c r="O398" s="526"/>
      <c r="P398" s="526"/>
      <c r="Q398" s="526"/>
      <c r="R398" s="527"/>
      <c r="S398" s="415">
        <v>10</v>
      </c>
      <c r="T398" s="416"/>
      <c r="U398" s="526" t="s">
        <v>367</v>
      </c>
      <c r="V398" s="526"/>
      <c r="W398" s="416">
        <v>18</v>
      </c>
      <c r="X398" s="417"/>
      <c r="Y398" s="415">
        <v>6</v>
      </c>
      <c r="Z398" s="416"/>
      <c r="AA398" s="417"/>
      <c r="AC398" s="12"/>
      <c r="AD398" s="12"/>
      <c r="AE398" s="12"/>
      <c r="AF398" s="12"/>
      <c r="AG398" s="12"/>
      <c r="AH398" s="12"/>
      <c r="AI398" s="14"/>
    </row>
    <row r="399" spans="2:35">
      <c r="C399" s="11"/>
      <c r="D399" s="12"/>
      <c r="E399" s="12"/>
      <c r="F399" s="31"/>
      <c r="G399" s="31"/>
      <c r="H399" s="31"/>
      <c r="I399" s="31"/>
      <c r="J399" s="44" t="str">
        <f>IF('1.設計条件'!T$32='2.根入れ長'!K399,1,"")</f>
        <v/>
      </c>
      <c r="K399" s="525" t="s">
        <v>371</v>
      </c>
      <c r="L399" s="526"/>
      <c r="M399" s="526"/>
      <c r="N399" s="526"/>
      <c r="O399" s="526"/>
      <c r="P399" s="526"/>
      <c r="Q399" s="526"/>
      <c r="R399" s="527"/>
      <c r="S399" s="415">
        <v>10</v>
      </c>
      <c r="T399" s="416"/>
      <c r="U399" s="526" t="s">
        <v>367</v>
      </c>
      <c r="V399" s="526"/>
      <c r="W399" s="416">
        <v>18</v>
      </c>
      <c r="X399" s="417"/>
      <c r="Y399" s="415">
        <v>6</v>
      </c>
      <c r="Z399" s="416"/>
      <c r="AA399" s="417"/>
      <c r="AC399" s="12"/>
      <c r="AD399" s="12"/>
      <c r="AE399" s="12"/>
      <c r="AF399" s="12"/>
      <c r="AG399" s="12"/>
      <c r="AH399" s="12"/>
      <c r="AI399" s="14"/>
    </row>
    <row r="400" spans="2:35">
      <c r="C400" s="11"/>
      <c r="D400" s="12"/>
      <c r="E400" s="12"/>
      <c r="F400" s="27"/>
      <c r="G400" s="27"/>
      <c r="H400" s="27"/>
      <c r="I400" s="27"/>
      <c r="J400" s="27"/>
      <c r="K400" s="42"/>
      <c r="L400" s="42"/>
      <c r="M400" s="42"/>
      <c r="N400" s="42"/>
      <c r="O400" s="42"/>
      <c r="P400" s="42"/>
      <c r="Q400" s="42"/>
      <c r="R400" s="42"/>
      <c r="S400" s="43"/>
      <c r="T400" s="43"/>
      <c r="U400" s="42"/>
      <c r="V400" s="42"/>
      <c r="W400" s="43"/>
      <c r="X400" s="43"/>
      <c r="Y400" s="43"/>
      <c r="Z400" s="43"/>
      <c r="AA400" s="43"/>
      <c r="AB400" s="12"/>
      <c r="AC400" s="12"/>
      <c r="AD400" s="12"/>
      <c r="AE400" s="12"/>
      <c r="AF400" s="12"/>
      <c r="AG400" s="12"/>
      <c r="AH400" s="12"/>
      <c r="AI400" s="14"/>
    </row>
    <row r="401" spans="3:35">
      <c r="C401" s="11"/>
      <c r="D401" s="12"/>
      <c r="E401" s="12" t="s">
        <v>372</v>
      </c>
      <c r="F401" s="27"/>
      <c r="G401" s="27"/>
      <c r="H401" s="27"/>
      <c r="I401" s="27"/>
      <c r="J401" s="27"/>
      <c r="K401" s="13"/>
      <c r="L401" s="13"/>
      <c r="M401" s="13"/>
      <c r="N401" s="13"/>
      <c r="O401" s="13"/>
      <c r="P401" s="13"/>
      <c r="Q401" s="13"/>
      <c r="R401" s="13"/>
      <c r="S401" s="26"/>
      <c r="T401" s="26"/>
      <c r="U401" s="13"/>
      <c r="V401" s="13"/>
      <c r="W401" s="26"/>
      <c r="X401" s="26"/>
      <c r="Y401" s="26"/>
      <c r="Z401" s="26"/>
      <c r="AA401" s="26"/>
      <c r="AB401" s="12"/>
      <c r="AC401" s="12"/>
      <c r="AD401" s="12"/>
      <c r="AE401" s="12"/>
      <c r="AF401" s="12"/>
      <c r="AG401" s="12"/>
      <c r="AH401" s="12"/>
      <c r="AI401" s="14"/>
    </row>
    <row r="402" spans="3:35">
      <c r="C402" s="11"/>
      <c r="D402" s="12"/>
      <c r="E402" s="12"/>
      <c r="F402" s="541">
        <f>VLOOKUP(1,J395:AA399,10)</f>
        <v>8</v>
      </c>
      <c r="G402" s="541"/>
      <c r="H402" s="541" t="s">
        <v>367</v>
      </c>
      <c r="I402" s="541"/>
      <c r="J402" s="541">
        <f>VLOOKUP(1,J395:AA399,14)</f>
        <v>16</v>
      </c>
      <c r="K402" s="541"/>
      <c r="L402" s="13" t="s">
        <v>9</v>
      </c>
      <c r="M402" s="13"/>
      <c r="N402" s="525" t="str">
        <f>IF(AND(F390&gt;=F402,F390&lt;=J402),"OK","NG")</f>
        <v>OK</v>
      </c>
      <c r="O402" s="527"/>
      <c r="P402" s="13"/>
      <c r="Q402" s="13"/>
      <c r="R402" s="13"/>
      <c r="S402" s="26"/>
      <c r="T402" s="26"/>
      <c r="U402" s="13"/>
      <c r="V402" s="13"/>
      <c r="W402" s="26"/>
      <c r="X402" s="26"/>
      <c r="Y402" s="26"/>
      <c r="Z402" s="26"/>
      <c r="AA402" s="26"/>
      <c r="AB402" s="12"/>
      <c r="AC402" s="12"/>
      <c r="AD402" s="12"/>
      <c r="AE402" s="12"/>
      <c r="AF402" s="12"/>
      <c r="AG402" s="12"/>
      <c r="AH402" s="12"/>
      <c r="AI402" s="14"/>
    </row>
    <row r="403" spans="3:35">
      <c r="C403" s="11"/>
      <c r="D403" s="12"/>
      <c r="E403" s="12" t="s">
        <v>365</v>
      </c>
      <c r="F403" s="27"/>
      <c r="G403" s="27"/>
      <c r="H403" s="27"/>
      <c r="I403" s="27"/>
      <c r="J403" s="27"/>
      <c r="K403" s="27"/>
      <c r="L403" s="13"/>
      <c r="M403" s="13"/>
      <c r="N403" s="13"/>
      <c r="O403" s="13"/>
      <c r="P403" s="13"/>
      <c r="Q403" s="13"/>
      <c r="R403" s="13"/>
      <c r="S403" s="26"/>
      <c r="T403" s="26"/>
      <c r="U403" s="13"/>
      <c r="V403" s="13"/>
      <c r="W403" s="26"/>
      <c r="X403" s="26"/>
      <c r="Y403" s="26"/>
      <c r="Z403" s="26"/>
      <c r="AA403" s="26"/>
      <c r="AB403" s="12"/>
      <c r="AC403" s="12"/>
      <c r="AD403" s="12"/>
      <c r="AE403" s="12"/>
      <c r="AF403" s="12"/>
      <c r="AG403" s="12"/>
      <c r="AH403" s="12"/>
      <c r="AI403" s="14"/>
    </row>
    <row r="404" spans="3:35">
      <c r="C404" s="11"/>
      <c r="D404" s="12"/>
      <c r="E404" s="12"/>
      <c r="F404" s="541">
        <f>VLOOKUP(1,J395:AA399,16)</f>
        <v>5</v>
      </c>
      <c r="G404" s="541"/>
      <c r="H404" s="27" t="s">
        <v>9</v>
      </c>
      <c r="I404" s="27"/>
      <c r="J404" s="27"/>
      <c r="K404" s="13"/>
      <c r="L404" s="13"/>
      <c r="M404" s="13"/>
      <c r="N404" s="525" t="str">
        <f>IF(F390&gt;=F404,"OK","NG")</f>
        <v>OK</v>
      </c>
      <c r="O404" s="527"/>
      <c r="P404" s="13"/>
      <c r="Q404" s="13"/>
      <c r="R404" s="13"/>
      <c r="S404" s="26"/>
      <c r="T404" s="26"/>
      <c r="U404" s="13"/>
      <c r="V404" s="13"/>
      <c r="W404" s="26"/>
      <c r="X404" s="26"/>
      <c r="Y404" s="26"/>
      <c r="Z404" s="26"/>
      <c r="AA404" s="26"/>
      <c r="AB404" s="12"/>
      <c r="AC404" s="12"/>
      <c r="AD404" s="12"/>
      <c r="AE404" s="12"/>
      <c r="AF404" s="12"/>
      <c r="AG404" s="12"/>
      <c r="AH404" s="12"/>
      <c r="AI404" s="14"/>
    </row>
    <row r="405" spans="3:35">
      <c r="C405" s="15"/>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8"/>
    </row>
  </sheetData>
  <sheetProtection sheet="1" objects="1" scenarios="1"/>
  <mergeCells count="1143">
    <mergeCell ref="L54:M54"/>
    <mergeCell ref="U206:V207"/>
    <mergeCell ref="L176:N176"/>
    <mergeCell ref="L177:N177"/>
    <mergeCell ref="L178:N178"/>
    <mergeCell ref="L179:N180"/>
    <mergeCell ref="L181:N182"/>
    <mergeCell ref="L183:N184"/>
    <mergeCell ref="L185:N186"/>
    <mergeCell ref="L187:N188"/>
    <mergeCell ref="V179:W180"/>
    <mergeCell ref="V181:W182"/>
    <mergeCell ref="V183:W184"/>
    <mergeCell ref="V185:W186"/>
    <mergeCell ref="V187:W188"/>
    <mergeCell ref="V176:W176"/>
    <mergeCell ref="V177:W177"/>
    <mergeCell ref="V178:W178"/>
    <mergeCell ref="T176:U176"/>
    <mergeCell ref="T177:U177"/>
    <mergeCell ref="T178:U178"/>
    <mergeCell ref="T179:U180"/>
    <mergeCell ref="T181:U182"/>
    <mergeCell ref="T183:U184"/>
    <mergeCell ref="T185:U186"/>
    <mergeCell ref="I362:J362"/>
    <mergeCell ref="G220:I220"/>
    <mergeCell ref="L220:M220"/>
    <mergeCell ref="N220:O220"/>
    <mergeCell ref="P220:S220"/>
    <mergeCell ref="F217:G217"/>
    <mergeCell ref="F252:G252"/>
    <mergeCell ref="L251:M251"/>
    <mergeCell ref="H251:J251"/>
    <mergeCell ref="Z217:AB217"/>
    <mergeCell ref="H269:AA269"/>
    <mergeCell ref="H270:AA270"/>
    <mergeCell ref="N353:Q353"/>
    <mergeCell ref="R353:U353"/>
    <mergeCell ref="V353:Y353"/>
    <mergeCell ref="K287:M287"/>
    <mergeCell ref="I305:K305"/>
    <mergeCell ref="M305:O305"/>
    <mergeCell ref="AA245:AC245"/>
    <mergeCell ref="AA246:AC246"/>
    <mergeCell ref="Z358:AC358"/>
    <mergeCell ref="R357:U357"/>
    <mergeCell ref="H216:I217"/>
    <mergeCell ref="J216:K217"/>
    <mergeCell ref="L216:M217"/>
    <mergeCell ref="T216:V216"/>
    <mergeCell ref="N216:P216"/>
    <mergeCell ref="D328:K328"/>
    <mergeCell ref="D329:K329"/>
    <mergeCell ref="D219:F219"/>
    <mergeCell ref="G219:I219"/>
    <mergeCell ref="K219:M219"/>
    <mergeCell ref="F389:H389"/>
    <mergeCell ref="E372:F372"/>
    <mergeCell ref="H372:J372"/>
    <mergeCell ref="AB379:AD379"/>
    <mergeCell ref="AA251:AC251"/>
    <mergeCell ref="AA252:AC252"/>
    <mergeCell ref="U257:AH257"/>
    <mergeCell ref="D258:E259"/>
    <mergeCell ref="F258:G258"/>
    <mergeCell ref="H258:I258"/>
    <mergeCell ref="K258:L258"/>
    <mergeCell ref="N258:O258"/>
    <mergeCell ref="U258:W258"/>
    <mergeCell ref="AA258:AC258"/>
    <mergeCell ref="AF258:AH258"/>
    <mergeCell ref="F259:G259"/>
    <mergeCell ref="M307:O307"/>
    <mergeCell ref="Y307:AA307"/>
    <mergeCell ref="AD307:AF307"/>
    <mergeCell ref="AD304:AF304"/>
    <mergeCell ref="AD305:AF305"/>
    <mergeCell ref="M312:O312"/>
    <mergeCell ref="M308:O308"/>
    <mergeCell ref="Y308:AA308"/>
    <mergeCell ref="AD308:AF308"/>
    <mergeCell ref="L353:M353"/>
    <mergeCell ref="Y305:AA305"/>
    <mergeCell ref="I290:K290"/>
    <mergeCell ref="D264:E265"/>
    <mergeCell ref="AF379:AG379"/>
    <mergeCell ref="L327:O327"/>
    <mergeCell ref="J387:L387"/>
    <mergeCell ref="N272:P272"/>
    <mergeCell ref="T272:V272"/>
    <mergeCell ref="Y272:AA272"/>
    <mergeCell ref="I252:J252"/>
    <mergeCell ref="K246:L246"/>
    <mergeCell ref="H246:I246"/>
    <mergeCell ref="U246:W246"/>
    <mergeCell ref="F279:G279"/>
    <mergeCell ref="T279:V279"/>
    <mergeCell ref="N279:P279"/>
    <mergeCell ref="U252:W252"/>
    <mergeCell ref="U251:W251"/>
    <mergeCell ref="H261:T261"/>
    <mergeCell ref="F280:G280"/>
    <mergeCell ref="F271:G271"/>
    <mergeCell ref="H271:J271"/>
    <mergeCell ref="N271:P271"/>
    <mergeCell ref="F272:G272"/>
    <mergeCell ref="H272:J272"/>
    <mergeCell ref="F251:G251"/>
    <mergeCell ref="K252:L252"/>
    <mergeCell ref="N264:O264"/>
    <mergeCell ref="U264:W264"/>
    <mergeCell ref="U259:W259"/>
    <mergeCell ref="J388:L388"/>
    <mergeCell ref="AB380:AD380"/>
    <mergeCell ref="F390:H390"/>
    <mergeCell ref="E287:G287"/>
    <mergeCell ref="D251:E252"/>
    <mergeCell ref="H255:T255"/>
    <mergeCell ref="U255:AH255"/>
    <mergeCell ref="F388:H388"/>
    <mergeCell ref="AB378:AD378"/>
    <mergeCell ref="N259:O259"/>
    <mergeCell ref="O362:P362"/>
    <mergeCell ref="J355:K355"/>
    <mergeCell ref="L355:M355"/>
    <mergeCell ref="N355:Q355"/>
    <mergeCell ref="R355:U355"/>
    <mergeCell ref="V355:Y355"/>
    <mergeCell ref="Z355:AC355"/>
    <mergeCell ref="V357:Y357"/>
    <mergeCell ref="M366:O366"/>
    <mergeCell ref="I367:K367"/>
    <mergeCell ref="D271:E272"/>
    <mergeCell ref="M367:O367"/>
    <mergeCell ref="J358:K358"/>
    <mergeCell ref="L358:M358"/>
    <mergeCell ref="Q358:T358"/>
    <mergeCell ref="F387:H387"/>
    <mergeCell ref="U382:W382"/>
    <mergeCell ref="U263:AH263"/>
    <mergeCell ref="H276:AA276"/>
    <mergeCell ref="H277:AA277"/>
    <mergeCell ref="H278:AA278"/>
    <mergeCell ref="H86:I86"/>
    <mergeCell ref="D58:E59"/>
    <mergeCell ref="H101:I101"/>
    <mergeCell ref="F58:G58"/>
    <mergeCell ref="K398:R398"/>
    <mergeCell ref="S398:T398"/>
    <mergeCell ref="U398:V398"/>
    <mergeCell ref="W398:X398"/>
    <mergeCell ref="Y398:AA398"/>
    <mergeCell ref="W396:X396"/>
    <mergeCell ref="H256:T256"/>
    <mergeCell ref="U256:AH256"/>
    <mergeCell ref="P252:R252"/>
    <mergeCell ref="H215:I215"/>
    <mergeCell ref="J215:K215"/>
    <mergeCell ref="L215:M215"/>
    <mergeCell ref="T215:V215"/>
    <mergeCell ref="N215:S215"/>
    <mergeCell ref="W215:AB215"/>
    <mergeCell ref="K394:R394"/>
    <mergeCell ref="K395:R395"/>
    <mergeCell ref="L328:O328"/>
    <mergeCell ref="L329:O329"/>
    <mergeCell ref="P327:V327"/>
    <mergeCell ref="S394:X394"/>
    <mergeCell ref="Y394:AA394"/>
    <mergeCell ref="W216:Y216"/>
    <mergeCell ref="Z216:AB216"/>
    <mergeCell ref="T217:V217"/>
    <mergeCell ref="N217:P217"/>
    <mergeCell ref="Q217:S217"/>
    <mergeCell ref="W217:Y217"/>
    <mergeCell ref="D121:G121"/>
    <mergeCell ref="F127:G127"/>
    <mergeCell ref="M150:O150"/>
    <mergeCell ref="H110:I110"/>
    <mergeCell ref="D179:E180"/>
    <mergeCell ref="F179:G179"/>
    <mergeCell ref="H179:I180"/>
    <mergeCell ref="J179:K180"/>
    <mergeCell ref="O179:P180"/>
    <mergeCell ref="Q179:S179"/>
    <mergeCell ref="Z59:AB59"/>
    <mergeCell ref="U84:AH84"/>
    <mergeCell ref="AA94:AC94"/>
    <mergeCell ref="K95:L95"/>
    <mergeCell ref="U95:W95"/>
    <mergeCell ref="AA95:AC95"/>
    <mergeCell ref="H93:I93"/>
    <mergeCell ref="K93:L93"/>
    <mergeCell ref="U93:W93"/>
    <mergeCell ref="AA93:AC93"/>
    <mergeCell ref="AF93:AH93"/>
    <mergeCell ref="H94:I94"/>
    <mergeCell ref="K94:L94"/>
    <mergeCell ref="U94:W94"/>
    <mergeCell ref="AF94:AH94"/>
    <mergeCell ref="AF95:AH95"/>
    <mergeCell ref="F128:G128"/>
    <mergeCell ref="F95:G95"/>
    <mergeCell ref="D93:E93"/>
    <mergeCell ref="D94:E95"/>
    <mergeCell ref="X177:Z177"/>
    <mergeCell ref="AA177:AC177"/>
    <mergeCell ref="P62:S62"/>
    <mergeCell ref="F57:G57"/>
    <mergeCell ref="F59:G59"/>
    <mergeCell ref="F85:G85"/>
    <mergeCell ref="F86:G86"/>
    <mergeCell ref="J54:K54"/>
    <mergeCell ref="D101:E102"/>
    <mergeCell ref="H85:I85"/>
    <mergeCell ref="F87:G87"/>
    <mergeCell ref="H116:AA116"/>
    <mergeCell ref="AA104:AC104"/>
    <mergeCell ref="M159:O159"/>
    <mergeCell ref="I160:K160"/>
    <mergeCell ref="M160:O160"/>
    <mergeCell ref="I161:K161"/>
    <mergeCell ref="I139:K139"/>
    <mergeCell ref="I141:K141"/>
    <mergeCell ref="Y141:AA141"/>
    <mergeCell ref="I142:K142"/>
    <mergeCell ref="I145:K145"/>
    <mergeCell ref="M145:O145"/>
    <mergeCell ref="Y145:AA145"/>
    <mergeCell ref="I146:K146"/>
    <mergeCell ref="M146:O146"/>
    <mergeCell ref="Y146:AA146"/>
    <mergeCell ref="N119:P119"/>
    <mergeCell ref="T119:V119"/>
    <mergeCell ref="Y119:AA119"/>
    <mergeCell ref="T120:V120"/>
    <mergeCell ref="Y120:AA120"/>
    <mergeCell ref="H119:J119"/>
    <mergeCell ref="T130:V130"/>
    <mergeCell ref="D50:F50"/>
    <mergeCell ref="G50:I50"/>
    <mergeCell ref="U43:V44"/>
    <mergeCell ref="U45:V46"/>
    <mergeCell ref="D43:E44"/>
    <mergeCell ref="F43:G43"/>
    <mergeCell ref="H43:I44"/>
    <mergeCell ref="L43:O44"/>
    <mergeCell ref="AC41:AH41"/>
    <mergeCell ref="AF43:AH43"/>
    <mergeCell ref="AF44:AH44"/>
    <mergeCell ref="AC45:AE45"/>
    <mergeCell ref="D20:E21"/>
    <mergeCell ref="F20:G20"/>
    <mergeCell ref="F88:G88"/>
    <mergeCell ref="F93:G93"/>
    <mergeCell ref="F94:G94"/>
    <mergeCell ref="H55:I55"/>
    <mergeCell ref="J55:K55"/>
    <mergeCell ref="L55:M55"/>
    <mergeCell ref="T55:V55"/>
    <mergeCell ref="Q59:S59"/>
    <mergeCell ref="D62:F62"/>
    <mergeCell ref="G62:I62"/>
    <mergeCell ref="L62:M62"/>
    <mergeCell ref="N62:O62"/>
    <mergeCell ref="D63:F63"/>
    <mergeCell ref="G63:I63"/>
    <mergeCell ref="J63:K63"/>
    <mergeCell ref="L63:Q63"/>
    <mergeCell ref="G61:I61"/>
    <mergeCell ref="K61:M61"/>
    <mergeCell ref="Z40:AB40"/>
    <mergeCell ref="Z45:AB45"/>
    <mergeCell ref="H42:I42"/>
    <mergeCell ref="X21:Z21"/>
    <mergeCell ref="AA21:AC21"/>
    <mergeCell ref="J42:K42"/>
    <mergeCell ref="H40:I40"/>
    <mergeCell ref="J40:K40"/>
    <mergeCell ref="J45:K46"/>
    <mergeCell ref="P45:Q46"/>
    <mergeCell ref="R45:T45"/>
    <mergeCell ref="W45:Y46"/>
    <mergeCell ref="N53:S53"/>
    <mergeCell ref="J43:K44"/>
    <mergeCell ref="P43:Q44"/>
    <mergeCell ref="R43:T43"/>
    <mergeCell ref="W43:Y44"/>
    <mergeCell ref="N49:O49"/>
    <mergeCell ref="Q49:S49"/>
    <mergeCell ref="L50:Q50"/>
    <mergeCell ref="H53:I53"/>
    <mergeCell ref="J53:K53"/>
    <mergeCell ref="U40:V40"/>
    <mergeCell ref="U41:V41"/>
    <mergeCell ref="U42:V42"/>
    <mergeCell ref="W41:Y41"/>
    <mergeCell ref="Y127:AA127"/>
    <mergeCell ref="H120:J120"/>
    <mergeCell ref="Y150:AA150"/>
    <mergeCell ref="I154:K154"/>
    <mergeCell ref="M154:O154"/>
    <mergeCell ref="N118:P118"/>
    <mergeCell ref="J164:L164"/>
    <mergeCell ref="AA167:AB167"/>
    <mergeCell ref="I153:K153"/>
    <mergeCell ref="H20:I21"/>
    <mergeCell ref="J20:K21"/>
    <mergeCell ref="O20:P21"/>
    <mergeCell ref="N54:S54"/>
    <mergeCell ref="N55:S55"/>
    <mergeCell ref="N56:P56"/>
    <mergeCell ref="N57:P57"/>
    <mergeCell ref="N58:P58"/>
    <mergeCell ref="N59:P59"/>
    <mergeCell ref="H56:I57"/>
    <mergeCell ref="J56:K57"/>
    <mergeCell ref="L56:M57"/>
    <mergeCell ref="Q56:S56"/>
    <mergeCell ref="T56:V56"/>
    <mergeCell ref="H22:I23"/>
    <mergeCell ref="X22:Z22"/>
    <mergeCell ref="O22:P23"/>
    <mergeCell ref="X20:Z20"/>
    <mergeCell ref="Q35:S35"/>
    <mergeCell ref="Q36:S36"/>
    <mergeCell ref="J22:K23"/>
    <mergeCell ref="T54:V54"/>
    <mergeCell ref="L42:O42"/>
    <mergeCell ref="F180:G180"/>
    <mergeCell ref="F184:G184"/>
    <mergeCell ref="Q184:S184"/>
    <mergeCell ref="X184:Z184"/>
    <mergeCell ref="AA184:AC184"/>
    <mergeCell ref="AD184:AF184"/>
    <mergeCell ref="AG184:AI184"/>
    <mergeCell ref="M161:O161"/>
    <mergeCell ref="AG179:AI179"/>
    <mergeCell ref="AG180:AI180"/>
    <mergeCell ref="AF111:AH111"/>
    <mergeCell ref="AD146:AF146"/>
    <mergeCell ref="AD180:AF180"/>
    <mergeCell ref="AD156:AF156"/>
    <mergeCell ref="AD157:AF157"/>
    <mergeCell ref="AD176:AI176"/>
    <mergeCell ref="AD178:AI178"/>
    <mergeCell ref="AD183:AF183"/>
    <mergeCell ref="AD179:AF179"/>
    <mergeCell ref="Q177:S177"/>
    <mergeCell ref="AD150:AF150"/>
    <mergeCell ref="M151:O151"/>
    <mergeCell ref="Y151:AA151"/>
    <mergeCell ref="AD151:AF151"/>
    <mergeCell ref="I150:K150"/>
    <mergeCell ref="AA179:AC179"/>
    <mergeCell ref="Q180:S180"/>
    <mergeCell ref="X180:Z180"/>
    <mergeCell ref="AA180:AC180"/>
    <mergeCell ref="I151:K151"/>
    <mergeCell ref="X179:Z179"/>
    <mergeCell ref="H178:I178"/>
    <mergeCell ref="F120:G120"/>
    <mergeCell ref="H124:AA124"/>
    <mergeCell ref="H125:AA125"/>
    <mergeCell ref="H126:AA126"/>
    <mergeCell ref="T117:V117"/>
    <mergeCell ref="F129:G129"/>
    <mergeCell ref="D130:G130"/>
    <mergeCell ref="H114:AA114"/>
    <mergeCell ref="H115:AA115"/>
    <mergeCell ref="U111:W111"/>
    <mergeCell ref="H177:I177"/>
    <mergeCell ref="J177:K177"/>
    <mergeCell ref="O177:P177"/>
    <mergeCell ref="E136:G136"/>
    <mergeCell ref="K136:M136"/>
    <mergeCell ref="Q136:S136"/>
    <mergeCell ref="V136:X136"/>
    <mergeCell ref="H130:J130"/>
    <mergeCell ref="N130:P130"/>
    <mergeCell ref="Y130:AA130"/>
    <mergeCell ref="T121:V121"/>
    <mergeCell ref="Y117:AA117"/>
    <mergeCell ref="J176:K176"/>
    <mergeCell ref="X176:Z176"/>
    <mergeCell ref="D110:E111"/>
    <mergeCell ref="K110:L110"/>
    <mergeCell ref="J171:L171"/>
    <mergeCell ref="N171:P171"/>
    <mergeCell ref="J172:L172"/>
    <mergeCell ref="M153:O153"/>
    <mergeCell ref="Y153:AA153"/>
    <mergeCell ref="F167:K167"/>
    <mergeCell ref="Z57:AB57"/>
    <mergeCell ref="D56:E57"/>
    <mergeCell ref="F56:G56"/>
    <mergeCell ref="D127:E127"/>
    <mergeCell ref="D128:E129"/>
    <mergeCell ref="Y128:AA128"/>
    <mergeCell ref="Y129:AA129"/>
    <mergeCell ref="H128:J128"/>
    <mergeCell ref="N128:P128"/>
    <mergeCell ref="D119:E120"/>
    <mergeCell ref="D117:E118"/>
    <mergeCell ref="U104:W104"/>
    <mergeCell ref="F111:G111"/>
    <mergeCell ref="F117:G117"/>
    <mergeCell ref="F118:G118"/>
    <mergeCell ref="F109:G109"/>
    <mergeCell ref="H121:J121"/>
    <mergeCell ref="N121:P121"/>
    <mergeCell ref="H111:I111"/>
    <mergeCell ref="K111:L111"/>
    <mergeCell ref="N111:O111"/>
    <mergeCell ref="AA101:AC101"/>
    <mergeCell ref="T59:V59"/>
    <mergeCell ref="D109:E109"/>
    <mergeCell ref="D61:F61"/>
    <mergeCell ref="K88:L88"/>
    <mergeCell ref="H88:I88"/>
    <mergeCell ref="F110:G110"/>
    <mergeCell ref="H117:J117"/>
    <mergeCell ref="H118:J118"/>
    <mergeCell ref="U108:AH108"/>
    <mergeCell ref="F119:G119"/>
    <mergeCell ref="I95:J95"/>
    <mergeCell ref="M95:O95"/>
    <mergeCell ref="H109:I109"/>
    <mergeCell ref="K109:L109"/>
    <mergeCell ref="N109:O109"/>
    <mergeCell ref="U109:W109"/>
    <mergeCell ref="AA109:AC109"/>
    <mergeCell ref="U96:W96"/>
    <mergeCell ref="AF103:AH103"/>
    <mergeCell ref="AF110:AH110"/>
    <mergeCell ref="N117:P117"/>
    <mergeCell ref="U92:AH92"/>
    <mergeCell ref="K101:L101"/>
    <mergeCell ref="N101:O101"/>
    <mergeCell ref="D103:E104"/>
    <mergeCell ref="H103:I103"/>
    <mergeCell ref="K103:L103"/>
    <mergeCell ref="F103:G103"/>
    <mergeCell ref="F104:G104"/>
    <mergeCell ref="F101:G101"/>
    <mergeCell ref="F102:G102"/>
    <mergeCell ref="N110:O110"/>
    <mergeCell ref="U110:W110"/>
    <mergeCell ref="K396:R396"/>
    <mergeCell ref="Y397:AA397"/>
    <mergeCell ref="W397:X397"/>
    <mergeCell ref="S397:T397"/>
    <mergeCell ref="AD145:AF145"/>
    <mergeCell ref="AA88:AC88"/>
    <mergeCell ref="U102:W102"/>
    <mergeCell ref="K102:L102"/>
    <mergeCell ref="N102:O102"/>
    <mergeCell ref="U90:AH90"/>
    <mergeCell ref="U91:AH91"/>
    <mergeCell ref="N120:P120"/>
    <mergeCell ref="AF101:AH101"/>
    <mergeCell ref="AF102:AH102"/>
    <mergeCell ref="AF104:AH104"/>
    <mergeCell ref="U107:AH107"/>
    <mergeCell ref="Y121:AA121"/>
    <mergeCell ref="AD177:AI177"/>
    <mergeCell ref="L167:M167"/>
    <mergeCell ref="O167:Q167"/>
    <mergeCell ref="M156:O156"/>
    <mergeCell ref="I156:K156"/>
    <mergeCell ref="T118:V118"/>
    <mergeCell ref="I157:K157"/>
    <mergeCell ref="M157:O157"/>
    <mergeCell ref="Y157:AA157"/>
    <mergeCell ref="I159:K159"/>
    <mergeCell ref="Y118:AA118"/>
    <mergeCell ref="Y156:AA156"/>
    <mergeCell ref="H127:J127"/>
    <mergeCell ref="N127:P127"/>
    <mergeCell ref="T127:V127"/>
    <mergeCell ref="Y10:Z10"/>
    <mergeCell ref="AB10:AD10"/>
    <mergeCell ref="AA14:AC14"/>
    <mergeCell ref="J18:K19"/>
    <mergeCell ref="H15:I15"/>
    <mergeCell ref="J13:K13"/>
    <mergeCell ref="H14:I14"/>
    <mergeCell ref="D10:U10"/>
    <mergeCell ref="N26:S26"/>
    <mergeCell ref="F21:G21"/>
    <mergeCell ref="W56:Y56"/>
    <mergeCell ref="Q57:S57"/>
    <mergeCell ref="T57:V57"/>
    <mergeCell ref="K85:L85"/>
    <mergeCell ref="AF86:AH86"/>
    <mergeCell ref="AF85:AH85"/>
    <mergeCell ref="F404:G404"/>
    <mergeCell ref="N404:O404"/>
    <mergeCell ref="S399:T399"/>
    <mergeCell ref="W399:X399"/>
    <mergeCell ref="Y399:AA399"/>
    <mergeCell ref="K399:R399"/>
    <mergeCell ref="U397:V397"/>
    <mergeCell ref="U399:V399"/>
    <mergeCell ref="S395:T395"/>
    <mergeCell ref="W395:X395"/>
    <mergeCell ref="U395:V395"/>
    <mergeCell ref="F402:G402"/>
    <mergeCell ref="H402:I402"/>
    <mergeCell ref="J402:K402"/>
    <mergeCell ref="N402:O402"/>
    <mergeCell ref="K397:R397"/>
    <mergeCell ref="Q29:S29"/>
    <mergeCell ref="J50:K50"/>
    <mergeCell ref="G49:I49"/>
    <mergeCell ref="G48:J48"/>
    <mergeCell ref="L49:M49"/>
    <mergeCell ref="H41:I41"/>
    <mergeCell ref="V49:X49"/>
    <mergeCell ref="R46:T46"/>
    <mergeCell ref="Z46:AB46"/>
    <mergeCell ref="Y395:AA395"/>
    <mergeCell ref="Y396:AA396"/>
    <mergeCell ref="S396:T396"/>
    <mergeCell ref="U396:V396"/>
    <mergeCell ref="C5:AC5"/>
    <mergeCell ref="AD5:AE5"/>
    <mergeCell ref="AF5:AI5"/>
    <mergeCell ref="F16:G16"/>
    <mergeCell ref="F17:G17"/>
    <mergeCell ref="F18:G18"/>
    <mergeCell ref="F19:G19"/>
    <mergeCell ref="D16:E17"/>
    <mergeCell ref="D18:E19"/>
    <mergeCell ref="O14:P14"/>
    <mergeCell ref="H13:I13"/>
    <mergeCell ref="AA15:AC15"/>
    <mergeCell ref="H16:I17"/>
    <mergeCell ref="H18:I19"/>
    <mergeCell ref="AA19:AC19"/>
    <mergeCell ref="X19:Z19"/>
    <mergeCell ref="AA17:AC17"/>
    <mergeCell ref="AA18:AC18"/>
    <mergeCell ref="G6:H6"/>
    <mergeCell ref="AC42:AH42"/>
    <mergeCell ref="W40:Y40"/>
    <mergeCell ref="T34:V34"/>
    <mergeCell ref="L33:M34"/>
    <mergeCell ref="P41:Q41"/>
    <mergeCell ref="Z42:AB42"/>
    <mergeCell ref="F44:G44"/>
    <mergeCell ref="R44:T44"/>
    <mergeCell ref="Z44:AB44"/>
    <mergeCell ref="AC44:AE44"/>
    <mergeCell ref="F45:G45"/>
    <mergeCell ref="H45:I46"/>
    <mergeCell ref="W59:Y59"/>
    <mergeCell ref="K48:L48"/>
    <mergeCell ref="L26:M26"/>
    <mergeCell ref="L27:M27"/>
    <mergeCell ref="N27:S27"/>
    <mergeCell ref="L45:O46"/>
    <mergeCell ref="F35:G35"/>
    <mergeCell ref="Z33:AB33"/>
    <mergeCell ref="W26:AB26"/>
    <mergeCell ref="W27:AB27"/>
    <mergeCell ref="W28:AB28"/>
    <mergeCell ref="Q34:S34"/>
    <mergeCell ref="T58:V58"/>
    <mergeCell ref="Q58:S58"/>
    <mergeCell ref="W58:Y58"/>
    <mergeCell ref="Z58:AB58"/>
    <mergeCell ref="F46:G46"/>
    <mergeCell ref="D48:F48"/>
    <mergeCell ref="N33:P33"/>
    <mergeCell ref="N34:P34"/>
    <mergeCell ref="D49:F49"/>
    <mergeCell ref="Q30:S30"/>
    <mergeCell ref="D31:E32"/>
    <mergeCell ref="F31:G31"/>
    <mergeCell ref="F32:G32"/>
    <mergeCell ref="N32:P32"/>
    <mergeCell ref="Q31:S31"/>
    <mergeCell ref="Q32:S32"/>
    <mergeCell ref="F30:G30"/>
    <mergeCell ref="T30:V30"/>
    <mergeCell ref="T35:V35"/>
    <mergeCell ref="F36:G36"/>
    <mergeCell ref="H35:I36"/>
    <mergeCell ref="J35:K36"/>
    <mergeCell ref="D33:E34"/>
    <mergeCell ref="F33:G33"/>
    <mergeCell ref="H33:I34"/>
    <mergeCell ref="J33:K34"/>
    <mergeCell ref="T33:V33"/>
    <mergeCell ref="D45:E46"/>
    <mergeCell ref="Q33:S33"/>
    <mergeCell ref="N30:P30"/>
    <mergeCell ref="N36:P36"/>
    <mergeCell ref="V10:X10"/>
    <mergeCell ref="T36:V36"/>
    <mergeCell ref="L35:M36"/>
    <mergeCell ref="N35:P35"/>
    <mergeCell ref="O15:P15"/>
    <mergeCell ref="X17:Z17"/>
    <mergeCell ref="O16:P17"/>
    <mergeCell ref="X14:Z14"/>
    <mergeCell ref="O13:P13"/>
    <mergeCell ref="K87:L87"/>
    <mergeCell ref="H87:I87"/>
    <mergeCell ref="D85:E86"/>
    <mergeCell ref="D87:E88"/>
    <mergeCell ref="X13:Z13"/>
    <mergeCell ref="X15:Z15"/>
    <mergeCell ref="X18:Z18"/>
    <mergeCell ref="X16:Z16"/>
    <mergeCell ref="D29:E30"/>
    <mergeCell ref="F29:G29"/>
    <mergeCell ref="H29:I30"/>
    <mergeCell ref="J29:K30"/>
    <mergeCell ref="T29:V29"/>
    <mergeCell ref="D22:E23"/>
    <mergeCell ref="D35:E36"/>
    <mergeCell ref="F34:G34"/>
    <mergeCell ref="J14:K14"/>
    <mergeCell ref="J15:K15"/>
    <mergeCell ref="J16:K17"/>
    <mergeCell ref="O18:P19"/>
    <mergeCell ref="J41:K41"/>
    <mergeCell ref="L28:M28"/>
    <mergeCell ref="L29:M30"/>
    <mergeCell ref="D181:E182"/>
    <mergeCell ref="F181:G181"/>
    <mergeCell ref="H181:I182"/>
    <mergeCell ref="J181:K182"/>
    <mergeCell ref="O181:P182"/>
    <mergeCell ref="Q181:S181"/>
    <mergeCell ref="X181:Z181"/>
    <mergeCell ref="AA181:AC181"/>
    <mergeCell ref="AD181:AF181"/>
    <mergeCell ref="AG181:AI181"/>
    <mergeCell ref="F182:G182"/>
    <mergeCell ref="Q182:S182"/>
    <mergeCell ref="X182:Z182"/>
    <mergeCell ref="AA182:AC182"/>
    <mergeCell ref="AD182:AF182"/>
    <mergeCell ref="AG182:AI182"/>
    <mergeCell ref="D183:E184"/>
    <mergeCell ref="F183:G183"/>
    <mergeCell ref="H183:I184"/>
    <mergeCell ref="J183:K184"/>
    <mergeCell ref="O183:P184"/>
    <mergeCell ref="Q183:S183"/>
    <mergeCell ref="AG183:AI183"/>
    <mergeCell ref="AG187:AI187"/>
    <mergeCell ref="F188:G188"/>
    <mergeCell ref="Q188:S188"/>
    <mergeCell ref="X188:Z188"/>
    <mergeCell ref="AA188:AC188"/>
    <mergeCell ref="AD188:AF188"/>
    <mergeCell ref="AG188:AI188"/>
    <mergeCell ref="X185:Z185"/>
    <mergeCell ref="AA185:AC185"/>
    <mergeCell ref="AD185:AF185"/>
    <mergeCell ref="AG185:AI185"/>
    <mergeCell ref="F186:G186"/>
    <mergeCell ref="Q186:S186"/>
    <mergeCell ref="X186:Z186"/>
    <mergeCell ref="AA186:AC186"/>
    <mergeCell ref="AD186:AF186"/>
    <mergeCell ref="AG186:AI186"/>
    <mergeCell ref="Q187:S187"/>
    <mergeCell ref="X187:Z187"/>
    <mergeCell ref="AA187:AC187"/>
    <mergeCell ref="AD187:AF187"/>
    <mergeCell ref="T187:U188"/>
    <mergeCell ref="W193:AB193"/>
    <mergeCell ref="W196:Y196"/>
    <mergeCell ref="W192:AB192"/>
    <mergeCell ref="H193:I193"/>
    <mergeCell ref="J193:K193"/>
    <mergeCell ref="L193:M193"/>
    <mergeCell ref="T193:V193"/>
    <mergeCell ref="N193:S193"/>
    <mergeCell ref="O187:P188"/>
    <mergeCell ref="W191:AB191"/>
    <mergeCell ref="H192:I192"/>
    <mergeCell ref="J192:K192"/>
    <mergeCell ref="L192:M192"/>
    <mergeCell ref="T192:V192"/>
    <mergeCell ref="N192:S192"/>
    <mergeCell ref="H194:I195"/>
    <mergeCell ref="J194:K195"/>
    <mergeCell ref="L194:M195"/>
    <mergeCell ref="T194:V194"/>
    <mergeCell ref="N194:P194"/>
    <mergeCell ref="Q194:S194"/>
    <mergeCell ref="W194:Y194"/>
    <mergeCell ref="R203:T203"/>
    <mergeCell ref="W203:Y203"/>
    <mergeCell ref="Z196:AB196"/>
    <mergeCell ref="H203:I203"/>
    <mergeCell ref="R205:T205"/>
    <mergeCell ref="W205:Y205"/>
    <mergeCell ref="Z205:AB205"/>
    <mergeCell ref="T197:V197"/>
    <mergeCell ref="N197:P197"/>
    <mergeCell ref="Q197:S197"/>
    <mergeCell ref="W197:Y197"/>
    <mergeCell ref="Z197:AB197"/>
    <mergeCell ref="H198:I199"/>
    <mergeCell ref="J198:K199"/>
    <mergeCell ref="L198:M199"/>
    <mergeCell ref="T199:V199"/>
    <mergeCell ref="Z194:AB194"/>
    <mergeCell ref="T195:V195"/>
    <mergeCell ref="N195:P195"/>
    <mergeCell ref="Q195:S195"/>
    <mergeCell ref="W195:Y195"/>
    <mergeCell ref="Z195:AB195"/>
    <mergeCell ref="U203:V203"/>
    <mergeCell ref="U204:V204"/>
    <mergeCell ref="U205:V205"/>
    <mergeCell ref="R206:T206"/>
    <mergeCell ref="AF207:AH207"/>
    <mergeCell ref="H206:I207"/>
    <mergeCell ref="AC206:AE206"/>
    <mergeCell ref="AF206:AH206"/>
    <mergeCell ref="H196:I197"/>
    <mergeCell ref="J196:K197"/>
    <mergeCell ref="J203:K203"/>
    <mergeCell ref="P203:Q203"/>
    <mergeCell ref="Z203:AB203"/>
    <mergeCell ref="AC203:AH203"/>
    <mergeCell ref="Z206:AB206"/>
    <mergeCell ref="H205:I205"/>
    <mergeCell ref="L203:O203"/>
    <mergeCell ref="L204:O204"/>
    <mergeCell ref="L205:O205"/>
    <mergeCell ref="H204:I204"/>
    <mergeCell ref="J204:K204"/>
    <mergeCell ref="P204:Q204"/>
    <mergeCell ref="R204:T204"/>
    <mergeCell ref="Z204:AB204"/>
    <mergeCell ref="AC204:AH204"/>
    <mergeCell ref="J205:K205"/>
    <mergeCell ref="P205:Q205"/>
    <mergeCell ref="AC205:AH205"/>
    <mergeCell ref="T198:V198"/>
    <mergeCell ref="N198:P198"/>
    <mergeCell ref="Q198:S198"/>
    <mergeCell ref="W198:Y198"/>
    <mergeCell ref="Z198:AB198"/>
    <mergeCell ref="W199:Y199"/>
    <mergeCell ref="Z199:AB199"/>
    <mergeCell ref="D206:E207"/>
    <mergeCell ref="F206:G206"/>
    <mergeCell ref="L206:O207"/>
    <mergeCell ref="V210:X210"/>
    <mergeCell ref="W206:Y207"/>
    <mergeCell ref="Z207:AB207"/>
    <mergeCell ref="AC207:AE207"/>
    <mergeCell ref="J206:K207"/>
    <mergeCell ref="P206:Q207"/>
    <mergeCell ref="J322:L322"/>
    <mergeCell ref="N322:P322"/>
    <mergeCell ref="I293:K293"/>
    <mergeCell ref="I296:K296"/>
    <mergeCell ref="M296:O296"/>
    <mergeCell ref="Y296:AA296"/>
    <mergeCell ref="AD296:AF296"/>
    <mergeCell ref="I297:K297"/>
    <mergeCell ref="M297:O297"/>
    <mergeCell ref="Y297:AA297"/>
    <mergeCell ref="AD297:AF297"/>
    <mergeCell ref="I301:K301"/>
    <mergeCell ref="M301:O301"/>
    <mergeCell ref="Y301:AA301"/>
    <mergeCell ref="AD301:AF301"/>
    <mergeCell ref="I302:K302"/>
    <mergeCell ref="M302:O302"/>
    <mergeCell ref="Y302:AA302"/>
    <mergeCell ref="AD302:AF302"/>
    <mergeCell ref="F318:K318"/>
    <mergeCell ref="M318:O318"/>
    <mergeCell ref="I307:K307"/>
    <mergeCell ref="Y292:AA292"/>
    <mergeCell ref="D210:F210"/>
    <mergeCell ref="G210:I210"/>
    <mergeCell ref="L210:M210"/>
    <mergeCell ref="N210:O210"/>
    <mergeCell ref="Q210:S210"/>
    <mergeCell ref="D281:G281"/>
    <mergeCell ref="K265:L265"/>
    <mergeCell ref="N265:O265"/>
    <mergeCell ref="U265:W265"/>
    <mergeCell ref="H268:AA268"/>
    <mergeCell ref="T271:V271"/>
    <mergeCell ref="Y271:AA271"/>
    <mergeCell ref="D211:F211"/>
    <mergeCell ref="G211:I211"/>
    <mergeCell ref="J211:K211"/>
    <mergeCell ref="H213:I213"/>
    <mergeCell ref="J213:K213"/>
    <mergeCell ref="L211:Q211"/>
    <mergeCell ref="H242:T242"/>
    <mergeCell ref="U242:AH242"/>
    <mergeCell ref="H243:T243"/>
    <mergeCell ref="U243:AH243"/>
    <mergeCell ref="U244:AH244"/>
    <mergeCell ref="D245:E246"/>
    <mergeCell ref="F245:G245"/>
    <mergeCell ref="K245:L245"/>
    <mergeCell ref="H245:I245"/>
    <mergeCell ref="N281:P281"/>
    <mergeCell ref="T281:V281"/>
    <mergeCell ref="Y281:AA281"/>
    <mergeCell ref="H281:J281"/>
    <mergeCell ref="L214:M214"/>
    <mergeCell ref="AA264:AC264"/>
    <mergeCell ref="AF264:AH264"/>
    <mergeCell ref="F265:G265"/>
    <mergeCell ref="H265:I265"/>
    <mergeCell ref="L213:M213"/>
    <mergeCell ref="T213:V213"/>
    <mergeCell ref="N213:S213"/>
    <mergeCell ref="W213:AB213"/>
    <mergeCell ref="AA259:AC259"/>
    <mergeCell ref="AF265:AH265"/>
    <mergeCell ref="T214:V214"/>
    <mergeCell ref="N214:S214"/>
    <mergeCell ref="W214:AB214"/>
    <mergeCell ref="AF259:AH259"/>
    <mergeCell ref="AF251:AH251"/>
    <mergeCell ref="AF252:AH252"/>
    <mergeCell ref="AF245:AH245"/>
    <mergeCell ref="AF246:AH246"/>
    <mergeCell ref="H259:I259"/>
    <mergeCell ref="K259:L259"/>
    <mergeCell ref="Q216:S216"/>
    <mergeCell ref="D221:F221"/>
    <mergeCell ref="G221:I221"/>
    <mergeCell ref="J221:K221"/>
    <mergeCell ref="L221:Q221"/>
    <mergeCell ref="M252:O252"/>
    <mergeCell ref="AA265:AC265"/>
    <mergeCell ref="D216:E217"/>
    <mergeCell ref="F216:G216"/>
    <mergeCell ref="D220:F220"/>
    <mergeCell ref="U245:W245"/>
    <mergeCell ref="F246:G246"/>
    <mergeCell ref="D185:E186"/>
    <mergeCell ref="F185:G185"/>
    <mergeCell ref="H185:I186"/>
    <mergeCell ref="J185:K186"/>
    <mergeCell ref="O185:P186"/>
    <mergeCell ref="Q185:S185"/>
    <mergeCell ref="D196:E197"/>
    <mergeCell ref="F196:G196"/>
    <mergeCell ref="L196:M197"/>
    <mergeCell ref="T196:V196"/>
    <mergeCell ref="N196:P196"/>
    <mergeCell ref="Q196:S196"/>
    <mergeCell ref="H191:I191"/>
    <mergeCell ref="L191:M191"/>
    <mergeCell ref="T191:V191"/>
    <mergeCell ref="N191:S191"/>
    <mergeCell ref="H187:I188"/>
    <mergeCell ref="J191:K191"/>
    <mergeCell ref="F195:G195"/>
    <mergeCell ref="F197:G197"/>
    <mergeCell ref="D187:E188"/>
    <mergeCell ref="F187:G187"/>
    <mergeCell ref="J187:K188"/>
    <mergeCell ref="D194:E195"/>
    <mergeCell ref="F194:G194"/>
    <mergeCell ref="AA176:AC176"/>
    <mergeCell ref="W55:AB55"/>
    <mergeCell ref="L53:M53"/>
    <mergeCell ref="T53:V53"/>
    <mergeCell ref="W53:AB53"/>
    <mergeCell ref="W42:Y42"/>
    <mergeCell ref="U83:AH83"/>
    <mergeCell ref="AC40:AH40"/>
    <mergeCell ref="R40:T40"/>
    <mergeCell ref="H102:I102"/>
    <mergeCell ref="H104:I104"/>
    <mergeCell ref="U103:W103"/>
    <mergeCell ref="AA103:AC103"/>
    <mergeCell ref="K104:L104"/>
    <mergeCell ref="N104:O104"/>
    <mergeCell ref="U101:W101"/>
    <mergeCell ref="J168:L168"/>
    <mergeCell ref="S167:U167"/>
    <mergeCell ref="W167:Y167"/>
    <mergeCell ref="AC46:AE46"/>
    <mergeCell ref="Z56:AB56"/>
    <mergeCell ref="W57:Y57"/>
    <mergeCell ref="AF96:AH96"/>
    <mergeCell ref="N103:O103"/>
    <mergeCell ref="H54:I54"/>
    <mergeCell ref="H58:I59"/>
    <mergeCell ref="L40:O40"/>
    <mergeCell ref="L41:O41"/>
    <mergeCell ref="AF46:AH46"/>
    <mergeCell ref="Z43:AB43"/>
    <mergeCell ref="J58:K59"/>
    <mergeCell ref="AC43:AE43"/>
    <mergeCell ref="AD13:AI13"/>
    <mergeCell ref="AD14:AI14"/>
    <mergeCell ref="AD15:AI15"/>
    <mergeCell ref="AA13:AC13"/>
    <mergeCell ref="AA16:AC16"/>
    <mergeCell ref="AD22:AF22"/>
    <mergeCell ref="AD23:AF23"/>
    <mergeCell ref="AD20:AF20"/>
    <mergeCell ref="AD21:AF21"/>
    <mergeCell ref="AD16:AF16"/>
    <mergeCell ref="AD17:AF17"/>
    <mergeCell ref="AD18:AF18"/>
    <mergeCell ref="AD19:AF19"/>
    <mergeCell ref="AG16:AI16"/>
    <mergeCell ref="AG17:AI17"/>
    <mergeCell ref="AG18:AI18"/>
    <mergeCell ref="AG19:AI19"/>
    <mergeCell ref="AA20:AC20"/>
    <mergeCell ref="AG22:AI22"/>
    <mergeCell ref="AG23:AI23"/>
    <mergeCell ref="F22:G22"/>
    <mergeCell ref="F23:G23"/>
    <mergeCell ref="U99:AH99"/>
    <mergeCell ref="P42:Q42"/>
    <mergeCell ref="R42:T42"/>
    <mergeCell ref="R41:T41"/>
    <mergeCell ref="Z41:AB41"/>
    <mergeCell ref="AG20:AI20"/>
    <mergeCell ref="AG21:AI21"/>
    <mergeCell ref="AA22:AC22"/>
    <mergeCell ref="AA23:AC23"/>
    <mergeCell ref="H31:I32"/>
    <mergeCell ref="J31:K32"/>
    <mergeCell ref="T31:V31"/>
    <mergeCell ref="T32:V32"/>
    <mergeCell ref="L31:M32"/>
    <mergeCell ref="AA96:AC96"/>
    <mergeCell ref="N28:S28"/>
    <mergeCell ref="W29:Y29"/>
    <mergeCell ref="W30:Y30"/>
    <mergeCell ref="W31:Y31"/>
    <mergeCell ref="W32:Y32"/>
    <mergeCell ref="H26:I26"/>
    <mergeCell ref="J26:K26"/>
    <mergeCell ref="T26:V26"/>
    <mergeCell ref="H27:I27"/>
    <mergeCell ref="J27:K27"/>
    <mergeCell ref="T27:V27"/>
    <mergeCell ref="H28:I28"/>
    <mergeCell ref="J28:K28"/>
    <mergeCell ref="T28:V28"/>
    <mergeCell ref="N29:P29"/>
    <mergeCell ref="L58:M59"/>
    <mergeCell ref="AA85:AC85"/>
    <mergeCell ref="AA86:AC86"/>
    <mergeCell ref="AA87:AC87"/>
    <mergeCell ref="AF45:AH45"/>
    <mergeCell ref="W54:AB54"/>
    <mergeCell ref="G343:G344"/>
    <mergeCell ref="J343:J344"/>
    <mergeCell ref="K343:L344"/>
    <mergeCell ref="H344:I344"/>
    <mergeCell ref="J178:K178"/>
    <mergeCell ref="O178:P178"/>
    <mergeCell ref="Q178:S178"/>
    <mergeCell ref="X178:Z178"/>
    <mergeCell ref="AA178:AC178"/>
    <mergeCell ref="H176:I176"/>
    <mergeCell ref="H129:J129"/>
    <mergeCell ref="N129:P129"/>
    <mergeCell ref="T129:V129"/>
    <mergeCell ref="AA110:AC110"/>
    <mergeCell ref="AA111:AC111"/>
    <mergeCell ref="T128:V128"/>
    <mergeCell ref="F198:G198"/>
    <mergeCell ref="F199:G199"/>
    <mergeCell ref="N199:P199"/>
    <mergeCell ref="U87:W87"/>
    <mergeCell ref="K86:L86"/>
    <mergeCell ref="U82:AH82"/>
    <mergeCell ref="U100:AH100"/>
    <mergeCell ref="Y154:AA154"/>
    <mergeCell ref="AD154:AF154"/>
    <mergeCell ref="AD153:AF153"/>
    <mergeCell ref="U349:V349"/>
    <mergeCell ref="M310:O310"/>
    <mergeCell ref="I311:K311"/>
    <mergeCell ref="M311:O311"/>
    <mergeCell ref="I312:K312"/>
    <mergeCell ref="F207:G207"/>
    <mergeCell ref="R207:T207"/>
    <mergeCell ref="Q199:S199"/>
    <mergeCell ref="H248:T248"/>
    <mergeCell ref="U248:AH248"/>
    <mergeCell ref="H249:T249"/>
    <mergeCell ref="U249:AH249"/>
    <mergeCell ref="U250:AH250"/>
    <mergeCell ref="Q287:S287"/>
    <mergeCell ref="V287:X287"/>
    <mergeCell ref="H280:J280"/>
    <mergeCell ref="H214:I214"/>
    <mergeCell ref="J214:K214"/>
    <mergeCell ref="D209:F209"/>
    <mergeCell ref="D273:G273"/>
    <mergeCell ref="H273:J273"/>
    <mergeCell ref="N273:P273"/>
    <mergeCell ref="T273:V273"/>
    <mergeCell ref="Y273:AA273"/>
    <mergeCell ref="D279:E280"/>
    <mergeCell ref="U261:AH261"/>
    <mergeCell ref="H262:T262"/>
    <mergeCell ref="U262:AH262"/>
    <mergeCell ref="D198:E199"/>
    <mergeCell ref="F264:G264"/>
    <mergeCell ref="H264:I264"/>
    <mergeCell ref="K264:L264"/>
    <mergeCell ref="L357:M357"/>
    <mergeCell ref="N357:Q357"/>
    <mergeCell ref="O176:P176"/>
    <mergeCell ref="Q176:S176"/>
    <mergeCell ref="J323:L323"/>
    <mergeCell ref="I310:K310"/>
    <mergeCell ref="W33:Y33"/>
    <mergeCell ref="W34:Y34"/>
    <mergeCell ref="W35:Y35"/>
    <mergeCell ref="W36:Y36"/>
    <mergeCell ref="Z29:AB29"/>
    <mergeCell ref="Z30:AB30"/>
    <mergeCell ref="Z31:AB31"/>
    <mergeCell ref="Z32:AB32"/>
    <mergeCell ref="Z353:AC353"/>
    <mergeCell ref="N280:P280"/>
    <mergeCell ref="T280:V280"/>
    <mergeCell ref="Y280:AA280"/>
    <mergeCell ref="G209:L209"/>
    <mergeCell ref="J315:L315"/>
    <mergeCell ref="Q318:R318"/>
    <mergeCell ref="J319:L319"/>
    <mergeCell ref="I304:K304"/>
    <mergeCell ref="M304:O304"/>
    <mergeCell ref="Y304:AA304"/>
    <mergeCell ref="I308:K308"/>
    <mergeCell ref="D253:G253"/>
    <mergeCell ref="U253:W253"/>
    <mergeCell ref="AA253:AC253"/>
    <mergeCell ref="E343:F344"/>
    <mergeCell ref="X183:Z183"/>
    <mergeCell ref="AA183:AC183"/>
    <mergeCell ref="L354:M354"/>
    <mergeCell ref="N354:Q354"/>
    <mergeCell ref="M363:P364"/>
    <mergeCell ref="X23:Z23"/>
    <mergeCell ref="D96:G96"/>
    <mergeCell ref="AF109:AH109"/>
    <mergeCell ref="Z34:AB34"/>
    <mergeCell ref="Z35:AB35"/>
    <mergeCell ref="Z36:AB36"/>
    <mergeCell ref="U106:AH106"/>
    <mergeCell ref="U98:AH98"/>
    <mergeCell ref="U85:W85"/>
    <mergeCell ref="N31:P31"/>
    <mergeCell ref="AF87:AH87"/>
    <mergeCell ref="AF88:AH88"/>
    <mergeCell ref="U86:W86"/>
    <mergeCell ref="U88:W88"/>
    <mergeCell ref="P40:Q40"/>
    <mergeCell ref="AA102:AC102"/>
    <mergeCell ref="F361:G362"/>
    <mergeCell ref="H361:H362"/>
    <mergeCell ref="L361:L362"/>
    <mergeCell ref="M361:P361"/>
    <mergeCell ref="H364:H365"/>
    <mergeCell ref="I364:J364"/>
    <mergeCell ref="I365:J365"/>
    <mergeCell ref="AD358:AH358"/>
    <mergeCell ref="Z357:AC357"/>
    <mergeCell ref="AD357:AH357"/>
    <mergeCell ref="AF253:AH253"/>
    <mergeCell ref="AD356:AH356"/>
    <mergeCell ref="J357:K357"/>
    <mergeCell ref="V13:W13"/>
    <mergeCell ref="V14:W14"/>
    <mergeCell ref="V15:W15"/>
    <mergeCell ref="V16:W17"/>
    <mergeCell ref="V18:W19"/>
    <mergeCell ref="V20:W21"/>
    <mergeCell ref="V22:W23"/>
    <mergeCell ref="T13:U13"/>
    <mergeCell ref="T14:U14"/>
    <mergeCell ref="T15:U15"/>
    <mergeCell ref="P328:V328"/>
    <mergeCell ref="P329:V329"/>
    <mergeCell ref="D327:K327"/>
    <mergeCell ref="J332:L332"/>
    <mergeCell ref="I292:K292"/>
    <mergeCell ref="AD355:AH355"/>
    <mergeCell ref="J356:K356"/>
    <mergeCell ref="L356:M356"/>
    <mergeCell ref="N356:Q356"/>
    <mergeCell ref="R354:U354"/>
    <mergeCell ref="V354:Y354"/>
    <mergeCell ref="Z354:AC354"/>
    <mergeCell ref="AD354:AH354"/>
    <mergeCell ref="R356:U356"/>
    <mergeCell ref="V356:Y356"/>
    <mergeCell ref="Z356:AC356"/>
    <mergeCell ref="L352:M352"/>
    <mergeCell ref="N352:Q352"/>
    <mergeCell ref="R352:U352"/>
    <mergeCell ref="V352:Y352"/>
    <mergeCell ref="Z352:AC352"/>
    <mergeCell ref="AD353:AH353"/>
    <mergeCell ref="T16:U17"/>
    <mergeCell ref="T18:U19"/>
    <mergeCell ref="T20:U21"/>
    <mergeCell ref="T22:U23"/>
    <mergeCell ref="L13:N13"/>
    <mergeCell ref="L16:N17"/>
    <mergeCell ref="L18:N19"/>
    <mergeCell ref="L20:N21"/>
    <mergeCell ref="L22:N23"/>
    <mergeCell ref="Q13:S13"/>
    <mergeCell ref="Q14:S14"/>
    <mergeCell ref="Q15:S15"/>
    <mergeCell ref="L14:N14"/>
    <mergeCell ref="L15:N15"/>
    <mergeCell ref="Q16:S16"/>
    <mergeCell ref="Q17:S17"/>
    <mergeCell ref="Q18:S18"/>
    <mergeCell ref="Q19:S19"/>
    <mergeCell ref="Q20:S20"/>
    <mergeCell ref="Q21:S21"/>
    <mergeCell ref="Q22:S22"/>
    <mergeCell ref="Q23:S23"/>
  </mergeCells>
  <phoneticPr fontId="3"/>
  <conditionalFormatting sqref="G209:J209 U210">
    <cfRule type="cellIs" dxfId="40" priority="32" operator="greaterThan">
      <formula>#REF!</formula>
    </cfRule>
  </conditionalFormatting>
  <conditionalFormatting sqref="J61">
    <cfRule type="cellIs" dxfId="39" priority="24" operator="greaterThan">
      <formula>#REF!</formula>
    </cfRule>
  </conditionalFormatting>
  <conditionalFormatting sqref="N127:O129 T127:U129 U168:Z171">
    <cfRule type="cellIs" dxfId="38" priority="18" operator="greaterThan">
      <formula>#REF!</formula>
    </cfRule>
  </conditionalFormatting>
  <conditionalFormatting sqref="Q95">
    <cfRule type="cellIs" dxfId="37" priority="21" operator="greaterThan">
      <formula>#REF!</formula>
    </cfRule>
  </conditionalFormatting>
  <conditionalFormatting sqref="S48 S50:S52">
    <cfRule type="cellIs" dxfId="36" priority="54" operator="greaterThan">
      <formula>#REF!</formula>
    </cfRule>
  </conditionalFormatting>
  <conditionalFormatting sqref="S61">
    <cfRule type="cellIs" dxfId="35" priority="23" operator="greaterThan">
      <formula>#REF!</formula>
    </cfRule>
  </conditionalFormatting>
  <conditionalFormatting sqref="S63:S64">
    <cfRule type="cellIs" dxfId="34" priority="25" operator="greaterThan">
      <formula>#REF!</formula>
    </cfRule>
  </conditionalFormatting>
  <conditionalFormatting sqref="S209">
    <cfRule type="cellIs" dxfId="33" priority="31" operator="greaterThan">
      <formula>#REF!</formula>
    </cfRule>
  </conditionalFormatting>
  <conditionalFormatting sqref="S219">
    <cfRule type="cellIs" dxfId="32" priority="8" operator="greaterThan">
      <formula>#REF!</formula>
    </cfRule>
  </conditionalFormatting>
  <conditionalFormatting sqref="S221:S222">
    <cfRule type="cellIs" dxfId="31" priority="10" operator="greaterThan">
      <formula>#REF!</formula>
    </cfRule>
  </conditionalFormatting>
  <conditionalFormatting sqref="T279:U280">
    <cfRule type="cellIs" dxfId="30" priority="38" operator="greaterThan">
      <formula>#REF!</formula>
    </cfRule>
  </conditionalFormatting>
  <conditionalFormatting sqref="U93:V96 AA93:AB96">
    <cfRule type="cellIs" dxfId="29" priority="6" operator="greaterThan">
      <formula>#REF!</formula>
    </cfRule>
  </conditionalFormatting>
  <conditionalFormatting sqref="U245:V253 AA245:AB253">
    <cfRule type="cellIs" dxfId="28" priority="2" operator="greaterThan">
      <formula>#REF!</formula>
    </cfRule>
  </conditionalFormatting>
  <conditionalFormatting sqref="U73:W73 Y73:Z73 U82:U84 U85:V88 AA85:AB88 AF85:AG88 U112:Z113 N117:O120 T117:U120 Y117:Z120 U137:Z138 U166:Z166 S211:S212 U211:Z212 N279:O280 Y280:Z280 U319:Z322">
    <cfRule type="cellIs" dxfId="27" priority="47" operator="greaterThan">
      <formula>#REF!</formula>
    </cfRule>
  </conditionalFormatting>
  <conditionalFormatting sqref="U231:W231 Y231:Z231 U242:U244 U247:Z247 U254:Z254 U260:Z260 U267:Z267 N271:O272 T271:U272 Y271:Z272 U275:Z275 U288:Z289 U317:Z317 L318 P318">
    <cfRule type="cellIs" dxfId="26" priority="40" operator="greaterThan">
      <formula>#REF!</formula>
    </cfRule>
  </conditionalFormatting>
  <conditionalFormatting sqref="U24:Z25 S25 U74:Z81 S190 U190:Z190 J219 U232:Z241">
    <cfRule type="cellIs" dxfId="25" priority="9" operator="greaterThan">
      <formula>#REF!</formula>
    </cfRule>
  </conditionalFormatting>
  <conditionalFormatting sqref="U37:Z37">
    <cfRule type="cellIs" dxfId="24" priority="28" operator="greaterThan">
      <formula>#REF!</formula>
    </cfRule>
  </conditionalFormatting>
  <conditionalFormatting sqref="U47:Z48 U49:V49 Y49:Z49 U50:Z52 U60:Z61 U62:V62 Y62:Z62 U63:Z72 U131:Z134 R136:W136">
    <cfRule type="cellIs" dxfId="23" priority="50" operator="greaterThan">
      <formula>#REF!</formula>
    </cfRule>
  </conditionalFormatting>
  <conditionalFormatting sqref="U89:Z92 U97:Z97 U209:Z209">
    <cfRule type="cellIs" dxfId="22" priority="26" operator="greaterThan">
      <formula>#REF!</formula>
    </cfRule>
  </conditionalFormatting>
  <conditionalFormatting sqref="U105:Z105 U122:Z123">
    <cfRule type="cellIs" dxfId="21" priority="39" operator="greaterThan">
      <formula>#REF!</formula>
    </cfRule>
  </conditionalFormatting>
  <conditionalFormatting sqref="U218:Z219 U220:V220 Y220:Z220 U221:Z230">
    <cfRule type="cellIs" dxfId="20" priority="11" operator="greaterThan">
      <formula>#REF!</formula>
    </cfRule>
  </conditionalFormatting>
  <conditionalFormatting sqref="U282:Z285 T287:W287">
    <cfRule type="cellIs" dxfId="19" priority="41" operator="greaterThan">
      <formula>#REF!</formula>
    </cfRule>
  </conditionalFormatting>
  <conditionalFormatting sqref="V167:W167 Z167">
    <cfRule type="cellIs" dxfId="18" priority="13" operator="greaterThan">
      <formula>#REF!</formula>
    </cfRule>
  </conditionalFormatting>
  <conditionalFormatting sqref="X95:X96">
    <cfRule type="cellIs" dxfId="17" priority="20" operator="greaterThan">
      <formula>#REF!</formula>
    </cfRule>
  </conditionalFormatting>
  <conditionalFormatting sqref="X253">
    <cfRule type="cellIs" dxfId="16" priority="4" operator="greaterThan">
      <formula>#REF!</formula>
    </cfRule>
  </conditionalFormatting>
  <conditionalFormatting sqref="Y127:Z129">
    <cfRule type="cellIs" dxfId="15" priority="15" operator="greaterThan">
      <formula>#REF!</formula>
    </cfRule>
  </conditionalFormatting>
  <conditionalFormatting sqref="AD94:AD96">
    <cfRule type="cellIs" dxfId="14" priority="14" operator="greaterThan">
      <formula>#REF!</formula>
    </cfRule>
  </conditionalFormatting>
  <conditionalFormatting sqref="AD253">
    <cfRule type="cellIs" dxfId="13" priority="3" operator="greaterThan">
      <formula>#REF!</formula>
    </cfRule>
  </conditionalFormatting>
  <conditionalFormatting sqref="AF93:AG96">
    <cfRule type="cellIs" dxfId="12" priority="5" operator="greaterThan">
      <formula>#REF!</formula>
    </cfRule>
  </conditionalFormatting>
  <conditionalFormatting sqref="AF245:AG253">
    <cfRule type="cellIs" dxfId="11" priority="1"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3950-0887-46BE-9725-D57D986FEF80}">
  <dimension ref="A2:AS164"/>
  <sheetViews>
    <sheetView showGridLines="0" view="pageBreakPreview" zoomScale="80" zoomScaleNormal="115" zoomScaleSheetLayoutView="80" workbookViewId="0"/>
  </sheetViews>
  <sheetFormatPr defaultRowHeight="18.75"/>
  <cols>
    <col min="1" max="35" width="3" style="1" customWidth="1"/>
    <col min="36" max="36" width="1.625" style="1" customWidth="1"/>
    <col min="37" max="16384" width="9" style="1"/>
  </cols>
  <sheetData>
    <row r="2" spans="1:36">
      <c r="A2" s="1" t="s">
        <v>373</v>
      </c>
      <c r="W2" s="1" t="s">
        <v>374</v>
      </c>
    </row>
    <row r="3" spans="1:36">
      <c r="C3" s="770" t="s">
        <v>375</v>
      </c>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row>
    <row r="4" spans="1:36" ht="18.75" customHeight="1">
      <c r="B4" s="12"/>
      <c r="C4" s="770"/>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row>
    <row r="5" spans="1:36">
      <c r="B5" s="12"/>
      <c r="C5" s="770"/>
      <c r="D5" s="770"/>
      <c r="E5" s="770"/>
      <c r="F5" s="770"/>
      <c r="G5" s="770"/>
      <c r="H5" s="770"/>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0"/>
      <c r="AI5" s="770"/>
    </row>
    <row r="6" spans="1:36">
      <c r="B6" s="12"/>
      <c r="C6" s="770"/>
      <c r="D6" s="770"/>
      <c r="E6" s="770"/>
      <c r="F6" s="770"/>
      <c r="G6" s="770"/>
      <c r="H6" s="770"/>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row>
    <row r="7" spans="1:36">
      <c r="B7" s="12" t="s">
        <v>376</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1:36">
      <c r="C8" s="1" t="s">
        <v>377</v>
      </c>
      <c r="D8" s="112"/>
      <c r="E8" s="112"/>
      <c r="F8" s="112"/>
      <c r="G8" s="112"/>
      <c r="H8" s="112"/>
      <c r="I8" s="112"/>
      <c r="J8" s="112"/>
      <c r="K8" s="112"/>
      <c r="L8" s="112"/>
      <c r="M8" s="112"/>
      <c r="N8" s="112"/>
      <c r="O8" s="112"/>
      <c r="P8" s="112"/>
      <c r="Q8" s="112"/>
      <c r="R8" s="112"/>
      <c r="S8" s="112"/>
      <c r="T8" s="112"/>
      <c r="U8" s="112"/>
      <c r="V8" s="112"/>
      <c r="W8" s="112"/>
      <c r="X8" t="s">
        <v>378</v>
      </c>
      <c r="Y8" s="112"/>
      <c r="Z8" s="112"/>
      <c r="AA8" s="112"/>
      <c r="AB8" s="112"/>
      <c r="AC8" s="112"/>
      <c r="AD8" s="112"/>
      <c r="AE8" s="112"/>
      <c r="AF8" s="112"/>
      <c r="AG8" s="112"/>
      <c r="AH8" s="112"/>
      <c r="AI8" s="112"/>
      <c r="AJ8" s="112"/>
    </row>
    <row r="9" spans="1:36" ht="18.75" customHeight="1">
      <c r="C9" s="12"/>
      <c r="D9" s="771" t="s">
        <v>379</v>
      </c>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c r="AG9" s="772"/>
      <c r="AH9" s="772"/>
      <c r="AI9" s="772"/>
      <c r="AJ9" s="773"/>
    </row>
    <row r="10" spans="1:36">
      <c r="C10" s="12"/>
      <c r="D10" s="774"/>
      <c r="E10" s="770"/>
      <c r="F10" s="770"/>
      <c r="G10" s="770"/>
      <c r="H10" s="770"/>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0"/>
      <c r="AG10" s="770"/>
      <c r="AH10" s="770"/>
      <c r="AI10" s="770"/>
      <c r="AJ10" s="775"/>
    </row>
    <row r="11" spans="1:36">
      <c r="C11" s="12"/>
      <c r="D11" s="11" t="s">
        <v>380</v>
      </c>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7"/>
    </row>
    <row r="12" spans="1:36" s="205" customFormat="1">
      <c r="C12" s="113"/>
      <c r="D12" s="239"/>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65"/>
    </row>
    <row r="13" spans="1:36">
      <c r="C13" s="12"/>
      <c r="D13" s="11"/>
      <c r="E13" s="557" t="s">
        <v>381</v>
      </c>
      <c r="F13" s="557"/>
      <c r="G13" s="541" t="s">
        <v>8</v>
      </c>
      <c r="H13" s="776" t="s">
        <v>382</v>
      </c>
      <c r="I13" s="777"/>
      <c r="J13" s="106"/>
      <c r="K13" s="106"/>
      <c r="L13" s="106"/>
      <c r="M13" s="106"/>
      <c r="N13" s="106"/>
      <c r="O13" s="106"/>
      <c r="P13" s="106"/>
      <c r="Q13" s="106"/>
      <c r="R13" s="106"/>
      <c r="S13" s="106"/>
      <c r="T13" s="106"/>
      <c r="U13" s="12"/>
      <c r="V13" s="12"/>
      <c r="W13" s="12"/>
      <c r="X13" s="12"/>
      <c r="Y13" s="12"/>
      <c r="Z13" s="106"/>
      <c r="AA13" s="106"/>
      <c r="AB13" s="106"/>
      <c r="AC13" s="106"/>
      <c r="AD13" s="106"/>
      <c r="AE13" s="106"/>
      <c r="AF13" s="106"/>
      <c r="AG13" s="106"/>
      <c r="AH13" s="106"/>
      <c r="AI13" s="106"/>
      <c r="AJ13" s="107"/>
    </row>
    <row r="14" spans="1:36">
      <c r="C14" s="12"/>
      <c r="D14" s="11"/>
      <c r="E14" s="557"/>
      <c r="F14" s="557"/>
      <c r="G14" s="541"/>
      <c r="H14" s="375" t="s">
        <v>383</v>
      </c>
      <c r="I14" s="371"/>
      <c r="J14" s="106"/>
      <c r="K14" s="106"/>
      <c r="L14" s="106"/>
      <c r="M14" s="106"/>
      <c r="N14" s="106"/>
      <c r="O14" s="106"/>
      <c r="P14" s="106"/>
      <c r="Q14" s="106"/>
      <c r="R14" s="106"/>
      <c r="S14" s="106"/>
      <c r="T14" s="106"/>
      <c r="U14" s="12"/>
      <c r="V14" s="12"/>
      <c r="W14" s="12"/>
      <c r="X14" s="12"/>
      <c r="Y14" s="12"/>
      <c r="Z14" s="106"/>
      <c r="AA14" s="106"/>
      <c r="AB14" s="106"/>
      <c r="AC14" s="106"/>
      <c r="AD14" s="106"/>
      <c r="AE14" s="106"/>
      <c r="AF14" s="106"/>
      <c r="AG14" s="106"/>
      <c r="AH14" s="106"/>
      <c r="AI14" s="106"/>
      <c r="AJ14" s="107"/>
    </row>
    <row r="15" spans="1:36">
      <c r="C15" s="12"/>
      <c r="D15" s="11"/>
      <c r="E15" s="106"/>
      <c r="F15" s="12" t="s">
        <v>330</v>
      </c>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7"/>
    </row>
    <row r="16" spans="1:36" ht="21">
      <c r="C16" s="12"/>
      <c r="D16" s="11"/>
      <c r="E16" s="12"/>
      <c r="F16" s="12"/>
      <c r="G16" s="375" t="s">
        <v>382</v>
      </c>
      <c r="H16" s="371"/>
      <c r="I16" s="12" t="s">
        <v>8</v>
      </c>
      <c r="J16" s="555">
        <f>'2.根入れ長'!H130</f>
        <v>16.700999999999997</v>
      </c>
      <c r="K16" s="555"/>
      <c r="L16" s="555"/>
      <c r="M16" s="95" t="s">
        <v>257</v>
      </c>
      <c r="N16" s="12"/>
      <c r="O16" s="12" t="s">
        <v>213</v>
      </c>
      <c r="P16" s="555">
        <f>'2.根入れ長'!N130</f>
        <v>231.72412969084024</v>
      </c>
      <c r="Q16" s="555"/>
      <c r="R16" s="555"/>
      <c r="S16" s="95" t="s">
        <v>256</v>
      </c>
      <c r="T16" s="12"/>
      <c r="U16" s="12" t="s">
        <v>213</v>
      </c>
      <c r="V16" s="555">
        <f>'2.根入れ長'!T130</f>
        <v>1064.6662969084025</v>
      </c>
      <c r="W16" s="555"/>
      <c r="X16" s="555"/>
      <c r="Y16" s="95" t="s">
        <v>151</v>
      </c>
      <c r="AA16" s="12" t="s">
        <v>213</v>
      </c>
      <c r="AB16" s="555">
        <f>'2.根入れ長'!Y130</f>
        <v>47.627222400000001</v>
      </c>
      <c r="AC16" s="555"/>
      <c r="AD16" s="555"/>
      <c r="AE16" s="12"/>
      <c r="AF16" s="12"/>
      <c r="AG16" s="12"/>
      <c r="AH16" s="12"/>
      <c r="AI16" s="12"/>
      <c r="AJ16" s="14"/>
    </row>
    <row r="17" spans="3:36" ht="21">
      <c r="C17" s="12"/>
      <c r="D17" s="11"/>
      <c r="E17" s="12"/>
      <c r="F17" s="12"/>
      <c r="G17" s="375" t="s">
        <v>383</v>
      </c>
      <c r="H17" s="371"/>
      <c r="I17" s="12" t="s">
        <v>8</v>
      </c>
      <c r="J17" s="555">
        <f>'2.根入れ長'!U96</f>
        <v>25.051499999999997</v>
      </c>
      <c r="K17" s="555"/>
      <c r="L17" s="555"/>
      <c r="M17" s="95" t="s">
        <v>256</v>
      </c>
      <c r="N17" s="12"/>
      <c r="O17" s="12" t="s">
        <v>213</v>
      </c>
      <c r="P17" s="555">
        <f>'2.根入れ長'!AA96</f>
        <v>212.9332593816805</v>
      </c>
      <c r="Q17" s="555"/>
      <c r="R17" s="555"/>
      <c r="S17" s="95" t="s">
        <v>151</v>
      </c>
      <c r="T17" s="12"/>
      <c r="U17" s="12" t="s">
        <v>213</v>
      </c>
      <c r="V17" s="555">
        <f>'2.根入れ長'!AF96</f>
        <v>10.353744000000001</v>
      </c>
      <c r="W17" s="555"/>
      <c r="X17" s="555"/>
      <c r="AA17" s="12"/>
      <c r="AB17" s="12"/>
      <c r="AC17" s="12"/>
      <c r="AD17" s="12"/>
      <c r="AE17" s="12"/>
      <c r="AF17" s="12"/>
      <c r="AG17" s="12"/>
      <c r="AH17" s="12"/>
      <c r="AI17" s="12"/>
      <c r="AJ17" s="14"/>
    </row>
    <row r="18" spans="3:36" ht="20.25">
      <c r="C18" s="12"/>
      <c r="D18" s="11"/>
      <c r="E18" s="12"/>
      <c r="F18" s="12"/>
      <c r="G18" s="79" t="s">
        <v>384</v>
      </c>
      <c r="H18" s="12"/>
      <c r="I18" s="12" t="s">
        <v>8</v>
      </c>
      <c r="J18" s="555">
        <f>'2.根入れ長'!J164</f>
        <v>0.27964656865046067</v>
      </c>
      <c r="K18" s="555"/>
      <c r="L18" s="555"/>
      <c r="M18" s="12"/>
      <c r="N18" s="12"/>
      <c r="O18" s="12"/>
      <c r="P18" s="12"/>
      <c r="Q18" s="12"/>
      <c r="R18" s="12"/>
      <c r="S18" s="12"/>
      <c r="T18" s="12"/>
      <c r="U18" s="12"/>
      <c r="V18" s="12"/>
      <c r="Y18" s="12"/>
      <c r="Z18" s="12"/>
      <c r="AA18" s="12"/>
      <c r="AB18" s="12"/>
      <c r="AC18" s="12"/>
      <c r="AD18" s="12"/>
      <c r="AE18" s="12"/>
      <c r="AF18" s="12"/>
      <c r="AG18" s="12"/>
      <c r="AH18" s="12"/>
      <c r="AI18" s="12"/>
      <c r="AJ18" s="14"/>
    </row>
    <row r="19" spans="3:36">
      <c r="C19" s="12"/>
      <c r="D19" s="11"/>
      <c r="E19" s="12"/>
      <c r="F19" s="12" t="s">
        <v>385</v>
      </c>
      <c r="G19" s="79"/>
      <c r="H19" s="12"/>
      <c r="I19" s="12"/>
      <c r="J19" s="23"/>
      <c r="K19" s="23"/>
      <c r="L19" s="23"/>
      <c r="M19" s="12"/>
      <c r="N19" s="12"/>
      <c r="O19" s="12"/>
      <c r="P19" s="12"/>
      <c r="Q19" s="12"/>
      <c r="T19" s="12"/>
      <c r="U19" s="12"/>
      <c r="V19" s="12"/>
      <c r="W19" s="12"/>
      <c r="X19" s="12"/>
      <c r="Y19" s="12"/>
      <c r="Z19" s="12"/>
      <c r="AA19" s="12"/>
      <c r="AB19" s="12"/>
      <c r="AC19" s="12"/>
      <c r="AD19" s="12"/>
      <c r="AE19" s="12"/>
      <c r="AF19" s="12"/>
      <c r="AG19" s="12"/>
      <c r="AH19" s="12"/>
      <c r="AI19" s="12"/>
      <c r="AJ19" s="14"/>
    </row>
    <row r="20" spans="3:36">
      <c r="C20" s="12"/>
      <c r="D20" s="11"/>
      <c r="E20" s="557" t="s">
        <v>381</v>
      </c>
      <c r="F20" s="557"/>
      <c r="G20" s="541" t="s">
        <v>8</v>
      </c>
      <c r="H20" s="562">
        <f>J16</f>
        <v>16.700999999999997</v>
      </c>
      <c r="I20" s="562"/>
      <c r="J20" s="25" t="s">
        <v>215</v>
      </c>
      <c r="K20" s="562">
        <f>J18</f>
        <v>0.27964656865046067</v>
      </c>
      <c r="L20" s="562"/>
      <c r="M20" s="332" t="s">
        <v>386</v>
      </c>
      <c r="N20" s="562">
        <f>P16</f>
        <v>231.72412969084024</v>
      </c>
      <c r="O20" s="562"/>
      <c r="P20" s="562"/>
      <c r="Q20" s="25" t="s">
        <v>215</v>
      </c>
      <c r="R20" s="562">
        <f>J18</f>
        <v>0.27964656865046067</v>
      </c>
      <c r="S20" s="562"/>
      <c r="T20" s="332" t="s">
        <v>387</v>
      </c>
      <c r="U20" s="556">
        <f>V16</f>
        <v>1064.6662969084025</v>
      </c>
      <c r="V20" s="556"/>
      <c r="W20" s="556"/>
      <c r="X20" s="25" t="s">
        <v>215</v>
      </c>
      <c r="Y20" s="562">
        <f>J18</f>
        <v>0.27964656865046067</v>
      </c>
      <c r="Z20" s="562"/>
      <c r="AA20" s="332" t="s">
        <v>213</v>
      </c>
      <c r="AB20" s="556">
        <f>AB16</f>
        <v>47.627222400000001</v>
      </c>
      <c r="AC20" s="556"/>
      <c r="AD20" s="556"/>
      <c r="AE20" s="31"/>
      <c r="AF20" s="12"/>
      <c r="AG20" s="12"/>
      <c r="AH20" s="12"/>
      <c r="AI20" s="12"/>
      <c r="AJ20" s="14"/>
    </row>
    <row r="21" spans="3:36">
      <c r="C21" s="12"/>
      <c r="D21" s="11"/>
      <c r="E21" s="557"/>
      <c r="F21" s="557"/>
      <c r="G21" s="541"/>
      <c r="H21" s="12"/>
      <c r="I21" s="12"/>
      <c r="J21" s="589">
        <f>J17</f>
        <v>25.051499999999997</v>
      </c>
      <c r="K21" s="589"/>
      <c r="L21" s="589"/>
      <c r="M21" s="12" t="s">
        <v>215</v>
      </c>
      <c r="N21" s="589">
        <f>J18</f>
        <v>0.27964656865046067</v>
      </c>
      <c r="O21" s="589"/>
      <c r="P21" s="333" t="s">
        <v>387</v>
      </c>
      <c r="Q21" s="604">
        <f>P17</f>
        <v>212.9332593816805</v>
      </c>
      <c r="R21" s="604"/>
      <c r="S21" s="604"/>
      <c r="T21" s="95" t="s">
        <v>215</v>
      </c>
      <c r="U21" s="589">
        <f>J18</f>
        <v>0.27964656865046067</v>
      </c>
      <c r="V21" s="589"/>
      <c r="W21" s="333" t="s">
        <v>213</v>
      </c>
      <c r="X21" s="657">
        <f>V17</f>
        <v>10.353744000000001</v>
      </c>
      <c r="Y21" s="657"/>
      <c r="Z21" s="657"/>
      <c r="AA21" s="12"/>
      <c r="AB21" s="12"/>
      <c r="AC21" s="12"/>
      <c r="AD21" s="12"/>
      <c r="AE21" s="12"/>
      <c r="AF21" s="12"/>
      <c r="AG21" s="12"/>
      <c r="AH21" s="12"/>
      <c r="AI21" s="12"/>
      <c r="AJ21" s="109"/>
    </row>
    <row r="22" spans="3:36">
      <c r="C22" s="12"/>
      <c r="D22" s="11"/>
      <c r="E22" s="12"/>
      <c r="F22" s="12"/>
      <c r="G22" s="541" t="s">
        <v>8</v>
      </c>
      <c r="H22" s="529">
        <f>H20*K20^3+N20*R20^2+U20*Y20+AB20</f>
        <v>363.84407039999883</v>
      </c>
      <c r="I22" s="529"/>
      <c r="J22" s="529"/>
      <c r="K22" s="23"/>
      <c r="L22" s="23"/>
      <c r="M22" s="12"/>
      <c r="N22" s="12"/>
      <c r="O22" s="12"/>
      <c r="P22" s="12"/>
      <c r="Q22" s="12"/>
      <c r="R22" s="12"/>
      <c r="S22" s="12"/>
      <c r="T22" s="12"/>
      <c r="U22" s="12"/>
      <c r="V22" s="12"/>
      <c r="W22" s="12"/>
      <c r="X22" s="12"/>
      <c r="Y22" s="12"/>
      <c r="Z22" s="12"/>
      <c r="AA22" s="12"/>
      <c r="AB22" s="12"/>
      <c r="AC22" s="12"/>
      <c r="AD22" s="12"/>
      <c r="AE22" s="12"/>
      <c r="AF22" s="12"/>
      <c r="AG22" s="12"/>
      <c r="AH22" s="12"/>
      <c r="AI22" s="12"/>
      <c r="AJ22" s="14"/>
    </row>
    <row r="23" spans="3:36">
      <c r="C23" s="12"/>
      <c r="D23" s="11"/>
      <c r="E23" s="12"/>
      <c r="F23" s="12"/>
      <c r="G23" s="541"/>
      <c r="H23" s="660">
        <f>J21*N21^2+Q21*U21+X21</f>
        <v>71.85888183506782</v>
      </c>
      <c r="I23" s="660"/>
      <c r="J23" s="660"/>
      <c r="K23" s="23"/>
      <c r="L23" s="23"/>
      <c r="M23" s="12"/>
      <c r="N23" s="12"/>
      <c r="O23" s="12"/>
      <c r="P23" s="12"/>
      <c r="Q23" s="12"/>
      <c r="R23" s="12"/>
      <c r="S23" s="12"/>
      <c r="T23" s="12"/>
      <c r="U23" s="12"/>
      <c r="V23" s="12"/>
      <c r="W23" s="12"/>
      <c r="Z23" s="12"/>
      <c r="AA23" s="12"/>
      <c r="AB23" s="12"/>
      <c r="AC23" s="12"/>
      <c r="AD23" s="12"/>
      <c r="AE23" s="12"/>
      <c r="AF23" s="12"/>
      <c r="AG23" s="12"/>
      <c r="AH23" s="12"/>
      <c r="AI23" s="12"/>
      <c r="AJ23" s="14"/>
    </row>
    <row r="24" spans="3:36">
      <c r="C24" s="12"/>
      <c r="D24" s="11"/>
      <c r="E24" s="12"/>
      <c r="F24" s="12"/>
      <c r="G24" s="27"/>
      <c r="H24" s="13"/>
      <c r="I24" s="13"/>
      <c r="J24" s="13"/>
      <c r="K24" s="23"/>
      <c r="L24" s="23"/>
      <c r="M24" s="12"/>
      <c r="N24" s="12"/>
      <c r="O24" s="12"/>
      <c r="P24" s="12"/>
      <c r="Q24" s="12"/>
      <c r="R24" s="12"/>
      <c r="S24" s="12"/>
      <c r="T24" s="12"/>
      <c r="W24" s="12"/>
      <c r="X24" s="12"/>
      <c r="Y24" s="12"/>
      <c r="Z24" s="12"/>
      <c r="AA24" s="12"/>
      <c r="AB24" s="12"/>
      <c r="AC24" s="12"/>
      <c r="AD24" s="12"/>
      <c r="AG24" s="12"/>
      <c r="AH24" s="12"/>
      <c r="AI24" s="12"/>
      <c r="AJ24" s="14"/>
    </row>
    <row r="25" spans="3:36">
      <c r="C25" s="12"/>
      <c r="D25" s="11"/>
      <c r="E25" s="12"/>
      <c r="F25" s="12"/>
      <c r="G25" s="27" t="s">
        <v>8</v>
      </c>
      <c r="H25" s="780">
        <f>H22/H23</f>
        <v>5.063313832729853</v>
      </c>
      <c r="I25" s="781"/>
      <c r="J25" s="782"/>
      <c r="K25" s="23" t="s">
        <v>9</v>
      </c>
      <c r="L25" s="23"/>
      <c r="M25" s="12"/>
      <c r="N25" s="12"/>
      <c r="O25" s="12"/>
      <c r="P25" s="12"/>
      <c r="Q25" s="12"/>
      <c r="R25" s="12"/>
      <c r="S25" s="12"/>
      <c r="T25" s="12"/>
      <c r="U25" s="12"/>
      <c r="V25" s="12"/>
      <c r="W25" s="12"/>
      <c r="X25" s="12"/>
      <c r="Y25" s="12"/>
      <c r="Z25" s="12"/>
      <c r="AA25" s="12"/>
      <c r="AB25" s="12"/>
      <c r="AC25" s="12"/>
      <c r="AD25" s="12"/>
      <c r="AG25" s="12"/>
      <c r="AH25" s="12"/>
      <c r="AI25" s="12"/>
      <c r="AJ25" s="14"/>
    </row>
    <row r="26" spans="3:36">
      <c r="C26" s="12"/>
      <c r="D26" s="11"/>
      <c r="E26" s="12"/>
      <c r="F26" s="12"/>
      <c r="G26" s="27"/>
      <c r="H26" s="326"/>
      <c r="I26" s="326"/>
      <c r="J26" s="326"/>
      <c r="K26" s="23"/>
      <c r="L26" s="23"/>
      <c r="M26" s="12"/>
      <c r="N26" s="12"/>
      <c r="O26" s="12"/>
      <c r="P26" s="12"/>
      <c r="Q26" s="12"/>
      <c r="R26" s="12"/>
      <c r="S26" s="12"/>
      <c r="T26" s="12"/>
      <c r="U26" s="12"/>
      <c r="V26" s="12"/>
      <c r="W26" s="12"/>
      <c r="X26" s="12"/>
      <c r="Y26" s="12"/>
      <c r="Z26" s="12"/>
      <c r="AA26" s="12"/>
      <c r="AB26" s="12"/>
      <c r="AC26" s="12"/>
      <c r="AD26" s="12"/>
      <c r="AE26" s="148"/>
      <c r="AF26" s="148"/>
      <c r="AG26" s="12"/>
      <c r="AH26" s="12"/>
      <c r="AI26" s="12"/>
      <c r="AJ26" s="14"/>
    </row>
    <row r="27" spans="3:36">
      <c r="C27" s="12"/>
      <c r="D27" s="11"/>
      <c r="E27" s="12"/>
      <c r="F27" s="12"/>
      <c r="G27" s="27"/>
      <c r="H27" s="326"/>
      <c r="I27" s="326"/>
      <c r="J27" s="326"/>
      <c r="K27" s="23"/>
      <c r="L27" s="23"/>
      <c r="M27" s="12"/>
      <c r="N27" s="12"/>
      <c r="O27" s="12"/>
      <c r="P27" s="12"/>
      <c r="Q27" s="12"/>
      <c r="R27" s="12"/>
      <c r="S27" s="12"/>
      <c r="T27" s="12"/>
      <c r="U27" s="12"/>
      <c r="V27" s="12"/>
      <c r="W27" s="12"/>
      <c r="X27" s="12"/>
      <c r="Y27" s="12"/>
      <c r="Z27" s="12"/>
      <c r="AA27" s="12"/>
      <c r="AB27" s="12"/>
      <c r="AC27" s="12"/>
      <c r="AD27" s="12"/>
      <c r="AE27" s="148"/>
      <c r="AF27" s="148"/>
      <c r="AG27" s="12"/>
      <c r="AH27" s="12"/>
      <c r="AI27" s="12"/>
      <c r="AJ27" s="14"/>
    </row>
    <row r="28" spans="3:36">
      <c r="C28" s="12"/>
      <c r="D28" s="11"/>
      <c r="E28" s="12"/>
      <c r="F28" s="12"/>
      <c r="G28" s="27"/>
      <c r="H28" s="326"/>
      <c r="I28" s="326"/>
      <c r="J28" s="326"/>
      <c r="K28" s="23"/>
      <c r="L28" s="23"/>
      <c r="M28" s="12"/>
      <c r="N28" s="12"/>
      <c r="O28" s="12"/>
      <c r="P28" s="12"/>
      <c r="Q28" s="12"/>
      <c r="R28" s="12"/>
      <c r="S28" s="12"/>
      <c r="T28" s="12"/>
      <c r="U28" s="12"/>
      <c r="V28" s="12"/>
      <c r="W28" s="12"/>
      <c r="X28" s="12"/>
      <c r="Y28" s="12"/>
      <c r="Z28" s="12"/>
      <c r="AA28" s="12"/>
      <c r="AB28" s="12"/>
      <c r="AC28" s="12"/>
      <c r="AD28" s="12"/>
      <c r="AE28" s="148"/>
      <c r="AF28" s="148"/>
      <c r="AG28" s="12"/>
      <c r="AH28" s="12"/>
      <c r="AI28" s="12"/>
      <c r="AJ28" s="14"/>
    </row>
    <row r="29" spans="3:36">
      <c r="C29" s="12"/>
      <c r="D29" s="11"/>
      <c r="E29" s="12"/>
      <c r="F29" s="12"/>
      <c r="G29" s="27"/>
      <c r="H29" s="326"/>
      <c r="I29" s="326"/>
      <c r="J29" s="326"/>
      <c r="K29" s="23"/>
      <c r="L29" s="23"/>
      <c r="M29" s="12"/>
      <c r="N29" s="12"/>
      <c r="O29" s="12"/>
      <c r="P29" s="12"/>
      <c r="Q29" s="12"/>
      <c r="R29" s="12"/>
      <c r="S29" s="12"/>
      <c r="T29" s="12"/>
      <c r="U29" s="12"/>
      <c r="V29" s="12"/>
      <c r="W29" s="12"/>
      <c r="X29" s="12"/>
      <c r="Y29" s="12"/>
      <c r="Z29" s="12"/>
      <c r="AA29" s="12"/>
      <c r="AB29" s="12"/>
      <c r="AC29" s="12"/>
      <c r="AD29" s="12"/>
      <c r="AE29" s="148"/>
      <c r="AF29" s="148"/>
      <c r="AG29" s="12"/>
      <c r="AH29" s="12"/>
      <c r="AI29" s="12"/>
      <c r="AJ29" s="14"/>
    </row>
    <row r="30" spans="3:36">
      <c r="C30" s="12"/>
      <c r="D30" s="11"/>
      <c r="E30" s="12"/>
      <c r="F30" s="12"/>
      <c r="G30" s="27"/>
      <c r="H30" s="326"/>
      <c r="I30" s="326"/>
      <c r="J30" s="326"/>
      <c r="K30" s="23"/>
      <c r="L30" s="23"/>
      <c r="M30" s="12"/>
      <c r="N30" s="12"/>
      <c r="O30" s="12"/>
      <c r="P30" s="12"/>
      <c r="Q30" s="12"/>
      <c r="R30" s="12"/>
      <c r="S30" s="12"/>
      <c r="T30" s="12"/>
      <c r="U30" s="12"/>
      <c r="V30" s="12"/>
      <c r="W30" s="12"/>
      <c r="X30" s="12"/>
      <c r="Y30" s="12"/>
      <c r="Z30" s="12"/>
      <c r="AA30" s="12"/>
      <c r="AB30" s="12"/>
      <c r="AC30" s="12"/>
      <c r="AD30" s="12"/>
      <c r="AE30" s="148"/>
      <c r="AF30" s="148"/>
      <c r="AG30" s="12"/>
      <c r="AH30" s="12"/>
      <c r="AI30" s="12"/>
      <c r="AJ30" s="14"/>
    </row>
    <row r="31" spans="3:36">
      <c r="C31" s="12"/>
      <c r="D31" s="11"/>
      <c r="E31" s="12"/>
      <c r="F31" s="12"/>
      <c r="G31" s="27"/>
      <c r="H31" s="326"/>
      <c r="I31" s="326"/>
      <c r="J31" s="326"/>
      <c r="K31" s="23"/>
      <c r="L31" s="23"/>
      <c r="M31" s="12"/>
      <c r="N31" s="12"/>
      <c r="O31" s="557" t="s">
        <v>381</v>
      </c>
      <c r="P31" s="557"/>
      <c r="Q31" s="12"/>
      <c r="R31" s="12"/>
      <c r="S31" s="12"/>
      <c r="T31" s="12"/>
      <c r="U31" s="12"/>
      <c r="V31" s="12"/>
      <c r="W31" s="12"/>
      <c r="X31" s="12"/>
      <c r="Y31" s="12"/>
      <c r="Z31" s="12"/>
      <c r="AA31" s="12"/>
      <c r="AB31" s="12"/>
      <c r="AC31" s="12"/>
      <c r="AD31" s="12"/>
      <c r="AE31" s="148"/>
      <c r="AF31" s="148"/>
      <c r="AG31" s="12"/>
      <c r="AH31" s="12"/>
      <c r="AI31" s="12"/>
      <c r="AJ31" s="14"/>
    </row>
    <row r="32" spans="3:36">
      <c r="C32" s="12"/>
      <c r="D32" s="11"/>
      <c r="E32" s="12"/>
      <c r="F32" s="12"/>
      <c r="G32" s="27"/>
      <c r="H32" s="326"/>
      <c r="I32" s="326"/>
      <c r="J32" s="326"/>
      <c r="K32" s="23"/>
      <c r="L32" s="23"/>
      <c r="M32" s="12"/>
      <c r="N32" s="12"/>
      <c r="O32" s="557"/>
      <c r="P32" s="557"/>
      <c r="Q32" s="12"/>
      <c r="R32" s="12"/>
      <c r="S32" s="12"/>
      <c r="T32" s="12"/>
      <c r="U32" s="12"/>
      <c r="V32" s="12"/>
      <c r="W32" s="12"/>
      <c r="X32" s="12"/>
      <c r="Y32" s="12"/>
      <c r="Z32" s="12"/>
      <c r="AA32" s="12"/>
      <c r="AB32" s="12"/>
      <c r="AC32" s="12"/>
      <c r="AD32" s="12"/>
      <c r="AE32" s="148"/>
      <c r="AF32" s="148"/>
      <c r="AG32" s="12"/>
      <c r="AH32" s="12"/>
      <c r="AI32" s="12"/>
      <c r="AJ32" s="14"/>
    </row>
    <row r="33" spans="1:37">
      <c r="C33" s="12"/>
      <c r="D33" s="11"/>
      <c r="E33" s="12"/>
      <c r="F33" s="12"/>
      <c r="G33" s="27"/>
      <c r="H33" s="326"/>
      <c r="I33" s="326"/>
      <c r="J33" s="326"/>
      <c r="K33" s="23"/>
      <c r="L33" s="23"/>
      <c r="M33" s="12"/>
      <c r="N33" s="12"/>
      <c r="O33" s="12"/>
      <c r="P33" s="12"/>
      <c r="Q33" s="12"/>
      <c r="R33" s="12"/>
      <c r="S33" s="12"/>
      <c r="T33" s="12"/>
      <c r="U33" s="12"/>
      <c r="V33" s="12"/>
      <c r="W33" s="12"/>
      <c r="X33" s="12"/>
      <c r="Y33" s="12"/>
      <c r="Z33" s="12"/>
      <c r="AA33" s="12"/>
      <c r="AB33" s="12"/>
      <c r="AC33" s="12"/>
      <c r="AD33" s="12"/>
      <c r="AE33" s="148"/>
      <c r="AF33" s="148"/>
      <c r="AG33" s="12"/>
      <c r="AH33" s="12"/>
      <c r="AI33" s="12"/>
      <c r="AJ33" s="14"/>
    </row>
    <row r="34" spans="1:37">
      <c r="C34" s="12"/>
      <c r="D34" s="11"/>
      <c r="E34" s="12"/>
      <c r="F34" s="12"/>
      <c r="G34" s="27"/>
      <c r="H34" s="326"/>
      <c r="I34" s="326"/>
      <c r="J34" s="326"/>
      <c r="K34" s="23"/>
      <c r="L34" s="23"/>
      <c r="M34" s="12"/>
      <c r="N34" s="12"/>
      <c r="O34" s="12"/>
      <c r="P34" s="12"/>
      <c r="Q34" s="12"/>
      <c r="R34" s="12"/>
      <c r="S34" s="12"/>
      <c r="T34" s="12"/>
      <c r="U34" s="12"/>
      <c r="V34" s="12"/>
      <c r="W34" s="12"/>
      <c r="X34" s="12"/>
      <c r="Y34" s="12"/>
      <c r="Z34" s="12"/>
      <c r="AA34" s="12"/>
      <c r="AB34" s="12"/>
      <c r="AC34" s="12"/>
      <c r="AD34" s="12"/>
      <c r="AE34" s="148"/>
      <c r="AF34" s="148"/>
      <c r="AG34" s="12"/>
      <c r="AH34" s="12"/>
      <c r="AI34" s="12"/>
      <c r="AJ34" s="14"/>
    </row>
    <row r="35" spans="1:37">
      <c r="C35" s="12"/>
      <c r="D35" s="11"/>
      <c r="E35" s="12"/>
      <c r="F35" s="12"/>
      <c r="G35" s="27"/>
      <c r="H35" s="326"/>
      <c r="I35" s="326"/>
      <c r="J35" s="326"/>
      <c r="K35" s="23"/>
      <c r="L35" s="23"/>
      <c r="M35" s="12"/>
      <c r="N35" s="12"/>
      <c r="O35" s="12"/>
      <c r="P35" s="12"/>
      <c r="Q35" s="12"/>
      <c r="R35" s="12"/>
      <c r="S35" s="12"/>
      <c r="T35" s="12"/>
      <c r="U35" s="12"/>
      <c r="V35" s="12"/>
      <c r="W35" s="12"/>
      <c r="X35" s="12"/>
      <c r="Y35" s="12"/>
      <c r="Z35" s="12"/>
      <c r="AA35" s="12"/>
      <c r="AB35" s="12"/>
      <c r="AC35" s="12"/>
      <c r="AD35" s="12"/>
      <c r="AE35" s="148"/>
      <c r="AF35" s="148"/>
      <c r="AG35" s="12"/>
      <c r="AH35" s="12"/>
      <c r="AI35" s="12"/>
      <c r="AJ35" s="14"/>
    </row>
    <row r="36" spans="1:37">
      <c r="C36" s="12"/>
      <c r="D36" s="11"/>
      <c r="E36" s="12"/>
      <c r="F36" s="12"/>
      <c r="G36" s="27"/>
      <c r="H36" s="326"/>
      <c r="I36" s="326"/>
      <c r="J36" s="326"/>
      <c r="K36" s="23"/>
      <c r="L36" s="23"/>
      <c r="M36" s="12"/>
      <c r="N36" s="12"/>
      <c r="O36" s="12"/>
      <c r="P36" s="12"/>
      <c r="Q36" s="12"/>
      <c r="R36" s="12"/>
      <c r="S36" s="12"/>
      <c r="T36" s="12"/>
      <c r="U36" s="12"/>
      <c r="V36" s="12"/>
      <c r="W36" s="12"/>
      <c r="X36" s="12"/>
      <c r="Y36" s="12"/>
      <c r="Z36" s="12"/>
      <c r="AA36" s="12"/>
      <c r="AB36" s="12"/>
      <c r="AC36" s="12"/>
      <c r="AD36" s="12"/>
      <c r="AE36" s="148"/>
      <c r="AF36" s="148"/>
      <c r="AG36" s="12"/>
      <c r="AH36" s="12"/>
      <c r="AI36" s="12"/>
      <c r="AJ36" s="14"/>
    </row>
    <row r="37" spans="1:37">
      <c r="C37" s="12"/>
      <c r="D37" s="11"/>
      <c r="E37" s="12"/>
      <c r="F37" s="12"/>
      <c r="G37" s="27"/>
      <c r="H37" s="326"/>
      <c r="I37" s="326"/>
      <c r="J37" s="326"/>
      <c r="K37" s="23"/>
      <c r="L37" s="23"/>
      <c r="M37" s="12"/>
      <c r="P37" s="12"/>
      <c r="Q37" s="12"/>
      <c r="R37" s="12"/>
      <c r="S37" s="12"/>
      <c r="T37" s="12"/>
      <c r="U37" s="12"/>
      <c r="V37" s="12"/>
      <c r="W37" s="12"/>
      <c r="X37" s="12"/>
      <c r="Y37" s="12"/>
      <c r="Z37" s="12"/>
      <c r="AA37" s="12"/>
      <c r="AB37" s="12"/>
      <c r="AC37" s="12"/>
      <c r="AD37" s="12"/>
      <c r="AE37" s="148"/>
      <c r="AF37" s="148"/>
      <c r="AG37" s="12"/>
      <c r="AH37" s="12"/>
      <c r="AI37" s="12"/>
      <c r="AJ37" s="14"/>
    </row>
    <row r="38" spans="1:37">
      <c r="C38" s="12"/>
      <c r="D38" s="11"/>
      <c r="E38" s="12"/>
      <c r="F38" s="12"/>
      <c r="G38" s="27"/>
      <c r="H38" s="326"/>
      <c r="I38" s="326"/>
      <c r="J38" s="326"/>
      <c r="K38" s="23"/>
      <c r="L38" s="23"/>
      <c r="M38" s="12"/>
      <c r="N38" s="778" t="s">
        <v>388</v>
      </c>
      <c r="O38" s="779"/>
      <c r="P38" s="12"/>
      <c r="Q38" s="12"/>
      <c r="R38" s="12"/>
      <c r="S38" s="12"/>
      <c r="T38" s="12"/>
      <c r="U38" s="12"/>
      <c r="V38" s="12"/>
      <c r="W38" s="12"/>
      <c r="X38" s="12"/>
      <c r="Y38" s="12"/>
      <c r="Z38" s="12"/>
      <c r="AA38" s="12"/>
      <c r="AB38" s="12"/>
      <c r="AC38" s="12"/>
      <c r="AD38" s="12"/>
      <c r="AE38" s="148"/>
      <c r="AF38" s="148"/>
      <c r="AG38" s="12"/>
      <c r="AH38" s="12"/>
      <c r="AI38" s="12"/>
      <c r="AJ38" s="14"/>
    </row>
    <row r="39" spans="1:37">
      <c r="C39" s="12"/>
      <c r="D39" s="11"/>
      <c r="E39" s="12"/>
      <c r="F39" s="12"/>
      <c r="G39" s="27"/>
      <c r="H39" s="326"/>
      <c r="I39" s="326"/>
      <c r="J39" s="326"/>
      <c r="K39" s="23"/>
      <c r="L39" s="23"/>
      <c r="M39" s="12"/>
      <c r="N39" s="12"/>
      <c r="O39" s="12"/>
      <c r="P39" s="12"/>
      <c r="Q39" s="12"/>
      <c r="R39" s="12"/>
      <c r="S39" s="12"/>
      <c r="T39" s="12"/>
      <c r="U39" s="12"/>
      <c r="V39" s="12"/>
      <c r="W39" s="12"/>
      <c r="X39" s="12"/>
      <c r="Y39" s="12"/>
      <c r="Z39" s="12"/>
      <c r="AA39" s="12"/>
      <c r="AB39" s="12"/>
      <c r="AC39" s="12"/>
      <c r="AD39" s="12"/>
      <c r="AE39" s="148"/>
      <c r="AF39" s="148"/>
      <c r="AG39" s="12"/>
      <c r="AH39" s="12"/>
      <c r="AI39" s="12"/>
      <c r="AJ39" s="14"/>
    </row>
    <row r="40" spans="1:37">
      <c r="C40" s="12"/>
      <c r="D40" s="11"/>
      <c r="E40" s="12"/>
      <c r="F40" s="12"/>
      <c r="G40" s="27"/>
      <c r="H40" s="326"/>
      <c r="I40" s="326"/>
      <c r="J40" s="326"/>
      <c r="K40" s="23"/>
      <c r="L40" s="23"/>
      <c r="M40" s="12"/>
      <c r="N40" s="12"/>
      <c r="O40" s="12"/>
      <c r="P40" s="12"/>
      <c r="Q40" s="12"/>
      <c r="R40" s="12"/>
      <c r="S40" s="12"/>
      <c r="T40" s="12"/>
      <c r="U40" s="12"/>
      <c r="V40" s="12"/>
      <c r="W40" s="12"/>
      <c r="X40" s="12"/>
      <c r="Y40" s="12"/>
      <c r="Z40" s="12"/>
      <c r="AA40" s="12"/>
      <c r="AB40" s="12"/>
      <c r="AC40" s="12"/>
      <c r="AD40" s="12"/>
      <c r="AE40" s="148"/>
      <c r="AF40" s="148"/>
      <c r="AG40" s="12"/>
      <c r="AH40" s="12"/>
      <c r="AI40" s="12"/>
      <c r="AJ40" s="14"/>
    </row>
    <row r="41" spans="1:37">
      <c r="C41" s="12"/>
      <c r="D41" s="11"/>
      <c r="E41" s="12"/>
      <c r="F41" s="12"/>
      <c r="G41" s="31"/>
      <c r="H41" s="110"/>
      <c r="I41" s="110"/>
      <c r="J41" s="110"/>
      <c r="K41" s="23"/>
      <c r="L41" s="23"/>
      <c r="M41" s="12"/>
      <c r="N41" s="12"/>
      <c r="O41" s="12"/>
      <c r="P41" s="12"/>
      <c r="Q41" s="12"/>
      <c r="R41" s="12"/>
      <c r="S41" s="12"/>
      <c r="T41" s="12"/>
      <c r="U41" s="12"/>
      <c r="V41" s="12"/>
      <c r="W41" s="12"/>
      <c r="X41" s="12"/>
      <c r="Y41" s="12"/>
      <c r="Z41" s="12"/>
      <c r="AA41" s="12"/>
      <c r="AB41" s="12"/>
      <c r="AC41" s="12"/>
      <c r="AD41" s="12"/>
      <c r="AE41" s="12"/>
      <c r="AF41" s="12"/>
      <c r="AG41" s="12"/>
      <c r="AH41" s="12"/>
      <c r="AI41" s="12"/>
      <c r="AJ41" s="14"/>
    </row>
    <row r="42" spans="1:37">
      <c r="C42" s="12"/>
      <c r="D42" s="11"/>
      <c r="E42" s="12"/>
      <c r="F42" s="703" t="s">
        <v>389</v>
      </c>
      <c r="G42" s="703"/>
      <c r="H42" s="703"/>
      <c r="I42" s="703"/>
      <c r="J42" s="703"/>
      <c r="K42" s="703"/>
      <c r="L42" s="703"/>
      <c r="M42" s="703"/>
      <c r="N42" s="703"/>
      <c r="O42" s="703"/>
      <c r="P42" s="703"/>
      <c r="Q42" s="703"/>
      <c r="R42" s="555">
        <f>'2.根入れ長'!H18</f>
        <v>3.8</v>
      </c>
      <c r="S42" s="555"/>
      <c r="T42" s="555"/>
      <c r="U42" s="12" t="s">
        <v>9</v>
      </c>
      <c r="V42" s="12" t="s">
        <v>385</v>
      </c>
      <c r="W42" s="81"/>
      <c r="X42" s="81"/>
      <c r="Y42" s="12"/>
      <c r="AF42" s="12"/>
      <c r="AG42" s="12"/>
      <c r="AH42" s="12"/>
      <c r="AI42" s="12"/>
      <c r="AJ42" s="14"/>
    </row>
    <row r="43" spans="1:37">
      <c r="C43" s="12"/>
      <c r="D43" s="11"/>
      <c r="E43" s="12"/>
      <c r="F43" s="701" t="s">
        <v>390</v>
      </c>
      <c r="G43" s="701"/>
      <c r="H43" s="701"/>
      <c r="I43" s="701"/>
      <c r="J43" s="701"/>
      <c r="K43" s="701"/>
      <c r="L43" s="701"/>
      <c r="M43" s="701"/>
      <c r="N43" s="701"/>
      <c r="O43" s="701"/>
      <c r="P43" s="701"/>
      <c r="Q43" s="701"/>
      <c r="R43" s="555">
        <f>H25</f>
        <v>5.063313832729853</v>
      </c>
      <c r="S43" s="555"/>
      <c r="T43" s="555"/>
      <c r="U43" s="12" t="s">
        <v>391</v>
      </c>
      <c r="V43" s="555">
        <f>R42</f>
        <v>3.8</v>
      </c>
      <c r="W43" s="555"/>
      <c r="X43" s="555"/>
      <c r="Y43" s="12" t="s">
        <v>8</v>
      </c>
      <c r="Z43" s="551">
        <f>R43-V43</f>
        <v>1.2633138327298532</v>
      </c>
      <c r="AA43" s="546"/>
      <c r="AB43" s="547"/>
      <c r="AC43" s="12" t="s">
        <v>9</v>
      </c>
      <c r="AD43" s="12" t="s">
        <v>156</v>
      </c>
      <c r="AE43" s="12"/>
      <c r="AF43" s="12"/>
      <c r="AG43" s="12"/>
      <c r="AH43" s="12"/>
      <c r="AI43" s="12"/>
      <c r="AJ43" s="14"/>
    </row>
    <row r="44" spans="1:37">
      <c r="C44" s="12"/>
      <c r="D44" s="11"/>
      <c r="E44" s="12"/>
      <c r="F44" s="701" t="s">
        <v>392</v>
      </c>
      <c r="G44" s="701"/>
      <c r="H44" s="701"/>
      <c r="I44" s="701"/>
      <c r="J44" s="701"/>
      <c r="K44" s="701"/>
      <c r="L44" s="701"/>
      <c r="M44" s="701"/>
      <c r="N44" s="701"/>
      <c r="O44" s="701"/>
      <c r="P44" s="701"/>
      <c r="Q44" s="701"/>
      <c r="R44" s="555">
        <f>Z43</f>
        <v>1.2633138327298532</v>
      </c>
      <c r="S44" s="555"/>
      <c r="T44" s="555"/>
      <c r="U44" s="12" t="s">
        <v>391</v>
      </c>
      <c r="V44" s="555">
        <f>'2.根入れ長'!H20</f>
        <v>1.2000000000000002</v>
      </c>
      <c r="W44" s="555"/>
      <c r="X44" s="555"/>
      <c r="Y44" s="12" t="s">
        <v>8</v>
      </c>
      <c r="Z44" s="551">
        <f>R44-V44</f>
        <v>6.3313832729853026E-2</v>
      </c>
      <c r="AA44" s="546"/>
      <c r="AB44" s="547"/>
      <c r="AC44" s="12" t="s">
        <v>9</v>
      </c>
      <c r="AD44" s="12" t="s">
        <v>156</v>
      </c>
      <c r="AE44" s="12"/>
      <c r="AF44" s="12"/>
      <c r="AG44" s="12"/>
      <c r="AH44" s="12"/>
      <c r="AI44" s="12"/>
      <c r="AJ44" s="14"/>
    </row>
    <row r="45" spans="1:37">
      <c r="D45" s="15"/>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8"/>
      <c r="AK45" s="12"/>
    </row>
    <row r="46" spans="1:37">
      <c r="A46" s="205"/>
      <c r="B46" s="205"/>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2"/>
      <c r="AJ46" s="12"/>
    </row>
    <row r="47" spans="1:37">
      <c r="C47" s="1" t="s">
        <v>393</v>
      </c>
      <c r="X47" t="s">
        <v>378</v>
      </c>
      <c r="Y47" s="205"/>
      <c r="Z47" s="205"/>
      <c r="AA47" s="205"/>
      <c r="AB47" s="205"/>
    </row>
    <row r="48" spans="1:37">
      <c r="D48" s="8" t="s">
        <v>394</v>
      </c>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10"/>
    </row>
    <row r="49" spans="4:36">
      <c r="D49" s="11"/>
      <c r="E49" s="12" t="s">
        <v>395</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4"/>
    </row>
    <row r="50" spans="4:36">
      <c r="D50" s="11"/>
      <c r="E50" s="12" t="s">
        <v>396</v>
      </c>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4"/>
    </row>
    <row r="51" spans="4:36">
      <c r="D51" s="11"/>
      <c r="F51" s="113" t="s">
        <v>397</v>
      </c>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2"/>
      <c r="AE51" s="12"/>
      <c r="AF51" s="12"/>
      <c r="AG51" s="12"/>
      <c r="AH51" s="12"/>
      <c r="AI51" s="12"/>
      <c r="AJ51" s="14"/>
    </row>
    <row r="52" spans="4:36">
      <c r="D52" s="11"/>
      <c r="E52" s="113"/>
      <c r="O52" s="113"/>
      <c r="P52" s="113"/>
      <c r="Q52" s="113"/>
      <c r="R52" s="113"/>
      <c r="S52" s="113"/>
      <c r="T52" s="113"/>
      <c r="U52" s="113"/>
      <c r="V52" s="113"/>
      <c r="W52" s="113"/>
      <c r="X52" s="113"/>
      <c r="Y52" s="113"/>
      <c r="Z52" s="113"/>
      <c r="AA52" s="113"/>
      <c r="AB52" s="113"/>
      <c r="AC52" s="113"/>
      <c r="AD52" s="12"/>
      <c r="AE52" s="12"/>
      <c r="AF52" s="12"/>
      <c r="AG52" s="12"/>
      <c r="AH52" s="12"/>
      <c r="AI52" s="12"/>
      <c r="AJ52" s="14"/>
    </row>
    <row r="53" spans="4:36">
      <c r="D53" s="11"/>
      <c r="E53" s="113"/>
      <c r="F53" s="95" t="s">
        <v>398</v>
      </c>
      <c r="N53" s="113"/>
      <c r="O53" s="113"/>
      <c r="P53" s="113"/>
      <c r="Q53" s="113"/>
      <c r="R53" s="113"/>
      <c r="S53" s="113"/>
      <c r="T53" s="113"/>
      <c r="U53" s="113"/>
      <c r="V53" s="113"/>
      <c r="W53" s="113"/>
      <c r="X53" s="113"/>
      <c r="AJ53" s="14"/>
    </row>
    <row r="54" spans="4:36">
      <c r="D54" s="11"/>
      <c r="E54" s="113"/>
      <c r="X54" s="113"/>
      <c r="AJ54" s="14"/>
    </row>
    <row r="55" spans="4:36">
      <c r="D55" s="11"/>
      <c r="E55" s="113"/>
      <c r="F55" s="574" t="s">
        <v>35</v>
      </c>
      <c r="G55" s="802" t="s">
        <v>8</v>
      </c>
      <c r="H55" s="803" t="s">
        <v>399</v>
      </c>
      <c r="I55" s="803"/>
      <c r="J55" s="803"/>
      <c r="K55" s="204"/>
      <c r="L55" s="802" t="s">
        <v>8</v>
      </c>
      <c r="M55" s="803">
        <f>AG62</f>
        <v>109.2029628218672</v>
      </c>
      <c r="N55" s="803"/>
      <c r="O55" s="803"/>
      <c r="U55" s="113"/>
      <c r="V55" s="113"/>
      <c r="W55" s="113"/>
      <c r="X55" s="113"/>
      <c r="Y55"/>
      <c r="Z55"/>
      <c r="AA55" s="455" t="s">
        <v>25</v>
      </c>
      <c r="AB55" s="457"/>
      <c r="AC55" s="452" t="s">
        <v>29</v>
      </c>
      <c r="AD55" s="453"/>
      <c r="AE55" s="453"/>
      <c r="AF55" s="454"/>
      <c r="AG55" s="659"/>
      <c r="AH55" s="660"/>
      <c r="AI55" s="661"/>
      <c r="AJ55" s="14"/>
    </row>
    <row r="56" spans="4:36">
      <c r="D56" s="11"/>
      <c r="E56" s="113"/>
      <c r="F56" s="574"/>
      <c r="G56" s="802"/>
      <c r="H56" s="804" t="s">
        <v>400</v>
      </c>
      <c r="I56" s="804"/>
      <c r="J56" s="804"/>
      <c r="K56" s="201"/>
      <c r="L56" s="802"/>
      <c r="M56" s="804">
        <f>AA62</f>
        <v>6.063313832729853</v>
      </c>
      <c r="N56" s="804"/>
      <c r="O56" s="804"/>
      <c r="U56" s="113"/>
      <c r="V56" s="113"/>
      <c r="W56" s="113"/>
      <c r="X56" s="113"/>
      <c r="Y56"/>
      <c r="Z56"/>
      <c r="AA56" s="438" t="s">
        <v>34</v>
      </c>
      <c r="AB56" s="439"/>
      <c r="AC56" s="435" t="s">
        <v>35</v>
      </c>
      <c r="AD56" s="436"/>
      <c r="AE56" s="436"/>
      <c r="AF56" s="437"/>
      <c r="AG56" s="438" t="s">
        <v>401</v>
      </c>
      <c r="AH56" s="371"/>
      <c r="AI56" s="439"/>
      <c r="AJ56" s="14"/>
    </row>
    <row r="57" spans="4:36" ht="20.25">
      <c r="D57" s="11"/>
      <c r="E57" s="113"/>
      <c r="U57" s="113"/>
      <c r="V57" s="113"/>
      <c r="W57" s="113"/>
      <c r="X57" s="113"/>
      <c r="Y57"/>
      <c r="Z57"/>
      <c r="AA57" s="432" t="s">
        <v>40</v>
      </c>
      <c r="AB57" s="433"/>
      <c r="AC57" s="432" t="s">
        <v>41</v>
      </c>
      <c r="AD57" s="433"/>
      <c r="AE57" s="433"/>
      <c r="AF57" s="434"/>
      <c r="AG57" s="528" t="s">
        <v>402</v>
      </c>
      <c r="AH57" s="529"/>
      <c r="AI57" s="530"/>
      <c r="AJ57" s="14"/>
    </row>
    <row r="58" spans="4:36">
      <c r="D58" s="11"/>
      <c r="E58" s="113"/>
      <c r="G58" s="1" t="s">
        <v>8</v>
      </c>
      <c r="H58" s="551">
        <f>M55/M56</f>
        <v>18.010442117046306</v>
      </c>
      <c r="I58" s="546"/>
      <c r="J58" s="547"/>
      <c r="K58" s="1" t="s">
        <v>403</v>
      </c>
      <c r="U58" s="113"/>
      <c r="V58" s="113"/>
      <c r="W58" s="113"/>
      <c r="X58" s="113"/>
      <c r="Y58" s="442" t="s">
        <v>45</v>
      </c>
      <c r="Z58" s="442"/>
      <c r="AA58" s="785">
        <f>'2.根入れ長'!H16</f>
        <v>1</v>
      </c>
      <c r="AB58" s="785"/>
      <c r="AC58" s="797">
        <f>'2.根入れ長'!O16</f>
        <v>18</v>
      </c>
      <c r="AD58" s="797"/>
      <c r="AE58" s="797"/>
      <c r="AF58" s="797"/>
      <c r="AG58" s="789">
        <f>AA58*AC58</f>
        <v>18</v>
      </c>
      <c r="AH58" s="789"/>
      <c r="AI58" s="789"/>
      <c r="AJ58" s="14"/>
    </row>
    <row r="59" spans="4:36">
      <c r="D59" s="11"/>
      <c r="E59" s="113"/>
      <c r="U59" s="113"/>
      <c r="V59" s="113"/>
      <c r="W59" s="113"/>
      <c r="X59" s="113"/>
      <c r="Y59" s="442" t="s">
        <v>174</v>
      </c>
      <c r="Z59" s="442"/>
      <c r="AA59" s="785">
        <f>'2.根入れ長'!H18</f>
        <v>3.8</v>
      </c>
      <c r="AB59" s="785"/>
      <c r="AC59" s="797">
        <f>'2.根入れ長'!O18</f>
        <v>18</v>
      </c>
      <c r="AD59" s="797"/>
      <c r="AE59" s="797"/>
      <c r="AF59" s="797"/>
      <c r="AG59" s="789">
        <f t="shared" ref="AG59:AG61" si="0">AA59*AC59</f>
        <v>68.399999999999991</v>
      </c>
      <c r="AH59" s="789"/>
      <c r="AI59" s="789"/>
      <c r="AJ59" s="14"/>
    </row>
    <row r="60" spans="4:36">
      <c r="D60" s="11"/>
      <c r="E60" s="113"/>
      <c r="U60" s="113"/>
      <c r="V60" s="113"/>
      <c r="W60" s="113"/>
      <c r="X60" s="113"/>
      <c r="Y60" s="442" t="s">
        <v>177</v>
      </c>
      <c r="Z60" s="442"/>
      <c r="AA60" s="785">
        <f>'2.根入れ長'!H20</f>
        <v>1.2000000000000002</v>
      </c>
      <c r="AB60" s="785"/>
      <c r="AC60" s="797">
        <f>'2.根入れ長'!O20</f>
        <v>18</v>
      </c>
      <c r="AD60" s="797"/>
      <c r="AE60" s="797"/>
      <c r="AF60" s="797"/>
      <c r="AG60" s="789">
        <f t="shared" si="0"/>
        <v>21.6</v>
      </c>
      <c r="AH60" s="789"/>
      <c r="AI60" s="789"/>
      <c r="AJ60" s="14"/>
    </row>
    <row r="61" spans="4:36" ht="19.5" thickBot="1">
      <c r="D61" s="11"/>
      <c r="E61" s="113"/>
      <c r="F61" s="113" t="s">
        <v>404</v>
      </c>
      <c r="G61" s="113"/>
      <c r="H61" s="113"/>
      <c r="I61" s="113"/>
      <c r="J61" s="113"/>
      <c r="K61" s="113"/>
      <c r="L61" s="113"/>
      <c r="M61" s="113"/>
      <c r="U61" s="113"/>
      <c r="V61" s="113"/>
      <c r="W61" s="113"/>
      <c r="X61" s="113"/>
      <c r="Y61" s="791" t="s">
        <v>49</v>
      </c>
      <c r="Z61" s="791"/>
      <c r="AA61" s="792">
        <f>Z44</f>
        <v>6.3313832729853026E-2</v>
      </c>
      <c r="AB61" s="792"/>
      <c r="AC61" s="793">
        <f>'2.根入れ長'!O22</f>
        <v>19</v>
      </c>
      <c r="AD61" s="793"/>
      <c r="AE61" s="793"/>
      <c r="AF61" s="793"/>
      <c r="AG61" s="790">
        <f t="shared" si="0"/>
        <v>1.2029628218672075</v>
      </c>
      <c r="AH61" s="790"/>
      <c r="AI61" s="790"/>
      <c r="AJ61" s="14"/>
    </row>
    <row r="62" spans="4:36" ht="19.5" thickTop="1">
      <c r="D62" s="11"/>
      <c r="E62" s="113"/>
      <c r="G62" s="113" t="s">
        <v>405</v>
      </c>
      <c r="H62" s="113"/>
      <c r="I62" s="113"/>
      <c r="J62" s="113"/>
      <c r="K62" s="385">
        <f>-'2.根入れ長'!AB10</f>
        <v>4.8</v>
      </c>
      <c r="L62" s="385"/>
      <c r="M62" s="113" t="s">
        <v>9</v>
      </c>
      <c r="N62" s="113"/>
      <c r="O62" s="113"/>
      <c r="P62" s="113"/>
      <c r="Q62" s="113"/>
      <c r="R62" s="113"/>
      <c r="S62" s="113"/>
      <c r="T62" s="113"/>
      <c r="U62" s="113"/>
      <c r="V62" s="113"/>
      <c r="W62" s="113"/>
      <c r="X62" s="113"/>
      <c r="Y62" s="794" t="s">
        <v>342</v>
      </c>
      <c r="Z62" s="795"/>
      <c r="AA62" s="786">
        <f>SUM(AA58:AB61)</f>
        <v>6.063313832729853</v>
      </c>
      <c r="AB62" s="788"/>
      <c r="AC62" s="796"/>
      <c r="AD62" s="796"/>
      <c r="AE62" s="796"/>
      <c r="AF62" s="796"/>
      <c r="AG62" s="786">
        <f>SUM(AG58:AI61)</f>
        <v>109.2029628218672</v>
      </c>
      <c r="AH62" s="787"/>
      <c r="AI62" s="788"/>
      <c r="AJ62" s="14"/>
    </row>
    <row r="63" spans="4:36">
      <c r="D63" s="11"/>
      <c r="E63" s="113"/>
      <c r="F63" s="1" t="s">
        <v>385</v>
      </c>
      <c r="L63" s="113"/>
      <c r="N63" s="113"/>
      <c r="O63" s="113"/>
      <c r="P63" s="113"/>
      <c r="Q63" s="113"/>
      <c r="R63" s="113"/>
      <c r="S63" s="113"/>
      <c r="T63" s="113"/>
      <c r="U63" s="113"/>
      <c r="V63" s="113"/>
      <c r="W63" s="113"/>
      <c r="X63" s="113"/>
      <c r="Y63" s="113"/>
      <c r="Z63" s="113"/>
      <c r="AA63" s="113"/>
      <c r="AB63" s="113"/>
      <c r="AC63" s="113"/>
      <c r="AD63" s="12"/>
      <c r="AE63" s="12"/>
      <c r="AF63" s="12"/>
      <c r="AG63" s="12"/>
      <c r="AH63" s="12"/>
      <c r="AI63" s="12"/>
      <c r="AJ63" s="14"/>
    </row>
    <row r="64" spans="4:36">
      <c r="D64" s="11"/>
      <c r="E64" s="113"/>
      <c r="G64" s="754" t="s">
        <v>406</v>
      </c>
      <c r="H64" s="754"/>
      <c r="I64" s="28">
        <v>1</v>
      </c>
      <c r="J64" s="752" t="s">
        <v>216</v>
      </c>
      <c r="K64" s="752" t="s">
        <v>7</v>
      </c>
      <c r="L64" s="752" t="s">
        <v>12</v>
      </c>
      <c r="M64" s="752">
        <v>1</v>
      </c>
      <c r="N64" s="752" t="s">
        <v>218</v>
      </c>
      <c r="O64" s="754" t="s">
        <v>8</v>
      </c>
      <c r="P64" s="754"/>
      <c r="Q64" s="28">
        <v>1</v>
      </c>
      <c r="R64" s="752" t="s">
        <v>216</v>
      </c>
      <c r="S64" s="541">
        <f>K62</f>
        <v>4.8</v>
      </c>
      <c r="T64" s="541"/>
      <c r="U64" s="752" t="s">
        <v>12</v>
      </c>
      <c r="V64" s="752">
        <v>1</v>
      </c>
      <c r="W64" s="752" t="s">
        <v>218</v>
      </c>
      <c r="X64" s="113"/>
      <c r="Y64" s="113"/>
      <c r="Z64" s="113"/>
      <c r="AA64" s="113"/>
      <c r="AB64" s="113"/>
      <c r="AC64" s="113"/>
      <c r="AD64" s="12"/>
      <c r="AE64" s="12"/>
      <c r="AF64" s="12"/>
      <c r="AG64" s="12"/>
      <c r="AH64" s="12"/>
      <c r="AI64" s="12"/>
      <c r="AJ64" s="14"/>
    </row>
    <row r="65" spans="4:36">
      <c r="D65" s="11"/>
      <c r="E65" s="113"/>
      <c r="G65" s="754"/>
      <c r="H65" s="754"/>
      <c r="I65" s="242">
        <v>4</v>
      </c>
      <c r="J65" s="752"/>
      <c r="K65" s="752"/>
      <c r="L65" s="752"/>
      <c r="M65" s="752"/>
      <c r="N65" s="752"/>
      <c r="O65" s="754"/>
      <c r="P65" s="754"/>
      <c r="Q65" s="242">
        <v>4</v>
      </c>
      <c r="R65" s="752"/>
      <c r="S65" s="541"/>
      <c r="T65" s="541"/>
      <c r="U65" s="752"/>
      <c r="V65" s="752"/>
      <c r="W65" s="752"/>
      <c r="X65" s="113"/>
      <c r="Y65" s="113"/>
      <c r="Z65" s="113"/>
      <c r="AA65" s="113"/>
      <c r="AB65" s="113"/>
      <c r="AC65" s="113"/>
      <c r="AD65" s="12"/>
      <c r="AE65" s="12"/>
      <c r="AF65" s="12"/>
      <c r="AG65" s="12"/>
      <c r="AH65" s="12"/>
      <c r="AI65" s="12"/>
      <c r="AJ65" s="14"/>
    </row>
    <row r="66" spans="4:36">
      <c r="D66" s="11"/>
      <c r="E66" s="113"/>
      <c r="L66" s="113"/>
      <c r="N66" s="113"/>
      <c r="O66" s="113"/>
      <c r="P66" s="113"/>
      <c r="Q66" s="113"/>
      <c r="R66" s="113"/>
      <c r="S66" s="113"/>
      <c r="T66" s="113"/>
      <c r="U66" s="113"/>
      <c r="V66" s="113"/>
      <c r="W66" s="113"/>
      <c r="X66" s="113"/>
      <c r="Y66" s="113"/>
      <c r="Z66" s="113"/>
      <c r="AA66" s="113"/>
      <c r="AB66" s="113"/>
      <c r="AC66" s="113"/>
      <c r="AD66" s="12"/>
      <c r="AE66" s="12"/>
      <c r="AF66" s="12"/>
      <c r="AG66" s="12"/>
      <c r="AH66" s="12"/>
      <c r="AI66" s="12"/>
      <c r="AJ66" s="14"/>
    </row>
    <row r="67" spans="4:36">
      <c r="D67" s="11"/>
      <c r="E67" s="113"/>
      <c r="F67" s="113"/>
      <c r="H67" s="1" t="s">
        <v>8</v>
      </c>
      <c r="I67" s="783">
        <f>Q64/Q65*(S64-V64)</f>
        <v>0.95</v>
      </c>
      <c r="J67" s="784"/>
      <c r="O67" s="201"/>
      <c r="P67" s="202"/>
      <c r="S67" s="12"/>
      <c r="T67" s="12"/>
      <c r="AI67" s="12"/>
      <c r="AJ67" s="14"/>
    </row>
    <row r="68" spans="4:36">
      <c r="D68" s="11"/>
      <c r="E68" s="113"/>
      <c r="Q68" s="202"/>
      <c r="R68" s="12"/>
      <c r="S68" s="12"/>
      <c r="T68" s="113"/>
      <c r="U68" s="205"/>
      <c r="V68" s="205"/>
      <c r="W68" s="205"/>
      <c r="X68" s="205"/>
      <c r="Y68" s="205"/>
      <c r="Z68" s="205"/>
      <c r="AA68" s="205"/>
      <c r="AB68" s="205"/>
      <c r="AC68" s="205"/>
      <c r="AD68" s="205"/>
      <c r="AE68" s="205"/>
      <c r="AF68" s="205"/>
      <c r="AG68" s="205"/>
      <c r="AH68" s="205"/>
      <c r="AI68" s="113"/>
      <c r="AJ68" s="14"/>
    </row>
    <row r="69" spans="4:36">
      <c r="D69" s="11"/>
      <c r="E69" s="113"/>
      <c r="F69" s="113" t="s">
        <v>407</v>
      </c>
      <c r="Q69" s="202"/>
      <c r="R69" s="12"/>
      <c r="S69" s="12"/>
      <c r="T69" s="113"/>
      <c r="U69" s="205"/>
      <c r="V69" s="205"/>
      <c r="W69" s="205"/>
      <c r="X69" s="205"/>
      <c r="Y69" s="205"/>
      <c r="Z69" s="205"/>
      <c r="AA69" s="205"/>
      <c r="AB69" s="205"/>
      <c r="AC69" s="205"/>
      <c r="AD69" s="205"/>
      <c r="AE69" s="205"/>
      <c r="AF69" s="205"/>
      <c r="AG69" s="205"/>
      <c r="AH69" s="205"/>
      <c r="AI69" s="113"/>
      <c r="AJ69" s="14"/>
    </row>
    <row r="70" spans="4:36">
      <c r="D70" s="11"/>
      <c r="E70" s="113"/>
      <c r="G70" s="113" t="s">
        <v>408</v>
      </c>
      <c r="H70" s="113"/>
      <c r="I70" s="113"/>
      <c r="J70" s="385" t="str">
        <f>'1.設計条件'!H23</f>
        <v>砂質</v>
      </c>
      <c r="K70" s="385"/>
      <c r="Q70" s="12"/>
      <c r="R70" s="12"/>
      <c r="S70" s="12"/>
      <c r="T70" s="113"/>
      <c r="U70" s="205"/>
      <c r="V70" s="205"/>
      <c r="W70" s="205"/>
      <c r="X70" s="205"/>
      <c r="Y70" s="205"/>
      <c r="Z70" s="205"/>
      <c r="AA70" s="205"/>
      <c r="AB70" s="205"/>
      <c r="AC70" s="205"/>
      <c r="AD70" s="205"/>
      <c r="AE70" s="205"/>
      <c r="AF70" s="205"/>
      <c r="AG70" s="205"/>
      <c r="AH70" s="205"/>
      <c r="AI70" s="113"/>
      <c r="AJ70" s="14"/>
    </row>
    <row r="71" spans="4:36">
      <c r="D71" s="11"/>
      <c r="E71" s="113"/>
      <c r="F71" s="113" t="s">
        <v>385</v>
      </c>
      <c r="G71" s="113"/>
      <c r="H71" s="113"/>
      <c r="I71" s="113"/>
      <c r="J71" s="113"/>
      <c r="K71" s="113"/>
      <c r="Q71" s="12"/>
      <c r="R71" s="12"/>
      <c r="S71" s="12"/>
      <c r="T71" s="113"/>
      <c r="U71" s="205"/>
      <c r="V71" s="205"/>
      <c r="W71" s="205"/>
      <c r="X71" s="205"/>
      <c r="Y71" s="205"/>
      <c r="Z71" s="205"/>
      <c r="AA71" s="205"/>
      <c r="AB71" s="205"/>
      <c r="AC71" s="205"/>
      <c r="AD71" s="205"/>
      <c r="AE71" s="205"/>
      <c r="AF71" s="205"/>
      <c r="AG71" s="205"/>
      <c r="AH71" s="205"/>
      <c r="AI71" s="113"/>
      <c r="AJ71" s="14"/>
    </row>
    <row r="72" spans="4:36">
      <c r="D72" s="11"/>
      <c r="E72" s="113"/>
      <c r="F72" s="113"/>
      <c r="G72" s="385" t="s">
        <v>409</v>
      </c>
      <c r="H72" s="385"/>
      <c r="I72" s="480">
        <v>2</v>
      </c>
      <c r="J72" s="482"/>
      <c r="K72" s="113"/>
      <c r="Q72" s="12"/>
      <c r="R72" s="12"/>
      <c r="S72" s="12"/>
      <c r="T72" s="113"/>
      <c r="U72" s="205"/>
      <c r="V72" s="205"/>
      <c r="W72" s="205"/>
      <c r="X72" s="205"/>
      <c r="Y72" s="205"/>
      <c r="Z72" s="205"/>
      <c r="AA72" s="205"/>
      <c r="AB72" s="205"/>
      <c r="AC72" s="205"/>
      <c r="AD72" s="205"/>
      <c r="AE72" s="205"/>
      <c r="AF72" s="205"/>
      <c r="AG72" s="205"/>
      <c r="AH72" s="205"/>
      <c r="AI72" s="113"/>
      <c r="AJ72" s="14"/>
    </row>
    <row r="73" spans="4:36">
      <c r="D73" s="11"/>
      <c r="E73" s="113"/>
      <c r="Q73" s="12"/>
      <c r="R73" s="12"/>
      <c r="S73" s="12"/>
      <c r="T73" s="113"/>
      <c r="U73" s="205"/>
      <c r="V73" s="205"/>
      <c r="W73" s="205"/>
      <c r="X73" s="205"/>
      <c r="Y73" s="205"/>
      <c r="Z73" s="205"/>
      <c r="AA73" s="205"/>
      <c r="AB73" s="205"/>
      <c r="AC73" s="205"/>
      <c r="AD73" s="205"/>
      <c r="AE73" s="205"/>
      <c r="AF73" s="205"/>
      <c r="AG73" s="205"/>
      <c r="AH73" s="205"/>
      <c r="AI73" s="113"/>
      <c r="AJ73" s="14"/>
    </row>
    <row r="74" spans="4:36">
      <c r="D74" s="11"/>
      <c r="E74" s="113"/>
      <c r="F74" s="1" t="s">
        <v>410</v>
      </c>
      <c r="Q74" s="202"/>
      <c r="R74" s="203"/>
      <c r="S74" s="203"/>
      <c r="T74" s="203"/>
      <c r="U74" s="203"/>
      <c r="V74" s="205"/>
      <c r="W74" s="205"/>
      <c r="X74" s="205"/>
      <c r="Y74" s="205"/>
      <c r="Z74" s="205"/>
      <c r="AA74" s="205"/>
      <c r="AB74" s="205"/>
      <c r="AC74" s="205"/>
      <c r="AD74" s="205"/>
      <c r="AE74" s="205"/>
      <c r="AF74" s="205"/>
      <c r="AG74" s="113"/>
      <c r="AH74" s="113"/>
      <c r="AI74" s="113"/>
      <c r="AJ74" s="14"/>
    </row>
    <row r="75" spans="4:36">
      <c r="D75" s="11"/>
      <c r="E75" s="113"/>
      <c r="F75" s="78"/>
      <c r="G75" s="78"/>
      <c r="H75" s="201"/>
      <c r="I75" s="201"/>
      <c r="J75" s="201"/>
      <c r="K75" s="201"/>
      <c r="L75" s="201"/>
      <c r="M75" s="201"/>
      <c r="N75" s="201"/>
      <c r="O75" s="201"/>
      <c r="P75" s="202"/>
      <c r="Q75" s="202"/>
      <c r="R75" s="203"/>
      <c r="S75" s="203"/>
      <c r="T75" s="203"/>
      <c r="U75" s="203"/>
      <c r="V75" s="203"/>
      <c r="W75" s="203"/>
      <c r="X75" s="203"/>
      <c r="Y75" s="203"/>
      <c r="Z75" s="203"/>
      <c r="AA75" s="203"/>
      <c r="AB75" s="203"/>
      <c r="AC75" s="203"/>
      <c r="AD75" s="113"/>
      <c r="AE75" s="113"/>
      <c r="AF75" s="113"/>
      <c r="AG75" s="113"/>
      <c r="AH75" s="113"/>
      <c r="AI75" s="113"/>
      <c r="AJ75" s="14"/>
    </row>
    <row r="76" spans="4:36">
      <c r="D76" s="11"/>
      <c r="E76" s="113"/>
      <c r="F76" s="78"/>
      <c r="G76" s="78" t="s">
        <v>276</v>
      </c>
      <c r="H76" s="201" t="s">
        <v>8</v>
      </c>
      <c r="I76" s="201" t="s">
        <v>14</v>
      </c>
      <c r="J76" s="201" t="s">
        <v>344</v>
      </c>
      <c r="K76" s="201" t="s">
        <v>184</v>
      </c>
      <c r="L76" s="201" t="s">
        <v>344</v>
      </c>
      <c r="M76" s="201" t="s">
        <v>35</v>
      </c>
      <c r="N76" s="201" t="s">
        <v>344</v>
      </c>
      <c r="O76" s="334" t="s">
        <v>411</v>
      </c>
      <c r="P76" s="202"/>
      <c r="Q76" s="202"/>
      <c r="R76" s="203"/>
      <c r="S76" s="203"/>
      <c r="T76" s="203"/>
      <c r="U76" s="203"/>
      <c r="V76" s="203"/>
      <c r="W76" s="203"/>
      <c r="X76" s="203"/>
      <c r="Y76" s="203"/>
      <c r="Z76" s="203"/>
      <c r="AA76" s="203"/>
      <c r="AB76" s="203"/>
      <c r="AC76" s="203"/>
      <c r="AD76" s="113"/>
      <c r="AE76" s="113"/>
      <c r="AF76" s="113"/>
      <c r="AG76" s="113"/>
      <c r="AH76" s="113"/>
      <c r="AI76" s="113"/>
      <c r="AJ76" s="14"/>
    </row>
    <row r="77" spans="4:36">
      <c r="D77" s="11"/>
      <c r="E77" s="113"/>
      <c r="F77" s="78"/>
      <c r="G77" s="78"/>
      <c r="H77" s="201" t="s">
        <v>8</v>
      </c>
      <c r="I77" s="202">
        <f>I67</f>
        <v>0.95</v>
      </c>
      <c r="J77" s="201" t="s">
        <v>344</v>
      </c>
      <c r="K77" s="202">
        <f>I72</f>
        <v>2</v>
      </c>
      <c r="L77" s="201" t="s">
        <v>344</v>
      </c>
      <c r="M77" s="798">
        <f>H58</f>
        <v>18.010442117046306</v>
      </c>
      <c r="N77" s="798"/>
      <c r="O77" s="798"/>
      <c r="P77" s="201" t="s">
        <v>344</v>
      </c>
      <c r="Q77" s="753">
        <f>'1.設計条件'!R12</f>
        <v>1.5</v>
      </c>
      <c r="R77" s="753"/>
      <c r="S77" s="203"/>
      <c r="T77" s="203"/>
      <c r="U77" s="203"/>
      <c r="V77" s="203"/>
      <c r="W77" s="203"/>
      <c r="X77" s="203"/>
      <c r="Y77" s="203"/>
      <c r="Z77" s="203"/>
      <c r="AA77" s="203"/>
      <c r="AB77" s="203"/>
      <c r="AC77" s="203"/>
      <c r="AD77" s="113"/>
      <c r="AE77" s="113"/>
      <c r="AF77" s="113"/>
      <c r="AG77" s="113"/>
      <c r="AH77" s="113"/>
      <c r="AI77" s="113"/>
      <c r="AJ77" s="14"/>
    </row>
    <row r="78" spans="4:36">
      <c r="D78" s="11"/>
      <c r="E78" s="113"/>
      <c r="F78" s="78"/>
      <c r="G78" s="78"/>
      <c r="H78" s="201" t="s">
        <v>8</v>
      </c>
      <c r="I78" s="799">
        <f>I77*K77*M77*Q77</f>
        <v>51.329760033581962</v>
      </c>
      <c r="J78" s="800"/>
      <c r="K78" s="801"/>
      <c r="L78" s="1" t="s">
        <v>412</v>
      </c>
      <c r="M78" s="201"/>
      <c r="N78" s="201"/>
      <c r="O78" s="201"/>
      <c r="P78" s="202"/>
      <c r="Q78" s="202"/>
      <c r="R78" s="203"/>
      <c r="S78" s="203"/>
      <c r="T78" s="203"/>
      <c r="U78" s="203"/>
      <c r="V78" s="203"/>
      <c r="W78" s="203"/>
      <c r="X78" s="203"/>
      <c r="Y78" s="203"/>
      <c r="Z78" s="203"/>
      <c r="AA78" s="203"/>
      <c r="AB78" s="203"/>
      <c r="AC78" s="203"/>
      <c r="AD78" s="113"/>
      <c r="AE78" s="113"/>
      <c r="AF78" s="113"/>
      <c r="AG78" s="113"/>
      <c r="AH78" s="113"/>
      <c r="AI78" s="113"/>
      <c r="AJ78" s="14"/>
    </row>
    <row r="79" spans="4:36">
      <c r="D79" s="11"/>
      <c r="E79" s="113"/>
      <c r="F79" s="78"/>
      <c r="G79" s="78"/>
      <c r="H79" s="201"/>
      <c r="I79" s="201"/>
      <c r="J79" s="201"/>
      <c r="K79" s="201"/>
      <c r="L79" s="201"/>
      <c r="M79" s="201"/>
      <c r="N79" s="201"/>
      <c r="O79" s="201"/>
      <c r="P79" s="202"/>
      <c r="Q79" s="202"/>
      <c r="R79" s="203"/>
      <c r="S79" s="203"/>
      <c r="T79" s="203"/>
      <c r="U79" s="203"/>
      <c r="V79" s="203"/>
      <c r="W79" s="203"/>
      <c r="X79" s="203"/>
      <c r="Y79" s="203"/>
      <c r="Z79" s="203"/>
      <c r="AA79" s="203"/>
      <c r="AB79" s="203"/>
      <c r="AC79" s="203"/>
      <c r="AD79" s="113"/>
      <c r="AE79" s="113"/>
      <c r="AF79" s="113"/>
      <c r="AG79" s="113"/>
      <c r="AH79" s="113"/>
      <c r="AI79" s="113"/>
      <c r="AJ79" s="14"/>
    </row>
    <row r="80" spans="4:36">
      <c r="D80" s="11"/>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4"/>
    </row>
    <row r="81" spans="3:36">
      <c r="D81" s="11"/>
      <c r="E81" s="12"/>
      <c r="F81" s="12" t="s">
        <v>413</v>
      </c>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4"/>
    </row>
    <row r="82" spans="3:36">
      <c r="D82" s="11"/>
      <c r="E82" s="12"/>
      <c r="F82" s="12"/>
      <c r="G82" s="12" t="s">
        <v>414</v>
      </c>
      <c r="H82" s="12"/>
      <c r="I82" s="12"/>
      <c r="J82" s="12" t="s">
        <v>8</v>
      </c>
      <c r="K82" s="12" t="s">
        <v>20</v>
      </c>
      <c r="L82" s="12" t="s">
        <v>236</v>
      </c>
      <c r="M82" s="12" t="s">
        <v>35</v>
      </c>
      <c r="N82" s="12"/>
      <c r="O82" s="12"/>
      <c r="P82" s="12"/>
      <c r="Q82" s="12"/>
      <c r="R82" s="12"/>
      <c r="S82" s="12"/>
      <c r="T82" s="12"/>
      <c r="U82" s="12"/>
      <c r="V82" s="12"/>
      <c r="W82" s="12"/>
      <c r="X82" s="12"/>
      <c r="Y82" s="12"/>
      <c r="Z82" s="12"/>
      <c r="AA82" s="12"/>
      <c r="AB82" s="12"/>
      <c r="AC82" s="12"/>
      <c r="AD82" s="12"/>
      <c r="AE82" s="12"/>
      <c r="AF82" s="12"/>
      <c r="AG82" s="12"/>
      <c r="AH82" s="12"/>
      <c r="AI82" s="12"/>
      <c r="AJ82" s="14"/>
    </row>
    <row r="83" spans="3:36">
      <c r="D83" s="11"/>
      <c r="E83" s="12"/>
      <c r="F83" s="12"/>
      <c r="G83" s="12"/>
      <c r="H83" s="12"/>
      <c r="I83" s="12"/>
      <c r="J83" s="12" t="s">
        <v>8</v>
      </c>
      <c r="K83" s="385">
        <f>'1.設計条件'!R15</f>
        <v>10</v>
      </c>
      <c r="L83" s="385"/>
      <c r="M83" s="12" t="s">
        <v>236</v>
      </c>
      <c r="N83" s="555">
        <f>H58</f>
        <v>18.010442117046306</v>
      </c>
      <c r="O83" s="555"/>
      <c r="P83" s="555"/>
      <c r="Q83" s="12"/>
      <c r="R83" s="12"/>
      <c r="S83" s="12"/>
      <c r="T83" s="12"/>
      <c r="U83" s="12"/>
      <c r="V83" s="12"/>
      <c r="W83" s="12"/>
      <c r="X83" s="12"/>
      <c r="Y83" s="12"/>
      <c r="Z83" s="12"/>
      <c r="AA83" s="12"/>
      <c r="AB83" s="12"/>
      <c r="AC83" s="12"/>
      <c r="AD83" s="12"/>
      <c r="AE83" s="12"/>
      <c r="AF83" s="12"/>
      <c r="AG83" s="12"/>
      <c r="AH83" s="12"/>
      <c r="AI83" s="12"/>
      <c r="AJ83" s="14"/>
    </row>
    <row r="84" spans="3:36">
      <c r="D84" s="11"/>
      <c r="E84" s="12"/>
      <c r="F84" s="12"/>
      <c r="G84" s="12"/>
      <c r="H84" s="12"/>
      <c r="I84" s="12"/>
      <c r="J84" s="12" t="s">
        <v>8</v>
      </c>
      <c r="K84" s="555">
        <f>K83/N83</f>
        <v>0.55523345484869135</v>
      </c>
      <c r="L84" s="555"/>
      <c r="M84" s="555"/>
      <c r="N84" s="12" t="s">
        <v>40</v>
      </c>
      <c r="O84" s="12"/>
      <c r="P84" s="12"/>
      <c r="Q84" s="12"/>
      <c r="R84" s="12"/>
      <c r="S84" s="12"/>
      <c r="T84" s="12"/>
      <c r="U84" s="12"/>
      <c r="V84" s="12"/>
      <c r="W84" s="12"/>
      <c r="X84" s="12"/>
      <c r="Y84" s="12"/>
      <c r="Z84" s="12"/>
      <c r="AA84" s="12"/>
      <c r="AB84" s="12"/>
      <c r="AC84" s="12"/>
      <c r="AD84" s="12"/>
      <c r="AE84" s="12"/>
      <c r="AF84" s="12"/>
      <c r="AG84" s="12"/>
      <c r="AH84" s="12"/>
      <c r="AI84" s="12"/>
      <c r="AJ84" s="14"/>
    </row>
    <row r="85" spans="3:36">
      <c r="D85" s="11"/>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4"/>
    </row>
    <row r="86" spans="3:36">
      <c r="D86" s="11"/>
      <c r="E86" s="12" t="s">
        <v>415</v>
      </c>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4"/>
    </row>
    <row r="87" spans="3:36">
      <c r="D87" s="11"/>
      <c r="E87" s="12"/>
      <c r="F87" s="31" t="s">
        <v>416</v>
      </c>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4"/>
    </row>
    <row r="88" spans="3:36">
      <c r="D88" s="11"/>
      <c r="E88" s="12"/>
      <c r="F88" s="31" t="s">
        <v>417</v>
      </c>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4"/>
    </row>
    <row r="89" spans="3:36">
      <c r="D89" s="11"/>
      <c r="W89" s="93"/>
      <c r="X89" s="123"/>
      <c r="Y89" s="123"/>
      <c r="Z89" s="123"/>
      <c r="AA89" s="93"/>
      <c r="AB89" s="93"/>
      <c r="AC89" s="93"/>
      <c r="AD89" s="12"/>
      <c r="AE89" s="123"/>
      <c r="AF89" s="123"/>
      <c r="AG89" s="123"/>
      <c r="AH89" s="93"/>
      <c r="AI89" s="93"/>
      <c r="AJ89" s="117"/>
    </row>
    <row r="90" spans="3:36">
      <c r="D90" s="11"/>
      <c r="E90" s="93"/>
      <c r="F90" s="93"/>
      <c r="G90" s="455" t="s">
        <v>418</v>
      </c>
      <c r="H90" s="456"/>
      <c r="I90" s="456"/>
      <c r="J90" s="456"/>
      <c r="K90" s="456"/>
      <c r="L90" s="456"/>
      <c r="M90" s="456"/>
      <c r="N90" s="456"/>
      <c r="O90" s="456"/>
      <c r="P90" s="457"/>
      <c r="Q90" s="93"/>
      <c r="R90" s="123"/>
      <c r="S90" s="123"/>
      <c r="T90" s="123"/>
      <c r="U90" s="93"/>
      <c r="V90" s="93"/>
      <c r="W90" s="93"/>
      <c r="X90" s="12"/>
      <c r="Y90" s="123"/>
      <c r="Z90" s="123"/>
      <c r="AA90" s="123"/>
      <c r="AB90" s="93"/>
      <c r="AC90" s="93"/>
      <c r="AD90" s="93"/>
      <c r="AE90" s="12"/>
      <c r="AJ90" s="14"/>
    </row>
    <row r="91" spans="3:36">
      <c r="D91" s="11"/>
      <c r="E91" s="93"/>
      <c r="F91" s="93"/>
      <c r="G91" s="585" t="s">
        <v>233</v>
      </c>
      <c r="H91" s="586"/>
      <c r="I91" s="586"/>
      <c r="J91" s="586"/>
      <c r="K91" s="586"/>
      <c r="L91" s="586"/>
      <c r="M91" s="586"/>
      <c r="N91" s="586"/>
      <c r="O91" s="586"/>
      <c r="P91" s="587"/>
      <c r="S91" s="123"/>
      <c r="W91" s="93"/>
      <c r="X91" s="12"/>
      <c r="Y91" s="123"/>
      <c r="Z91" s="123"/>
      <c r="AA91" s="123"/>
      <c r="AB91" s="93"/>
      <c r="AC91" s="93"/>
      <c r="AD91" s="93"/>
      <c r="AE91" s="12"/>
      <c r="AJ91" s="14"/>
    </row>
    <row r="92" spans="3:36">
      <c r="D92" s="11"/>
      <c r="E92" s="93"/>
      <c r="F92" s="93"/>
      <c r="G92" s="501" t="s">
        <v>234</v>
      </c>
      <c r="H92" s="502"/>
      <c r="I92" s="502"/>
      <c r="J92" s="502"/>
      <c r="K92" s="502"/>
      <c r="L92" s="502"/>
      <c r="M92" s="502"/>
      <c r="N92" s="502"/>
      <c r="O92" s="502"/>
      <c r="P92" s="503"/>
      <c r="S92" s="123"/>
      <c r="W92" s="93"/>
      <c r="X92" s="12"/>
      <c r="Y92" s="123"/>
      <c r="Z92" s="123"/>
      <c r="AA92" s="123"/>
      <c r="AB92" s="93"/>
      <c r="AC92" s="93"/>
      <c r="AD92" s="93"/>
      <c r="AE92" s="12"/>
      <c r="AJ92" s="14"/>
    </row>
    <row r="93" spans="3:36">
      <c r="D93" s="11"/>
      <c r="E93" s="646" t="s">
        <v>174</v>
      </c>
      <c r="F93" s="751"/>
      <c r="G93" s="662">
        <f>I78</f>
        <v>51.329760033581962</v>
      </c>
      <c r="H93" s="571"/>
      <c r="I93" s="571"/>
      <c r="J93" s="29" t="s">
        <v>215</v>
      </c>
      <c r="K93" s="571">
        <f>AA59</f>
        <v>3.8</v>
      </c>
      <c r="L93" s="571"/>
      <c r="M93" s="29" t="s">
        <v>8</v>
      </c>
      <c r="N93" s="658">
        <f>G93*K93</f>
        <v>195.05308812761146</v>
      </c>
      <c r="O93" s="556"/>
      <c r="P93" s="572"/>
      <c r="Q93" s="93"/>
      <c r="R93" s="123"/>
      <c r="S93" s="123"/>
      <c r="W93" s="93"/>
      <c r="X93" s="12"/>
      <c r="Y93" s="123"/>
      <c r="Z93" s="123"/>
      <c r="AA93" s="123"/>
      <c r="AB93" s="93"/>
      <c r="AC93" s="93"/>
      <c r="AD93" s="93"/>
      <c r="AE93" s="12"/>
      <c r="AJ93" s="14"/>
    </row>
    <row r="94" spans="3:36">
      <c r="D94" s="11"/>
      <c r="T94" s="93"/>
      <c r="U94" s="93"/>
      <c r="V94" s="93"/>
      <c r="W94" s="12"/>
      <c r="X94" s="123"/>
      <c r="Y94" s="123"/>
      <c r="Z94" s="123"/>
      <c r="AA94" s="93"/>
      <c r="AB94" s="93"/>
      <c r="AC94" s="93"/>
      <c r="AD94" s="12"/>
      <c r="AE94" s="12"/>
      <c r="AF94" s="12"/>
      <c r="AG94" s="12"/>
      <c r="AH94" s="12"/>
      <c r="AI94" s="12"/>
      <c r="AJ94" s="14"/>
    </row>
    <row r="95" spans="3:36">
      <c r="C95" s="12"/>
      <c r="D95" s="11"/>
      <c r="E95" s="94"/>
      <c r="F95" s="93"/>
      <c r="G95" s="455" t="s">
        <v>419</v>
      </c>
      <c r="H95" s="456"/>
      <c r="I95" s="456"/>
      <c r="J95" s="456"/>
      <c r="K95" s="456"/>
      <c r="L95" s="456"/>
      <c r="M95" s="456"/>
      <c r="N95" s="456"/>
      <c r="O95" s="456"/>
      <c r="P95" s="456"/>
      <c r="Q95" s="457"/>
      <c r="R95" s="12"/>
      <c r="S95" s="12"/>
      <c r="T95" s="12"/>
      <c r="U95" s="12"/>
      <c r="V95" s="12"/>
      <c r="W95" s="12"/>
      <c r="X95" s="12"/>
      <c r="Y95" s="12"/>
      <c r="Z95" s="12"/>
      <c r="AA95" s="12"/>
      <c r="AB95" s="12"/>
      <c r="AC95" s="12"/>
      <c r="AD95" s="12"/>
      <c r="AJ95" s="14"/>
    </row>
    <row r="96" spans="3:36">
      <c r="C96" s="12"/>
      <c r="D96" s="11"/>
      <c r="E96" s="94"/>
      <c r="F96" s="93"/>
      <c r="G96" s="585" t="s">
        <v>420</v>
      </c>
      <c r="H96" s="586"/>
      <c r="I96" s="586"/>
      <c r="J96" s="586"/>
      <c r="K96" s="586"/>
      <c r="L96" s="586"/>
      <c r="M96" s="586"/>
      <c r="N96" s="586"/>
      <c r="O96" s="586"/>
      <c r="P96" s="586"/>
      <c r="Q96" s="587"/>
      <c r="R96" s="12"/>
      <c r="S96" s="12"/>
      <c r="T96" s="12"/>
      <c r="U96" s="12"/>
      <c r="V96" s="12"/>
      <c r="W96" s="12"/>
      <c r="X96" s="12"/>
      <c r="Y96" s="12"/>
      <c r="Z96" s="12"/>
      <c r="AA96" s="12"/>
      <c r="AB96" s="12"/>
      <c r="AC96" s="12"/>
      <c r="AD96" s="12"/>
      <c r="AJ96" s="14"/>
    </row>
    <row r="97" spans="3:36">
      <c r="C97" s="12"/>
      <c r="D97" s="11"/>
      <c r="E97" s="94"/>
      <c r="F97" s="93"/>
      <c r="G97" s="501" t="s">
        <v>40</v>
      </c>
      <c r="H97" s="502"/>
      <c r="I97" s="502"/>
      <c r="J97" s="502"/>
      <c r="K97" s="502"/>
      <c r="L97" s="502"/>
      <c r="M97" s="502"/>
      <c r="N97" s="502"/>
      <c r="O97" s="502"/>
      <c r="P97" s="502"/>
      <c r="Q97" s="503"/>
      <c r="R97" s="12"/>
      <c r="S97" s="12"/>
      <c r="T97" s="12"/>
      <c r="U97" s="12"/>
      <c r="V97" s="12"/>
      <c r="W97" s="12"/>
      <c r="X97" s="12"/>
      <c r="Y97" s="12"/>
      <c r="Z97" s="12"/>
      <c r="AA97" s="12"/>
      <c r="AB97" s="12"/>
      <c r="AC97" s="12"/>
      <c r="AD97" s="12"/>
      <c r="AJ97" s="14"/>
    </row>
    <row r="98" spans="3:36">
      <c r="C98" s="12"/>
      <c r="D98" s="11"/>
      <c r="E98" s="646" t="s">
        <v>174</v>
      </c>
      <c r="F98" s="751"/>
      <c r="G98" s="551">
        <f>Z43</f>
        <v>1.2633138327298532</v>
      </c>
      <c r="H98" s="546"/>
      <c r="I98" s="29" t="s">
        <v>213</v>
      </c>
      <c r="J98" s="546">
        <f>R42</f>
        <v>3.8</v>
      </c>
      <c r="K98" s="546"/>
      <c r="L98" s="29" t="s">
        <v>236</v>
      </c>
      <c r="M98" s="45">
        <v>2</v>
      </c>
      <c r="N98" s="77" t="s">
        <v>8</v>
      </c>
      <c r="O98" s="551">
        <f>G98+J98/M98</f>
        <v>3.1633138327298531</v>
      </c>
      <c r="P98" s="546"/>
      <c r="Q98" s="547"/>
      <c r="R98" s="12"/>
      <c r="S98" s="12"/>
      <c r="T98" s="12"/>
      <c r="U98" s="12"/>
      <c r="V98" s="12"/>
      <c r="W98" s="12"/>
      <c r="X98" s="12"/>
      <c r="Y98" s="12"/>
      <c r="Z98" s="12"/>
      <c r="AA98" s="12"/>
      <c r="AB98" s="12"/>
      <c r="AC98" s="12"/>
      <c r="AD98" s="12"/>
      <c r="AJ98" s="14"/>
    </row>
    <row r="99" spans="3:36">
      <c r="D99" s="11"/>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4"/>
    </row>
    <row r="100" spans="3:36">
      <c r="C100" s="12"/>
      <c r="D100" s="11"/>
      <c r="E100" s="93"/>
      <c r="F100" s="93"/>
      <c r="G100" s="455" t="s">
        <v>418</v>
      </c>
      <c r="H100" s="456"/>
      <c r="I100" s="457"/>
      <c r="J100" s="455" t="s">
        <v>247</v>
      </c>
      <c r="K100" s="456"/>
      <c r="L100" s="457"/>
      <c r="M100" s="455" t="s">
        <v>421</v>
      </c>
      <c r="N100" s="456"/>
      <c r="O100" s="456"/>
      <c r="P100" s="457"/>
      <c r="Q100" s="12"/>
      <c r="R100" s="12"/>
      <c r="S100" s="12"/>
      <c r="T100" s="12"/>
      <c r="U100" s="12"/>
      <c r="V100" s="12"/>
      <c r="W100" s="12"/>
      <c r="X100" s="12"/>
      <c r="Y100" s="12"/>
      <c r="Z100" s="12"/>
      <c r="AA100" s="12"/>
      <c r="AB100" s="12"/>
      <c r="AC100" s="12"/>
      <c r="AD100" s="12"/>
      <c r="AE100" s="12"/>
      <c r="AF100" s="12"/>
      <c r="AG100" s="12"/>
      <c r="AH100" s="12"/>
      <c r="AI100" s="12"/>
      <c r="AJ100" s="14"/>
    </row>
    <row r="101" spans="3:36">
      <c r="C101" s="12"/>
      <c r="D101" s="11"/>
      <c r="E101" s="93"/>
      <c r="F101" s="93"/>
      <c r="G101" s="585" t="s">
        <v>233</v>
      </c>
      <c r="H101" s="586"/>
      <c r="I101" s="587"/>
      <c r="J101" s="585" t="s">
        <v>420</v>
      </c>
      <c r="K101" s="586"/>
      <c r="L101" s="587"/>
      <c r="M101" s="585" t="s">
        <v>422</v>
      </c>
      <c r="N101" s="586"/>
      <c r="O101" s="586"/>
      <c r="P101" s="587"/>
      <c r="Q101" s="12"/>
      <c r="R101" s="12"/>
      <c r="S101" s="12"/>
      <c r="T101" s="12"/>
      <c r="U101" s="12"/>
      <c r="V101" s="12"/>
      <c r="W101" s="12"/>
      <c r="X101" s="12"/>
      <c r="Y101" s="12"/>
      <c r="Z101" s="12"/>
      <c r="AA101" s="12"/>
      <c r="AB101" s="12"/>
      <c r="AC101" s="12"/>
      <c r="AD101" s="12"/>
      <c r="AE101" s="12"/>
      <c r="AF101" s="12"/>
      <c r="AG101" s="12"/>
      <c r="AH101" s="12"/>
      <c r="AI101" s="12"/>
      <c r="AJ101" s="14"/>
    </row>
    <row r="102" spans="3:36">
      <c r="C102" s="12"/>
      <c r="D102" s="11"/>
      <c r="E102" s="93"/>
      <c r="F102" s="93"/>
      <c r="G102" s="501" t="s">
        <v>234</v>
      </c>
      <c r="H102" s="502"/>
      <c r="I102" s="503"/>
      <c r="J102" s="501" t="s">
        <v>40</v>
      </c>
      <c r="K102" s="502"/>
      <c r="L102" s="503"/>
      <c r="M102" s="501" t="s">
        <v>252</v>
      </c>
      <c r="N102" s="502"/>
      <c r="O102" s="502"/>
      <c r="P102" s="503"/>
      <c r="Q102" s="12"/>
      <c r="R102" s="12"/>
      <c r="S102" s="12"/>
      <c r="T102" s="12"/>
      <c r="U102" s="12"/>
      <c r="V102" s="12"/>
      <c r="W102" s="12"/>
      <c r="X102" s="12"/>
      <c r="Y102" s="12"/>
      <c r="Z102" s="12"/>
      <c r="AA102" s="12"/>
      <c r="AB102" s="12"/>
      <c r="AC102" s="12"/>
      <c r="AD102" s="12"/>
      <c r="AE102" s="12"/>
      <c r="AF102" s="12"/>
      <c r="AG102" s="12"/>
      <c r="AH102" s="12"/>
      <c r="AI102" s="12"/>
      <c r="AJ102" s="14"/>
    </row>
    <row r="103" spans="3:36">
      <c r="C103" s="12"/>
      <c r="D103" s="11"/>
      <c r="E103" s="646" t="s">
        <v>174</v>
      </c>
      <c r="F103" s="751"/>
      <c r="G103" s="662">
        <f>N93</f>
        <v>195.05308812761146</v>
      </c>
      <c r="H103" s="571"/>
      <c r="I103" s="805"/>
      <c r="J103" s="662">
        <f>O98</f>
        <v>3.1633138327298531</v>
      </c>
      <c r="K103" s="571"/>
      <c r="L103" s="571"/>
      <c r="M103" s="551">
        <f>G103*J103</f>
        <v>617.01413179074837</v>
      </c>
      <c r="N103" s="546"/>
      <c r="O103" s="546"/>
      <c r="P103" s="547"/>
      <c r="Q103" s="12"/>
      <c r="R103" s="12"/>
      <c r="S103" s="12"/>
      <c r="T103" s="12"/>
      <c r="U103" s="12"/>
      <c r="V103" s="12"/>
      <c r="W103" s="12"/>
      <c r="X103" s="12"/>
      <c r="Y103" s="12"/>
      <c r="Z103" s="12"/>
      <c r="AA103" s="12"/>
      <c r="AB103" s="12"/>
      <c r="AC103" s="12"/>
      <c r="AD103" s="12"/>
      <c r="AE103" s="12"/>
      <c r="AF103" s="12"/>
      <c r="AG103" s="12"/>
      <c r="AH103" s="12"/>
      <c r="AI103" s="12"/>
      <c r="AJ103" s="14"/>
    </row>
    <row r="104" spans="3:36">
      <c r="D104" s="11"/>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4"/>
    </row>
    <row r="105" spans="3:36" ht="20.25">
      <c r="D105" s="11"/>
      <c r="E105" s="12" t="s">
        <v>423</v>
      </c>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4"/>
    </row>
    <row r="106" spans="3:36">
      <c r="D106" s="11"/>
      <c r="Z106" s="12"/>
      <c r="AA106" s="12"/>
      <c r="AB106" s="12"/>
      <c r="AC106" s="12"/>
      <c r="AD106" s="12"/>
      <c r="AE106" s="12"/>
      <c r="AF106" s="12"/>
      <c r="AG106" s="12"/>
      <c r="AH106" s="12"/>
      <c r="AI106" s="12"/>
      <c r="AJ106" s="14"/>
    </row>
    <row r="107" spans="3:36">
      <c r="D107" s="11"/>
      <c r="E107" s="12"/>
      <c r="F107" s="12" t="s">
        <v>216</v>
      </c>
      <c r="G107" s="555">
        <f>Z43</f>
        <v>1.2633138327298532</v>
      </c>
      <c r="H107" s="555"/>
      <c r="I107" s="555"/>
      <c r="J107" s="12" t="s">
        <v>213</v>
      </c>
      <c r="K107" s="555">
        <f>R42</f>
        <v>3.8</v>
      </c>
      <c r="L107" s="555"/>
      <c r="M107" s="555"/>
      <c r="N107" s="12" t="s">
        <v>218</v>
      </c>
      <c r="O107" s="12" t="s">
        <v>215</v>
      </c>
      <c r="P107" s="371" t="s">
        <v>424</v>
      </c>
      <c r="Q107" s="371"/>
      <c r="R107" s="12" t="s">
        <v>8</v>
      </c>
      <c r="S107" s="555">
        <f>M103</f>
        <v>617.01413179074837</v>
      </c>
      <c r="T107" s="555"/>
      <c r="U107" s="555"/>
      <c r="V107" s="555"/>
      <c r="AA107" s="12"/>
      <c r="AB107" s="12"/>
      <c r="AC107" s="12"/>
      <c r="AD107" s="12"/>
      <c r="AE107" s="12"/>
      <c r="AF107" s="12"/>
      <c r="AG107" s="12"/>
      <c r="AH107" s="12"/>
      <c r="AI107" s="12"/>
      <c r="AJ107" s="14"/>
    </row>
    <row r="108" spans="3:36">
      <c r="D108" s="11"/>
      <c r="E108" s="12"/>
      <c r="F108" s="12"/>
      <c r="G108" s="23"/>
      <c r="H108" s="23"/>
      <c r="I108" s="23"/>
      <c r="J108" s="12"/>
      <c r="K108" s="23"/>
      <c r="L108" s="23"/>
      <c r="M108" s="23"/>
      <c r="N108" s="12"/>
      <c r="O108" s="23"/>
      <c r="P108" s="23"/>
      <c r="Q108" s="23"/>
      <c r="R108" s="12"/>
      <c r="S108" s="12"/>
      <c r="T108" s="34"/>
      <c r="U108" s="34"/>
      <c r="V108" s="12"/>
      <c r="W108" s="13"/>
      <c r="X108" s="13"/>
      <c r="Y108" s="13"/>
      <c r="Z108" s="13"/>
      <c r="AA108" s="12"/>
      <c r="AB108" s="12"/>
      <c r="AC108" s="12"/>
      <c r="AD108" s="12"/>
      <c r="AE108" s="12"/>
      <c r="AF108" s="12"/>
      <c r="AG108" s="12"/>
      <c r="AH108" s="12"/>
      <c r="AI108" s="12"/>
      <c r="AJ108" s="14"/>
    </row>
    <row r="109" spans="3:36">
      <c r="D109" s="11"/>
      <c r="E109" s="12" t="s">
        <v>262</v>
      </c>
      <c r="F109" s="12"/>
      <c r="G109" s="12"/>
      <c r="H109" s="12"/>
      <c r="P109" s="12"/>
      <c r="Q109" s="12"/>
      <c r="R109" s="12"/>
      <c r="S109" s="12"/>
      <c r="T109" s="12"/>
      <c r="U109" s="12"/>
      <c r="V109" s="12"/>
      <c r="W109" s="12"/>
      <c r="X109" s="12"/>
      <c r="Y109" s="12"/>
      <c r="Z109" s="12"/>
      <c r="AA109" s="12"/>
      <c r="AB109" s="12"/>
      <c r="AC109" s="12"/>
      <c r="AD109" s="12"/>
      <c r="AE109" s="12"/>
      <c r="AF109" s="12"/>
      <c r="AG109" s="12"/>
      <c r="AH109" s="12"/>
      <c r="AI109" s="12"/>
      <c r="AJ109" s="14"/>
    </row>
    <row r="110" spans="3:36" ht="20.25">
      <c r="D110" s="11"/>
      <c r="E110" s="12"/>
      <c r="F110" s="12"/>
      <c r="G110" s="12"/>
      <c r="H110" s="12"/>
      <c r="I110" s="371" t="s">
        <v>425</v>
      </c>
      <c r="J110" s="371"/>
      <c r="K110" s="12" t="s">
        <v>8</v>
      </c>
      <c r="L110" s="745">
        <f>S107/(G107+K107)</f>
        <v>121.85974485766552</v>
      </c>
      <c r="M110" s="745"/>
      <c r="N110" s="745"/>
      <c r="O110" s="12" t="s">
        <v>426</v>
      </c>
      <c r="P110" s="12"/>
      <c r="Q110" s="12"/>
      <c r="R110" s="12"/>
      <c r="S110" s="12"/>
      <c r="T110" s="12"/>
      <c r="U110" s="12"/>
      <c r="V110" s="12"/>
      <c r="W110" s="12"/>
      <c r="X110" s="12"/>
      <c r="Y110" s="12"/>
      <c r="Z110" s="12"/>
      <c r="AA110" s="12"/>
      <c r="AB110" s="12"/>
      <c r="AC110" s="12"/>
      <c r="AD110" s="12"/>
      <c r="AE110" s="12"/>
      <c r="AF110" s="12"/>
      <c r="AG110" s="12"/>
      <c r="AH110" s="12"/>
      <c r="AI110" s="12"/>
      <c r="AJ110" s="14"/>
    </row>
    <row r="111" spans="3:36">
      <c r="D111" s="11"/>
      <c r="E111" s="12"/>
      <c r="F111" s="12"/>
      <c r="G111" s="12"/>
      <c r="H111" s="12"/>
      <c r="I111" s="34"/>
      <c r="J111" s="34"/>
      <c r="K111" s="12"/>
      <c r="L111" s="13"/>
      <c r="M111" s="13"/>
      <c r="N111" s="13"/>
      <c r="O111" s="12"/>
      <c r="P111" s="12"/>
      <c r="Q111" s="12"/>
      <c r="R111" s="12"/>
      <c r="S111" s="12"/>
      <c r="T111" s="12"/>
      <c r="U111" s="12"/>
      <c r="V111" s="12"/>
      <c r="W111" s="12"/>
      <c r="X111" s="12"/>
      <c r="Y111" s="12"/>
      <c r="Z111" s="12"/>
      <c r="AA111" s="12"/>
      <c r="AB111" s="12"/>
      <c r="AC111" s="12"/>
      <c r="AD111" s="12"/>
      <c r="AE111" s="12"/>
      <c r="AF111" s="12"/>
      <c r="AG111" s="12"/>
      <c r="AH111" s="12"/>
      <c r="AI111" s="12"/>
      <c r="AJ111" s="14"/>
    </row>
    <row r="112" spans="3:36">
      <c r="D112" s="11" t="s">
        <v>427</v>
      </c>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4"/>
    </row>
    <row r="113" spans="4:36" ht="18.75" customHeight="1">
      <c r="D113" s="11"/>
      <c r="E113" s="746" t="s">
        <v>428</v>
      </c>
      <c r="F113" s="746"/>
      <c r="G113" s="746"/>
      <c r="H113" s="746"/>
      <c r="I113" s="746"/>
      <c r="J113" s="746"/>
      <c r="K113" s="746"/>
      <c r="L113" s="746"/>
      <c r="M113" s="746"/>
      <c r="N113" s="746"/>
      <c r="O113" s="746"/>
      <c r="P113" s="746"/>
      <c r="Q113" s="746"/>
      <c r="R113" s="746"/>
      <c r="S113" s="746"/>
      <c r="T113" s="746"/>
      <c r="U113" s="746"/>
      <c r="V113" s="214"/>
      <c r="W113" s="214"/>
      <c r="X113" s="214"/>
      <c r="Y113" s="214"/>
      <c r="Z113" s="214"/>
      <c r="AA113" s="214"/>
      <c r="AB113" s="214"/>
      <c r="AC113" s="214"/>
      <c r="AD113" s="214"/>
      <c r="AE113" s="214"/>
      <c r="AF113" s="214"/>
      <c r="AG113" s="214"/>
      <c r="AH113" s="214"/>
      <c r="AI113" s="214"/>
      <c r="AJ113" s="215"/>
    </row>
    <row r="114" spans="4:36">
      <c r="D114" s="11"/>
      <c r="E114" s="746"/>
      <c r="F114" s="746"/>
      <c r="G114" s="746"/>
      <c r="H114" s="746"/>
      <c r="I114" s="746"/>
      <c r="J114" s="746"/>
      <c r="K114" s="746"/>
      <c r="L114" s="746"/>
      <c r="M114" s="746"/>
      <c r="N114" s="746"/>
      <c r="O114" s="746"/>
      <c r="P114" s="746"/>
      <c r="Q114" s="746"/>
      <c r="R114" s="746"/>
      <c r="S114" s="746"/>
      <c r="T114" s="746"/>
      <c r="U114" s="746"/>
      <c r="V114" s="214"/>
      <c r="W114" s="214"/>
      <c r="X114" s="214"/>
      <c r="Y114" s="214"/>
      <c r="Z114" s="214"/>
      <c r="AA114" s="214"/>
      <c r="AB114" s="214"/>
      <c r="AC114" s="214"/>
      <c r="AD114" s="214"/>
      <c r="AE114" s="214"/>
      <c r="AF114" s="214"/>
      <c r="AG114" s="214"/>
      <c r="AH114" s="214"/>
      <c r="AI114" s="214"/>
      <c r="AJ114" s="215"/>
    </row>
    <row r="115" spans="4:36">
      <c r="D115" s="11"/>
      <c r="E115" s="746"/>
      <c r="F115" s="746"/>
      <c r="G115" s="746"/>
      <c r="H115" s="746"/>
      <c r="I115" s="746"/>
      <c r="J115" s="746"/>
      <c r="K115" s="746"/>
      <c r="L115" s="746"/>
      <c r="M115" s="746"/>
      <c r="N115" s="746"/>
      <c r="O115" s="746"/>
      <c r="P115" s="746"/>
      <c r="Q115" s="746"/>
      <c r="R115" s="746"/>
      <c r="S115" s="746"/>
      <c r="T115" s="746"/>
      <c r="U115" s="746"/>
      <c r="V115" s="124"/>
      <c r="W115" s="124"/>
      <c r="X115" s="124"/>
      <c r="Y115" s="124"/>
      <c r="Z115" s="124"/>
      <c r="AA115" s="124"/>
      <c r="AB115" s="124"/>
      <c r="AC115" s="124"/>
      <c r="AD115" s="124"/>
      <c r="AE115" s="124"/>
      <c r="AF115" s="124"/>
      <c r="AG115" s="124"/>
      <c r="AH115" s="124"/>
      <c r="AI115" s="124"/>
      <c r="AJ115" s="125"/>
    </row>
    <row r="116" spans="4:36">
      <c r="D116" s="11"/>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5"/>
    </row>
    <row r="117" spans="4:36">
      <c r="D117" s="11"/>
      <c r="E117" s="93"/>
      <c r="F117" s="93"/>
      <c r="G117" s="455" t="s">
        <v>418</v>
      </c>
      <c r="H117" s="456"/>
      <c r="I117" s="456"/>
      <c r="J117" s="457"/>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5"/>
    </row>
    <row r="118" spans="4:36">
      <c r="D118" s="11"/>
      <c r="E118" s="93"/>
      <c r="F118" s="93"/>
      <c r="G118" s="585" t="s">
        <v>233</v>
      </c>
      <c r="H118" s="586"/>
      <c r="I118" s="586"/>
      <c r="J118" s="587"/>
      <c r="L118" s="12"/>
      <c r="M118"/>
      <c r="N118"/>
      <c r="O118"/>
      <c r="P118"/>
      <c r="Q118"/>
      <c r="R118"/>
      <c r="S118"/>
      <c r="T118"/>
      <c r="U118" s="124"/>
      <c r="V118" s="124"/>
      <c r="W118" s="124"/>
      <c r="X118" s="124"/>
      <c r="Y118" s="124"/>
      <c r="Z118" s="124"/>
      <c r="AA118" s="124"/>
      <c r="AB118" s="124"/>
      <c r="AC118" s="124"/>
      <c r="AD118" s="124"/>
      <c r="AE118" s="124"/>
      <c r="AF118" s="124"/>
      <c r="AG118" s="124"/>
      <c r="AH118" s="124"/>
      <c r="AI118" s="124"/>
      <c r="AJ118" s="125"/>
    </row>
    <row r="119" spans="4:36">
      <c r="D119" s="11"/>
      <c r="E119" s="93"/>
      <c r="F119" s="93"/>
      <c r="G119" s="501" t="s">
        <v>234</v>
      </c>
      <c r="H119" s="502"/>
      <c r="I119" s="502"/>
      <c r="J119" s="503"/>
      <c r="L119" s="12"/>
      <c r="M119" s="336"/>
      <c r="N119" s="33"/>
      <c r="O119" s="33"/>
      <c r="P119" s="33"/>
      <c r="Q119" s="33"/>
      <c r="R119" s="33"/>
      <c r="S119" s="33"/>
      <c r="T119" s="33"/>
      <c r="U119" s="124"/>
      <c r="V119" s="124"/>
      <c r="W119" s="124"/>
      <c r="X119" s="124"/>
      <c r="Y119" s="124"/>
      <c r="Z119" s="124"/>
      <c r="AA119" s="124"/>
      <c r="AB119" s="124"/>
      <c r="AC119" s="124"/>
      <c r="AD119" s="124"/>
      <c r="AE119" s="124"/>
      <c r="AF119" s="124"/>
      <c r="AG119" s="124"/>
      <c r="AH119" s="124"/>
      <c r="AI119" s="124"/>
      <c r="AJ119" s="125"/>
    </row>
    <row r="120" spans="4:36">
      <c r="D120" s="11"/>
      <c r="E120" s="747" t="s">
        <v>174</v>
      </c>
      <c r="F120" s="748"/>
      <c r="G120" s="551">
        <f>I78</f>
        <v>51.329760033581962</v>
      </c>
      <c r="H120" s="546"/>
      <c r="I120" s="546"/>
      <c r="J120" s="351" t="s">
        <v>429</v>
      </c>
      <c r="L120" s="12"/>
      <c r="M120"/>
      <c r="N120"/>
      <c r="O120"/>
      <c r="P120"/>
      <c r="Q120"/>
      <c r="R120"/>
      <c r="S120"/>
      <c r="T120"/>
      <c r="U120" s="124"/>
      <c r="V120" s="124"/>
      <c r="W120" s="124"/>
      <c r="X120" s="124"/>
      <c r="Y120" s="124"/>
      <c r="Z120" s="124"/>
      <c r="AA120" s="124"/>
      <c r="AB120" s="124"/>
      <c r="AC120" s="124"/>
      <c r="AD120" s="124"/>
      <c r="AE120" s="124"/>
      <c r="AF120" s="124"/>
      <c r="AG120" s="124"/>
      <c r="AH120" s="124"/>
      <c r="AI120" s="124"/>
      <c r="AJ120" s="125"/>
    </row>
    <row r="121" spans="4:36">
      <c r="D121" s="11"/>
      <c r="L121" s="12"/>
      <c r="M121" s="12"/>
      <c r="N121" s="190"/>
      <c r="O121" s="190"/>
      <c r="P121" s="190"/>
      <c r="Q121" s="124"/>
      <c r="R121" s="124"/>
      <c r="S121" s="124"/>
      <c r="T121" s="124"/>
      <c r="U121" s="124"/>
      <c r="V121" s="124"/>
      <c r="W121" s="124"/>
      <c r="X121" s="124"/>
      <c r="Y121" s="124"/>
      <c r="Z121" s="124"/>
      <c r="AA121" s="124"/>
      <c r="AB121" s="124"/>
      <c r="AC121" s="124"/>
      <c r="AD121" s="124"/>
      <c r="AE121" s="124"/>
      <c r="AF121" s="124"/>
      <c r="AG121" s="124"/>
      <c r="AH121" s="124"/>
      <c r="AI121" s="124"/>
      <c r="AJ121" s="125"/>
    </row>
    <row r="122" spans="4:36">
      <c r="D122" s="11"/>
      <c r="E122" s="93"/>
      <c r="F122" s="93"/>
      <c r="G122" s="455" t="s">
        <v>430</v>
      </c>
      <c r="H122" s="456"/>
      <c r="I122" s="456"/>
      <c r="J122" s="456"/>
      <c r="K122" s="457"/>
      <c r="L122" s="455" t="s">
        <v>247</v>
      </c>
      <c r="M122" s="456"/>
      <c r="N122" s="456"/>
      <c r="O122" s="457"/>
      <c r="P122" s="124"/>
      <c r="Q122" s="124"/>
      <c r="R122" s="335"/>
      <c r="S122" s="335"/>
      <c r="T122" s="335"/>
      <c r="U122" s="124"/>
      <c r="V122" s="124"/>
      <c r="W122" s="124"/>
      <c r="X122" s="124"/>
      <c r="Y122" s="124"/>
      <c r="Z122" s="124"/>
      <c r="AA122" s="124"/>
      <c r="AB122" s="124"/>
      <c r="AC122" s="124"/>
      <c r="AD122" s="124"/>
      <c r="AE122" s="124"/>
      <c r="AF122" s="124"/>
      <c r="AG122" s="124"/>
      <c r="AH122" s="124"/>
      <c r="AI122" s="124"/>
      <c r="AJ122" s="125"/>
    </row>
    <row r="123" spans="4:36">
      <c r="D123" s="11"/>
      <c r="E123" s="93"/>
      <c r="F123" s="93"/>
      <c r="G123" s="5" t="s">
        <v>431</v>
      </c>
      <c r="H123"/>
      <c r="I123"/>
      <c r="J123"/>
      <c r="K123"/>
      <c r="L123" s="585" t="s">
        <v>249</v>
      </c>
      <c r="M123" s="586"/>
      <c r="N123" s="586"/>
      <c r="O123" s="587"/>
      <c r="P123"/>
      <c r="AJ123" s="14"/>
    </row>
    <row r="124" spans="4:36">
      <c r="D124" s="11"/>
      <c r="E124" s="93"/>
      <c r="F124" s="93"/>
      <c r="G124" s="175" t="s">
        <v>432</v>
      </c>
      <c r="H124" s="24"/>
      <c r="I124" s="24"/>
      <c r="J124" s="24"/>
      <c r="K124" s="24"/>
      <c r="L124" s="501" t="s">
        <v>40</v>
      </c>
      <c r="M124" s="502"/>
      <c r="N124" s="502"/>
      <c r="O124" s="503"/>
      <c r="P124" s="336"/>
      <c r="S124" s="124"/>
      <c r="T124" s="124"/>
      <c r="U124" s="124"/>
      <c r="V124" s="124"/>
      <c r="W124" s="124"/>
      <c r="X124" s="124"/>
      <c r="Y124" s="124"/>
      <c r="Z124" s="124"/>
      <c r="AA124" s="124"/>
      <c r="AB124" s="124"/>
      <c r="AC124" s="124"/>
      <c r="AD124" s="124"/>
      <c r="AE124" s="124"/>
      <c r="AF124" s="124"/>
      <c r="AG124" s="124"/>
      <c r="AH124" s="124"/>
      <c r="AI124" s="124"/>
      <c r="AJ124" s="125"/>
    </row>
    <row r="125" spans="4:36">
      <c r="D125" s="11"/>
      <c r="E125" s="747" t="s">
        <v>174</v>
      </c>
      <c r="F125" s="748"/>
      <c r="G125" s="749" t="s">
        <v>429</v>
      </c>
      <c r="H125" s="750"/>
      <c r="I125" s="29" t="s">
        <v>236</v>
      </c>
      <c r="J125" s="45">
        <v>2</v>
      </c>
      <c r="K125" s="77" t="s">
        <v>8</v>
      </c>
      <c r="L125" s="546">
        <f>1/J125</f>
        <v>0.5</v>
      </c>
      <c r="M125" s="546"/>
      <c r="N125" s="546"/>
      <c r="O125" s="351" t="s">
        <v>429</v>
      </c>
      <c r="P125"/>
      <c r="S125"/>
      <c r="T125"/>
      <c r="U125" s="124"/>
      <c r="V125" s="118"/>
      <c r="AJ125" s="14"/>
    </row>
    <row r="126" spans="4:36">
      <c r="D126" s="11"/>
      <c r="S126" s="336"/>
      <c r="T126" s="336"/>
      <c r="U126" s="93"/>
      <c r="V126" s="93"/>
      <c r="AJ126" s="14"/>
    </row>
    <row r="127" spans="4:36">
      <c r="D127" s="11"/>
      <c r="E127" s="93"/>
      <c r="F127" s="93"/>
      <c r="G127" s="455" t="s">
        <v>421</v>
      </c>
      <c r="H127" s="456"/>
      <c r="I127" s="456"/>
      <c r="J127" s="457"/>
      <c r="S127"/>
      <c r="T127"/>
      <c r="U127" s="93"/>
      <c r="V127" s="93"/>
      <c r="AJ127" s="14"/>
    </row>
    <row r="128" spans="4:36">
      <c r="D128" s="11"/>
      <c r="E128" s="93"/>
      <c r="F128" s="93"/>
      <c r="G128" s="585" t="s">
        <v>433</v>
      </c>
      <c r="H128" s="586"/>
      <c r="I128" s="586"/>
      <c r="J128" s="587"/>
      <c r="N128" s="12"/>
      <c r="O128" s="12"/>
      <c r="P128" s="12"/>
      <c r="Q128" s="12"/>
      <c r="R128" s="81"/>
      <c r="S128" s="81"/>
      <c r="T128" s="81"/>
      <c r="U128" s="12"/>
      <c r="AJ128" s="14"/>
    </row>
    <row r="129" spans="4:45">
      <c r="D129" s="11"/>
      <c r="E129" s="93"/>
      <c r="F129" s="93"/>
      <c r="G129" s="501" t="s">
        <v>252</v>
      </c>
      <c r="H129" s="502"/>
      <c r="I129" s="502"/>
      <c r="J129" s="503"/>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4"/>
    </row>
    <row r="130" spans="4:45" ht="20.25">
      <c r="D130" s="11"/>
      <c r="E130" s="747" t="s">
        <v>174</v>
      </c>
      <c r="F130" s="748"/>
      <c r="G130" s="806">
        <f>G120*L125</f>
        <v>25.664880016790981</v>
      </c>
      <c r="H130" s="807"/>
      <c r="I130" s="807"/>
      <c r="J130" s="121" t="s">
        <v>434</v>
      </c>
      <c r="M130"/>
      <c r="N130"/>
      <c r="O130"/>
      <c r="P130"/>
      <c r="AC130"/>
      <c r="AD130" s="124"/>
      <c r="AE130" s="124"/>
      <c r="AF130" s="124"/>
      <c r="AG130" s="124"/>
      <c r="AH130" s="124"/>
      <c r="AI130" s="124"/>
      <c r="AJ130" s="125"/>
      <c r="AK130" s="118"/>
      <c r="AL130" s="118"/>
      <c r="AM130" s="118"/>
      <c r="AN130" s="118"/>
      <c r="AO130" s="118"/>
      <c r="AP130" s="118"/>
      <c r="AQ130" s="118"/>
      <c r="AR130" s="118"/>
      <c r="AS130" s="118"/>
    </row>
    <row r="131" spans="4:45">
      <c r="D131" s="11"/>
      <c r="AJ131" s="14"/>
    </row>
    <row r="132" spans="4:45">
      <c r="D132" s="11" t="s">
        <v>435</v>
      </c>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4"/>
    </row>
    <row r="133" spans="4:45">
      <c r="D133" s="11"/>
      <c r="E133" s="12" t="s">
        <v>436</v>
      </c>
      <c r="F133" s="12"/>
      <c r="G133" s="12"/>
      <c r="H133" s="12"/>
      <c r="I133" s="12"/>
      <c r="J133" s="12"/>
      <c r="K133" s="12"/>
      <c r="L133" s="12"/>
      <c r="M133" s="12"/>
      <c r="N133" s="12"/>
      <c r="O133" s="12"/>
      <c r="P133" s="12"/>
      <c r="Q133" s="12"/>
      <c r="R133" s="12"/>
      <c r="S133" s="12"/>
      <c r="T133" s="12"/>
      <c r="U133" s="12"/>
      <c r="V133" s="12"/>
      <c r="W133" s="12"/>
      <c r="AC133" s="12"/>
      <c r="AD133" s="12"/>
      <c r="AE133" s="12"/>
      <c r="AF133" s="12"/>
      <c r="AG133" s="12"/>
      <c r="AH133" s="12"/>
      <c r="AI133" s="12"/>
      <c r="AJ133" s="14"/>
    </row>
    <row r="134" spans="4:45" ht="21">
      <c r="D134" s="11"/>
      <c r="E134" s="12"/>
      <c r="F134" s="33" t="s">
        <v>437</v>
      </c>
      <c r="G134" s="12"/>
      <c r="H134" s="12" t="s">
        <v>8</v>
      </c>
      <c r="I134" s="371" t="s">
        <v>425</v>
      </c>
      <c r="J134" s="371"/>
      <c r="K134" s="12" t="s">
        <v>344</v>
      </c>
      <c r="L134" s="33" t="s">
        <v>429</v>
      </c>
      <c r="M134" s="12" t="s">
        <v>438</v>
      </c>
      <c r="N134" s="762">
        <f>G130</f>
        <v>25.664880016790981</v>
      </c>
      <c r="O134" s="762"/>
      <c r="P134" s="762"/>
      <c r="Q134" s="120" t="s">
        <v>434</v>
      </c>
      <c r="R134" s="338"/>
      <c r="S134" s="338"/>
      <c r="T134" s="120"/>
      <c r="U134" s="122"/>
      <c r="Z134" s="122"/>
      <c r="AA134" s="555"/>
      <c r="AB134" s="555"/>
      <c r="AC134" s="555"/>
      <c r="AD134" s="33"/>
      <c r="AE134" s="122"/>
      <c r="AF134" s="657"/>
      <c r="AG134" s="657"/>
      <c r="AH134" s="657"/>
      <c r="AI134" s="12"/>
      <c r="AJ134" s="14"/>
    </row>
    <row r="135" spans="4:45" ht="20.25">
      <c r="D135" s="11"/>
      <c r="E135" s="12"/>
      <c r="F135" s="12"/>
      <c r="G135" s="12"/>
      <c r="H135" s="12" t="s">
        <v>8</v>
      </c>
      <c r="I135" s="762">
        <f>L110</f>
        <v>121.85974485766552</v>
      </c>
      <c r="J135" s="762"/>
      <c r="K135" s="762"/>
      <c r="L135" s="33" t="s">
        <v>429</v>
      </c>
      <c r="M135" s="12" t="s">
        <v>438</v>
      </c>
      <c r="N135" s="762">
        <f>N134</f>
        <v>25.664880016790981</v>
      </c>
      <c r="O135" s="762"/>
      <c r="P135" s="762"/>
      <c r="Q135" s="120" t="s">
        <v>434</v>
      </c>
      <c r="R135" s="338"/>
      <c r="S135" s="338"/>
      <c r="T135" s="120"/>
      <c r="U135" s="122"/>
      <c r="V135" s="338"/>
      <c r="W135" s="338"/>
      <c r="X135" s="338"/>
      <c r="Y135" s="120"/>
      <c r="Z135" s="122"/>
      <c r="AA135" s="81"/>
      <c r="AB135" s="81"/>
      <c r="AC135" s="81"/>
      <c r="AD135" s="33"/>
      <c r="AE135" s="122"/>
      <c r="AF135" s="320"/>
      <c r="AG135" s="320"/>
      <c r="AH135" s="320"/>
      <c r="AI135" s="12"/>
      <c r="AJ135" s="14"/>
    </row>
    <row r="136" spans="4:45">
      <c r="D136" s="11"/>
      <c r="E136" s="12"/>
      <c r="F136" s="12"/>
      <c r="G136" s="12"/>
      <c r="H136" s="12"/>
      <c r="M136" s="120"/>
      <c r="R136" s="120"/>
      <c r="S136" s="120"/>
      <c r="T136" s="122"/>
      <c r="U136" s="338"/>
      <c r="V136" s="338"/>
      <c r="W136" s="338"/>
      <c r="X136" s="33"/>
      <c r="Y136" s="122"/>
      <c r="Z136" s="337"/>
      <c r="AA136" s="337"/>
      <c r="AB136" s="337"/>
      <c r="AC136" s="12"/>
      <c r="AD136" s="12"/>
      <c r="AE136" s="12"/>
      <c r="AF136" s="12"/>
      <c r="AG136" s="12"/>
      <c r="AH136" s="12"/>
      <c r="AI136" s="12"/>
      <c r="AJ136" s="14"/>
    </row>
    <row r="137" spans="4:45">
      <c r="D137" s="11"/>
      <c r="E137" s="12" t="s">
        <v>439</v>
      </c>
      <c r="F137" s="12"/>
      <c r="G137" s="12"/>
      <c r="H137" s="12"/>
      <c r="I137" s="12"/>
      <c r="J137" s="12"/>
      <c r="K137" s="12"/>
      <c r="L137" s="12"/>
      <c r="M137" s="12"/>
      <c r="R137" s="12"/>
      <c r="S137" s="12"/>
      <c r="T137" s="12"/>
      <c r="U137" s="12"/>
      <c r="V137" s="12"/>
      <c r="W137" s="12"/>
      <c r="X137" s="12"/>
      <c r="Y137" s="12"/>
      <c r="Z137" s="12"/>
      <c r="AA137" s="12"/>
      <c r="AB137" s="12"/>
      <c r="AC137" s="12"/>
      <c r="AD137" s="12"/>
      <c r="AE137" s="12"/>
      <c r="AF137" s="12"/>
      <c r="AG137" s="12"/>
      <c r="AH137" s="12"/>
      <c r="AI137" s="12"/>
      <c r="AJ137" s="14"/>
    </row>
    <row r="138" spans="4:45">
      <c r="D138" s="11"/>
      <c r="E138" s="12"/>
      <c r="F138" s="33" t="s">
        <v>437</v>
      </c>
      <c r="G138" s="126" t="s">
        <v>440</v>
      </c>
      <c r="H138" s="12" t="s">
        <v>8</v>
      </c>
      <c r="I138" s="762">
        <f>I135</f>
        <v>121.85974485766552</v>
      </c>
      <c r="J138" s="762"/>
      <c r="K138" s="762"/>
      <c r="M138" s="12" t="s">
        <v>438</v>
      </c>
      <c r="N138" s="761">
        <f>N135*2</f>
        <v>51.329760033581962</v>
      </c>
      <c r="O138" s="761"/>
      <c r="P138" s="761"/>
      <c r="Q138" s="33" t="s">
        <v>429</v>
      </c>
      <c r="S138" s="12"/>
      <c r="X138" s="12"/>
      <c r="Y138" s="12"/>
      <c r="Z138" s="12"/>
      <c r="AA138" s="12"/>
      <c r="AB138" s="12"/>
      <c r="AC138" s="12"/>
      <c r="AD138" s="12"/>
      <c r="AE138" s="12"/>
      <c r="AF138" s="12"/>
      <c r="AG138" s="12"/>
      <c r="AH138" s="12"/>
      <c r="AI138" s="12"/>
      <c r="AJ138" s="14"/>
    </row>
    <row r="139" spans="4:45">
      <c r="D139" s="11"/>
      <c r="E139" s="12" t="s">
        <v>441</v>
      </c>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4"/>
    </row>
    <row r="140" spans="4:45">
      <c r="D140" s="11"/>
      <c r="E140" s="12"/>
      <c r="F140" s="557" t="s">
        <v>429</v>
      </c>
      <c r="G140" s="126"/>
      <c r="H140" s="541" t="s">
        <v>8</v>
      </c>
      <c r="I140" s="769">
        <f>I138</f>
        <v>121.85974485766552</v>
      </c>
      <c r="J140" s="769"/>
      <c r="K140" s="769"/>
      <c r="L140" s="541" t="s">
        <v>8</v>
      </c>
      <c r="M140" s="763">
        <f>I140/I141</f>
        <v>2.3740563910281298</v>
      </c>
      <c r="N140" s="764"/>
      <c r="O140" s="765"/>
      <c r="P140" s="541" t="s">
        <v>9</v>
      </c>
      <c r="Q140" s="12"/>
      <c r="R140" s="12"/>
      <c r="S140" s="12"/>
      <c r="AJ140" s="14"/>
    </row>
    <row r="141" spans="4:45">
      <c r="D141" s="11"/>
      <c r="E141" s="12"/>
      <c r="F141" s="557"/>
      <c r="G141" s="12"/>
      <c r="H141" s="541"/>
      <c r="I141" s="604">
        <f>N138</f>
        <v>51.329760033581962</v>
      </c>
      <c r="J141" s="604"/>
      <c r="K141" s="604"/>
      <c r="L141" s="541"/>
      <c r="M141" s="766"/>
      <c r="N141" s="767"/>
      <c r="O141" s="768"/>
      <c r="P141" s="541"/>
      <c r="Q141" s="12"/>
      <c r="R141" s="12"/>
      <c r="S141" s="12"/>
      <c r="AJ141" s="14"/>
    </row>
    <row r="142" spans="4:45">
      <c r="D142" s="11"/>
      <c r="E142" s="12" t="s">
        <v>442</v>
      </c>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4"/>
    </row>
    <row r="143" spans="4:45">
      <c r="D143" s="11"/>
      <c r="E143" s="12"/>
      <c r="F143" s="33" t="s">
        <v>443</v>
      </c>
      <c r="G143" s="12"/>
      <c r="H143" s="12" t="s">
        <v>8</v>
      </c>
      <c r="I143" s="555">
        <f>I135</f>
        <v>121.85974485766552</v>
      </c>
      <c r="J143" s="555"/>
      <c r="K143" s="555"/>
      <c r="L143" s="12" t="s">
        <v>215</v>
      </c>
      <c r="M143" s="555">
        <f>M140</f>
        <v>2.3740563910281298</v>
      </c>
      <c r="N143" s="555"/>
      <c r="P143" s="12" t="s">
        <v>438</v>
      </c>
      <c r="Q143" s="761">
        <f>N135</f>
        <v>25.664880016790981</v>
      </c>
      <c r="R143" s="761"/>
      <c r="S143" s="761"/>
      <c r="T143" s="12" t="s">
        <v>215</v>
      </c>
      <c r="U143" s="555">
        <f>M140</f>
        <v>2.3740563910281298</v>
      </c>
      <c r="V143" s="555"/>
      <c r="W143" s="12" t="s">
        <v>444</v>
      </c>
      <c r="X143" s="761"/>
      <c r="Y143" s="761"/>
      <c r="Z143" s="761"/>
      <c r="AA143" s="12"/>
      <c r="AB143" s="12"/>
      <c r="AJ143" s="14"/>
    </row>
    <row r="144" spans="4:45">
      <c r="D144" s="11"/>
      <c r="E144" s="12"/>
      <c r="F144" s="12"/>
      <c r="G144" s="12"/>
      <c r="H144" s="12" t="s">
        <v>8</v>
      </c>
      <c r="I144" s="412">
        <f>I143*M143-Q143*U143^2</f>
        <v>144.65095304419901</v>
      </c>
      <c r="J144" s="413"/>
      <c r="K144" s="414"/>
      <c r="L144" s="12" t="s">
        <v>445</v>
      </c>
      <c r="M144" s="12"/>
      <c r="N144" s="12"/>
      <c r="O144" s="12"/>
      <c r="P144" s="12"/>
      <c r="X144" s="12"/>
      <c r="Y144" s="12"/>
      <c r="Z144" s="12"/>
      <c r="AA144" s="12"/>
      <c r="AB144" s="12"/>
      <c r="AC144" s="12"/>
      <c r="AD144" s="12"/>
      <c r="AE144" s="12"/>
      <c r="AF144" s="12"/>
      <c r="AG144" s="12"/>
      <c r="AH144" s="12"/>
      <c r="AI144" s="12"/>
      <c r="AJ144" s="14"/>
    </row>
    <row r="145" spans="3:36">
      <c r="D145" s="15"/>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8"/>
    </row>
    <row r="147" spans="3:36">
      <c r="C147" s="1" t="s">
        <v>446</v>
      </c>
      <c r="X147" t="s">
        <v>95</v>
      </c>
      <c r="Y147" s="205"/>
      <c r="Z147" s="205"/>
      <c r="AA147" s="205"/>
      <c r="AB147" s="205"/>
    </row>
    <row r="148" spans="3:36">
      <c r="D148" s="8" t="s">
        <v>447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10"/>
    </row>
    <row r="149" spans="3:36">
      <c r="D149" s="11" t="s">
        <v>448</v>
      </c>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4"/>
    </row>
    <row r="150" spans="3:36">
      <c r="D150" s="808" t="s">
        <v>449</v>
      </c>
      <c r="E150" s="557"/>
      <c r="F150" s="541" t="s">
        <v>8</v>
      </c>
      <c r="G150" s="777" t="s">
        <v>450</v>
      </c>
      <c r="H150" s="777"/>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4"/>
    </row>
    <row r="151" spans="3:36">
      <c r="D151" s="808"/>
      <c r="E151" s="557"/>
      <c r="F151" s="541"/>
      <c r="G151" s="33" t="s">
        <v>451</v>
      </c>
      <c r="H151" s="33"/>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4"/>
    </row>
    <row r="152" spans="3:36">
      <c r="D152" s="11"/>
      <c r="E152" s="35"/>
      <c r="F152" s="32" t="s">
        <v>330</v>
      </c>
      <c r="G152" s="33"/>
      <c r="H152" s="33"/>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4"/>
    </row>
    <row r="153" spans="3:36" ht="20.25">
      <c r="D153" s="11"/>
      <c r="E153" s="35"/>
      <c r="F153" s="32"/>
      <c r="G153" s="33" t="s">
        <v>452</v>
      </c>
      <c r="H153" s="33"/>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4"/>
    </row>
    <row r="154" spans="3:36" ht="20.25">
      <c r="D154" s="11"/>
      <c r="E154" s="12"/>
      <c r="F154" s="35"/>
      <c r="G154" s="37" t="s">
        <v>453</v>
      </c>
      <c r="H154" s="12"/>
      <c r="I154" s="12"/>
      <c r="J154" s="12"/>
      <c r="K154" s="12"/>
      <c r="L154" s="12"/>
      <c r="M154" s="12"/>
      <c r="N154" s="12"/>
      <c r="O154" s="12"/>
      <c r="P154" s="12"/>
      <c r="Q154" s="12"/>
      <c r="R154" s="12"/>
      <c r="S154" s="12"/>
      <c r="T154" s="35" t="s">
        <v>123</v>
      </c>
      <c r="U154" s="33" t="s">
        <v>8</v>
      </c>
      <c r="V154" s="436">
        <f>'1.設計条件'!T41</f>
        <v>1350</v>
      </c>
      <c r="W154" s="436"/>
      <c r="X154" s="436"/>
      <c r="Y154" s="12" t="s">
        <v>454</v>
      </c>
      <c r="Z154" s="12"/>
      <c r="AA154" s="12"/>
      <c r="AB154" s="33" t="s">
        <v>8</v>
      </c>
      <c r="AC154" s="755">
        <f>V154/1000000</f>
        <v>1.3500000000000001E-3</v>
      </c>
      <c r="AD154" s="756"/>
      <c r="AE154" s="756"/>
      <c r="AF154" s="756"/>
      <c r="AG154" s="757"/>
      <c r="AH154" s="12" t="s">
        <v>455</v>
      </c>
      <c r="AI154" s="12"/>
      <c r="AJ154" s="14"/>
    </row>
    <row r="155" spans="3:36">
      <c r="D155" s="11"/>
      <c r="E155" s="12"/>
      <c r="F155" s="35"/>
      <c r="G155" s="37" t="s">
        <v>456</v>
      </c>
      <c r="H155" s="12"/>
      <c r="I155" s="12"/>
      <c r="J155" s="12"/>
      <c r="K155" s="12"/>
      <c r="L155" s="12"/>
      <c r="M155" s="12"/>
      <c r="N155" s="12"/>
      <c r="O155" s="12"/>
      <c r="P155" s="12"/>
      <c r="Q155" s="12"/>
      <c r="R155" s="12"/>
      <c r="S155" s="12"/>
      <c r="T155" s="35" t="s">
        <v>457</v>
      </c>
      <c r="U155" s="12" t="s">
        <v>8</v>
      </c>
      <c r="V155" s="758">
        <f>'1.設計条件'!T57</f>
        <v>1</v>
      </c>
      <c r="W155" s="759"/>
      <c r="X155" s="760"/>
      <c r="Y155" s="12"/>
      <c r="Z155" s="12"/>
      <c r="AA155" s="12"/>
      <c r="AB155" s="12"/>
      <c r="AC155" s="12"/>
      <c r="AD155" s="12"/>
      <c r="AE155" s="12"/>
      <c r="AF155" s="12"/>
      <c r="AG155" s="12"/>
      <c r="AH155" s="12"/>
      <c r="AI155" s="12"/>
      <c r="AJ155" s="14"/>
    </row>
    <row r="156" spans="3:36">
      <c r="D156" s="11"/>
      <c r="E156" s="35"/>
      <c r="F156" s="12"/>
      <c r="G156" s="12"/>
      <c r="H156" s="12"/>
      <c r="I156" s="12"/>
      <c r="J156" s="12"/>
      <c r="K156" s="12"/>
      <c r="L156" s="12"/>
      <c r="M156" s="12"/>
      <c r="N156" s="12"/>
      <c r="O156" s="12"/>
      <c r="P156" s="12"/>
      <c r="Q156" s="12"/>
      <c r="R156" s="12"/>
      <c r="S156" s="12"/>
      <c r="T156" s="12"/>
      <c r="U156" s="13"/>
      <c r="V156" s="13"/>
      <c r="W156" s="13"/>
      <c r="X156" s="12"/>
      <c r="Y156" s="12"/>
      <c r="Z156" s="12"/>
      <c r="AA156" s="12"/>
      <c r="AB156" s="12"/>
      <c r="AC156" s="12"/>
      <c r="AD156" s="12"/>
      <c r="AE156" s="12"/>
      <c r="AF156" s="12"/>
      <c r="AG156" s="12"/>
      <c r="AH156" s="12"/>
      <c r="AI156" s="12"/>
      <c r="AJ156" s="14"/>
    </row>
    <row r="157" spans="3:36">
      <c r="D157" s="11"/>
      <c r="E157" s="12" t="s">
        <v>262</v>
      </c>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4"/>
    </row>
    <row r="158" spans="3:36">
      <c r="D158" s="808" t="s">
        <v>449</v>
      </c>
      <c r="E158" s="557"/>
      <c r="F158" s="541" t="s">
        <v>8</v>
      </c>
      <c r="G158" s="809">
        <f>I144</f>
        <v>144.65095304419901</v>
      </c>
      <c r="H158" s="809"/>
      <c r="I158" s="809"/>
      <c r="J158" s="809"/>
      <c r="K158" s="809"/>
      <c r="L158" s="809"/>
      <c r="M158" s="809"/>
      <c r="N158" s="16"/>
      <c r="O158" s="16"/>
      <c r="P158" s="12"/>
      <c r="Q158" s="12"/>
      <c r="R158" s="12"/>
      <c r="S158" s="12"/>
      <c r="T158" s="12"/>
      <c r="U158" s="12"/>
      <c r="V158" s="12"/>
      <c r="W158" s="12"/>
      <c r="X158" s="12"/>
      <c r="Y158" s="12"/>
      <c r="Z158" s="12"/>
      <c r="AA158" s="12"/>
      <c r="AB158" s="12"/>
      <c r="AC158" s="12"/>
      <c r="AD158" s="12"/>
      <c r="AE158" s="12"/>
      <c r="AF158" s="12"/>
      <c r="AG158" s="12"/>
      <c r="AH158" s="12"/>
      <c r="AI158" s="12"/>
      <c r="AJ158" s="14"/>
    </row>
    <row r="159" spans="3:36">
      <c r="D159" s="808"/>
      <c r="E159" s="557"/>
      <c r="F159" s="541"/>
      <c r="G159" s="810">
        <f>AC154</f>
        <v>1.3500000000000001E-3</v>
      </c>
      <c r="H159" s="810"/>
      <c r="I159" s="810"/>
      <c r="J159" s="810"/>
      <c r="K159" s="810"/>
      <c r="L159" s="38" t="s">
        <v>344</v>
      </c>
      <c r="M159" s="12"/>
      <c r="N159" s="539">
        <f>V155</f>
        <v>1</v>
      </c>
      <c r="O159" s="539"/>
      <c r="P159" s="12"/>
      <c r="Q159" s="12"/>
      <c r="V159" s="12"/>
      <c r="W159" s="12"/>
      <c r="X159" s="12"/>
      <c r="Y159" s="12"/>
      <c r="Z159" s="12"/>
      <c r="AA159" s="12"/>
      <c r="AB159" s="12"/>
      <c r="AC159" s="12"/>
      <c r="AD159" s="12"/>
      <c r="AE159" s="12"/>
      <c r="AF159" s="12"/>
      <c r="AG159" s="12"/>
      <c r="AH159" s="12"/>
      <c r="AI159" s="12"/>
      <c r="AJ159" s="14"/>
    </row>
    <row r="160" spans="3:36">
      <c r="D160" s="11"/>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4"/>
    </row>
    <row r="161" spans="4:36" ht="20.25">
      <c r="D161" s="11"/>
      <c r="E161" s="12"/>
      <c r="F161" s="13" t="s">
        <v>8</v>
      </c>
      <c r="G161" s="576">
        <f>G158/G159/N159</f>
        <v>107148.85410681408</v>
      </c>
      <c r="H161" s="576"/>
      <c r="I161" s="576"/>
      <c r="J161" s="12" t="s">
        <v>21</v>
      </c>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4"/>
    </row>
    <row r="162" spans="4:36">
      <c r="D162" s="11"/>
      <c r="E162" s="12"/>
      <c r="F162" s="13"/>
      <c r="G162" s="13"/>
      <c r="H162" s="13"/>
      <c r="I162" s="13"/>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4"/>
    </row>
    <row r="163" spans="4:36" ht="21">
      <c r="D163" s="11"/>
      <c r="E163" s="12"/>
      <c r="F163" s="13" t="s">
        <v>8</v>
      </c>
      <c r="G163" s="525">
        <f>G161/1000</f>
        <v>107.14885410681407</v>
      </c>
      <c r="H163" s="526"/>
      <c r="I163" s="527"/>
      <c r="J163" s="12" t="s">
        <v>82</v>
      </c>
      <c r="K163" s="12"/>
      <c r="L163" s="12"/>
      <c r="M163" s="12"/>
      <c r="N163" s="12" t="str">
        <f>IF(G163&lt;=R163, "≦","&gt;")</f>
        <v>≦</v>
      </c>
      <c r="O163" s="371" t="s">
        <v>458</v>
      </c>
      <c r="P163" s="371"/>
      <c r="Q163" s="12" t="s">
        <v>8</v>
      </c>
      <c r="R163" s="539">
        <f>'1.設計条件'!T48</f>
        <v>210</v>
      </c>
      <c r="S163" s="539"/>
      <c r="T163" s="539"/>
      <c r="U163" s="12" t="s">
        <v>82</v>
      </c>
      <c r="V163" s="12"/>
      <c r="W163" s="12"/>
      <c r="X163" s="12"/>
      <c r="Y163" s="525" t="str">
        <f>IF(N163="≦","OK","NG")</f>
        <v>OK</v>
      </c>
      <c r="Z163" s="526"/>
      <c r="AA163" s="527"/>
      <c r="AB163" s="12"/>
      <c r="AC163" s="12"/>
      <c r="AD163" s="12"/>
      <c r="AE163" s="12"/>
      <c r="AF163" s="12"/>
      <c r="AG163" s="12"/>
      <c r="AH163" s="12"/>
      <c r="AI163" s="12"/>
      <c r="AJ163" s="14"/>
    </row>
    <row r="164" spans="4:36">
      <c r="D164" s="15"/>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8"/>
    </row>
  </sheetData>
  <sheetProtection sheet="1" objects="1" scenarios="1"/>
  <mergeCells count="194">
    <mergeCell ref="E130:F130"/>
    <mergeCell ref="G130:I130"/>
    <mergeCell ref="Y163:AA163"/>
    <mergeCell ref="D158:E159"/>
    <mergeCell ref="F158:F159"/>
    <mergeCell ref="G158:M158"/>
    <mergeCell ref="G159:K159"/>
    <mergeCell ref="N159:O159"/>
    <mergeCell ref="G161:I161"/>
    <mergeCell ref="G163:I163"/>
    <mergeCell ref="O163:P163"/>
    <mergeCell ref="R163:T163"/>
    <mergeCell ref="D150:E151"/>
    <mergeCell ref="F150:F151"/>
    <mergeCell ref="G150:H150"/>
    <mergeCell ref="F140:F141"/>
    <mergeCell ref="H140:H141"/>
    <mergeCell ref="V154:X154"/>
    <mergeCell ref="L123:O123"/>
    <mergeCell ref="L124:O124"/>
    <mergeCell ref="G127:J127"/>
    <mergeCell ref="G128:J128"/>
    <mergeCell ref="G129:J129"/>
    <mergeCell ref="G90:P90"/>
    <mergeCell ref="G91:P91"/>
    <mergeCell ref="G92:P92"/>
    <mergeCell ref="G95:Q95"/>
    <mergeCell ref="G96:Q96"/>
    <mergeCell ref="G97:Q97"/>
    <mergeCell ref="E103:F103"/>
    <mergeCell ref="G103:I103"/>
    <mergeCell ref="J103:L103"/>
    <mergeCell ref="M103:P103"/>
    <mergeCell ref="E120:F120"/>
    <mergeCell ref="G120:I120"/>
    <mergeCell ref="G117:J117"/>
    <mergeCell ref="G118:J118"/>
    <mergeCell ref="G119:J119"/>
    <mergeCell ref="G107:I107"/>
    <mergeCell ref="K107:M107"/>
    <mergeCell ref="P107:Q107"/>
    <mergeCell ref="Z43:AB43"/>
    <mergeCell ref="H58:J58"/>
    <mergeCell ref="M77:O77"/>
    <mergeCell ref="I78:K78"/>
    <mergeCell ref="I72:J72"/>
    <mergeCell ref="F55:F56"/>
    <mergeCell ref="G55:G56"/>
    <mergeCell ref="H55:J55"/>
    <mergeCell ref="L55:L56"/>
    <mergeCell ref="H56:J56"/>
    <mergeCell ref="M56:O56"/>
    <mergeCell ref="M55:O55"/>
    <mergeCell ref="F43:Q43"/>
    <mergeCell ref="R43:T43"/>
    <mergeCell ref="V43:X43"/>
    <mergeCell ref="F44:Q44"/>
    <mergeCell ref="R44:T44"/>
    <mergeCell ref="V44:X44"/>
    <mergeCell ref="Z44:AB44"/>
    <mergeCell ref="G64:H65"/>
    <mergeCell ref="K64:K65"/>
    <mergeCell ref="J64:J65"/>
    <mergeCell ref="R64:R65"/>
    <mergeCell ref="S64:T65"/>
    <mergeCell ref="AC58:AF58"/>
    <mergeCell ref="Y59:Z59"/>
    <mergeCell ref="AA59:AB59"/>
    <mergeCell ref="AC59:AF59"/>
    <mergeCell ref="Y60:Z60"/>
    <mergeCell ref="AA60:AB60"/>
    <mergeCell ref="AC60:AF60"/>
    <mergeCell ref="AA55:AB55"/>
    <mergeCell ref="AC55:AF55"/>
    <mergeCell ref="AG55:AI55"/>
    <mergeCell ref="G72:H72"/>
    <mergeCell ref="K62:L62"/>
    <mergeCell ref="AA56:AB56"/>
    <mergeCell ref="AC56:AF56"/>
    <mergeCell ref="AG56:AI56"/>
    <mergeCell ref="I67:J67"/>
    <mergeCell ref="Y58:Z58"/>
    <mergeCell ref="AA58:AB58"/>
    <mergeCell ref="AG57:AI57"/>
    <mergeCell ref="AG62:AI62"/>
    <mergeCell ref="AG58:AI58"/>
    <mergeCell ref="AG59:AI59"/>
    <mergeCell ref="AG60:AI60"/>
    <mergeCell ref="AG61:AI61"/>
    <mergeCell ref="J70:K70"/>
    <mergeCell ref="Y61:Z61"/>
    <mergeCell ref="AA61:AB61"/>
    <mergeCell ref="AC61:AF61"/>
    <mergeCell ref="Y62:Z62"/>
    <mergeCell ref="AA62:AB62"/>
    <mergeCell ref="AC62:AF62"/>
    <mergeCell ref="AA57:AB57"/>
    <mergeCell ref="AC57:AF57"/>
    <mergeCell ref="R42:T42"/>
    <mergeCell ref="D9:AJ10"/>
    <mergeCell ref="E13:F14"/>
    <mergeCell ref="G13:G14"/>
    <mergeCell ref="H13:I13"/>
    <mergeCell ref="H14:I14"/>
    <mergeCell ref="O31:P32"/>
    <mergeCell ref="N38:O38"/>
    <mergeCell ref="K20:L20"/>
    <mergeCell ref="R20:S20"/>
    <mergeCell ref="N21:O21"/>
    <mergeCell ref="H25:J25"/>
    <mergeCell ref="F42:Q42"/>
    <mergeCell ref="J18:L18"/>
    <mergeCell ref="E20:F21"/>
    <mergeCell ref="C3:AI6"/>
    <mergeCell ref="G16:H16"/>
    <mergeCell ref="J16:L16"/>
    <mergeCell ref="P16:R16"/>
    <mergeCell ref="G17:H17"/>
    <mergeCell ref="J17:L17"/>
    <mergeCell ref="G22:G23"/>
    <mergeCell ref="H22:J22"/>
    <mergeCell ref="H23:J23"/>
    <mergeCell ref="J21:L21"/>
    <mergeCell ref="G20:G21"/>
    <mergeCell ref="H20:I20"/>
    <mergeCell ref="V16:X16"/>
    <mergeCell ref="AB16:AD16"/>
    <mergeCell ref="P17:R17"/>
    <mergeCell ref="V17:X17"/>
    <mergeCell ref="N20:P20"/>
    <mergeCell ref="U20:W20"/>
    <mergeCell ref="Y20:Z20"/>
    <mergeCell ref="AB20:AD20"/>
    <mergeCell ref="Q21:S21"/>
    <mergeCell ref="U21:V21"/>
    <mergeCell ref="X21:Z21"/>
    <mergeCell ref="AC154:AG154"/>
    <mergeCell ref="V155:X155"/>
    <mergeCell ref="I144:K144"/>
    <mergeCell ref="AA134:AC134"/>
    <mergeCell ref="AF134:AH134"/>
    <mergeCell ref="M143:N143"/>
    <mergeCell ref="X143:Z143"/>
    <mergeCell ref="N138:P138"/>
    <mergeCell ref="I138:K138"/>
    <mergeCell ref="I134:J134"/>
    <mergeCell ref="N134:P134"/>
    <mergeCell ref="L140:L141"/>
    <mergeCell ref="M140:O141"/>
    <mergeCell ref="P140:P141"/>
    <mergeCell ref="I135:K135"/>
    <mergeCell ref="N135:P135"/>
    <mergeCell ref="I141:K141"/>
    <mergeCell ref="Q143:S143"/>
    <mergeCell ref="U143:V143"/>
    <mergeCell ref="I143:K143"/>
    <mergeCell ref="I140:K140"/>
    <mergeCell ref="W64:W65"/>
    <mergeCell ref="Q77:R77"/>
    <mergeCell ref="L64:L65"/>
    <mergeCell ref="M64:M65"/>
    <mergeCell ref="N64:N65"/>
    <mergeCell ref="G93:I93"/>
    <mergeCell ref="N93:P93"/>
    <mergeCell ref="K83:L83"/>
    <mergeCell ref="N83:P83"/>
    <mergeCell ref="K84:M84"/>
    <mergeCell ref="O64:P65"/>
    <mergeCell ref="U64:U65"/>
    <mergeCell ref="V64:V65"/>
    <mergeCell ref="S107:V107"/>
    <mergeCell ref="I110:J110"/>
    <mergeCell ref="L110:N110"/>
    <mergeCell ref="E113:U115"/>
    <mergeCell ref="E125:F125"/>
    <mergeCell ref="G125:H125"/>
    <mergeCell ref="L125:N125"/>
    <mergeCell ref="E93:F93"/>
    <mergeCell ref="K93:L93"/>
    <mergeCell ref="G100:I100"/>
    <mergeCell ref="J100:L100"/>
    <mergeCell ref="M100:P100"/>
    <mergeCell ref="E98:F98"/>
    <mergeCell ref="G98:H98"/>
    <mergeCell ref="J98:K98"/>
    <mergeCell ref="L122:O122"/>
    <mergeCell ref="G122:K122"/>
    <mergeCell ref="O98:Q98"/>
    <mergeCell ref="G101:I101"/>
    <mergeCell ref="J101:L101"/>
    <mergeCell ref="M101:P101"/>
    <mergeCell ref="G102:I102"/>
    <mergeCell ref="J102:L102"/>
    <mergeCell ref="M102:P102"/>
  </mergeCells>
  <phoneticPr fontId="3"/>
  <conditionalFormatting sqref="G120:H120 R128:S128">
    <cfRule type="cellIs" dxfId="10" priority="5" operator="greaterThan">
      <formula>#REF!</formula>
    </cfRule>
  </conditionalFormatting>
  <conditionalFormatting sqref="L125:M125">
    <cfRule type="cellIs" dxfId="9" priority="1" operator="greaterThan">
      <formula>#REF!</formula>
    </cfRule>
  </conditionalFormatting>
  <conditionalFormatting sqref="M100:M103">
    <cfRule type="cellIs" dxfId="8" priority="6" operator="greaterThan">
      <formula>#REF!</formula>
    </cfRule>
  </conditionalFormatting>
  <conditionalFormatting sqref="N93">
    <cfRule type="cellIs" dxfId="7" priority="8"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3C35-4BBE-42E8-8963-7001995B2757}">
  <dimension ref="B1:AK156"/>
  <sheetViews>
    <sheetView showGridLines="0" view="pageBreakPreview" zoomScale="80" zoomScaleNormal="100" zoomScaleSheetLayoutView="80" workbookViewId="0"/>
  </sheetViews>
  <sheetFormatPr defaultRowHeight="18.75"/>
  <cols>
    <col min="1" max="35" width="3" style="1" customWidth="1"/>
    <col min="36" max="36" width="1.625" style="1" customWidth="1"/>
    <col min="37" max="16384" width="9" style="1"/>
  </cols>
  <sheetData>
    <row r="1" spans="2:36">
      <c r="B1" s="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row>
    <row r="2" spans="2:36">
      <c r="B2" s="12" t="s">
        <v>459</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2:36">
      <c r="C3" s="1" t="s">
        <v>460</v>
      </c>
      <c r="D3" s="112"/>
      <c r="E3" s="112"/>
      <c r="F3" s="112"/>
      <c r="G3" s="112"/>
      <c r="H3" s="112"/>
      <c r="I3" s="112"/>
      <c r="J3" s="112"/>
      <c r="K3" s="112"/>
      <c r="L3" s="112"/>
      <c r="M3" s="112"/>
      <c r="N3" s="112"/>
      <c r="O3" s="112"/>
      <c r="P3" s="112"/>
      <c r="Q3" s="112"/>
      <c r="R3" s="112"/>
      <c r="S3" s="112"/>
      <c r="T3" s="112"/>
      <c r="U3" s="112"/>
      <c r="V3" s="112"/>
      <c r="W3" s="112"/>
      <c r="X3" t="s">
        <v>378</v>
      </c>
      <c r="Y3" s="112"/>
      <c r="Z3" s="112"/>
      <c r="AA3" s="112"/>
      <c r="AB3" s="112"/>
      <c r="AC3" s="112"/>
      <c r="AD3" s="112"/>
      <c r="AE3" s="112"/>
      <c r="AF3" s="112"/>
      <c r="AG3" s="112"/>
      <c r="AH3" s="112"/>
      <c r="AI3" s="112"/>
      <c r="AJ3" s="112"/>
    </row>
    <row r="4" spans="2:36" ht="18.75" customHeight="1">
      <c r="C4" s="12"/>
      <c r="D4" s="771" t="s">
        <v>379</v>
      </c>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3"/>
    </row>
    <row r="5" spans="2:36">
      <c r="C5" s="12"/>
      <c r="D5" s="774"/>
      <c r="E5" s="770"/>
      <c r="F5" s="770"/>
      <c r="G5" s="770"/>
      <c r="H5" s="770"/>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0"/>
      <c r="AI5" s="770"/>
      <c r="AJ5" s="775"/>
    </row>
    <row r="6" spans="2:36">
      <c r="D6" s="11" t="s">
        <v>461</v>
      </c>
      <c r="AJ6" s="14"/>
    </row>
    <row r="7" spans="2:36">
      <c r="D7" s="11"/>
      <c r="E7" s="557" t="s">
        <v>381</v>
      </c>
      <c r="F7" s="557"/>
      <c r="G7" s="541" t="s">
        <v>8</v>
      </c>
      <c r="H7" s="776" t="s">
        <v>382</v>
      </c>
      <c r="I7" s="777"/>
      <c r="AJ7" s="14"/>
    </row>
    <row r="8" spans="2:36">
      <c r="C8" s="112"/>
      <c r="D8" s="11"/>
      <c r="E8" s="557"/>
      <c r="F8" s="557"/>
      <c r="G8" s="541"/>
      <c r="H8" s="375" t="s">
        <v>383</v>
      </c>
      <c r="I8" s="371"/>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4"/>
    </row>
    <row r="9" spans="2:36" s="205" customFormat="1" ht="18.75" customHeight="1">
      <c r="B9" s="113"/>
      <c r="C9" s="250"/>
      <c r="D9" s="239"/>
      <c r="F9" s="113" t="s">
        <v>330</v>
      </c>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40"/>
    </row>
    <row r="10" spans="2:36" ht="21">
      <c r="B10" s="12"/>
      <c r="C10" s="112"/>
      <c r="D10" s="11"/>
      <c r="G10" s="375" t="s">
        <v>382</v>
      </c>
      <c r="H10" s="371"/>
      <c r="I10" s="12" t="s">
        <v>8</v>
      </c>
      <c r="J10" s="555">
        <f>'2.根入れ長'!H281</f>
        <v>16.700999999999997</v>
      </c>
      <c r="K10" s="555"/>
      <c r="L10" s="441" t="s">
        <v>462</v>
      </c>
      <c r="M10" s="441"/>
      <c r="N10" s="589">
        <f>'2.根入れ長'!N281</f>
        <v>145.62607969084024</v>
      </c>
      <c r="O10" s="589"/>
      <c r="P10" s="589"/>
      <c r="Q10" s="441" t="s">
        <v>463</v>
      </c>
      <c r="R10" s="441"/>
      <c r="S10" s="657">
        <f>'2.根入れ長'!T281</f>
        <v>421.12996033053736</v>
      </c>
      <c r="T10" s="657"/>
      <c r="U10" s="657"/>
      <c r="V10" s="441" t="s">
        <v>219</v>
      </c>
      <c r="W10" s="441"/>
      <c r="X10" s="555">
        <f>'2.根入れ長'!Y281</f>
        <v>0</v>
      </c>
      <c r="Y10" s="555"/>
      <c r="Z10" s="555"/>
      <c r="AA10" s="112"/>
      <c r="AB10" s="112"/>
      <c r="AC10" s="112"/>
      <c r="AD10" s="112"/>
      <c r="AE10" s="112"/>
      <c r="AF10" s="112"/>
      <c r="AG10" s="112"/>
      <c r="AH10" s="112"/>
      <c r="AI10" s="112"/>
      <c r="AJ10" s="14"/>
    </row>
    <row r="11" spans="2:36" ht="21">
      <c r="C11" s="12"/>
      <c r="D11" s="11"/>
      <c r="G11" s="375" t="s">
        <v>383</v>
      </c>
      <c r="H11" s="371"/>
      <c r="I11" s="12" t="s">
        <v>8</v>
      </c>
      <c r="J11" s="555">
        <f>'2.根入れ長'!U253</f>
        <v>25.051499999999997</v>
      </c>
      <c r="K11" s="555"/>
      <c r="L11" s="441" t="s">
        <v>463</v>
      </c>
      <c r="M11" s="441"/>
      <c r="N11" s="555">
        <f>'2.根入れ長'!AA253</f>
        <v>155.97405938168049</v>
      </c>
      <c r="O11" s="555"/>
      <c r="P11" s="555"/>
      <c r="Q11" s="441" t="s">
        <v>151</v>
      </c>
      <c r="R11" s="441"/>
      <c r="S11" s="813"/>
      <c r="T11" s="813"/>
      <c r="U11" s="813"/>
      <c r="V11" s="106"/>
      <c r="W11" s="106"/>
      <c r="X11" s="106"/>
      <c r="Y11" s="106"/>
      <c r="Z11" s="106"/>
      <c r="AA11" s="106"/>
      <c r="AB11" s="106"/>
      <c r="AC11" s="106"/>
      <c r="AD11" s="106"/>
      <c r="AE11" s="106"/>
      <c r="AF11" s="106"/>
      <c r="AG11" s="106"/>
      <c r="AH11" s="106"/>
      <c r="AI11" s="106"/>
      <c r="AJ11" s="107"/>
    </row>
    <row r="12" spans="2:36" ht="20.25">
      <c r="C12" s="12"/>
      <c r="D12" s="11"/>
      <c r="G12" s="79" t="s">
        <v>384</v>
      </c>
      <c r="H12" s="12"/>
      <c r="I12" s="12" t="s">
        <v>8</v>
      </c>
      <c r="J12" s="555">
        <f>'2.根入れ長'!J315</f>
        <v>0.30611512514500067</v>
      </c>
      <c r="K12" s="555"/>
      <c r="L12" s="555"/>
      <c r="M12" s="78"/>
      <c r="N12" s="23"/>
      <c r="O12" s="23"/>
      <c r="P12" s="23"/>
      <c r="Q12" s="95"/>
      <c r="R12" s="106"/>
      <c r="S12" s="106"/>
      <c r="T12" s="106"/>
      <c r="U12" s="106"/>
      <c r="V12" s="106"/>
      <c r="W12" s="106"/>
      <c r="X12" s="106"/>
      <c r="Y12" s="106"/>
      <c r="Z12" s="106"/>
      <c r="AA12" s="106"/>
      <c r="AB12" s="106"/>
      <c r="AC12" s="106"/>
      <c r="AD12" s="106"/>
      <c r="AE12" s="106"/>
      <c r="AF12" s="106"/>
      <c r="AG12" s="106"/>
      <c r="AH12" s="106"/>
      <c r="AI12" s="106"/>
      <c r="AJ12" s="107"/>
    </row>
    <row r="13" spans="2:36">
      <c r="C13" s="12"/>
      <c r="D13" s="11"/>
      <c r="F13" s="12" t="s">
        <v>385</v>
      </c>
      <c r="G13" s="195"/>
      <c r="H13" s="34"/>
      <c r="I13" s="12"/>
      <c r="J13" s="23"/>
      <c r="K13" s="23"/>
      <c r="L13" s="78"/>
      <c r="M13" s="78"/>
      <c r="N13" s="23"/>
      <c r="O13" s="23"/>
      <c r="P13" s="23"/>
      <c r="Q13" s="95"/>
      <c r="R13" s="106"/>
      <c r="S13" s="106"/>
      <c r="T13" s="106"/>
      <c r="U13" s="106"/>
      <c r="V13" s="106"/>
      <c r="W13" s="106"/>
      <c r="X13" s="106"/>
      <c r="Y13" s="106"/>
      <c r="Z13" s="106"/>
      <c r="AA13" s="106"/>
      <c r="AB13" s="106"/>
      <c r="AC13" s="106"/>
      <c r="AD13" s="106"/>
      <c r="AE13" s="106"/>
      <c r="AF13" s="106"/>
      <c r="AG13" s="106"/>
      <c r="AH13" s="106"/>
      <c r="AI13" s="106"/>
      <c r="AJ13" s="107"/>
    </row>
    <row r="14" spans="2:36">
      <c r="C14" s="12"/>
      <c r="D14" s="11"/>
      <c r="AE14" s="106"/>
      <c r="AF14" s="106"/>
      <c r="AG14" s="106"/>
      <c r="AH14" s="106"/>
      <c r="AI14" s="106"/>
      <c r="AJ14" s="107"/>
    </row>
    <row r="15" spans="2:36">
      <c r="C15" s="12"/>
      <c r="D15" s="11"/>
      <c r="E15" s="557" t="s">
        <v>381</v>
      </c>
      <c r="F15" s="557"/>
      <c r="G15" s="541" t="s">
        <v>8</v>
      </c>
      <c r="H15" s="562">
        <f>J10</f>
        <v>16.700999999999997</v>
      </c>
      <c r="I15" s="562"/>
      <c r="J15" s="25" t="s">
        <v>215</v>
      </c>
      <c r="K15" s="562">
        <f>J12</f>
        <v>0.30611512514500067</v>
      </c>
      <c r="L15" s="562"/>
      <c r="M15" s="16" t="s">
        <v>464</v>
      </c>
      <c r="N15" s="25" t="s">
        <v>213</v>
      </c>
      <c r="O15" s="562">
        <f>N10</f>
        <v>145.62607969084024</v>
      </c>
      <c r="P15" s="562"/>
      <c r="Q15" s="562"/>
      <c r="R15" s="25" t="s">
        <v>215</v>
      </c>
      <c r="S15" s="562">
        <f>J12</f>
        <v>0.30611512514500067</v>
      </c>
      <c r="T15" s="562"/>
      <c r="U15" s="16" t="s">
        <v>465</v>
      </c>
      <c r="V15" s="25" t="s">
        <v>213</v>
      </c>
      <c r="W15" s="562">
        <f>S10</f>
        <v>421.12996033053736</v>
      </c>
      <c r="X15" s="562"/>
      <c r="Y15" s="562"/>
      <c r="Z15" s="25" t="s">
        <v>215</v>
      </c>
      <c r="AA15" s="562">
        <f>J12</f>
        <v>0.30611512514500067</v>
      </c>
      <c r="AB15" s="562"/>
      <c r="AC15" s="200"/>
      <c r="AD15" s="822"/>
      <c r="AE15" s="822"/>
      <c r="AF15" s="822"/>
      <c r="AG15" s="106"/>
      <c r="AH15" s="106"/>
      <c r="AI15" s="106"/>
      <c r="AJ15" s="107"/>
    </row>
    <row r="16" spans="2:36">
      <c r="C16" s="12"/>
      <c r="D16" s="11"/>
      <c r="E16" s="557"/>
      <c r="F16" s="557"/>
      <c r="G16" s="541"/>
      <c r="H16" s="12"/>
      <c r="I16" s="12"/>
      <c r="J16" s="589">
        <f>J11</f>
        <v>25.051499999999997</v>
      </c>
      <c r="K16" s="589"/>
      <c r="L16" s="589"/>
      <c r="M16" s="12" t="s">
        <v>215</v>
      </c>
      <c r="N16" s="589">
        <f>J12</f>
        <v>0.30611512514500067</v>
      </c>
      <c r="O16" s="589"/>
      <c r="P16" s="12" t="s">
        <v>465</v>
      </c>
      <c r="Q16" s="12" t="s">
        <v>213</v>
      </c>
      <c r="R16" s="604">
        <f>N11</f>
        <v>155.97405938168049</v>
      </c>
      <c r="S16" s="604"/>
      <c r="T16" s="604"/>
      <c r="U16" s="12" t="s">
        <v>215</v>
      </c>
      <c r="V16" s="589">
        <f>J12</f>
        <v>0.30611512514500067</v>
      </c>
      <c r="W16" s="589"/>
      <c r="X16" s="106"/>
      <c r="Y16" s="814"/>
      <c r="Z16" s="814"/>
      <c r="AA16" s="814"/>
      <c r="AB16" s="106"/>
      <c r="AC16" s="106"/>
      <c r="AD16" s="106"/>
      <c r="AE16" s="106"/>
      <c r="AF16" s="106"/>
      <c r="AG16" s="106"/>
      <c r="AH16" s="106"/>
      <c r="AI16" s="106"/>
      <c r="AJ16" s="107"/>
    </row>
    <row r="17" spans="3:36">
      <c r="C17" s="12"/>
      <c r="D17" s="11"/>
      <c r="U17" s="106"/>
      <c r="V17" s="106"/>
      <c r="W17" s="106"/>
      <c r="X17" s="106"/>
      <c r="Y17" s="106"/>
      <c r="Z17" s="106"/>
      <c r="AA17" s="106"/>
      <c r="AB17" s="106"/>
      <c r="AC17" s="106"/>
      <c r="AD17" s="106"/>
      <c r="AE17" s="106"/>
      <c r="AF17" s="106"/>
      <c r="AG17" s="106"/>
      <c r="AH17" s="106"/>
      <c r="AI17" s="106"/>
      <c r="AJ17" s="107"/>
    </row>
    <row r="18" spans="3:36">
      <c r="C18" s="12"/>
      <c r="D18" s="11"/>
      <c r="G18" s="541" t="s">
        <v>8</v>
      </c>
      <c r="H18" s="529">
        <f>H15*K15^3+O15*S15^2+W15*AA15</f>
        <v>143.03942400000014</v>
      </c>
      <c r="I18" s="529"/>
      <c r="J18" s="529"/>
      <c r="Y18" s="106"/>
      <c r="Z18" s="106"/>
      <c r="AA18" s="106"/>
      <c r="AB18" s="106"/>
      <c r="AC18" s="106"/>
      <c r="AD18" s="106"/>
      <c r="AE18" s="106"/>
      <c r="AF18" s="106"/>
      <c r="AG18" s="106"/>
      <c r="AH18" s="106"/>
      <c r="AI18" s="106"/>
      <c r="AJ18" s="107"/>
    </row>
    <row r="19" spans="3:36">
      <c r="C19" s="12"/>
      <c r="D19" s="11"/>
      <c r="G19" s="541"/>
      <c r="H19" s="660">
        <f>J16*N16^2+R16*V16</f>
        <v>50.093506336257263</v>
      </c>
      <c r="I19" s="660"/>
      <c r="J19" s="660"/>
      <c r="K19" s="106"/>
      <c r="L19" s="106"/>
      <c r="M19" s="106"/>
      <c r="N19" s="106"/>
      <c r="O19" s="106"/>
      <c r="P19" s="106"/>
      <c r="Q19" s="106"/>
      <c r="R19" s="106"/>
      <c r="S19" s="106"/>
      <c r="T19" s="106"/>
      <c r="U19" s="12"/>
      <c r="V19" s="12"/>
      <c r="W19" s="12"/>
      <c r="X19" s="12"/>
      <c r="Y19" s="12"/>
      <c r="Z19" s="106"/>
      <c r="AA19" s="106"/>
      <c r="AB19" s="106"/>
      <c r="AC19" s="106"/>
      <c r="AD19" s="106"/>
      <c r="AE19" s="106"/>
      <c r="AF19" s="106"/>
      <c r="AG19" s="106"/>
      <c r="AH19" s="106"/>
      <c r="AI19" s="106"/>
      <c r="AJ19" s="107"/>
    </row>
    <row r="20" spans="3:36">
      <c r="C20" s="12"/>
      <c r="D20" s="11"/>
      <c r="U20" s="12"/>
      <c r="V20" s="12"/>
      <c r="W20" s="12"/>
      <c r="X20" s="12"/>
      <c r="Y20" s="12"/>
      <c r="Z20" s="106"/>
      <c r="AA20" s="106"/>
      <c r="AB20" s="106"/>
      <c r="AC20" s="106"/>
      <c r="AD20" s="106"/>
      <c r="AE20" s="106"/>
      <c r="AF20" s="106"/>
      <c r="AG20" s="106"/>
      <c r="AH20" s="106"/>
      <c r="AI20" s="106"/>
      <c r="AJ20" s="107"/>
    </row>
    <row r="21" spans="3:36">
      <c r="C21" s="12"/>
      <c r="D21" s="11"/>
      <c r="G21" s="27" t="s">
        <v>8</v>
      </c>
      <c r="H21" s="780">
        <f>H18/H19</f>
        <v>2.8554484295795719</v>
      </c>
      <c r="I21" s="781"/>
      <c r="J21" s="782"/>
      <c r="K21" s="23" t="s">
        <v>9</v>
      </c>
      <c r="U21" s="106"/>
      <c r="V21" s="106"/>
      <c r="W21" s="106"/>
      <c r="X21" s="106"/>
      <c r="Y21" s="106"/>
      <c r="Z21" s="106"/>
      <c r="AA21" s="106"/>
      <c r="AB21" s="106"/>
      <c r="AC21" s="106"/>
      <c r="AD21" s="106"/>
      <c r="AE21" s="106"/>
      <c r="AF21" s="106"/>
      <c r="AG21" s="106"/>
      <c r="AH21" s="106"/>
      <c r="AI21" s="106"/>
      <c r="AJ21" s="107"/>
    </row>
    <row r="22" spans="3:36">
      <c r="C22" s="12"/>
      <c r="D22" s="239"/>
      <c r="E22" s="113"/>
      <c r="F22" s="205"/>
      <c r="G22" s="205"/>
      <c r="H22" s="205"/>
      <c r="I22" s="205"/>
      <c r="J22" s="205"/>
      <c r="K22" s="205"/>
      <c r="L22" s="205"/>
      <c r="M22" s="205"/>
      <c r="N22" s="205"/>
      <c r="O22" s="205"/>
      <c r="P22" s="205"/>
      <c r="Q22" s="205"/>
      <c r="R22" s="205"/>
      <c r="X22" s="12"/>
      <c r="Y22" s="12"/>
      <c r="Z22" s="12"/>
      <c r="AA22" s="12"/>
      <c r="AB22" s="12"/>
      <c r="AC22" s="12"/>
      <c r="AD22" s="12"/>
      <c r="AE22" s="12"/>
      <c r="AF22" s="12"/>
      <c r="AG22" s="12"/>
      <c r="AH22" s="12"/>
      <c r="AI22" s="12"/>
      <c r="AJ22" s="14"/>
    </row>
    <row r="23" spans="3:36">
      <c r="C23" s="12"/>
      <c r="D23" s="11"/>
      <c r="E23" s="12"/>
      <c r="F23" s="12"/>
      <c r="O23" s="12"/>
      <c r="P23" s="12"/>
      <c r="Q23" s="12"/>
      <c r="R23" s="12"/>
      <c r="S23" s="12"/>
      <c r="T23" s="12"/>
      <c r="U23" s="12"/>
      <c r="V23" s="12"/>
      <c r="Y23" s="12"/>
      <c r="Z23" s="12"/>
      <c r="AA23" s="12"/>
      <c r="AB23" s="12"/>
      <c r="AC23" s="12"/>
      <c r="AD23" s="12"/>
      <c r="AE23" s="12"/>
      <c r="AF23" s="12"/>
      <c r="AG23" s="12"/>
      <c r="AH23" s="12"/>
      <c r="AI23" s="12"/>
      <c r="AJ23" s="14"/>
    </row>
    <row r="24" spans="3:36">
      <c r="C24" s="12"/>
      <c r="D24" s="11"/>
      <c r="E24" s="12"/>
      <c r="F24" s="701" t="s">
        <v>389</v>
      </c>
      <c r="G24" s="701"/>
      <c r="H24" s="701"/>
      <c r="I24" s="701"/>
      <c r="J24" s="701"/>
      <c r="K24" s="701"/>
      <c r="L24" s="701"/>
      <c r="M24" s="701"/>
      <c r="N24" s="701"/>
      <c r="O24" s="701"/>
      <c r="P24" s="701"/>
      <c r="Q24" s="701"/>
      <c r="R24" s="12"/>
      <c r="S24" s="12"/>
      <c r="T24" s="12"/>
      <c r="U24" s="12"/>
      <c r="V24" s="12"/>
      <c r="Y24" s="12"/>
      <c r="Z24" s="12"/>
      <c r="AA24" s="12"/>
      <c r="AB24" s="12"/>
      <c r="AC24" s="12"/>
      <c r="AD24" s="12"/>
      <c r="AE24" s="12"/>
      <c r="AF24" s="12"/>
      <c r="AG24" s="12"/>
      <c r="AH24" s="12"/>
      <c r="AI24" s="12"/>
      <c r="AJ24" s="14"/>
    </row>
    <row r="25" spans="3:36">
      <c r="C25" s="12"/>
      <c r="D25" s="11"/>
      <c r="E25" s="12"/>
      <c r="G25" s="555">
        <f>'1.設計条件'!R10</f>
        <v>6.5</v>
      </c>
      <c r="H25" s="555"/>
      <c r="I25" s="555"/>
      <c r="J25" s="12" t="s">
        <v>391</v>
      </c>
      <c r="K25" s="555">
        <f>-'1.設計条件'!T70</f>
        <v>3.8</v>
      </c>
      <c r="L25" s="555"/>
      <c r="M25" s="555"/>
      <c r="Y25" s="12"/>
      <c r="Z25" s="12"/>
      <c r="AA25" s="12"/>
      <c r="AB25" s="12"/>
      <c r="AC25" s="12"/>
      <c r="AD25" s="12"/>
      <c r="AE25" s="12"/>
      <c r="AF25" s="12"/>
      <c r="AG25" s="12"/>
      <c r="AH25" s="12"/>
      <c r="AI25" s="12"/>
      <c r="AJ25" s="14"/>
    </row>
    <row r="26" spans="3:36">
      <c r="C26" s="12"/>
      <c r="D26" s="11"/>
      <c r="G26" s="12" t="s">
        <v>8</v>
      </c>
      <c r="H26" s="555">
        <f>G25-K25</f>
        <v>2.7</v>
      </c>
      <c r="I26" s="555"/>
      <c r="J26" s="555"/>
      <c r="K26" s="12" t="s">
        <v>9</v>
      </c>
      <c r="Y26" s="12"/>
      <c r="Z26" s="12"/>
      <c r="AA26" s="12"/>
      <c r="AB26" s="12"/>
      <c r="AC26" s="12"/>
      <c r="AD26" s="12"/>
      <c r="AE26" s="31"/>
      <c r="AF26" s="12"/>
      <c r="AG26" s="12"/>
      <c r="AH26" s="12"/>
      <c r="AI26" s="12"/>
      <c r="AJ26" s="14"/>
    </row>
    <row r="27" spans="3:36">
      <c r="C27" s="12"/>
      <c r="D27" s="11"/>
      <c r="F27" s="12" t="s">
        <v>385</v>
      </c>
      <c r="U27" s="12"/>
      <c r="V27" s="12"/>
      <c r="W27" s="821" t="s">
        <v>466</v>
      </c>
      <c r="X27" s="821"/>
      <c r="Y27" s="12"/>
      <c r="Z27" s="12"/>
      <c r="AA27" s="12"/>
      <c r="AB27" s="12"/>
      <c r="AC27" s="12"/>
      <c r="AD27" s="12"/>
      <c r="AE27" s="12"/>
      <c r="AF27" s="12"/>
      <c r="AG27" s="12"/>
      <c r="AH27" s="12"/>
      <c r="AI27" s="12"/>
      <c r="AJ27" s="109"/>
    </row>
    <row r="28" spans="3:36">
      <c r="C28" s="12"/>
      <c r="D28" s="11"/>
      <c r="E28" s="12"/>
      <c r="F28" s="701" t="s">
        <v>390</v>
      </c>
      <c r="G28" s="701"/>
      <c r="H28" s="701"/>
      <c r="I28" s="701"/>
      <c r="J28" s="701"/>
      <c r="K28" s="701"/>
      <c r="L28" s="701"/>
      <c r="M28" s="701"/>
      <c r="N28" s="701"/>
      <c r="O28" s="701"/>
      <c r="P28" s="701"/>
      <c r="Q28" s="701"/>
      <c r="R28" s="12"/>
      <c r="S28" s="12"/>
      <c r="T28" s="12"/>
      <c r="U28" s="12"/>
      <c r="V28" s="12"/>
      <c r="W28" s="821"/>
      <c r="X28" s="821"/>
      <c r="Y28" s="12"/>
      <c r="Z28" s="12"/>
      <c r="AA28" s="12"/>
      <c r="AB28" s="12"/>
      <c r="AC28" s="12"/>
      <c r="AD28" s="12"/>
      <c r="AE28" s="12"/>
      <c r="AF28" s="12"/>
      <c r="AG28" s="12"/>
      <c r="AH28" s="12"/>
      <c r="AI28" s="12"/>
      <c r="AJ28" s="14"/>
    </row>
    <row r="29" spans="3:36">
      <c r="C29" s="12"/>
      <c r="D29" s="11"/>
      <c r="E29" s="12"/>
      <c r="F29" s="12"/>
      <c r="G29" s="555">
        <f>H21</f>
        <v>2.8554484295795719</v>
      </c>
      <c r="H29" s="555"/>
      <c r="I29" s="555"/>
      <c r="J29" s="12" t="s">
        <v>391</v>
      </c>
      <c r="K29" s="555">
        <f>H26</f>
        <v>2.7</v>
      </c>
      <c r="L29" s="555"/>
      <c r="M29" s="555"/>
      <c r="T29" s="12"/>
      <c r="Z29" s="12"/>
      <c r="AA29" s="12"/>
      <c r="AB29" s="12"/>
      <c r="AC29" s="12"/>
      <c r="AD29" s="12"/>
      <c r="AE29" s="12"/>
      <c r="AF29" s="12"/>
      <c r="AG29" s="12"/>
      <c r="AH29" s="12"/>
      <c r="AI29" s="12"/>
      <c r="AJ29" s="14"/>
    </row>
    <row r="30" spans="3:36">
      <c r="C30" s="12"/>
      <c r="D30" s="11"/>
      <c r="E30" s="12"/>
      <c r="G30" s="12" t="s">
        <v>8</v>
      </c>
      <c r="H30" s="555">
        <f>G29-K29</f>
        <v>0.15544842957957172</v>
      </c>
      <c r="I30" s="555"/>
      <c r="J30" s="555"/>
      <c r="K30" s="12" t="s">
        <v>9</v>
      </c>
      <c r="S30" s="12"/>
      <c r="T30" s="12"/>
      <c r="W30" s="12"/>
      <c r="X30" s="12"/>
      <c r="Y30" s="12"/>
      <c r="Z30" s="12"/>
      <c r="AA30" s="12"/>
      <c r="AB30" s="12"/>
      <c r="AC30" s="12"/>
      <c r="AD30" s="12"/>
      <c r="AE30" s="12"/>
      <c r="AF30" s="12"/>
      <c r="AG30" s="12"/>
      <c r="AH30" s="12"/>
      <c r="AI30" s="12"/>
      <c r="AJ30" s="14"/>
    </row>
    <row r="31" spans="3:36">
      <c r="C31" s="12"/>
      <c r="D31" s="11"/>
      <c r="E31" s="12"/>
      <c r="F31" s="12" t="s">
        <v>156</v>
      </c>
      <c r="L31" s="23"/>
      <c r="M31" s="12"/>
      <c r="N31" s="12"/>
      <c r="O31" s="12"/>
      <c r="P31" s="12"/>
      <c r="Q31" s="12"/>
      <c r="R31" s="12"/>
      <c r="S31" s="12"/>
      <c r="T31" s="12"/>
      <c r="U31" s="12"/>
      <c r="V31" s="12"/>
      <c r="W31" s="819" t="s">
        <v>388</v>
      </c>
      <c r="X31" s="820"/>
      <c r="Y31" s="12"/>
      <c r="Z31" s="12"/>
      <c r="AA31" s="12"/>
      <c r="AB31" s="12"/>
      <c r="AC31" s="12"/>
      <c r="AD31" s="12"/>
      <c r="AE31" s="12"/>
      <c r="AF31" s="12"/>
      <c r="AG31" s="12"/>
      <c r="AH31" s="12"/>
      <c r="AI31" s="12"/>
      <c r="AJ31" s="14"/>
    </row>
    <row r="32" spans="3:36">
      <c r="C32" s="12"/>
      <c r="D32" s="239"/>
      <c r="E32" s="113"/>
      <c r="F32" s="113"/>
      <c r="G32" s="211"/>
      <c r="H32" s="341"/>
      <c r="I32" s="341"/>
      <c r="J32" s="341"/>
      <c r="K32" s="176"/>
      <c r="L32" s="176"/>
      <c r="M32" s="113"/>
      <c r="N32" s="113"/>
      <c r="O32" s="113"/>
      <c r="P32" s="113"/>
      <c r="Q32" s="113"/>
      <c r="R32" s="12"/>
      <c r="S32" s="12"/>
      <c r="T32" s="12"/>
      <c r="U32" s="12"/>
      <c r="V32" s="12"/>
      <c r="W32" s="12"/>
      <c r="X32" s="12"/>
      <c r="Y32" s="12"/>
      <c r="Z32" s="12"/>
      <c r="AA32" s="12"/>
      <c r="AB32" s="12"/>
      <c r="AC32" s="12"/>
      <c r="AD32" s="12"/>
      <c r="AE32" s="12"/>
      <c r="AF32" s="12"/>
      <c r="AG32" s="12"/>
      <c r="AH32" s="12"/>
      <c r="AI32" s="12"/>
      <c r="AJ32" s="14"/>
    </row>
    <row r="33" spans="3:37">
      <c r="C33" s="12"/>
      <c r="D33" s="11"/>
      <c r="E33" s="12"/>
      <c r="G33" s="27"/>
      <c r="H33" s="13"/>
      <c r="I33" s="13"/>
      <c r="J33" s="13"/>
      <c r="K33" s="23"/>
      <c r="L33" s="23"/>
      <c r="M33" s="12"/>
      <c r="N33" s="12"/>
      <c r="O33" s="12"/>
      <c r="P33" s="12"/>
      <c r="Q33" s="12"/>
      <c r="R33" s="12"/>
      <c r="S33" s="12"/>
      <c r="T33" s="12"/>
      <c r="U33" s="12"/>
      <c r="V33" s="12"/>
      <c r="W33" s="12"/>
      <c r="X33" s="12"/>
      <c r="Y33" s="12"/>
      <c r="Z33" s="12"/>
      <c r="AA33" s="555"/>
      <c r="AB33" s="555"/>
      <c r="AC33" s="555"/>
      <c r="AD33" s="12"/>
      <c r="AE33" s="12"/>
      <c r="AF33" s="555"/>
      <c r="AG33" s="555"/>
      <c r="AH33" s="555"/>
      <c r="AI33" s="12"/>
      <c r="AJ33" s="14"/>
    </row>
    <row r="34" spans="3:37">
      <c r="C34" s="12"/>
      <c r="D34" s="11"/>
      <c r="E34" s="12"/>
      <c r="F34" s="12" t="s">
        <v>467</v>
      </c>
      <c r="G34" s="27"/>
      <c r="H34" s="13"/>
      <c r="I34" s="13"/>
      <c r="J34" s="13"/>
      <c r="K34" s="23"/>
      <c r="L34" s="23"/>
      <c r="M34" s="12"/>
      <c r="N34" s="12"/>
      <c r="O34" s="12"/>
      <c r="P34" s="12"/>
      <c r="Q34" s="12"/>
      <c r="R34" s="12"/>
      <c r="S34" s="12"/>
      <c r="T34" s="12"/>
      <c r="U34" s="12"/>
      <c r="V34" s="12"/>
      <c r="W34" s="12"/>
      <c r="X34" s="12"/>
      <c r="Y34" s="12"/>
      <c r="Z34" s="12"/>
      <c r="AA34" s="23"/>
      <c r="AB34" s="23"/>
      <c r="AC34" s="23"/>
      <c r="AD34" s="12"/>
      <c r="AE34" s="12"/>
      <c r="AF34" s="23"/>
      <c r="AG34" s="23"/>
      <c r="AH34" s="23"/>
      <c r="AI34" s="12"/>
      <c r="AJ34" s="14"/>
    </row>
    <row r="35" spans="3:37">
      <c r="C35" s="12"/>
      <c r="D35" s="11"/>
      <c r="E35" s="12"/>
      <c r="F35" s="703"/>
      <c r="G35" s="703"/>
      <c r="H35" s="703"/>
      <c r="I35" s="555">
        <f>H30</f>
        <v>0.15544842957957172</v>
      </c>
      <c r="J35" s="555"/>
      <c r="K35" s="555"/>
      <c r="L35" s="23" t="str">
        <f>IF(I35&gt;=M35,"≧", "&lt;")</f>
        <v>&lt;</v>
      </c>
      <c r="M35" s="555">
        <v>0.75</v>
      </c>
      <c r="N35" s="555"/>
      <c r="O35" s="555"/>
      <c r="P35" s="12" t="s">
        <v>468</v>
      </c>
      <c r="Q35" s="12"/>
      <c r="R35" s="12"/>
      <c r="S35" s="12"/>
      <c r="T35" s="12"/>
      <c r="U35" s="12"/>
      <c r="V35" s="12"/>
      <c r="W35" s="12"/>
      <c r="X35" s="12"/>
      <c r="Y35" s="12"/>
      <c r="Z35" s="12"/>
      <c r="AA35" s="23"/>
      <c r="AB35" s="23"/>
      <c r="AC35" s="23"/>
      <c r="AD35" s="12"/>
      <c r="AE35" s="12"/>
      <c r="AF35" s="23"/>
      <c r="AG35" s="23"/>
      <c r="AH35" s="23"/>
      <c r="AI35" s="12"/>
      <c r="AJ35" s="14"/>
    </row>
    <row r="36" spans="3:37">
      <c r="C36" s="12"/>
      <c r="D36" s="11"/>
      <c r="E36" s="12"/>
      <c r="F36" s="701" t="s">
        <v>390</v>
      </c>
      <c r="G36" s="701"/>
      <c r="H36" s="701"/>
      <c r="I36" s="701"/>
      <c r="J36" s="701"/>
      <c r="K36" s="701"/>
      <c r="L36" s="701"/>
      <c r="M36" s="701"/>
      <c r="N36" s="701"/>
      <c r="O36" s="701"/>
      <c r="P36" s="701"/>
      <c r="Q36" s="701"/>
      <c r="R36" s="551">
        <f>IF(I35&gt;=M35,I35, M35)</f>
        <v>0.75</v>
      </c>
      <c r="S36" s="546"/>
      <c r="T36" s="547"/>
      <c r="U36" s="12" t="s">
        <v>9</v>
      </c>
      <c r="V36" s="12"/>
      <c r="W36" s="12"/>
      <c r="X36" s="12"/>
      <c r="Y36" s="12"/>
      <c r="Z36" s="12"/>
      <c r="AA36" s="12"/>
      <c r="AB36" s="12"/>
      <c r="AC36" s="12"/>
      <c r="AD36" s="12"/>
      <c r="AE36" s="12"/>
      <c r="AF36" s="12"/>
      <c r="AG36" s="12"/>
      <c r="AH36" s="12"/>
      <c r="AI36" s="12"/>
      <c r="AJ36" s="14"/>
    </row>
    <row r="37" spans="3:37">
      <c r="D37" s="1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8"/>
      <c r="AK37" s="12"/>
    </row>
    <row r="38" spans="3:37">
      <c r="C38" s="12"/>
      <c r="D38" s="113"/>
      <c r="E38" s="113"/>
      <c r="F38" s="113"/>
      <c r="G38" s="113"/>
      <c r="H38" s="113"/>
      <c r="I38" s="113"/>
      <c r="J38" s="113"/>
      <c r="K38" s="113"/>
      <c r="L38" s="113"/>
      <c r="M38" s="113"/>
      <c r="N38" s="113"/>
      <c r="O38" s="113"/>
      <c r="P38" s="113"/>
      <c r="Q38" s="113"/>
      <c r="R38" s="12"/>
      <c r="S38" s="12"/>
      <c r="T38" s="12"/>
      <c r="U38" s="12"/>
      <c r="V38" s="12"/>
      <c r="W38" s="12"/>
      <c r="X38" s="12"/>
      <c r="Y38" s="12"/>
      <c r="Z38" s="12"/>
      <c r="AA38" s="12"/>
      <c r="AB38" s="12"/>
      <c r="AC38" s="12"/>
      <c r="AD38" s="12"/>
      <c r="AE38" s="12"/>
      <c r="AF38" s="12"/>
      <c r="AG38" s="12"/>
      <c r="AH38" s="12"/>
      <c r="AI38" s="12"/>
      <c r="AJ38" s="12"/>
    </row>
    <row r="39" spans="3:37">
      <c r="C39" s="1" t="s">
        <v>469</v>
      </c>
      <c r="X39" t="s">
        <v>470</v>
      </c>
    </row>
    <row r="40" spans="3:37">
      <c r="D40" s="8" t="s">
        <v>394</v>
      </c>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10"/>
    </row>
    <row r="41" spans="3:37">
      <c r="D41" s="11"/>
      <c r="E41" s="12" t="s">
        <v>395</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4"/>
    </row>
    <row r="42" spans="3:37">
      <c r="D42" s="11"/>
      <c r="E42" s="12" t="s">
        <v>396</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4"/>
    </row>
    <row r="43" spans="3:37">
      <c r="D43" s="11"/>
      <c r="F43" s="113" t="s">
        <v>397</v>
      </c>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2"/>
      <c r="AE43" s="12"/>
      <c r="AF43" s="12"/>
      <c r="AG43" s="12"/>
      <c r="AH43" s="12"/>
      <c r="AI43" s="12"/>
      <c r="AJ43" s="14"/>
    </row>
    <row r="44" spans="3:37">
      <c r="D44" s="11"/>
      <c r="E44" s="113"/>
      <c r="N44" s="113"/>
      <c r="O44" s="113"/>
      <c r="P44" s="113"/>
      <c r="Q44" s="113"/>
      <c r="R44" s="113"/>
      <c r="S44" s="113"/>
      <c r="T44" s="113"/>
      <c r="U44" s="113"/>
      <c r="V44" s="113"/>
      <c r="W44" s="113"/>
      <c r="X44" s="113"/>
      <c r="Y44"/>
      <c r="Z44"/>
      <c r="AA44" s="455" t="s">
        <v>25</v>
      </c>
      <c r="AB44" s="457"/>
      <c r="AC44" s="452" t="s">
        <v>29</v>
      </c>
      <c r="AD44" s="453"/>
      <c r="AE44" s="453"/>
      <c r="AF44" s="454"/>
      <c r="AG44" s="659"/>
      <c r="AH44" s="660"/>
      <c r="AI44" s="661"/>
      <c r="AJ44" s="14"/>
    </row>
    <row r="45" spans="3:37">
      <c r="D45" s="11"/>
      <c r="E45" s="113"/>
      <c r="F45" s="95" t="s">
        <v>471</v>
      </c>
      <c r="G45" s="78"/>
      <c r="H45" s="201"/>
      <c r="I45" s="201"/>
      <c r="J45" s="201"/>
      <c r="K45" s="201"/>
      <c r="L45" s="201"/>
      <c r="M45" s="201"/>
      <c r="N45" s="201"/>
      <c r="O45" s="201"/>
      <c r="P45" s="202"/>
      <c r="T45" s="113"/>
      <c r="U45" s="113"/>
      <c r="V45" s="113"/>
      <c r="W45" s="113"/>
      <c r="X45" s="113"/>
      <c r="Y45"/>
      <c r="Z45"/>
      <c r="AA45" s="438" t="s">
        <v>34</v>
      </c>
      <c r="AB45" s="439"/>
      <c r="AC45" s="435" t="s">
        <v>35</v>
      </c>
      <c r="AD45" s="436"/>
      <c r="AE45" s="436"/>
      <c r="AF45" s="437"/>
      <c r="AG45" s="438" t="s">
        <v>401</v>
      </c>
      <c r="AH45" s="371"/>
      <c r="AI45" s="439"/>
      <c r="AJ45" s="14"/>
    </row>
    <row r="46" spans="3:37" ht="20.25">
      <c r="D46" s="11"/>
      <c r="E46" s="113"/>
      <c r="F46" s="78"/>
      <c r="G46" s="574" t="s">
        <v>35</v>
      </c>
      <c r="H46" s="802" t="s">
        <v>8</v>
      </c>
      <c r="I46" s="803" t="s">
        <v>399</v>
      </c>
      <c r="J46" s="803"/>
      <c r="K46" s="803"/>
      <c r="L46" s="204"/>
      <c r="M46" s="802" t="s">
        <v>8</v>
      </c>
      <c r="N46" s="803">
        <f>AG52</f>
        <v>131.75</v>
      </c>
      <c r="O46" s="803"/>
      <c r="P46" s="803"/>
      <c r="Q46" s="113"/>
      <c r="R46" s="113"/>
      <c r="S46" s="113"/>
      <c r="T46" s="113"/>
      <c r="U46" s="113"/>
      <c r="V46" s="113"/>
      <c r="W46" s="113"/>
      <c r="X46" s="113"/>
      <c r="Y46"/>
      <c r="Z46"/>
      <c r="AA46" s="432" t="s">
        <v>40</v>
      </c>
      <c r="AB46" s="433"/>
      <c r="AC46" s="432" t="s">
        <v>41</v>
      </c>
      <c r="AD46" s="433"/>
      <c r="AE46" s="433"/>
      <c r="AF46" s="434"/>
      <c r="AG46" s="528" t="s">
        <v>402</v>
      </c>
      <c r="AH46" s="529"/>
      <c r="AI46" s="530"/>
      <c r="AJ46" s="14"/>
    </row>
    <row r="47" spans="3:37">
      <c r="D47" s="11"/>
      <c r="E47" s="113"/>
      <c r="F47" s="78"/>
      <c r="G47" s="574"/>
      <c r="H47" s="802"/>
      <c r="I47" s="804" t="s">
        <v>400</v>
      </c>
      <c r="J47" s="804"/>
      <c r="K47" s="804"/>
      <c r="L47" s="201"/>
      <c r="M47" s="802"/>
      <c r="N47" s="804">
        <f>AA52</f>
        <v>7.25</v>
      </c>
      <c r="O47" s="804"/>
      <c r="P47" s="804"/>
      <c r="Q47" s="113"/>
      <c r="R47" s="113"/>
      <c r="S47" s="113"/>
      <c r="T47" s="113"/>
      <c r="U47" s="113"/>
      <c r="V47" s="113"/>
      <c r="W47" s="113"/>
      <c r="X47" s="113"/>
      <c r="Y47" s="442" t="s">
        <v>45</v>
      </c>
      <c r="Z47" s="442"/>
      <c r="AA47" s="785">
        <f>'1.設計条件'!F23</f>
        <v>1</v>
      </c>
      <c r="AB47" s="785"/>
      <c r="AC47" s="797">
        <f>'1.設計条件'!P23</f>
        <v>18</v>
      </c>
      <c r="AD47" s="797"/>
      <c r="AE47" s="797"/>
      <c r="AF47" s="797"/>
      <c r="AG47" s="789">
        <f>AA47*AC47</f>
        <v>18</v>
      </c>
      <c r="AH47" s="789"/>
      <c r="AI47" s="789"/>
      <c r="AJ47" s="14"/>
    </row>
    <row r="48" spans="3:37">
      <c r="D48" s="11"/>
      <c r="E48" s="113"/>
      <c r="Q48" s="113"/>
      <c r="R48" s="113"/>
      <c r="S48" s="113"/>
      <c r="T48" s="113"/>
      <c r="U48" s="113"/>
      <c r="V48" s="113"/>
      <c r="W48" s="113"/>
      <c r="X48" s="113"/>
      <c r="Y48" s="442" t="s">
        <v>174</v>
      </c>
      <c r="Z48" s="442"/>
      <c r="AA48" s="785">
        <f>-'1.設計条件'!T70-AA47</f>
        <v>2.8</v>
      </c>
      <c r="AB48" s="785"/>
      <c r="AC48" s="797">
        <f>'1.設計条件'!P24</f>
        <v>18</v>
      </c>
      <c r="AD48" s="797"/>
      <c r="AE48" s="797"/>
      <c r="AF48" s="797"/>
      <c r="AG48" s="789">
        <f t="shared" ref="AG48" si="0">AA48*AC48</f>
        <v>50.4</v>
      </c>
      <c r="AH48" s="789"/>
      <c r="AI48" s="789"/>
      <c r="AJ48" s="14"/>
    </row>
    <row r="49" spans="4:36">
      <c r="D49" s="11"/>
      <c r="E49" s="113"/>
      <c r="H49" s="1" t="s">
        <v>8</v>
      </c>
      <c r="I49" s="551">
        <f>N46/N47</f>
        <v>18.172413793103448</v>
      </c>
      <c r="J49" s="546"/>
      <c r="K49" s="547"/>
      <c r="L49" s="1" t="s">
        <v>403</v>
      </c>
      <c r="U49" s="113"/>
      <c r="V49" s="113"/>
      <c r="W49" s="113"/>
      <c r="X49" s="113"/>
      <c r="Y49" s="442" t="s">
        <v>177</v>
      </c>
      <c r="Z49" s="442"/>
      <c r="AA49" s="785">
        <f>'1.設計条件'!F24-AA48</f>
        <v>2.2000000000000002</v>
      </c>
      <c r="AB49" s="785"/>
      <c r="AC49" s="797">
        <f>AC48</f>
        <v>18</v>
      </c>
      <c r="AD49" s="797"/>
      <c r="AE49" s="797"/>
      <c r="AF49" s="797"/>
      <c r="AG49" s="789">
        <f t="shared" ref="AG49" si="1">AA49*AC49</f>
        <v>39.6</v>
      </c>
      <c r="AH49" s="789"/>
      <c r="AI49" s="789"/>
      <c r="AJ49" s="14"/>
    </row>
    <row r="50" spans="4:36">
      <c r="D50" s="11"/>
      <c r="E50" s="113"/>
      <c r="U50" s="113"/>
      <c r="V50" s="113"/>
      <c r="W50" s="113"/>
      <c r="X50" s="113"/>
      <c r="Y50" s="442" t="s">
        <v>49</v>
      </c>
      <c r="Z50" s="442"/>
      <c r="AA50" s="785">
        <f>'1.設計条件'!F25</f>
        <v>0.5</v>
      </c>
      <c r="AB50" s="785"/>
      <c r="AC50" s="797">
        <f>'1.設計条件'!P25</f>
        <v>19</v>
      </c>
      <c r="AD50" s="797"/>
      <c r="AE50" s="797"/>
      <c r="AF50" s="797"/>
      <c r="AG50" s="789">
        <f>AA50*AC50</f>
        <v>9.5</v>
      </c>
      <c r="AH50" s="789"/>
      <c r="AI50" s="789"/>
      <c r="AJ50" s="14"/>
    </row>
    <row r="51" spans="4:36" ht="19.5" thickBot="1">
      <c r="D51" s="11"/>
      <c r="E51" s="113"/>
      <c r="U51" s="113"/>
      <c r="V51" s="113"/>
      <c r="W51" s="113"/>
      <c r="X51" s="113"/>
      <c r="Y51" s="791" t="s">
        <v>52</v>
      </c>
      <c r="Z51" s="791"/>
      <c r="AA51" s="792">
        <f>R36</f>
        <v>0.75</v>
      </c>
      <c r="AB51" s="792"/>
      <c r="AC51" s="793">
        <f>'1.設計条件'!P27</f>
        <v>19</v>
      </c>
      <c r="AD51" s="793"/>
      <c r="AE51" s="793"/>
      <c r="AF51" s="793"/>
      <c r="AG51" s="790">
        <f>AA51*AC51</f>
        <v>14.25</v>
      </c>
      <c r="AH51" s="790"/>
      <c r="AI51" s="790"/>
      <c r="AJ51" s="14"/>
    </row>
    <row r="52" spans="4:36" ht="19.5" thickTop="1">
      <c r="D52" s="11"/>
      <c r="E52" s="113"/>
      <c r="U52" s="113"/>
      <c r="V52" s="113"/>
      <c r="W52" s="113"/>
      <c r="X52" s="113"/>
      <c r="Y52" s="794" t="s">
        <v>342</v>
      </c>
      <c r="Z52" s="795"/>
      <c r="AA52" s="786">
        <f>SUM(AA47:AB51)</f>
        <v>7.25</v>
      </c>
      <c r="AB52" s="788"/>
      <c r="AC52" s="796"/>
      <c r="AD52" s="796"/>
      <c r="AE52" s="796"/>
      <c r="AF52" s="796"/>
      <c r="AG52" s="786">
        <f>SUM(AG47:AI51)</f>
        <v>131.75</v>
      </c>
      <c r="AH52" s="787"/>
      <c r="AI52" s="788"/>
      <c r="AJ52" s="14"/>
    </row>
    <row r="53" spans="4:36">
      <c r="D53" s="11"/>
      <c r="E53" s="113"/>
      <c r="F53" s="113" t="s">
        <v>404</v>
      </c>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2"/>
      <c r="AE53" s="12"/>
      <c r="AF53" s="12"/>
      <c r="AG53" s="12"/>
      <c r="AH53" s="12"/>
      <c r="AI53" s="12"/>
      <c r="AJ53" s="14"/>
    </row>
    <row r="54" spans="4:36">
      <c r="D54" s="11"/>
      <c r="E54" s="113"/>
      <c r="G54" s="113" t="s">
        <v>405</v>
      </c>
      <c r="H54" s="113"/>
      <c r="I54" s="113"/>
      <c r="J54" s="113"/>
      <c r="K54" s="385">
        <f>'1.設計条件'!R10</f>
        <v>6.5</v>
      </c>
      <c r="L54" s="385"/>
      <c r="M54" s="113" t="s">
        <v>9</v>
      </c>
      <c r="N54" s="113"/>
      <c r="O54" s="113"/>
      <c r="P54" s="113"/>
      <c r="Q54" s="113"/>
      <c r="R54" s="113"/>
      <c r="S54" s="113"/>
      <c r="T54" s="113"/>
      <c r="U54" s="113"/>
      <c r="V54" s="113"/>
      <c r="W54" s="113"/>
      <c r="X54" s="113"/>
      <c r="Y54" s="113"/>
      <c r="Z54" s="113"/>
      <c r="AA54" s="113"/>
      <c r="AB54" s="113"/>
      <c r="AC54" s="113"/>
      <c r="AD54" s="12"/>
      <c r="AE54" s="12"/>
      <c r="AF54" s="12"/>
      <c r="AG54" s="12"/>
      <c r="AH54" s="12"/>
      <c r="AI54" s="12"/>
      <c r="AJ54" s="14"/>
    </row>
    <row r="55" spans="4:36">
      <c r="D55" s="11"/>
      <c r="E55" s="113"/>
      <c r="F55" s="1" t="s">
        <v>385</v>
      </c>
      <c r="L55" s="113"/>
      <c r="X55" s="113"/>
      <c r="Y55" s="113"/>
      <c r="Z55" s="113"/>
      <c r="AA55" s="113"/>
      <c r="AB55" s="113"/>
      <c r="AC55" s="113"/>
      <c r="AD55" s="12"/>
      <c r="AE55" s="12"/>
      <c r="AF55" s="12"/>
      <c r="AG55" s="12"/>
      <c r="AH55" s="12"/>
      <c r="AI55" s="12"/>
      <c r="AJ55" s="14"/>
    </row>
    <row r="56" spans="4:36">
      <c r="D56" s="11"/>
      <c r="E56" s="113"/>
      <c r="F56" s="113"/>
      <c r="G56" s="385" t="s">
        <v>406</v>
      </c>
      <c r="H56" s="385"/>
      <c r="I56" s="480">
        <v>1</v>
      </c>
      <c r="J56" s="482"/>
      <c r="K56" s="113"/>
      <c r="L56" s="113"/>
      <c r="M56" s="113"/>
      <c r="X56" s="113"/>
      <c r="Y56" s="113"/>
      <c r="Z56" s="113"/>
      <c r="AA56" s="113"/>
      <c r="AB56" s="113"/>
      <c r="AC56" s="113"/>
      <c r="AD56" s="12"/>
      <c r="AE56" s="12"/>
      <c r="AF56" s="12"/>
      <c r="AG56" s="12"/>
      <c r="AH56" s="12"/>
      <c r="AI56" s="12"/>
      <c r="AJ56" s="14"/>
    </row>
    <row r="57" spans="4:36">
      <c r="D57" s="11"/>
      <c r="E57" s="113"/>
      <c r="F57" s="205"/>
      <c r="G57" s="113"/>
      <c r="H57" s="113"/>
      <c r="I57" s="113"/>
      <c r="J57" s="113"/>
      <c r="K57" s="113"/>
      <c r="L57" s="113"/>
      <c r="M57" s="113"/>
      <c r="X57" s="113"/>
      <c r="Y57" s="113"/>
      <c r="Z57" s="113"/>
      <c r="AA57" s="113"/>
      <c r="AB57" s="113"/>
      <c r="AC57" s="113"/>
      <c r="AD57" s="12"/>
      <c r="AE57" s="12"/>
      <c r="AF57" s="12"/>
      <c r="AG57" s="12"/>
      <c r="AH57" s="12"/>
      <c r="AI57" s="12"/>
      <c r="AJ57" s="14"/>
    </row>
    <row r="58" spans="4:36">
      <c r="D58" s="11"/>
      <c r="E58" s="113"/>
      <c r="F58" s="113" t="s">
        <v>472</v>
      </c>
      <c r="Q58" s="202"/>
      <c r="R58" s="12"/>
      <c r="S58" s="12"/>
      <c r="T58" s="12"/>
      <c r="AI58" s="12"/>
      <c r="AJ58" s="14"/>
    </row>
    <row r="59" spans="4:36">
      <c r="D59" s="11"/>
      <c r="E59" s="113"/>
      <c r="G59" s="113" t="s">
        <v>408</v>
      </c>
      <c r="H59" s="113"/>
      <c r="I59" s="113"/>
      <c r="J59" s="385" t="str">
        <f>'1.設計条件'!H23</f>
        <v>砂質</v>
      </c>
      <c r="K59" s="385"/>
      <c r="Q59" s="202"/>
      <c r="R59" s="12"/>
      <c r="S59" s="12"/>
      <c r="T59" s="12"/>
      <c r="AI59" s="12"/>
      <c r="AJ59" s="14"/>
    </row>
    <row r="60" spans="4:36">
      <c r="D60" s="11"/>
      <c r="E60" s="113"/>
      <c r="F60" s="113" t="s">
        <v>385</v>
      </c>
      <c r="G60" s="113"/>
      <c r="H60" s="113"/>
      <c r="I60" s="113"/>
      <c r="J60" s="113"/>
      <c r="K60" s="113"/>
      <c r="Q60" s="202"/>
      <c r="R60" s="12"/>
      <c r="S60" s="12"/>
      <c r="T60" s="12"/>
      <c r="AI60" s="12"/>
      <c r="AJ60" s="14"/>
    </row>
    <row r="61" spans="4:36">
      <c r="D61" s="11"/>
      <c r="E61" s="113"/>
      <c r="F61" s="113"/>
      <c r="G61" s="385" t="s">
        <v>409</v>
      </c>
      <c r="H61" s="385"/>
      <c r="I61" s="480">
        <v>2</v>
      </c>
      <c r="J61" s="482"/>
      <c r="K61" s="113"/>
      <c r="Q61" s="12"/>
      <c r="R61" s="12"/>
      <c r="S61" s="12"/>
      <c r="T61" s="12"/>
      <c r="AI61" s="12"/>
      <c r="AJ61" s="14"/>
    </row>
    <row r="62" spans="4:36">
      <c r="D62" s="11"/>
      <c r="E62" s="113"/>
      <c r="Q62" s="12"/>
      <c r="R62" s="12"/>
      <c r="S62" s="12"/>
      <c r="T62" s="12"/>
      <c r="AI62" s="12"/>
      <c r="AJ62" s="14"/>
    </row>
    <row r="63" spans="4:36">
      <c r="D63" s="11"/>
      <c r="E63" s="113"/>
      <c r="F63" s="1" t="s">
        <v>473</v>
      </c>
      <c r="Q63" s="202"/>
      <c r="R63" s="203"/>
      <c r="S63" s="203"/>
      <c r="T63" s="203"/>
      <c r="U63" s="203"/>
      <c r="AG63" s="12"/>
      <c r="AH63" s="12"/>
      <c r="AI63" s="12"/>
      <c r="AJ63" s="14"/>
    </row>
    <row r="64" spans="4:36">
      <c r="D64" s="11"/>
      <c r="E64" s="113"/>
      <c r="F64" s="78"/>
      <c r="G64" s="78"/>
      <c r="H64" s="201"/>
      <c r="I64" s="201"/>
      <c r="J64" s="201"/>
      <c r="K64" s="201"/>
      <c r="L64" s="201"/>
      <c r="M64" s="201"/>
      <c r="N64" s="201"/>
      <c r="O64" s="201"/>
      <c r="P64" s="202"/>
      <c r="Q64" s="202"/>
      <c r="R64" s="203"/>
      <c r="S64" s="203"/>
      <c r="T64" s="203"/>
      <c r="U64" s="203"/>
      <c r="V64" s="203"/>
      <c r="W64" s="203"/>
      <c r="X64" s="203"/>
      <c r="Y64" s="203"/>
      <c r="Z64" s="203"/>
      <c r="AA64" s="203"/>
      <c r="AB64" s="203"/>
      <c r="AC64" s="203"/>
      <c r="AD64" s="12"/>
      <c r="AE64" s="12"/>
      <c r="AF64" s="12"/>
      <c r="AG64" s="12"/>
      <c r="AH64" s="12"/>
      <c r="AI64" s="12"/>
      <c r="AJ64" s="14"/>
    </row>
    <row r="65" spans="4:36">
      <c r="D65" s="11"/>
      <c r="E65" s="113"/>
      <c r="F65" s="78"/>
      <c r="G65" s="78" t="s">
        <v>276</v>
      </c>
      <c r="H65" s="201" t="s">
        <v>8</v>
      </c>
      <c r="I65" s="201" t="s">
        <v>14</v>
      </c>
      <c r="J65" s="201" t="s">
        <v>344</v>
      </c>
      <c r="K65" s="201" t="s">
        <v>184</v>
      </c>
      <c r="L65" s="201" t="s">
        <v>344</v>
      </c>
      <c r="M65" s="201" t="s">
        <v>35</v>
      </c>
      <c r="N65" s="201" t="s">
        <v>344</v>
      </c>
      <c r="O65" s="334" t="s">
        <v>411</v>
      </c>
      <c r="P65" s="202"/>
      <c r="Q65" s="202"/>
      <c r="R65" s="203"/>
      <c r="S65" s="203"/>
      <c r="T65" s="203"/>
      <c r="U65" s="203"/>
      <c r="V65" s="203"/>
      <c r="W65" s="203"/>
      <c r="X65" s="203"/>
      <c r="Y65" s="203"/>
      <c r="Z65" s="203"/>
      <c r="AA65" s="203"/>
      <c r="AB65" s="203"/>
      <c r="AC65" s="203"/>
      <c r="AD65" s="12"/>
      <c r="AE65" s="12"/>
      <c r="AF65" s="12"/>
      <c r="AG65" s="12"/>
      <c r="AH65" s="12"/>
      <c r="AI65" s="12"/>
      <c r="AJ65" s="14"/>
    </row>
    <row r="66" spans="4:36">
      <c r="D66" s="11"/>
      <c r="E66" s="113"/>
      <c r="F66" s="78"/>
      <c r="G66" s="78"/>
      <c r="H66" s="201" t="s">
        <v>8</v>
      </c>
      <c r="I66" s="202">
        <f>I56</f>
        <v>1</v>
      </c>
      <c r="J66" s="201" t="s">
        <v>344</v>
      </c>
      <c r="K66" s="202">
        <f>I61</f>
        <v>2</v>
      </c>
      <c r="L66" s="201" t="s">
        <v>344</v>
      </c>
      <c r="M66" s="798">
        <f>I49</f>
        <v>18.172413793103448</v>
      </c>
      <c r="N66" s="798"/>
      <c r="O66" s="798"/>
      <c r="P66" s="201" t="s">
        <v>344</v>
      </c>
      <c r="Q66" s="753">
        <f>'1.設計条件'!R12</f>
        <v>1.5</v>
      </c>
      <c r="R66" s="753"/>
      <c r="S66" s="203"/>
      <c r="T66" s="203"/>
      <c r="U66" s="203"/>
      <c r="V66" s="203"/>
      <c r="W66" s="203"/>
      <c r="X66" s="203"/>
      <c r="Y66" s="203"/>
      <c r="Z66" s="203"/>
      <c r="AA66" s="203"/>
      <c r="AB66" s="203"/>
      <c r="AC66" s="203"/>
      <c r="AD66" s="12"/>
      <c r="AE66" s="12"/>
      <c r="AF66" s="12"/>
      <c r="AG66" s="12"/>
      <c r="AH66" s="12"/>
      <c r="AI66" s="12"/>
      <c r="AJ66" s="14"/>
    </row>
    <row r="67" spans="4:36">
      <c r="D67" s="11"/>
      <c r="E67" s="113"/>
      <c r="F67" s="78"/>
      <c r="G67" s="78"/>
      <c r="H67" s="201" t="s">
        <v>8</v>
      </c>
      <c r="I67" s="799">
        <f>I66*K66*M66*Q66</f>
        <v>54.517241379310349</v>
      </c>
      <c r="J67" s="800"/>
      <c r="K67" s="801"/>
      <c r="L67" s="1" t="s">
        <v>412</v>
      </c>
      <c r="M67" s="201"/>
      <c r="N67" s="201"/>
      <c r="O67" s="201"/>
      <c r="P67" s="202"/>
      <c r="Q67" s="202"/>
      <c r="R67" s="203"/>
      <c r="S67" s="203"/>
      <c r="T67" s="203"/>
      <c r="U67" s="203"/>
      <c r="V67" s="203"/>
      <c r="W67" s="203"/>
      <c r="X67" s="203"/>
      <c r="Y67" s="203"/>
      <c r="Z67" s="203"/>
      <c r="AA67" s="203"/>
      <c r="AB67" s="203"/>
      <c r="AC67" s="203"/>
      <c r="AD67" s="12"/>
      <c r="AE67" s="12"/>
      <c r="AF67" s="12"/>
      <c r="AG67" s="12"/>
      <c r="AH67" s="12"/>
      <c r="AI67" s="12"/>
      <c r="AJ67" s="14"/>
    </row>
    <row r="68" spans="4:36">
      <c r="D68" s="11"/>
      <c r="E68" s="113"/>
      <c r="F68" s="78"/>
      <c r="G68" s="78"/>
      <c r="H68" s="201"/>
      <c r="I68" s="201"/>
      <c r="J68" s="201"/>
      <c r="K68" s="201"/>
      <c r="M68" s="201"/>
      <c r="N68" s="201"/>
      <c r="O68" s="201"/>
      <c r="P68" s="202"/>
      <c r="Q68" s="202"/>
      <c r="R68" s="203"/>
      <c r="S68" s="203"/>
      <c r="T68" s="203"/>
      <c r="U68" s="203"/>
      <c r="V68" s="203"/>
      <c r="W68" s="203"/>
      <c r="X68" s="203"/>
      <c r="Y68" s="203"/>
      <c r="Z68" s="203"/>
      <c r="AA68" s="203"/>
      <c r="AB68" s="203"/>
      <c r="AC68" s="203"/>
      <c r="AD68" s="12"/>
      <c r="AE68" s="12"/>
      <c r="AF68" s="12"/>
      <c r="AG68" s="12"/>
      <c r="AH68" s="12"/>
      <c r="AI68" s="12"/>
      <c r="AJ68" s="14"/>
    </row>
    <row r="69" spans="4:36">
      <c r="D69" s="11"/>
      <c r="E69" s="12"/>
      <c r="F69" s="12" t="s">
        <v>474</v>
      </c>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4"/>
    </row>
    <row r="70" spans="4:36">
      <c r="D70" s="11"/>
      <c r="E70" s="12"/>
      <c r="F70" s="12" t="s">
        <v>475</v>
      </c>
      <c r="N70" s="12"/>
      <c r="O70" s="12"/>
      <c r="P70" s="12"/>
      <c r="Q70" s="12"/>
      <c r="R70" s="12"/>
      <c r="S70" s="12"/>
      <c r="T70" s="12"/>
      <c r="U70" s="12"/>
      <c r="V70" s="12"/>
      <c r="W70" s="12"/>
      <c r="X70" s="12"/>
      <c r="Y70" s="12"/>
      <c r="Z70" s="12"/>
      <c r="AA70" s="12"/>
      <c r="AB70" s="12"/>
      <c r="AC70" s="12"/>
      <c r="AD70" s="12"/>
      <c r="AE70" s="12"/>
      <c r="AF70" s="12"/>
      <c r="AG70" s="12"/>
      <c r="AH70" s="12"/>
      <c r="AI70" s="12"/>
      <c r="AJ70" s="14"/>
    </row>
    <row r="71" spans="4:36">
      <c r="D71" s="11"/>
      <c r="E71" s="12"/>
      <c r="F71" s="12"/>
      <c r="G71" s="12" t="s">
        <v>414</v>
      </c>
      <c r="H71" s="12"/>
      <c r="I71" s="12"/>
      <c r="J71" s="12" t="s">
        <v>8</v>
      </c>
      <c r="K71" s="12" t="s">
        <v>20</v>
      </c>
      <c r="L71" s="12" t="s">
        <v>236</v>
      </c>
      <c r="M71" s="12" t="s">
        <v>35</v>
      </c>
      <c r="Q71" s="12"/>
      <c r="R71" s="12"/>
      <c r="S71" s="12"/>
      <c r="T71" s="12"/>
      <c r="U71" s="12"/>
      <c r="V71" s="12"/>
      <c r="W71" s="12"/>
      <c r="X71" s="12"/>
      <c r="Y71" s="12"/>
      <c r="Z71" s="12"/>
      <c r="AA71" s="12"/>
      <c r="AB71" s="12"/>
      <c r="AC71" s="12"/>
      <c r="AD71" s="12"/>
      <c r="AE71" s="12"/>
      <c r="AF71" s="12"/>
      <c r="AG71" s="12"/>
      <c r="AH71" s="12"/>
      <c r="AI71" s="12"/>
      <c r="AJ71" s="14"/>
    </row>
    <row r="72" spans="4:36">
      <c r="D72" s="11"/>
      <c r="E72" s="12"/>
      <c r="F72" s="12"/>
      <c r="G72" s="12"/>
      <c r="H72" s="12"/>
      <c r="I72" s="12"/>
      <c r="J72" s="12" t="s">
        <v>8</v>
      </c>
      <c r="K72" s="385">
        <f>'1.設計条件'!R15</f>
        <v>10</v>
      </c>
      <c r="L72" s="385"/>
      <c r="M72" s="12" t="s">
        <v>236</v>
      </c>
      <c r="N72" s="555">
        <f>I49</f>
        <v>18.172413793103448</v>
      </c>
      <c r="O72" s="555"/>
      <c r="P72" s="555"/>
      <c r="Q72" s="12"/>
      <c r="R72" s="12"/>
      <c r="S72" s="12"/>
      <c r="T72" s="12"/>
      <c r="U72" s="12"/>
      <c r="V72" s="12"/>
      <c r="W72" s="12"/>
      <c r="X72" s="12"/>
      <c r="Y72" s="12"/>
      <c r="Z72" s="12"/>
      <c r="AA72" s="12"/>
      <c r="AB72" s="12"/>
      <c r="AC72" s="12"/>
      <c r="AD72" s="12"/>
      <c r="AE72" s="12"/>
      <c r="AF72" s="12"/>
      <c r="AG72" s="12"/>
      <c r="AH72" s="12"/>
      <c r="AI72" s="12"/>
      <c r="AJ72" s="14"/>
    </row>
    <row r="73" spans="4:36">
      <c r="D73" s="11"/>
      <c r="E73" s="113"/>
      <c r="F73" s="78"/>
      <c r="G73" s="78"/>
      <c r="H73" s="201"/>
      <c r="I73" s="201"/>
      <c r="J73" s="12" t="s">
        <v>8</v>
      </c>
      <c r="K73" s="555">
        <f>K72/N72</f>
        <v>0.55028462998102468</v>
      </c>
      <c r="L73" s="555"/>
      <c r="M73" s="555"/>
      <c r="N73" s="12" t="s">
        <v>40</v>
      </c>
      <c r="O73" s="12"/>
      <c r="P73" s="202"/>
      <c r="Q73" s="202"/>
      <c r="R73" s="203"/>
      <c r="S73" s="203"/>
      <c r="T73" s="203"/>
      <c r="U73" s="203"/>
      <c r="V73" s="203"/>
      <c r="W73" s="203"/>
      <c r="X73" s="203"/>
      <c r="Y73" s="203"/>
      <c r="Z73" s="203"/>
      <c r="AA73" s="203"/>
      <c r="AB73" s="203"/>
      <c r="AC73" s="203"/>
      <c r="AD73" s="12"/>
      <c r="AE73" s="12"/>
      <c r="AF73" s="12"/>
      <c r="AG73" s="12"/>
      <c r="AH73" s="12"/>
      <c r="AI73" s="12"/>
      <c r="AJ73" s="14"/>
    </row>
    <row r="74" spans="4:36">
      <c r="D74" s="11"/>
      <c r="E74" s="113"/>
      <c r="F74" s="78"/>
      <c r="G74" s="78"/>
      <c r="H74" s="201"/>
      <c r="I74" s="201"/>
      <c r="J74" s="12"/>
      <c r="K74" s="23"/>
      <c r="L74" s="23"/>
      <c r="M74" s="23"/>
      <c r="N74" s="12"/>
      <c r="O74" s="12"/>
      <c r="P74" s="202"/>
      <c r="Q74" s="202"/>
      <c r="R74" s="203"/>
      <c r="S74" s="203"/>
      <c r="T74" s="203"/>
      <c r="U74" s="203"/>
      <c r="V74" s="203"/>
      <c r="W74" s="203"/>
      <c r="X74" s="203"/>
      <c r="Y74" s="203"/>
      <c r="Z74" s="203"/>
      <c r="AA74" s="203"/>
      <c r="AB74" s="203"/>
      <c r="AC74" s="203"/>
      <c r="AD74" s="12"/>
      <c r="AE74" s="12"/>
      <c r="AF74" s="12"/>
      <c r="AG74" s="12"/>
      <c r="AH74" s="12"/>
      <c r="AI74" s="12"/>
      <c r="AJ74" s="14"/>
    </row>
    <row r="75" spans="4:36">
      <c r="D75" s="11"/>
      <c r="E75" s="12" t="s">
        <v>415</v>
      </c>
      <c r="F75" s="78"/>
      <c r="G75" s="78"/>
      <c r="H75" s="201"/>
      <c r="I75" s="201"/>
      <c r="J75" s="12"/>
      <c r="K75" s="23"/>
      <c r="L75" s="23"/>
      <c r="M75" s="23"/>
      <c r="N75" s="12"/>
      <c r="O75" s="12"/>
      <c r="P75" s="202"/>
      <c r="Q75" s="202"/>
      <c r="R75" s="203"/>
      <c r="S75" s="203"/>
      <c r="T75" s="203"/>
      <c r="U75" s="203"/>
      <c r="V75" s="203"/>
      <c r="W75" s="203"/>
      <c r="X75" s="203"/>
      <c r="Y75" s="203"/>
      <c r="Z75" s="203"/>
      <c r="AA75" s="203"/>
      <c r="AB75" s="203"/>
      <c r="AC75" s="203"/>
      <c r="AD75" s="12"/>
      <c r="AE75" s="12"/>
      <c r="AF75" s="12"/>
      <c r="AG75" s="12"/>
      <c r="AH75" s="12"/>
      <c r="AI75" s="12"/>
      <c r="AJ75" s="14"/>
    </row>
    <row r="76" spans="4:36">
      <c r="D76" s="11"/>
      <c r="F76" s="31" t="s">
        <v>476</v>
      </c>
      <c r="G76" s="154"/>
      <c r="H76" s="154"/>
      <c r="I76" s="206"/>
      <c r="J76" s="206"/>
      <c r="K76" s="123"/>
      <c r="L76" s="123"/>
      <c r="M76" s="123"/>
      <c r="N76" s="93"/>
      <c r="O76" s="93"/>
      <c r="P76" s="93"/>
      <c r="Q76" s="123"/>
      <c r="R76" s="123"/>
      <c r="S76" s="123"/>
      <c r="T76" s="93"/>
      <c r="U76" s="93"/>
      <c r="V76" s="93"/>
      <c r="W76" s="123"/>
      <c r="X76" s="123"/>
      <c r="Y76" s="123"/>
      <c r="Z76" s="93"/>
      <c r="AA76" s="93"/>
      <c r="AB76" s="93"/>
      <c r="AC76" s="12"/>
      <c r="AD76" s="123"/>
      <c r="AE76" s="123"/>
      <c r="AF76" s="123"/>
      <c r="AG76" s="93"/>
      <c r="AH76" s="93"/>
      <c r="AI76" s="93"/>
      <c r="AJ76" s="14"/>
    </row>
    <row r="77" spans="4:36">
      <c r="D77" s="11"/>
      <c r="F77" s="31" t="s">
        <v>417</v>
      </c>
      <c r="G77" s="154"/>
      <c r="H77" s="154"/>
      <c r="I77" s="206"/>
      <c r="J77" s="206"/>
      <c r="K77" s="123"/>
      <c r="L77" s="123"/>
      <c r="M77" s="123"/>
      <c r="N77" s="93"/>
      <c r="O77" s="93"/>
      <c r="P77" s="93"/>
      <c r="Q77" s="123"/>
      <c r="R77" s="123"/>
      <c r="S77" s="123"/>
      <c r="T77" s="93"/>
      <c r="U77" s="93"/>
      <c r="V77" s="93"/>
      <c r="W77" s="123"/>
      <c r="X77" s="123"/>
      <c r="Y77" s="123"/>
      <c r="Z77" s="93"/>
      <c r="AA77" s="93"/>
      <c r="AB77" s="93"/>
      <c r="AC77" s="12"/>
      <c r="AD77" s="123"/>
      <c r="AE77" s="123"/>
      <c r="AF77" s="123"/>
      <c r="AG77" s="93"/>
      <c r="AH77" s="93"/>
      <c r="AI77" s="93"/>
      <c r="AJ77" s="14"/>
    </row>
    <row r="78" spans="4:36">
      <c r="D78" s="11"/>
      <c r="E78" s="211"/>
      <c r="F78" s="211"/>
      <c r="R78" s="12"/>
      <c r="AJ78" s="14"/>
    </row>
    <row r="79" spans="4:36">
      <c r="D79" s="11"/>
      <c r="E79" s="94"/>
      <c r="F79" s="93"/>
      <c r="G79" s="455" t="s">
        <v>418</v>
      </c>
      <c r="H79" s="456"/>
      <c r="I79" s="456"/>
      <c r="J79" s="456"/>
      <c r="K79" s="456"/>
      <c r="L79" s="456"/>
      <c r="M79" s="456"/>
      <c r="N79" s="456"/>
      <c r="O79" s="456"/>
      <c r="P79" s="456"/>
      <c r="Q79" s="456"/>
      <c r="R79" s="456"/>
      <c r="S79" s="457"/>
      <c r="AJ79" s="14"/>
    </row>
    <row r="80" spans="4:36">
      <c r="D80" s="11"/>
      <c r="E80" s="12"/>
      <c r="F80" s="93"/>
      <c r="G80" s="585" t="s">
        <v>233</v>
      </c>
      <c r="H80" s="586"/>
      <c r="I80" s="586"/>
      <c r="J80" s="586"/>
      <c r="K80" s="586"/>
      <c r="L80" s="586"/>
      <c r="M80" s="586"/>
      <c r="N80" s="586"/>
      <c r="O80" s="586"/>
      <c r="P80" s="586"/>
      <c r="Q80" s="586"/>
      <c r="R80" s="586"/>
      <c r="S80" s="587"/>
      <c r="T80" s="93"/>
      <c r="U80" s="93"/>
      <c r="V80" s="93"/>
      <c r="W80" s="123"/>
      <c r="X80" s="123"/>
      <c r="Y80" s="123"/>
      <c r="Z80" s="93"/>
      <c r="AA80" s="93"/>
      <c r="AB80" s="93"/>
      <c r="AC80" s="12"/>
      <c r="AD80" s="123"/>
      <c r="AE80" s="123"/>
      <c r="AF80" s="123"/>
      <c r="AG80" s="93"/>
      <c r="AH80" s="93"/>
      <c r="AI80" s="93"/>
      <c r="AJ80" s="14"/>
    </row>
    <row r="81" spans="3:36">
      <c r="D81" s="11"/>
      <c r="E81" s="94"/>
      <c r="F81" s="93"/>
      <c r="G81" s="501" t="s">
        <v>234</v>
      </c>
      <c r="H81" s="502"/>
      <c r="I81" s="502"/>
      <c r="J81" s="502"/>
      <c r="K81" s="502"/>
      <c r="L81" s="502"/>
      <c r="M81" s="502"/>
      <c r="N81" s="502"/>
      <c r="O81" s="502"/>
      <c r="P81" s="502"/>
      <c r="Q81" s="502"/>
      <c r="R81" s="502"/>
      <c r="S81" s="503"/>
      <c r="T81" s="93"/>
      <c r="U81" s="93"/>
      <c r="V81" s="93"/>
      <c r="W81" s="123"/>
      <c r="X81" s="123"/>
      <c r="Y81" s="123"/>
      <c r="Z81" s="93"/>
      <c r="AA81" s="93"/>
      <c r="AB81" s="93"/>
      <c r="AC81" s="12"/>
      <c r="AD81" s="123"/>
      <c r="AE81" s="123"/>
      <c r="AF81" s="123"/>
      <c r="AG81" s="93"/>
      <c r="AH81" s="93"/>
      <c r="AI81" s="93"/>
      <c r="AJ81" s="14"/>
    </row>
    <row r="82" spans="3:36">
      <c r="D82" s="11"/>
      <c r="E82" s="594" t="s">
        <v>177</v>
      </c>
      <c r="F82" s="595"/>
      <c r="G82" s="687">
        <f>I67</f>
        <v>54.517241379310349</v>
      </c>
      <c r="H82" s="686"/>
      <c r="I82" s="686"/>
      <c r="J82" s="9" t="s">
        <v>215</v>
      </c>
      <c r="K82" s="686">
        <f>AA49</f>
        <v>2.2000000000000002</v>
      </c>
      <c r="L82" s="686"/>
      <c r="N82" s="9"/>
      <c r="O82" s="47"/>
      <c r="P82" s="9" t="s">
        <v>8</v>
      </c>
      <c r="Q82" s="551">
        <f>G82*K82</f>
        <v>119.93793103448277</v>
      </c>
      <c r="R82" s="546"/>
      <c r="S82" s="547"/>
      <c r="T82" s="93"/>
      <c r="U82" s="93"/>
      <c r="V82" s="93"/>
      <c r="W82" s="123"/>
      <c r="X82" s="123"/>
      <c r="Y82" s="123"/>
      <c r="Z82" s="93"/>
      <c r="AA82" s="93"/>
      <c r="AB82" s="93"/>
      <c r="AC82" s="12"/>
      <c r="AD82" s="123"/>
      <c r="AE82" s="123"/>
      <c r="AF82" s="123"/>
      <c r="AG82" s="93"/>
      <c r="AH82" s="93"/>
      <c r="AI82" s="93"/>
      <c r="AJ82" s="14"/>
    </row>
    <row r="83" spans="3:36">
      <c r="D83" s="11"/>
      <c r="E83" s="747" t="s">
        <v>49</v>
      </c>
      <c r="F83" s="748"/>
      <c r="G83" s="662">
        <f>I67</f>
        <v>54.517241379310349</v>
      </c>
      <c r="H83" s="571"/>
      <c r="I83" s="571"/>
      <c r="J83" s="29" t="s">
        <v>215</v>
      </c>
      <c r="K83" s="571">
        <f>AA50</f>
        <v>0.5</v>
      </c>
      <c r="L83" s="571"/>
      <c r="M83" s="29"/>
      <c r="N83" s="29"/>
      <c r="O83" s="62"/>
      <c r="P83" s="77" t="s">
        <v>8</v>
      </c>
      <c r="Q83" s="551">
        <f>G83*K83</f>
        <v>27.258620689655174</v>
      </c>
      <c r="R83" s="546"/>
      <c r="S83" s="547"/>
      <c r="T83" s="93"/>
      <c r="U83" s="93"/>
      <c r="V83" s="93"/>
      <c r="W83" s="123"/>
      <c r="X83" s="123"/>
      <c r="Y83" s="123"/>
      <c r="Z83" s="93"/>
      <c r="AA83" s="93"/>
      <c r="AB83" s="93"/>
      <c r="AC83" s="12"/>
      <c r="AD83" s="123"/>
      <c r="AE83" s="123"/>
      <c r="AF83" s="123"/>
      <c r="AG83" s="93"/>
      <c r="AH83" s="93"/>
      <c r="AI83" s="93"/>
      <c r="AJ83" s="14"/>
    </row>
    <row r="84" spans="3:36">
      <c r="D84" s="11"/>
      <c r="E84" s="541"/>
      <c r="F84" s="541"/>
      <c r="G84" s="811"/>
      <c r="H84" s="811"/>
      <c r="I84" s="589"/>
      <c r="J84" s="589"/>
      <c r="K84" s="12"/>
      <c r="N84" s="12"/>
      <c r="O84" s="100"/>
      <c r="P84" s="12"/>
      <c r="Q84" s="555"/>
      <c r="R84" s="555"/>
      <c r="S84" s="555"/>
      <c r="T84" s="93"/>
      <c r="U84" s="93"/>
      <c r="V84" s="93"/>
      <c r="W84" s="123"/>
      <c r="X84" s="123"/>
      <c r="Y84" s="123"/>
      <c r="Z84" s="93"/>
      <c r="AA84" s="93"/>
      <c r="AB84" s="93"/>
      <c r="AC84" s="12"/>
      <c r="AD84" s="123"/>
      <c r="AE84" s="123"/>
      <c r="AF84" s="123"/>
      <c r="AG84" s="93"/>
      <c r="AH84" s="93"/>
      <c r="AI84" s="93"/>
      <c r="AJ84" s="14"/>
    </row>
    <row r="85" spans="3:36">
      <c r="D85" s="11"/>
      <c r="T85" s="93"/>
      <c r="U85" s="93"/>
      <c r="V85" s="93"/>
      <c r="W85" s="12"/>
      <c r="X85" s="123"/>
      <c r="Y85" s="123"/>
      <c r="Z85" s="123"/>
      <c r="AA85" s="93"/>
      <c r="AB85" s="93"/>
      <c r="AC85" s="93"/>
      <c r="AD85" s="12"/>
      <c r="AE85" s="12"/>
      <c r="AF85" s="12"/>
      <c r="AG85" s="12"/>
      <c r="AH85" s="12"/>
      <c r="AI85" s="12"/>
      <c r="AJ85" s="14"/>
    </row>
    <row r="86" spans="3:36">
      <c r="C86" s="12"/>
      <c r="D86" s="11"/>
      <c r="E86" s="94"/>
      <c r="F86" s="93"/>
      <c r="G86" s="455" t="s">
        <v>419</v>
      </c>
      <c r="H86" s="456"/>
      <c r="I86" s="456"/>
      <c r="J86" s="456"/>
      <c r="K86" s="456"/>
      <c r="L86" s="456"/>
      <c r="M86" s="456"/>
      <c r="N86" s="456"/>
      <c r="O86" s="456"/>
      <c r="P86" s="456"/>
      <c r="Q86" s="456"/>
      <c r="R86" s="456"/>
      <c r="S86" s="456"/>
      <c r="T86" s="457"/>
      <c r="U86"/>
      <c r="V86"/>
      <c r="W86"/>
      <c r="X86"/>
      <c r="Y86"/>
      <c r="Z86" s="12"/>
      <c r="AA86" s="12"/>
      <c r="AB86" s="12"/>
      <c r="AC86" s="12"/>
      <c r="AD86" s="12"/>
      <c r="AE86" s="12"/>
      <c r="AF86" s="12"/>
      <c r="AG86" s="12"/>
      <c r="AH86" s="12"/>
      <c r="AI86" s="12"/>
      <c r="AJ86" s="14"/>
    </row>
    <row r="87" spans="3:36">
      <c r="C87" s="12"/>
      <c r="D87" s="11"/>
      <c r="E87" s="94"/>
      <c r="F87" s="93"/>
      <c r="G87" s="585" t="s">
        <v>420</v>
      </c>
      <c r="H87" s="586"/>
      <c r="I87" s="586"/>
      <c r="J87" s="586"/>
      <c r="K87" s="586"/>
      <c r="L87" s="586"/>
      <c r="M87" s="586"/>
      <c r="N87" s="586"/>
      <c r="O87" s="586"/>
      <c r="P87" s="586"/>
      <c r="Q87" s="586"/>
      <c r="R87" s="586"/>
      <c r="S87" s="586"/>
      <c r="T87" s="587"/>
      <c r="U87" s="336"/>
      <c r="V87" s="336"/>
      <c r="W87" s="336"/>
      <c r="X87" s="336"/>
      <c r="Y87" s="336"/>
      <c r="Z87" s="12"/>
      <c r="AA87" s="12"/>
      <c r="AB87" s="12"/>
      <c r="AC87" s="12"/>
      <c r="AD87" s="12"/>
      <c r="AE87" s="12"/>
      <c r="AF87" s="12"/>
      <c r="AG87" s="12"/>
      <c r="AH87" s="12"/>
      <c r="AI87" s="12"/>
      <c r="AJ87" s="14"/>
    </row>
    <row r="88" spans="3:36">
      <c r="C88" s="12"/>
      <c r="D88" s="11"/>
      <c r="E88" s="94"/>
      <c r="F88" s="93"/>
      <c r="G88" s="501" t="s">
        <v>40</v>
      </c>
      <c r="H88" s="502"/>
      <c r="I88" s="502"/>
      <c r="J88" s="502"/>
      <c r="K88" s="502"/>
      <c r="L88" s="502"/>
      <c r="M88" s="502"/>
      <c r="N88" s="502"/>
      <c r="O88" s="502"/>
      <c r="P88" s="502"/>
      <c r="Q88" s="502"/>
      <c r="R88" s="502"/>
      <c r="S88" s="502"/>
      <c r="T88" s="503"/>
      <c r="U88"/>
      <c r="V88"/>
      <c r="W88"/>
      <c r="X88"/>
      <c r="Y88"/>
      <c r="Z88" s="12"/>
      <c r="AA88" s="12"/>
      <c r="AB88" s="12"/>
      <c r="AC88" s="12"/>
      <c r="AD88" s="12"/>
      <c r="AE88" s="12"/>
      <c r="AF88" s="12"/>
      <c r="AG88" s="12"/>
      <c r="AH88" s="12"/>
      <c r="AI88" s="12"/>
      <c r="AJ88" s="14"/>
    </row>
    <row r="89" spans="3:36">
      <c r="C89" s="12"/>
      <c r="D89" s="11"/>
      <c r="E89" s="594" t="s">
        <v>177</v>
      </c>
      <c r="F89" s="595"/>
      <c r="G89" s="551">
        <f>R36</f>
        <v>0.75</v>
      </c>
      <c r="H89" s="546"/>
      <c r="I89" s="29" t="s">
        <v>213</v>
      </c>
      <c r="J89" s="546">
        <f>K83</f>
        <v>0.5</v>
      </c>
      <c r="K89" s="546"/>
      <c r="L89" s="29" t="s">
        <v>213</v>
      </c>
      <c r="M89" s="546">
        <f>K82</f>
        <v>2.2000000000000002</v>
      </c>
      <c r="N89" s="546"/>
      <c r="O89" s="29" t="s">
        <v>236</v>
      </c>
      <c r="P89" s="45">
        <v>2</v>
      </c>
      <c r="Q89" s="77" t="s">
        <v>8</v>
      </c>
      <c r="R89" s="551">
        <f>G89+J89+M89/P89</f>
        <v>2.35</v>
      </c>
      <c r="S89" s="546"/>
      <c r="T89" s="547"/>
      <c r="U89" s="12"/>
      <c r="V89" s="12"/>
      <c r="W89" s="12"/>
      <c r="X89" s="12"/>
      <c r="Y89" s="12"/>
      <c r="Z89" s="12"/>
      <c r="AA89" s="12"/>
      <c r="AB89" s="12"/>
      <c r="AC89" s="12"/>
      <c r="AD89" s="12"/>
      <c r="AE89" s="12"/>
      <c r="AF89" s="12"/>
      <c r="AG89" s="12"/>
      <c r="AH89" s="12"/>
      <c r="AI89" s="12"/>
      <c r="AJ89" s="14"/>
    </row>
    <row r="90" spans="3:36">
      <c r="C90" s="12"/>
      <c r="D90" s="11"/>
      <c r="E90" s="747" t="s">
        <v>49</v>
      </c>
      <c r="F90" s="748"/>
      <c r="G90" s="551">
        <f>R36</f>
        <v>0.75</v>
      </c>
      <c r="H90" s="546"/>
      <c r="I90" s="29" t="s">
        <v>213</v>
      </c>
      <c r="J90" s="546">
        <f>K83</f>
        <v>0.5</v>
      </c>
      <c r="K90" s="546"/>
      <c r="L90" s="29"/>
      <c r="M90" s="546"/>
      <c r="N90" s="546"/>
      <c r="O90" s="29" t="s">
        <v>236</v>
      </c>
      <c r="P90" s="45">
        <v>2</v>
      </c>
      <c r="Q90" s="77" t="s">
        <v>8</v>
      </c>
      <c r="R90" s="551">
        <f>G90+J90/P90</f>
        <v>1</v>
      </c>
      <c r="S90" s="546"/>
      <c r="T90" s="547"/>
      <c r="U90" s="12"/>
      <c r="V90" s="12"/>
      <c r="W90" s="12"/>
      <c r="X90" s="12"/>
      <c r="Y90" s="12"/>
      <c r="Z90" s="12"/>
      <c r="AA90" s="12"/>
      <c r="AB90" s="12"/>
      <c r="AC90" s="12"/>
      <c r="AD90" s="12"/>
      <c r="AE90" s="12"/>
      <c r="AF90" s="12"/>
      <c r="AG90" s="12"/>
      <c r="AH90" s="12"/>
      <c r="AI90" s="12"/>
      <c r="AJ90" s="14"/>
    </row>
    <row r="91" spans="3:36">
      <c r="D91" s="11"/>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4"/>
    </row>
    <row r="92" spans="3:36">
      <c r="C92" s="12"/>
      <c r="D92" s="11"/>
      <c r="E92" s="94"/>
      <c r="F92" s="93"/>
      <c r="G92" s="455" t="s">
        <v>418</v>
      </c>
      <c r="H92" s="456"/>
      <c r="I92" s="457"/>
      <c r="J92" s="455" t="s">
        <v>247</v>
      </c>
      <c r="K92" s="456"/>
      <c r="L92" s="457"/>
      <c r="M92" s="455" t="s">
        <v>421</v>
      </c>
      <c r="N92" s="456"/>
      <c r="O92" s="456"/>
      <c r="P92" s="457"/>
      <c r="Q92" s="12"/>
      <c r="R92" s="12"/>
      <c r="S92" s="12"/>
      <c r="T92" s="12"/>
      <c r="U92" s="12"/>
      <c r="V92" s="12"/>
      <c r="W92" s="12"/>
      <c r="X92" s="12"/>
      <c r="Y92" s="12"/>
      <c r="Z92" s="12"/>
      <c r="AA92" s="12"/>
      <c r="AB92" s="12"/>
      <c r="AC92" s="12"/>
      <c r="AD92" s="12"/>
      <c r="AE92" s="12"/>
      <c r="AF92" s="12"/>
      <c r="AG92" s="12"/>
      <c r="AH92" s="12"/>
      <c r="AI92" s="12"/>
      <c r="AJ92" s="14"/>
    </row>
    <row r="93" spans="3:36">
      <c r="C93" s="12"/>
      <c r="D93" s="11"/>
      <c r="E93" s="12"/>
      <c r="F93" s="93"/>
      <c r="G93" s="585" t="s">
        <v>233</v>
      </c>
      <c r="H93" s="586"/>
      <c r="I93" s="587"/>
      <c r="J93" s="585" t="s">
        <v>420</v>
      </c>
      <c r="K93" s="586"/>
      <c r="L93" s="587"/>
      <c r="M93" s="585" t="s">
        <v>422</v>
      </c>
      <c r="N93" s="586"/>
      <c r="O93" s="586"/>
      <c r="P93" s="587"/>
      <c r="Q93" s="12"/>
      <c r="R93" s="12"/>
      <c r="S93" s="12"/>
      <c r="T93" s="12"/>
      <c r="U93" s="12"/>
      <c r="V93" s="12"/>
      <c r="W93" s="12"/>
      <c r="X93" s="12"/>
      <c r="Y93" s="12"/>
      <c r="Z93" s="12"/>
      <c r="AA93" s="12"/>
      <c r="AB93" s="12"/>
      <c r="AC93" s="12"/>
      <c r="AD93" s="12"/>
      <c r="AE93" s="12"/>
      <c r="AF93" s="12"/>
      <c r="AG93" s="12"/>
      <c r="AH93" s="12"/>
      <c r="AI93" s="12"/>
      <c r="AJ93" s="14"/>
    </row>
    <row r="94" spans="3:36">
      <c r="C94" s="12"/>
      <c r="D94" s="11"/>
      <c r="E94" s="94"/>
      <c r="F94" s="93"/>
      <c r="G94" s="501" t="s">
        <v>234</v>
      </c>
      <c r="H94" s="502"/>
      <c r="I94" s="503"/>
      <c r="J94" s="501" t="s">
        <v>40</v>
      </c>
      <c r="K94" s="502"/>
      <c r="L94" s="503"/>
      <c r="M94" s="501" t="s">
        <v>252</v>
      </c>
      <c r="N94" s="502"/>
      <c r="O94" s="502"/>
      <c r="P94" s="503"/>
      <c r="Q94" s="12"/>
      <c r="R94" s="12"/>
      <c r="S94" s="12"/>
      <c r="T94" s="12"/>
      <c r="U94" s="12"/>
      <c r="V94" s="12"/>
      <c r="W94" s="12"/>
      <c r="X94" s="12"/>
      <c r="Y94" s="12"/>
      <c r="Z94" s="12"/>
      <c r="AA94" s="12"/>
      <c r="AB94" s="12"/>
      <c r="AC94" s="12"/>
      <c r="AD94" s="12"/>
      <c r="AE94" s="12"/>
      <c r="AF94" s="12"/>
      <c r="AG94" s="12"/>
      <c r="AH94" s="12"/>
      <c r="AI94" s="12"/>
      <c r="AJ94" s="14"/>
    </row>
    <row r="95" spans="3:36">
      <c r="C95" s="12"/>
      <c r="D95" s="11"/>
      <c r="E95" s="594" t="s">
        <v>177</v>
      </c>
      <c r="F95" s="595"/>
      <c r="G95" s="662">
        <f>Q82</f>
        <v>119.93793103448277</v>
      </c>
      <c r="H95" s="571"/>
      <c r="I95" s="805"/>
      <c r="J95" s="662">
        <f>R89</f>
        <v>2.35</v>
      </c>
      <c r="K95" s="571"/>
      <c r="L95" s="571"/>
      <c r="M95" s="551">
        <f>G95*J95</f>
        <v>281.85413793103453</v>
      </c>
      <c r="N95" s="546"/>
      <c r="O95" s="546"/>
      <c r="P95" s="547"/>
      <c r="Q95" s="12"/>
      <c r="R95" s="12"/>
      <c r="S95" s="12"/>
      <c r="T95" s="12"/>
      <c r="U95" s="12"/>
      <c r="V95" s="12"/>
      <c r="W95" s="12"/>
      <c r="X95" s="12"/>
      <c r="Y95" s="12"/>
      <c r="Z95" s="12"/>
      <c r="AA95" s="12"/>
      <c r="AB95" s="12"/>
      <c r="AC95" s="12"/>
      <c r="AD95" s="12"/>
      <c r="AE95" s="12"/>
      <c r="AF95" s="12"/>
      <c r="AG95" s="12"/>
      <c r="AH95" s="12"/>
      <c r="AI95" s="12"/>
      <c r="AJ95" s="14"/>
    </row>
    <row r="96" spans="3:36" ht="19.5" thickBot="1">
      <c r="C96" s="12"/>
      <c r="D96" s="11"/>
      <c r="E96" s="747" t="s">
        <v>49</v>
      </c>
      <c r="F96" s="748"/>
      <c r="G96" s="611">
        <f>Q83</f>
        <v>27.258620689655174</v>
      </c>
      <c r="H96" s="612"/>
      <c r="I96" s="812"/>
      <c r="J96" s="611">
        <f>R90</f>
        <v>1</v>
      </c>
      <c r="K96" s="612"/>
      <c r="L96" s="612"/>
      <c r="M96" s="739">
        <f t="shared" ref="M96" si="2">G96*J96</f>
        <v>27.258620689655174</v>
      </c>
      <c r="N96" s="613"/>
      <c r="O96" s="613"/>
      <c r="P96" s="648"/>
      <c r="Q96" s="12"/>
      <c r="R96" s="12"/>
      <c r="S96" s="12"/>
      <c r="T96" s="12"/>
      <c r="U96" s="12"/>
      <c r="V96" s="12"/>
      <c r="W96" s="12"/>
      <c r="X96" s="12"/>
      <c r="Y96" s="12"/>
      <c r="Z96" s="12"/>
      <c r="AA96" s="12"/>
      <c r="AB96" s="12"/>
      <c r="AC96" s="12"/>
      <c r="AD96" s="12"/>
      <c r="AE96" s="12"/>
      <c r="AF96" s="12"/>
      <c r="AG96" s="12"/>
      <c r="AH96" s="12"/>
      <c r="AI96" s="12"/>
      <c r="AJ96" s="14"/>
    </row>
    <row r="97" spans="4:36" ht="19.5" thickTop="1">
      <c r="D97" s="11"/>
      <c r="E97" s="816" t="s">
        <v>342</v>
      </c>
      <c r="F97" s="817"/>
      <c r="G97" s="816">
        <f>SUM(G95:I96)</f>
        <v>147.19655172413795</v>
      </c>
      <c r="H97" s="818"/>
      <c r="I97" s="817"/>
      <c r="J97" s="74"/>
      <c r="K97" s="74"/>
      <c r="L97" s="116"/>
      <c r="M97" s="658">
        <f>SUM(M95:P96)</f>
        <v>309.1127586206897</v>
      </c>
      <c r="N97" s="556"/>
      <c r="O97" s="556"/>
      <c r="P97" s="572"/>
      <c r="Q97" s="12"/>
      <c r="R97" s="12"/>
      <c r="S97" s="12"/>
      <c r="T97" s="12"/>
      <c r="U97" s="12"/>
      <c r="V97" s="12"/>
      <c r="W97" s="12"/>
      <c r="X97" s="12"/>
      <c r="Y97" s="12"/>
      <c r="Z97" s="12"/>
      <c r="AA97" s="12"/>
      <c r="AB97" s="12"/>
      <c r="AC97" s="12"/>
      <c r="AD97" s="12"/>
      <c r="AE97" s="12"/>
      <c r="AF97" s="12"/>
      <c r="AG97" s="12"/>
      <c r="AH97" s="12"/>
      <c r="AI97" s="12"/>
      <c r="AJ97" s="14"/>
    </row>
    <row r="98" spans="4:36">
      <c r="D98" s="11"/>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4"/>
    </row>
    <row r="99" spans="4:36" ht="20.25">
      <c r="D99" s="11"/>
      <c r="E99" s="12" t="s">
        <v>423</v>
      </c>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4"/>
    </row>
    <row r="100" spans="4:36">
      <c r="D100" s="11"/>
      <c r="E100" s="12"/>
      <c r="F100" s="12" t="s">
        <v>216</v>
      </c>
      <c r="G100" s="555">
        <f>AA51</f>
        <v>0.75</v>
      </c>
      <c r="H100" s="555"/>
      <c r="I100" s="555"/>
      <c r="J100" s="12" t="s">
        <v>213</v>
      </c>
      <c r="K100" s="555">
        <f>AA50</f>
        <v>0.5</v>
      </c>
      <c r="L100" s="555"/>
      <c r="M100" s="555"/>
      <c r="N100" s="12" t="s">
        <v>213</v>
      </c>
      <c r="O100" s="657">
        <f>AA49</f>
        <v>2.2000000000000002</v>
      </c>
      <c r="P100" s="657"/>
      <c r="Q100" s="657"/>
      <c r="R100" s="12" t="s">
        <v>218</v>
      </c>
      <c r="S100" s="12" t="s">
        <v>215</v>
      </c>
      <c r="T100" s="371" t="s">
        <v>424</v>
      </c>
      <c r="U100" s="371"/>
      <c r="V100" s="12" t="s">
        <v>8</v>
      </c>
      <c r="W100" s="555">
        <f>M97</f>
        <v>309.1127586206897</v>
      </c>
      <c r="X100" s="555"/>
      <c r="Y100" s="555"/>
      <c r="Z100" s="555"/>
      <c r="AA100" s="12"/>
      <c r="AB100" s="12"/>
      <c r="AC100" s="12"/>
      <c r="AD100" s="12"/>
      <c r="AE100" s="12"/>
      <c r="AF100" s="12"/>
      <c r="AG100" s="12"/>
      <c r="AH100" s="12"/>
      <c r="AI100" s="12"/>
      <c r="AJ100" s="14"/>
    </row>
    <row r="101" spans="4:36">
      <c r="D101" s="11"/>
      <c r="E101" s="12"/>
      <c r="F101" s="12"/>
      <c r="G101" s="23"/>
      <c r="H101" s="23"/>
      <c r="I101" s="23"/>
      <c r="J101" s="12"/>
      <c r="K101" s="23"/>
      <c r="L101" s="23"/>
      <c r="M101" s="23"/>
      <c r="N101" s="12"/>
      <c r="O101" s="23"/>
      <c r="P101" s="23"/>
      <c r="Q101" s="23"/>
      <c r="R101" s="12"/>
      <c r="S101" s="12"/>
      <c r="T101" s="34"/>
      <c r="U101" s="34"/>
      <c r="V101" s="12"/>
      <c r="W101" s="13"/>
      <c r="X101" s="13"/>
      <c r="Y101" s="13"/>
      <c r="Z101" s="13"/>
      <c r="AA101" s="12"/>
      <c r="AB101" s="12"/>
      <c r="AC101" s="12"/>
      <c r="AD101" s="12"/>
      <c r="AE101" s="12"/>
      <c r="AF101" s="12"/>
      <c r="AG101" s="12"/>
      <c r="AH101" s="12"/>
      <c r="AI101" s="12"/>
      <c r="AJ101" s="14"/>
    </row>
    <row r="102" spans="4:36">
      <c r="D102" s="11"/>
      <c r="E102" s="12" t="s">
        <v>262</v>
      </c>
      <c r="F102" s="12"/>
      <c r="G102" s="12"/>
      <c r="H102" s="12"/>
      <c r="P102" s="12"/>
      <c r="Q102" s="12"/>
      <c r="R102" s="12"/>
      <c r="S102" s="12"/>
      <c r="T102" s="12"/>
      <c r="U102" s="12"/>
      <c r="V102" s="12"/>
      <c r="W102" s="12"/>
      <c r="X102" s="12"/>
      <c r="Y102" s="12"/>
      <c r="Z102" s="12"/>
      <c r="AA102" s="12"/>
      <c r="AB102" s="12"/>
      <c r="AC102" s="12"/>
      <c r="AD102" s="12"/>
      <c r="AE102" s="12"/>
      <c r="AF102" s="12"/>
      <c r="AG102" s="12"/>
      <c r="AH102" s="12"/>
      <c r="AI102" s="12"/>
      <c r="AJ102" s="14"/>
    </row>
    <row r="103" spans="4:36" ht="20.25">
      <c r="D103" s="11"/>
      <c r="E103" s="12"/>
      <c r="F103" s="12"/>
      <c r="G103" s="12"/>
      <c r="H103" s="12"/>
      <c r="I103" s="371" t="s">
        <v>425</v>
      </c>
      <c r="J103" s="371"/>
      <c r="K103" s="12" t="s">
        <v>8</v>
      </c>
      <c r="L103" s="385">
        <f>W100/(G100+K100+O100)</f>
        <v>89.597901049475269</v>
      </c>
      <c r="M103" s="385"/>
      <c r="N103" s="385"/>
      <c r="O103" s="12" t="s">
        <v>426</v>
      </c>
      <c r="P103" s="12"/>
      <c r="Q103" s="12"/>
      <c r="R103" s="12"/>
      <c r="S103" s="12"/>
      <c r="T103" s="12"/>
      <c r="U103" s="12"/>
      <c r="V103" s="12"/>
      <c r="W103" s="12"/>
      <c r="X103" s="12"/>
      <c r="Y103" s="12"/>
      <c r="Z103" s="12"/>
      <c r="AA103" s="12"/>
      <c r="AB103" s="12"/>
      <c r="AC103" s="12"/>
      <c r="AD103" s="12"/>
      <c r="AE103" s="12"/>
      <c r="AF103" s="12"/>
      <c r="AG103" s="12"/>
      <c r="AH103" s="12"/>
      <c r="AI103" s="12"/>
      <c r="AJ103" s="14"/>
    </row>
    <row r="104" spans="4:36">
      <c r="D104" s="11"/>
      <c r="E104" s="12"/>
      <c r="F104" s="12"/>
      <c r="G104" s="12"/>
      <c r="H104" s="12"/>
      <c r="I104" s="34"/>
      <c r="J104" s="34"/>
      <c r="K104" s="12"/>
      <c r="L104" s="13"/>
      <c r="M104" s="13"/>
      <c r="N104" s="13"/>
      <c r="O104" s="12"/>
      <c r="P104" s="12"/>
      <c r="Q104" s="12"/>
      <c r="R104" s="12"/>
      <c r="S104" s="12"/>
      <c r="T104" s="12"/>
      <c r="U104" s="12"/>
      <c r="V104" s="12"/>
      <c r="W104" s="12"/>
      <c r="X104" s="12"/>
      <c r="Y104" s="12"/>
      <c r="Z104" s="12"/>
      <c r="AA104" s="12"/>
      <c r="AB104" s="12"/>
      <c r="AC104" s="12"/>
      <c r="AD104" s="12"/>
      <c r="AE104" s="12"/>
      <c r="AF104" s="12"/>
      <c r="AG104" s="12"/>
      <c r="AH104" s="12"/>
      <c r="AI104" s="12"/>
      <c r="AJ104" s="14"/>
    </row>
    <row r="105" spans="4:36">
      <c r="D105" s="11" t="s">
        <v>427</v>
      </c>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4"/>
    </row>
    <row r="106" spans="4:36" ht="18.75" customHeight="1">
      <c r="D106" s="11"/>
      <c r="E106" s="746" t="s">
        <v>477</v>
      </c>
      <c r="F106" s="746"/>
      <c r="G106" s="746"/>
      <c r="H106" s="746"/>
      <c r="I106" s="746"/>
      <c r="J106" s="746"/>
      <c r="K106" s="746"/>
      <c r="L106" s="746"/>
      <c r="M106" s="746"/>
      <c r="N106" s="746"/>
      <c r="O106" s="746"/>
      <c r="P106" s="746"/>
      <c r="Q106" s="746"/>
      <c r="R106" s="746"/>
      <c r="S106" s="746"/>
      <c r="T106" s="746"/>
      <c r="U106" s="746"/>
      <c r="V106" s="214"/>
      <c r="W106" s="214"/>
      <c r="X106" s="214"/>
      <c r="Y106" s="214"/>
      <c r="Z106" s="214"/>
      <c r="AA106" s="214"/>
      <c r="AB106" s="214"/>
      <c r="AC106" s="214"/>
      <c r="AD106" s="214"/>
      <c r="AE106" s="214"/>
      <c r="AF106" s="214"/>
      <c r="AG106" s="214"/>
      <c r="AH106" s="214"/>
      <c r="AI106" s="214"/>
      <c r="AJ106" s="215"/>
    </row>
    <row r="107" spans="4:36">
      <c r="D107" s="11"/>
      <c r="E107" s="746"/>
      <c r="F107" s="746"/>
      <c r="G107" s="746"/>
      <c r="H107" s="746"/>
      <c r="I107" s="746"/>
      <c r="J107" s="746"/>
      <c r="K107" s="746"/>
      <c r="L107" s="746"/>
      <c r="M107" s="746"/>
      <c r="N107" s="746"/>
      <c r="O107" s="746"/>
      <c r="P107" s="746"/>
      <c r="Q107" s="746"/>
      <c r="R107" s="746"/>
      <c r="S107" s="746"/>
      <c r="T107" s="746"/>
      <c r="U107" s="746"/>
      <c r="V107" s="214"/>
      <c r="W107" s="214"/>
      <c r="X107" s="214"/>
      <c r="Y107" s="214"/>
      <c r="Z107" s="214"/>
      <c r="AA107" s="214"/>
      <c r="AB107" s="214"/>
      <c r="AC107" s="214"/>
      <c r="AD107" s="214"/>
      <c r="AE107" s="214"/>
      <c r="AF107" s="214"/>
      <c r="AG107" s="214"/>
      <c r="AH107" s="214"/>
      <c r="AI107" s="214"/>
      <c r="AJ107" s="215"/>
    </row>
    <row r="108" spans="4:36">
      <c r="D108" s="11"/>
      <c r="E108" s="746"/>
      <c r="F108" s="746"/>
      <c r="G108" s="746"/>
      <c r="H108" s="746"/>
      <c r="I108" s="746"/>
      <c r="J108" s="746"/>
      <c r="K108" s="746"/>
      <c r="L108" s="746"/>
      <c r="M108" s="746"/>
      <c r="N108" s="746"/>
      <c r="O108" s="746"/>
      <c r="P108" s="746"/>
      <c r="Q108" s="746"/>
      <c r="R108" s="746"/>
      <c r="S108" s="746"/>
      <c r="T108" s="746"/>
      <c r="U108" s="746"/>
      <c r="V108" s="124"/>
      <c r="W108" s="124"/>
      <c r="X108" s="124"/>
      <c r="Y108" s="124"/>
      <c r="Z108" s="124"/>
      <c r="AA108" s="124"/>
      <c r="AB108" s="124"/>
      <c r="AC108" s="124"/>
      <c r="AD108" s="124"/>
      <c r="AE108" s="124"/>
      <c r="AF108" s="124"/>
      <c r="AG108" s="124"/>
      <c r="AH108" s="124"/>
      <c r="AI108" s="124"/>
      <c r="AJ108" s="125"/>
    </row>
    <row r="109" spans="4:36">
      <c r="D109" s="11"/>
      <c r="E109" s="12"/>
      <c r="F109" s="12"/>
      <c r="G109" s="12"/>
      <c r="H109"/>
      <c r="I109"/>
      <c r="J109"/>
      <c r="K109"/>
      <c r="L109"/>
      <c r="M109"/>
      <c r="N109"/>
      <c r="O109"/>
      <c r="P109"/>
      <c r="Q109"/>
      <c r="R109"/>
      <c r="S109"/>
      <c r="T109"/>
      <c r="U109" s="124"/>
      <c r="V109" s="124"/>
      <c r="W109" s="124"/>
      <c r="X109" s="124"/>
      <c r="Y109" s="124"/>
      <c r="Z109" s="124"/>
      <c r="AA109" s="124"/>
      <c r="AB109" s="124"/>
      <c r="AC109" s="124"/>
      <c r="AD109" s="124"/>
      <c r="AE109" s="124"/>
      <c r="AF109" s="124"/>
      <c r="AG109" s="124"/>
      <c r="AH109" s="124"/>
      <c r="AI109" s="124"/>
      <c r="AJ109" s="125"/>
    </row>
    <row r="110" spans="4:36">
      <c r="D110" s="11"/>
      <c r="E110" s="93"/>
      <c r="F110" s="93"/>
      <c r="G110" s="455" t="s">
        <v>418</v>
      </c>
      <c r="H110" s="456"/>
      <c r="I110" s="456"/>
      <c r="J110" s="457"/>
      <c r="K110" s="33"/>
      <c r="L110" s="33"/>
      <c r="M110" s="33"/>
      <c r="N110" s="33"/>
      <c r="O110" s="33"/>
      <c r="P110" s="33"/>
      <c r="Q110" s="33"/>
      <c r="R110" s="33"/>
      <c r="S110" s="33"/>
      <c r="T110" s="33"/>
      <c r="U110" s="124"/>
      <c r="V110" s="124"/>
      <c r="W110" s="124"/>
      <c r="X110" s="124"/>
      <c r="Y110" s="124"/>
      <c r="Z110" s="124"/>
      <c r="AA110" s="124"/>
      <c r="AB110" s="124"/>
      <c r="AC110" s="124"/>
      <c r="AD110" s="124"/>
      <c r="AE110" s="124"/>
      <c r="AF110" s="124"/>
      <c r="AG110" s="124"/>
      <c r="AH110" s="124"/>
      <c r="AI110" s="124"/>
      <c r="AJ110" s="125"/>
    </row>
    <row r="111" spans="4:36">
      <c r="D111" s="11"/>
      <c r="E111" s="93"/>
      <c r="F111" s="93"/>
      <c r="G111" s="585" t="s">
        <v>233</v>
      </c>
      <c r="H111" s="586"/>
      <c r="I111" s="586"/>
      <c r="J111" s="587"/>
      <c r="M111"/>
      <c r="N111"/>
      <c r="O111"/>
      <c r="P111"/>
      <c r="Q111"/>
      <c r="R111"/>
      <c r="S111"/>
      <c r="T111"/>
      <c r="U111" s="124"/>
      <c r="V111" s="124"/>
      <c r="W111" s="124"/>
      <c r="X111" s="124"/>
      <c r="Y111" s="124"/>
      <c r="Z111" s="124"/>
      <c r="AA111" s="124"/>
      <c r="AB111" s="124"/>
      <c r="AC111" s="124"/>
      <c r="AD111" s="124"/>
      <c r="AE111" s="124"/>
      <c r="AF111" s="124"/>
      <c r="AG111" s="124"/>
      <c r="AH111" s="124"/>
      <c r="AI111" s="124"/>
      <c r="AJ111" s="125"/>
    </row>
    <row r="112" spans="4:36">
      <c r="D112" s="11"/>
      <c r="E112" s="93"/>
      <c r="F112" s="93"/>
      <c r="G112" s="501" t="s">
        <v>234</v>
      </c>
      <c r="H112" s="502"/>
      <c r="I112" s="502"/>
      <c r="J112" s="503"/>
      <c r="M112" s="213"/>
      <c r="N112" s="190"/>
      <c r="O112" s="190"/>
      <c r="P112" s="190"/>
      <c r="Q112" s="124"/>
      <c r="R112" s="124"/>
      <c r="S112" s="124"/>
      <c r="T112" s="124"/>
      <c r="U112" s="124"/>
      <c r="V112" s="124"/>
      <c r="W112" s="124"/>
      <c r="X112" s="124"/>
      <c r="Y112" s="124"/>
      <c r="Z112" s="124"/>
      <c r="AA112" s="124"/>
      <c r="AB112" s="124"/>
      <c r="AC112" s="124"/>
      <c r="AD112" s="124"/>
      <c r="AE112" s="124"/>
      <c r="AF112" s="124"/>
      <c r="AG112" s="124"/>
      <c r="AH112" s="124"/>
      <c r="AI112" s="124"/>
      <c r="AJ112" s="125"/>
    </row>
    <row r="113" spans="4:36">
      <c r="D113" s="11"/>
      <c r="E113" s="747" t="s">
        <v>177</v>
      </c>
      <c r="F113" s="748"/>
      <c r="G113" s="551">
        <f>I67</f>
        <v>54.517241379310349</v>
      </c>
      <c r="H113" s="546"/>
      <c r="I113" s="546"/>
      <c r="J113" s="351" t="s">
        <v>429</v>
      </c>
      <c r="M113" s="213"/>
      <c r="N113" s="346"/>
      <c r="O113" s="346"/>
      <c r="P113" s="347"/>
      <c r="Q113" s="124"/>
      <c r="R113" s="335"/>
      <c r="S113" s="335"/>
      <c r="T113" s="335"/>
      <c r="U113" s="124"/>
      <c r="V113" s="124"/>
      <c r="W113" s="124"/>
      <c r="X113" s="124"/>
      <c r="Y113" s="124"/>
      <c r="Z113" s="124"/>
      <c r="AA113" s="124"/>
      <c r="AB113" s="124"/>
      <c r="AC113" s="124"/>
      <c r="AD113" s="124"/>
      <c r="AE113" s="124"/>
      <c r="AF113" s="124"/>
      <c r="AG113" s="124"/>
      <c r="AH113" s="124"/>
      <c r="AI113" s="124"/>
      <c r="AJ113" s="125"/>
    </row>
    <row r="114" spans="4:36">
      <c r="D114" s="11"/>
      <c r="M114" s="213"/>
      <c r="N114" s="346"/>
      <c r="O114" s="346"/>
      <c r="P114" s="347"/>
      <c r="Q114" s="124"/>
      <c r="R114" s="335"/>
      <c r="S114" s="335"/>
      <c r="T114" s="335"/>
      <c r="U114" s="124"/>
      <c r="V114" s="124"/>
      <c r="W114" s="124"/>
      <c r="X114" s="124"/>
      <c r="Y114" s="124"/>
      <c r="Z114" s="124"/>
      <c r="AA114" s="124"/>
      <c r="AB114" s="124"/>
      <c r="AC114" s="124"/>
      <c r="AD114" s="124"/>
      <c r="AE114" s="124"/>
      <c r="AF114" s="124"/>
      <c r="AG114" s="124"/>
      <c r="AH114" s="124"/>
      <c r="AI114" s="124"/>
      <c r="AJ114" s="125"/>
    </row>
    <row r="115" spans="4:36">
      <c r="D115" s="11"/>
      <c r="E115" s="93"/>
      <c r="F115" s="93"/>
      <c r="G115" s="455" t="s">
        <v>430</v>
      </c>
      <c r="H115" s="456"/>
      <c r="I115" s="456"/>
      <c r="J115" s="456"/>
      <c r="K115" s="457"/>
      <c r="L115" s="455" t="s">
        <v>247</v>
      </c>
      <c r="M115" s="456"/>
      <c r="N115" s="456"/>
      <c r="O115" s="457"/>
      <c r="P115" s="190"/>
      <c r="Q115" s="124"/>
      <c r="R115" s="124"/>
      <c r="S115" s="124"/>
      <c r="T115" s="124"/>
      <c r="U115" s="124"/>
      <c r="V115" s="124"/>
      <c r="W115" s="124"/>
      <c r="X115" s="124"/>
      <c r="Y115" s="124"/>
      <c r="Z115" s="124"/>
      <c r="AA115" s="124"/>
      <c r="AB115" s="124"/>
      <c r="AC115" s="124"/>
      <c r="AD115" s="124"/>
      <c r="AE115" s="124"/>
      <c r="AF115" s="124"/>
      <c r="AG115" s="124"/>
      <c r="AH115" s="124"/>
      <c r="AI115" s="124"/>
      <c r="AJ115" s="125"/>
    </row>
    <row r="116" spans="4:36">
      <c r="D116" s="11"/>
      <c r="E116" s="93"/>
      <c r="F116" s="93"/>
      <c r="G116" s="5" t="s">
        <v>431</v>
      </c>
      <c r="H116"/>
      <c r="I116"/>
      <c r="J116"/>
      <c r="K116"/>
      <c r="L116" s="585" t="s">
        <v>249</v>
      </c>
      <c r="M116" s="586"/>
      <c r="N116" s="586"/>
      <c r="O116" s="587"/>
      <c r="P116" s="12"/>
      <c r="Q116" s="124"/>
      <c r="R116" s="124"/>
      <c r="S116" s="124"/>
      <c r="T116" s="124"/>
      <c r="U116" s="124"/>
      <c r="V116" s="124"/>
      <c r="W116" s="124"/>
      <c r="X116" s="124"/>
      <c r="Y116" s="124"/>
      <c r="Z116" s="124"/>
      <c r="AA116" s="124"/>
      <c r="AB116" s="124"/>
      <c r="AC116" s="124"/>
      <c r="AD116" s="124"/>
      <c r="AE116" s="124"/>
      <c r="AF116" s="124"/>
      <c r="AG116" s="124"/>
      <c r="AH116" s="124"/>
      <c r="AI116" s="124"/>
      <c r="AJ116" s="125"/>
    </row>
    <row r="117" spans="4:36">
      <c r="D117" s="11"/>
      <c r="E117" s="93"/>
      <c r="F117" s="93"/>
      <c r="G117" s="175" t="s">
        <v>432</v>
      </c>
      <c r="H117" s="24"/>
      <c r="I117" s="24"/>
      <c r="J117" s="24"/>
      <c r="K117" s="24"/>
      <c r="L117" s="501" t="s">
        <v>40</v>
      </c>
      <c r="M117" s="502"/>
      <c r="N117" s="502"/>
      <c r="O117" s="503"/>
      <c r="P117" s="12"/>
      <c r="Q117" s="124"/>
      <c r="R117" s="124"/>
      <c r="S117" s="124"/>
      <c r="T117" s="124"/>
      <c r="U117" s="124"/>
      <c r="V117" s="124"/>
      <c r="W117" s="124"/>
      <c r="X117" s="124"/>
      <c r="Y117" s="124"/>
      <c r="Z117" s="124"/>
      <c r="AA117" s="124"/>
      <c r="AB117" s="124"/>
      <c r="AC117" s="124"/>
      <c r="AD117" s="124"/>
      <c r="AE117" s="124"/>
      <c r="AF117" s="124"/>
      <c r="AG117" s="124"/>
      <c r="AH117" s="124"/>
      <c r="AI117" s="124"/>
      <c r="AJ117" s="125"/>
    </row>
    <row r="118" spans="4:36">
      <c r="D118" s="11"/>
      <c r="E118" s="747" t="s">
        <v>177</v>
      </c>
      <c r="F118" s="748"/>
      <c r="G118" s="749" t="s">
        <v>429</v>
      </c>
      <c r="H118" s="750"/>
      <c r="I118" s="29" t="s">
        <v>236</v>
      </c>
      <c r="J118" s="45">
        <v>2</v>
      </c>
      <c r="K118" s="77" t="s">
        <v>8</v>
      </c>
      <c r="L118" s="546">
        <f>1/J118</f>
        <v>0.5</v>
      </c>
      <c r="M118" s="546"/>
      <c r="N118" s="546"/>
      <c r="O118" s="351" t="s">
        <v>429</v>
      </c>
      <c r="P118" s="31"/>
      <c r="Q118" s="344"/>
      <c r="R118" s="344"/>
      <c r="S118" s="348"/>
      <c r="T118" s="124"/>
      <c r="U118" s="124"/>
      <c r="V118" s="124"/>
      <c r="W118" s="124"/>
      <c r="X118" s="124"/>
      <c r="Y118" s="124"/>
      <c r="Z118" s="124"/>
      <c r="AA118" s="124"/>
      <c r="AB118" s="124"/>
      <c r="AC118" s="124"/>
      <c r="AD118" s="124"/>
      <c r="AE118" s="124"/>
      <c r="AF118" s="124"/>
      <c r="AG118" s="124"/>
      <c r="AH118" s="124"/>
      <c r="AI118" s="124"/>
      <c r="AJ118" s="125"/>
    </row>
    <row r="119" spans="4:36">
      <c r="D119" s="11"/>
      <c r="K119" s="317"/>
      <c r="L119" s="317"/>
      <c r="M119" s="12"/>
      <c r="N119" s="12"/>
      <c r="O119" s="348"/>
      <c r="P119" s="31"/>
      <c r="Q119" s="344"/>
      <c r="R119" s="344"/>
      <c r="S119" s="348"/>
      <c r="T119" s="124"/>
      <c r="U119" s="124"/>
      <c r="V119" s="124"/>
      <c r="W119" s="124"/>
      <c r="X119" s="124"/>
      <c r="Y119" s="124"/>
      <c r="Z119" s="124"/>
      <c r="AA119" s="124"/>
      <c r="AB119" s="124"/>
      <c r="AC119" s="124"/>
      <c r="AD119" s="124"/>
      <c r="AE119" s="124"/>
      <c r="AF119" s="124"/>
      <c r="AG119" s="124"/>
      <c r="AH119" s="124"/>
      <c r="AI119" s="124"/>
      <c r="AJ119" s="125"/>
    </row>
    <row r="120" spans="4:36">
      <c r="D120" s="11"/>
      <c r="E120" s="93"/>
      <c r="F120" s="93"/>
      <c r="G120" s="455" t="s">
        <v>421</v>
      </c>
      <c r="H120" s="456"/>
      <c r="I120" s="456"/>
      <c r="J120" s="457"/>
      <c r="K120" s="12"/>
      <c r="L120" s="12"/>
      <c r="M120" s="208"/>
      <c r="N120" s="209"/>
      <c r="O120" s="124"/>
      <c r="P120" s="27"/>
      <c r="Q120" s="12"/>
      <c r="R120" s="12"/>
      <c r="S120" s="209"/>
      <c r="T120" s="124"/>
      <c r="U120" s="124"/>
      <c r="V120" s="124"/>
      <c r="W120" s="124"/>
      <c r="X120" s="124"/>
      <c r="Y120" s="124"/>
      <c r="Z120" s="124"/>
      <c r="AA120" s="124"/>
      <c r="AB120" s="124"/>
      <c r="AC120" s="124"/>
      <c r="AD120" s="124"/>
      <c r="AE120" s="124"/>
      <c r="AF120" s="124"/>
      <c r="AG120" s="124"/>
      <c r="AH120" s="124"/>
      <c r="AI120" s="124"/>
      <c r="AJ120" s="125"/>
    </row>
    <row r="121" spans="4:36">
      <c r="D121" s="11"/>
      <c r="E121" s="93"/>
      <c r="F121" s="93"/>
      <c r="G121" s="585" t="s">
        <v>433</v>
      </c>
      <c r="H121" s="586"/>
      <c r="I121" s="586"/>
      <c r="J121" s="587"/>
      <c r="K121" s="345"/>
      <c r="L121" s="345"/>
      <c r="M121" s="208"/>
      <c r="N121" s="350"/>
      <c r="O121" s="349"/>
      <c r="P121" s="349"/>
      <c r="Q121" s="12"/>
      <c r="R121" s="12"/>
      <c r="S121" s="209"/>
      <c r="T121" s="124"/>
      <c r="U121" s="124"/>
      <c r="V121" s="124"/>
      <c r="W121" s="124"/>
      <c r="X121" s="124"/>
      <c r="Y121" s="124"/>
      <c r="Z121" s="124"/>
      <c r="AA121" s="124"/>
      <c r="AB121" s="124"/>
      <c r="AC121" s="124"/>
      <c r="AD121" s="124"/>
      <c r="AE121" s="124"/>
      <c r="AF121" s="124"/>
      <c r="AG121" s="124"/>
      <c r="AH121" s="124"/>
      <c r="AI121" s="124"/>
      <c r="AJ121" s="125"/>
    </row>
    <row r="122" spans="4:36">
      <c r="D122" s="11"/>
      <c r="E122" s="93"/>
      <c r="F122" s="93"/>
      <c r="G122" s="501" t="s">
        <v>252</v>
      </c>
      <c r="H122" s="502"/>
      <c r="I122" s="502"/>
      <c r="J122" s="503"/>
      <c r="K122" s="207"/>
      <c r="L122" s="208"/>
      <c r="M122" s="208"/>
      <c r="N122" s="209"/>
      <c r="O122" s="124"/>
      <c r="P122" s="27"/>
      <c r="Q122" s="210"/>
      <c r="R122" s="210"/>
      <c r="S122" s="209"/>
      <c r="T122" s="124"/>
      <c r="U122" s="124"/>
      <c r="V122" s="124"/>
      <c r="W122" s="124"/>
      <c r="X122" s="124"/>
      <c r="Y122" s="124"/>
      <c r="Z122" s="124"/>
      <c r="AA122" s="124"/>
      <c r="AB122" s="124"/>
      <c r="AC122" s="124"/>
      <c r="AD122" s="124"/>
      <c r="AE122" s="124"/>
      <c r="AF122" s="124"/>
      <c r="AG122" s="124"/>
      <c r="AH122" s="124"/>
      <c r="AI122" s="124"/>
      <c r="AJ122" s="125"/>
    </row>
    <row r="123" spans="4:36" ht="20.25">
      <c r="D123" s="11"/>
      <c r="E123" s="747" t="s">
        <v>177</v>
      </c>
      <c r="F123" s="748"/>
      <c r="G123" s="806">
        <f>G113*L118</f>
        <v>27.258620689655174</v>
      </c>
      <c r="H123" s="807"/>
      <c r="I123" s="807"/>
      <c r="J123" s="121" t="s">
        <v>434</v>
      </c>
      <c r="R123" s="124"/>
      <c r="S123" s="124"/>
      <c r="T123" s="124"/>
      <c r="U123" s="124"/>
      <c r="V123" s="124"/>
      <c r="W123" s="124"/>
      <c r="X123" s="124"/>
      <c r="Y123" s="124"/>
      <c r="Z123" s="124"/>
      <c r="AA123" s="124"/>
      <c r="AB123" s="124"/>
      <c r="AC123" s="124"/>
      <c r="AD123" s="124"/>
      <c r="AE123" s="124"/>
      <c r="AF123" s="124"/>
      <c r="AG123" s="124"/>
      <c r="AH123" s="124"/>
      <c r="AI123" s="124"/>
      <c r="AJ123" s="125"/>
    </row>
    <row r="124" spans="4:36">
      <c r="D124" s="11"/>
      <c r="E124" s="12"/>
      <c r="F124" s="12"/>
      <c r="G124" s="12"/>
      <c r="H124" s="12"/>
      <c r="I124" s="12"/>
      <c r="J124" s="12"/>
      <c r="K124" s="12"/>
      <c r="L124" s="12"/>
      <c r="M124" s="12"/>
      <c r="N124" s="12"/>
      <c r="O124" s="12"/>
      <c r="P124" s="12"/>
      <c r="Q124" s="12"/>
      <c r="R124" s="12"/>
      <c r="U124" s="12"/>
      <c r="V124" s="12"/>
      <c r="W124" s="12"/>
      <c r="X124" s="12"/>
      <c r="Y124" s="12"/>
      <c r="Z124" s="12"/>
      <c r="AA124" s="12"/>
      <c r="AB124" s="12"/>
      <c r="AC124" s="12"/>
      <c r="AD124" s="12"/>
      <c r="AE124" s="12"/>
      <c r="AF124" s="12"/>
      <c r="AG124" s="12"/>
      <c r="AH124" s="12"/>
      <c r="AI124" s="12"/>
      <c r="AJ124" s="14"/>
    </row>
    <row r="125" spans="4:36">
      <c r="D125" s="11" t="s">
        <v>435</v>
      </c>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4"/>
    </row>
    <row r="126" spans="4:36">
      <c r="D126" s="11"/>
      <c r="E126" s="12" t="s">
        <v>436</v>
      </c>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4"/>
    </row>
    <row r="127" spans="4:36" ht="21">
      <c r="D127" s="11"/>
      <c r="E127" s="12"/>
      <c r="F127" s="33" t="s">
        <v>437</v>
      </c>
      <c r="G127" s="12"/>
      <c r="H127" s="12" t="s">
        <v>8</v>
      </c>
      <c r="I127" s="371" t="s">
        <v>425</v>
      </c>
      <c r="J127" s="371"/>
      <c r="K127" s="12" t="s">
        <v>344</v>
      </c>
      <c r="L127" s="33" t="s">
        <v>429</v>
      </c>
      <c r="M127" s="12" t="s">
        <v>438</v>
      </c>
      <c r="N127" s="762">
        <f>G123</f>
        <v>27.258620689655174</v>
      </c>
      <c r="O127" s="762"/>
      <c r="P127" s="762"/>
      <c r="Q127" s="120" t="s">
        <v>434</v>
      </c>
      <c r="R127" s="120"/>
      <c r="S127" s="12"/>
      <c r="T127" s="12"/>
      <c r="U127" s="12"/>
      <c r="V127" s="12"/>
      <c r="W127" s="12"/>
      <c r="X127" s="12"/>
      <c r="Y127" s="12"/>
      <c r="Z127" s="12"/>
      <c r="AA127" s="12"/>
      <c r="AB127" s="12"/>
      <c r="AC127" s="12"/>
      <c r="AJ127" s="14"/>
    </row>
    <row r="128" spans="4:36" ht="20.25">
      <c r="D128" s="11"/>
      <c r="E128" s="12"/>
      <c r="F128" s="12"/>
      <c r="G128" s="12"/>
      <c r="H128" s="12" t="s">
        <v>8</v>
      </c>
      <c r="I128" s="436">
        <f>L103</f>
        <v>89.597901049475269</v>
      </c>
      <c r="J128" s="436"/>
      <c r="K128" s="12" t="s">
        <v>344</v>
      </c>
      <c r="L128" s="33" t="s">
        <v>429</v>
      </c>
      <c r="M128" s="12" t="s">
        <v>438</v>
      </c>
      <c r="N128" s="762">
        <f>N127</f>
        <v>27.258620689655174</v>
      </c>
      <c r="O128" s="762"/>
      <c r="P128" s="762"/>
      <c r="Q128" s="120" t="s">
        <v>434</v>
      </c>
      <c r="R128" s="120"/>
      <c r="S128" s="12"/>
      <c r="T128" s="12"/>
      <c r="U128" s="12"/>
      <c r="V128" s="12"/>
      <c r="W128" s="12"/>
      <c r="X128" s="12"/>
      <c r="Y128" s="12"/>
      <c r="Z128" s="12"/>
      <c r="AA128" s="12"/>
      <c r="AB128" s="12"/>
      <c r="AC128" s="12"/>
      <c r="AJ128" s="14"/>
    </row>
    <row r="129" spans="3:36">
      <c r="D129" s="11"/>
      <c r="E129" s="12"/>
      <c r="F129" s="12"/>
      <c r="G129" s="12"/>
      <c r="H129" s="12"/>
      <c r="I129" s="337"/>
      <c r="J129" s="337"/>
      <c r="K129" s="337"/>
      <c r="L129" s="120"/>
      <c r="M129" s="12"/>
      <c r="N129" s="337"/>
      <c r="O129" s="337"/>
      <c r="P129" s="337"/>
      <c r="Q129" s="120"/>
      <c r="R129" s="120"/>
      <c r="S129" s="122"/>
      <c r="T129" s="338"/>
      <c r="U129" s="338"/>
      <c r="V129" s="338"/>
      <c r="W129" s="33"/>
      <c r="X129" s="12"/>
      <c r="Y129" s="12"/>
      <c r="Z129" s="12"/>
      <c r="AA129" s="12"/>
      <c r="AB129" s="12"/>
      <c r="AC129" s="12"/>
      <c r="AD129" s="12"/>
      <c r="AE129" s="12"/>
      <c r="AF129" s="12"/>
      <c r="AG129" s="12"/>
      <c r="AH129" s="12"/>
      <c r="AI129" s="12"/>
      <c r="AJ129" s="14"/>
    </row>
    <row r="130" spans="3:36">
      <c r="D130" s="11"/>
      <c r="E130" s="12" t="s">
        <v>439</v>
      </c>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4"/>
    </row>
    <row r="131" spans="3:36">
      <c r="D131" s="11"/>
      <c r="E131" s="12"/>
      <c r="F131" s="33" t="s">
        <v>437</v>
      </c>
      <c r="G131" s="126" t="s">
        <v>440</v>
      </c>
      <c r="H131" s="12" t="s">
        <v>8</v>
      </c>
      <c r="I131" s="761">
        <f>I128</f>
        <v>89.597901049475269</v>
      </c>
      <c r="J131" s="761"/>
      <c r="K131" s="761"/>
      <c r="L131" s="120"/>
      <c r="M131" s="12" t="s">
        <v>438</v>
      </c>
      <c r="N131" s="761">
        <f>N128*2</f>
        <v>54.517241379310349</v>
      </c>
      <c r="O131" s="761"/>
      <c r="P131" s="761"/>
      <c r="Q131" s="33" t="s">
        <v>429</v>
      </c>
      <c r="R131" s="12"/>
      <c r="S131" s="122"/>
      <c r="T131" s="762"/>
      <c r="U131" s="762"/>
      <c r="V131" s="762"/>
      <c r="W131" s="12"/>
      <c r="X131" s="12"/>
      <c r="Y131" s="12"/>
      <c r="Z131" s="12"/>
      <c r="AA131" s="12"/>
      <c r="AB131" s="12"/>
      <c r="AC131" s="12"/>
      <c r="AD131" s="12"/>
      <c r="AE131" s="12"/>
      <c r="AF131" s="12"/>
      <c r="AG131" s="12"/>
      <c r="AH131" s="12"/>
      <c r="AI131" s="12"/>
      <c r="AJ131" s="14"/>
    </row>
    <row r="132" spans="3:36">
      <c r="D132" s="11"/>
      <c r="E132" s="12" t="s">
        <v>441</v>
      </c>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4"/>
    </row>
    <row r="133" spans="3:36">
      <c r="D133" s="11"/>
      <c r="E133" s="12"/>
      <c r="F133" s="557" t="s">
        <v>429</v>
      </c>
      <c r="G133" s="126"/>
      <c r="H133" s="541" t="s">
        <v>8</v>
      </c>
      <c r="I133" s="769">
        <f>I131</f>
        <v>89.597901049475269</v>
      </c>
      <c r="J133" s="769"/>
      <c r="K133" s="769"/>
      <c r="L133" s="541" t="s">
        <v>8</v>
      </c>
      <c r="M133" s="763">
        <f>I133/I134</f>
        <v>1.6434782608695653</v>
      </c>
      <c r="N133" s="764"/>
      <c r="O133" s="765"/>
      <c r="P133" s="541" t="s">
        <v>9</v>
      </c>
      <c r="Q133" s="27"/>
      <c r="R133" s="27"/>
      <c r="S133" s="27"/>
      <c r="T133" s="27"/>
      <c r="U133" s="27"/>
      <c r="V133" s="27"/>
      <c r="W133" s="27"/>
      <c r="X133" s="27"/>
      <c r="Y133" s="27"/>
      <c r="Z133" s="27"/>
      <c r="AA133" s="27"/>
      <c r="AB133" s="27"/>
      <c r="AC133" s="27"/>
      <c r="AD133" s="27"/>
      <c r="AE133" s="27"/>
      <c r="AF133" s="27"/>
      <c r="AG133" s="27"/>
      <c r="AH133" s="27"/>
      <c r="AI133" s="12"/>
      <c r="AJ133" s="14"/>
    </row>
    <row r="134" spans="3:36">
      <c r="D134" s="11"/>
      <c r="E134" s="12"/>
      <c r="F134" s="557"/>
      <c r="G134" s="12"/>
      <c r="H134" s="541"/>
      <c r="I134" s="604">
        <f>N131</f>
        <v>54.517241379310349</v>
      </c>
      <c r="J134" s="604"/>
      <c r="K134" s="604"/>
      <c r="L134" s="541"/>
      <c r="M134" s="766"/>
      <c r="N134" s="767"/>
      <c r="O134" s="768"/>
      <c r="P134" s="541"/>
      <c r="Q134" s="27"/>
      <c r="R134" s="27"/>
      <c r="S134" s="27"/>
      <c r="T134" s="27"/>
      <c r="U134" s="27"/>
      <c r="V134" s="27"/>
      <c r="W134" s="27"/>
      <c r="X134" s="27"/>
      <c r="Y134" s="27"/>
      <c r="Z134" s="27"/>
      <c r="AA134" s="27"/>
      <c r="AB134" s="27"/>
      <c r="AC134" s="27"/>
      <c r="AD134" s="27"/>
      <c r="AE134" s="27"/>
      <c r="AF134" s="27"/>
      <c r="AG134" s="27"/>
      <c r="AH134" s="27"/>
      <c r="AI134" s="12"/>
      <c r="AJ134" s="14"/>
    </row>
    <row r="135" spans="3:36">
      <c r="D135" s="11"/>
      <c r="E135" s="12" t="s">
        <v>442</v>
      </c>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4"/>
    </row>
    <row r="136" spans="3:36" ht="20.25">
      <c r="D136" s="11"/>
      <c r="E136" s="12"/>
      <c r="F136" s="33" t="s">
        <v>443</v>
      </c>
      <c r="G136" s="12"/>
      <c r="H136" s="12" t="s">
        <v>8</v>
      </c>
      <c r="I136" s="761">
        <f>I128</f>
        <v>89.597901049475269</v>
      </c>
      <c r="J136" s="761"/>
      <c r="K136" s="761"/>
      <c r="L136" s="12" t="s">
        <v>215</v>
      </c>
      <c r="M136" s="815">
        <f>M133</f>
        <v>1.6434782608695653</v>
      </c>
      <c r="N136" s="815"/>
      <c r="O136" s="127"/>
      <c r="P136" s="12"/>
      <c r="Q136" s="12" t="s">
        <v>438</v>
      </c>
      <c r="R136" s="761">
        <f>N128</f>
        <v>27.258620689655174</v>
      </c>
      <c r="S136" s="761"/>
      <c r="T136" s="761"/>
      <c r="U136" s="12" t="s">
        <v>215</v>
      </c>
      <c r="V136" s="555">
        <f>M133</f>
        <v>1.6434782608695653</v>
      </c>
      <c r="W136" s="555"/>
      <c r="X136" s="12" t="s">
        <v>444</v>
      </c>
      <c r="Y136" s="12"/>
      <c r="Z136" s="539"/>
      <c r="AA136" s="539"/>
      <c r="AB136" s="539"/>
      <c r="AC136" s="12"/>
      <c r="AD136" s="555"/>
      <c r="AE136" s="555"/>
      <c r="AF136" s="555"/>
      <c r="AG136" s="12"/>
      <c r="AH136" s="12"/>
      <c r="AI136" s="12"/>
      <c r="AJ136" s="14"/>
    </row>
    <row r="137" spans="3:36">
      <c r="D137" s="11"/>
      <c r="E137" s="12"/>
      <c r="F137" s="12"/>
      <c r="G137" s="12"/>
      <c r="H137" s="12" t="s">
        <v>8</v>
      </c>
      <c r="I137" s="412">
        <f>I136*M136-R136*V136^2</f>
        <v>73.626101297177513</v>
      </c>
      <c r="J137" s="413"/>
      <c r="K137" s="414"/>
      <c r="L137" s="12" t="s">
        <v>445</v>
      </c>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4"/>
    </row>
    <row r="138" spans="3:36">
      <c r="D138" s="15"/>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8"/>
    </row>
    <row r="140" spans="3:36">
      <c r="C140" s="1" t="s">
        <v>478</v>
      </c>
      <c r="X140" t="s">
        <v>95</v>
      </c>
    </row>
    <row r="141" spans="3:36">
      <c r="D141" s="8" t="s">
        <v>479</v>
      </c>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10"/>
    </row>
    <row r="142" spans="3:36">
      <c r="D142" s="11" t="s">
        <v>448</v>
      </c>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4"/>
    </row>
    <row r="143" spans="3:36">
      <c r="D143" s="808" t="s">
        <v>449</v>
      </c>
      <c r="E143" s="557"/>
      <c r="F143" s="541" t="s">
        <v>8</v>
      </c>
      <c r="G143" s="777" t="s">
        <v>450</v>
      </c>
      <c r="H143" s="777"/>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4"/>
    </row>
    <row r="144" spans="3:36">
      <c r="D144" s="808"/>
      <c r="E144" s="557"/>
      <c r="F144" s="541"/>
      <c r="G144" s="33" t="s">
        <v>451</v>
      </c>
      <c r="H144" s="33"/>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4"/>
    </row>
    <row r="145" spans="4:36">
      <c r="D145" s="11"/>
      <c r="E145" s="35"/>
      <c r="F145" s="32" t="s">
        <v>330</v>
      </c>
      <c r="G145" s="33"/>
      <c r="H145" s="33"/>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4"/>
    </row>
    <row r="146" spans="4:36" ht="20.25">
      <c r="D146" s="11"/>
      <c r="E146" s="35"/>
      <c r="F146" s="32"/>
      <c r="G146" s="33" t="s">
        <v>480</v>
      </c>
      <c r="H146" s="33"/>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4"/>
    </row>
    <row r="147" spans="4:36" ht="20.25">
      <c r="D147" s="11"/>
      <c r="E147" s="12"/>
      <c r="F147" s="35"/>
      <c r="G147" s="37" t="s">
        <v>453</v>
      </c>
      <c r="H147" s="12"/>
      <c r="I147" s="12"/>
      <c r="J147" s="12"/>
      <c r="K147" s="12"/>
      <c r="L147" s="12"/>
      <c r="M147" s="12"/>
      <c r="N147" s="12"/>
      <c r="O147" s="12"/>
      <c r="P147" s="12"/>
      <c r="Q147" s="12"/>
      <c r="R147" s="12"/>
      <c r="S147" s="12"/>
      <c r="T147" s="35" t="s">
        <v>123</v>
      </c>
      <c r="U147" s="33" t="s">
        <v>8</v>
      </c>
      <c r="V147" s="436">
        <f>'1.設計条件'!T41</f>
        <v>1350</v>
      </c>
      <c r="W147" s="436"/>
      <c r="X147" s="436"/>
      <c r="Y147" s="12" t="s">
        <v>454</v>
      </c>
      <c r="Z147" s="12"/>
      <c r="AA147" s="12"/>
      <c r="AB147" s="33" t="s">
        <v>8</v>
      </c>
      <c r="AC147" s="755">
        <f>V147/1000000</f>
        <v>1.3500000000000001E-3</v>
      </c>
      <c r="AD147" s="756"/>
      <c r="AE147" s="756"/>
      <c r="AF147" s="756"/>
      <c r="AG147" s="757"/>
      <c r="AH147" s="12" t="s">
        <v>455</v>
      </c>
      <c r="AI147" s="12"/>
      <c r="AJ147" s="14"/>
    </row>
    <row r="148" spans="4:36">
      <c r="D148" s="11"/>
      <c r="E148" s="12"/>
      <c r="F148" s="35"/>
      <c r="G148" s="37" t="s">
        <v>456</v>
      </c>
      <c r="H148" s="12"/>
      <c r="I148" s="12"/>
      <c r="J148" s="12"/>
      <c r="K148" s="12"/>
      <c r="L148" s="12"/>
      <c r="M148" s="12"/>
      <c r="N148" s="12"/>
      <c r="O148" s="12"/>
      <c r="P148" s="12"/>
      <c r="Q148" s="12"/>
      <c r="R148" s="12"/>
      <c r="S148" s="12"/>
      <c r="T148" s="35" t="s">
        <v>457</v>
      </c>
      <c r="U148" s="12" t="s">
        <v>8</v>
      </c>
      <c r="V148" s="758">
        <f>'1.設計条件'!T57</f>
        <v>1</v>
      </c>
      <c r="W148" s="759"/>
      <c r="X148" s="760"/>
      <c r="Y148" s="12"/>
      <c r="Z148" s="12"/>
      <c r="AA148" s="12"/>
      <c r="AB148" s="12"/>
      <c r="AC148" s="12"/>
      <c r="AD148" s="12"/>
      <c r="AE148" s="12"/>
      <c r="AF148" s="12"/>
      <c r="AG148" s="12"/>
      <c r="AH148" s="12"/>
      <c r="AI148" s="12"/>
      <c r="AJ148" s="14"/>
    </row>
    <row r="149" spans="4:36">
      <c r="D149" s="11"/>
      <c r="E149" s="12" t="s">
        <v>262</v>
      </c>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4"/>
    </row>
    <row r="150" spans="4:36">
      <c r="D150" s="808" t="s">
        <v>449</v>
      </c>
      <c r="E150" s="557"/>
      <c r="F150" s="541" t="s">
        <v>8</v>
      </c>
      <c r="G150" s="809">
        <f>I137</f>
        <v>73.626101297177513</v>
      </c>
      <c r="H150" s="809"/>
      <c r="I150" s="809"/>
      <c r="J150" s="809"/>
      <c r="K150" s="809"/>
      <c r="L150" s="809"/>
      <c r="M150" s="809"/>
      <c r="N150" s="16"/>
      <c r="O150" s="16"/>
      <c r="P150" s="12"/>
      <c r="Q150" s="12"/>
      <c r="R150" s="12"/>
      <c r="S150" s="12"/>
      <c r="T150" s="12"/>
      <c r="U150" s="12"/>
      <c r="V150" s="12"/>
      <c r="W150" s="12"/>
      <c r="X150" s="12"/>
      <c r="Y150" s="12"/>
      <c r="Z150" s="12"/>
      <c r="AA150" s="12"/>
      <c r="AB150" s="12"/>
      <c r="AC150" s="12"/>
      <c r="AD150" s="12"/>
      <c r="AE150" s="12"/>
      <c r="AF150" s="12"/>
      <c r="AG150" s="12"/>
      <c r="AH150" s="12"/>
      <c r="AI150" s="12"/>
      <c r="AJ150" s="14"/>
    </row>
    <row r="151" spans="4:36">
      <c r="D151" s="808"/>
      <c r="E151" s="557"/>
      <c r="F151" s="541"/>
      <c r="G151" s="810">
        <f>AC147</f>
        <v>1.3500000000000001E-3</v>
      </c>
      <c r="H151" s="810"/>
      <c r="I151" s="810"/>
      <c r="J151" s="810"/>
      <c r="K151" s="810"/>
      <c r="L151" s="38" t="s">
        <v>344</v>
      </c>
      <c r="M151" s="12"/>
      <c r="N151" s="539">
        <f>V148</f>
        <v>1</v>
      </c>
      <c r="O151" s="539"/>
      <c r="P151" s="12"/>
      <c r="Q151" s="12"/>
      <c r="V151" s="12"/>
      <c r="W151" s="12"/>
      <c r="X151" s="12"/>
      <c r="Y151" s="12"/>
      <c r="Z151" s="12"/>
      <c r="AA151" s="12"/>
      <c r="AB151" s="12"/>
      <c r="AC151" s="12"/>
      <c r="AD151" s="12"/>
      <c r="AE151" s="12"/>
      <c r="AF151" s="12"/>
      <c r="AG151" s="12"/>
      <c r="AH151" s="12"/>
      <c r="AI151" s="12"/>
      <c r="AJ151" s="14"/>
    </row>
    <row r="152" spans="4:36">
      <c r="D152" s="11"/>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4"/>
    </row>
    <row r="153" spans="4:36" ht="20.25">
      <c r="D153" s="11"/>
      <c r="E153" s="12"/>
      <c r="F153" s="13" t="s">
        <v>8</v>
      </c>
      <c r="G153" s="576">
        <f>G150/G151/N151</f>
        <v>54537.852812724079</v>
      </c>
      <c r="H153" s="576"/>
      <c r="I153" s="576"/>
      <c r="J153" s="12" t="s">
        <v>21</v>
      </c>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4"/>
    </row>
    <row r="154" spans="4:36">
      <c r="D154" s="11"/>
      <c r="E154" s="12"/>
      <c r="F154" s="13"/>
      <c r="G154" s="13"/>
      <c r="H154" s="13"/>
      <c r="I154" s="13"/>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4"/>
    </row>
    <row r="155" spans="4:36" ht="21">
      <c r="D155" s="11"/>
      <c r="E155" s="12"/>
      <c r="F155" s="13" t="s">
        <v>8</v>
      </c>
      <c r="G155" s="525">
        <f>G153/1000</f>
        <v>54.537852812724076</v>
      </c>
      <c r="H155" s="526"/>
      <c r="I155" s="527"/>
      <c r="J155" s="12" t="s">
        <v>82</v>
      </c>
      <c r="K155" s="12"/>
      <c r="L155" s="12"/>
      <c r="M155" s="12"/>
      <c r="N155" s="12" t="str">
        <f>IF(G155&lt;=R155, "≦","&gt;")</f>
        <v>≦</v>
      </c>
      <c r="O155" s="371" t="s">
        <v>458</v>
      </c>
      <c r="P155" s="371"/>
      <c r="Q155" s="12" t="s">
        <v>8</v>
      </c>
      <c r="R155" s="539">
        <f>'1.設計条件'!T48</f>
        <v>210</v>
      </c>
      <c r="S155" s="539"/>
      <c r="T155" s="539"/>
      <c r="U155" s="12" t="s">
        <v>82</v>
      </c>
      <c r="V155" s="12"/>
      <c r="W155" s="12"/>
      <c r="X155" s="12"/>
      <c r="Y155" s="525" t="str">
        <f>IF(N155="≦","OK","NG")</f>
        <v>OK</v>
      </c>
      <c r="Z155" s="526"/>
      <c r="AA155" s="527"/>
      <c r="AB155" s="12"/>
      <c r="AC155" s="12"/>
      <c r="AD155" s="12"/>
      <c r="AE155" s="12"/>
      <c r="AF155" s="12"/>
      <c r="AG155" s="12"/>
      <c r="AH155" s="12"/>
      <c r="AI155" s="12"/>
      <c r="AJ155" s="14"/>
    </row>
    <row r="156" spans="4:36">
      <c r="D156" s="15"/>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8"/>
    </row>
  </sheetData>
  <sheetProtection sheet="1" objects="1" scenarios="1"/>
  <mergeCells count="218">
    <mergeCell ref="H26:J26"/>
    <mergeCell ref="F28:Q28"/>
    <mergeCell ref="H133:H134"/>
    <mergeCell ref="F133:F134"/>
    <mergeCell ref="E82:F82"/>
    <mergeCell ref="K82:L82"/>
    <mergeCell ref="Q82:S82"/>
    <mergeCell ref="E89:F89"/>
    <mergeCell ref="G92:I92"/>
    <mergeCell ref="J92:L92"/>
    <mergeCell ref="M92:P92"/>
    <mergeCell ref="G93:I93"/>
    <mergeCell ref="J93:L93"/>
    <mergeCell ref="M93:P93"/>
    <mergeCell ref="G95:I95"/>
    <mergeCell ref="J95:L95"/>
    <mergeCell ref="M95:P95"/>
    <mergeCell ref="R90:T90"/>
    <mergeCell ref="G89:H89"/>
    <mergeCell ref="J89:K89"/>
    <mergeCell ref="R89:T89"/>
    <mergeCell ref="G61:H61"/>
    <mergeCell ref="I61:J61"/>
    <mergeCell ref="N46:P46"/>
    <mergeCell ref="G11:H11"/>
    <mergeCell ref="J12:L12"/>
    <mergeCell ref="S10:U10"/>
    <mergeCell ref="V10:W10"/>
    <mergeCell ref="X10:Z10"/>
    <mergeCell ref="H21:J21"/>
    <mergeCell ref="F24:Q24"/>
    <mergeCell ref="G25:I25"/>
    <mergeCell ref="K25:M25"/>
    <mergeCell ref="D4:AJ5"/>
    <mergeCell ref="E7:F8"/>
    <mergeCell ref="G7:G8"/>
    <mergeCell ref="H7:I7"/>
    <mergeCell ref="H8:I8"/>
    <mergeCell ref="J11:K11"/>
    <mergeCell ref="L11:M11"/>
    <mergeCell ref="N11:P11"/>
    <mergeCell ref="G18:G19"/>
    <mergeCell ref="H18:J18"/>
    <mergeCell ref="H19:J19"/>
    <mergeCell ref="W15:Y15"/>
    <mergeCell ref="AD15:AF15"/>
    <mergeCell ref="E15:F16"/>
    <mergeCell ref="G15:G16"/>
    <mergeCell ref="H15:I15"/>
    <mergeCell ref="K15:L15"/>
    <mergeCell ref="S15:T15"/>
    <mergeCell ref="J16:L16"/>
    <mergeCell ref="N16:O16"/>
    <mergeCell ref="O15:Q15"/>
    <mergeCell ref="R16:T16"/>
    <mergeCell ref="V16:W16"/>
    <mergeCell ref="G10:H10"/>
    <mergeCell ref="AA33:AC33"/>
    <mergeCell ref="W31:X31"/>
    <mergeCell ref="W27:X28"/>
    <mergeCell ref="AA44:AB44"/>
    <mergeCell ref="AC44:AF44"/>
    <mergeCell ref="AA45:AB45"/>
    <mergeCell ref="K54:L54"/>
    <mergeCell ref="J59:K59"/>
    <mergeCell ref="G56:H56"/>
    <mergeCell ref="I56:J56"/>
    <mergeCell ref="Y52:Z52"/>
    <mergeCell ref="AA52:AB52"/>
    <mergeCell ref="Y51:Z51"/>
    <mergeCell ref="AA51:AB51"/>
    <mergeCell ref="AF33:AH33"/>
    <mergeCell ref="F35:H35"/>
    <mergeCell ref="I35:K35"/>
    <mergeCell ref="M35:O35"/>
    <mergeCell ref="F36:Q36"/>
    <mergeCell ref="R36:T36"/>
    <mergeCell ref="G29:I29"/>
    <mergeCell ref="K29:M29"/>
    <mergeCell ref="H30:J30"/>
    <mergeCell ref="AG51:AI51"/>
    <mergeCell ref="W100:Z100"/>
    <mergeCell ref="I103:J103"/>
    <mergeCell ref="L103:N103"/>
    <mergeCell ref="E97:F97"/>
    <mergeCell ref="M97:P97"/>
    <mergeCell ref="G100:I100"/>
    <mergeCell ref="K100:M100"/>
    <mergeCell ref="T100:U100"/>
    <mergeCell ref="G97:I97"/>
    <mergeCell ref="O100:Q100"/>
    <mergeCell ref="AC147:AG147"/>
    <mergeCell ref="I136:K136"/>
    <mergeCell ref="M136:N136"/>
    <mergeCell ref="R136:T136"/>
    <mergeCell ref="V136:W136"/>
    <mergeCell ref="Z136:AB136"/>
    <mergeCell ref="I131:K131"/>
    <mergeCell ref="N131:P131"/>
    <mergeCell ref="I133:K133"/>
    <mergeCell ref="T131:V131"/>
    <mergeCell ref="AD136:AF136"/>
    <mergeCell ref="L133:L134"/>
    <mergeCell ref="M133:O134"/>
    <mergeCell ref="P133:P134"/>
    <mergeCell ref="D150:E151"/>
    <mergeCell ref="F150:F151"/>
    <mergeCell ref="G150:M150"/>
    <mergeCell ref="G151:K151"/>
    <mergeCell ref="N151:O151"/>
    <mergeCell ref="I137:K137"/>
    <mergeCell ref="D143:E144"/>
    <mergeCell ref="F143:F144"/>
    <mergeCell ref="G143:H143"/>
    <mergeCell ref="G153:I153"/>
    <mergeCell ref="G155:I155"/>
    <mergeCell ref="O155:P155"/>
    <mergeCell ref="R155:T155"/>
    <mergeCell ref="Y155:AA155"/>
    <mergeCell ref="J10:K10"/>
    <mergeCell ref="L10:M10"/>
    <mergeCell ref="N10:P10"/>
    <mergeCell ref="Q10:R10"/>
    <mergeCell ref="V148:X148"/>
    <mergeCell ref="V147:X147"/>
    <mergeCell ref="N127:P127"/>
    <mergeCell ref="Q11:R11"/>
    <mergeCell ref="S11:U11"/>
    <mergeCell ref="Y16:AA16"/>
    <mergeCell ref="AA15:AB15"/>
    <mergeCell ref="I128:J128"/>
    <mergeCell ref="N128:P128"/>
    <mergeCell ref="I127:J127"/>
    <mergeCell ref="G120:J120"/>
    <mergeCell ref="G121:J121"/>
    <mergeCell ref="G122:J122"/>
    <mergeCell ref="G111:J111"/>
    <mergeCell ref="G112:J112"/>
    <mergeCell ref="AG52:AI52"/>
    <mergeCell ref="AC50:AF50"/>
    <mergeCell ref="AG47:AI47"/>
    <mergeCell ref="AG48:AI48"/>
    <mergeCell ref="AG50:AI50"/>
    <mergeCell ref="AG44:AI44"/>
    <mergeCell ref="AG45:AI45"/>
    <mergeCell ref="AG46:AI46"/>
    <mergeCell ref="AC45:AF45"/>
    <mergeCell ref="AC46:AF46"/>
    <mergeCell ref="AC47:AF47"/>
    <mergeCell ref="AC48:AF48"/>
    <mergeCell ref="AC52:AF52"/>
    <mergeCell ref="AC49:AF49"/>
    <mergeCell ref="AG49:AI49"/>
    <mergeCell ref="N47:P47"/>
    <mergeCell ref="I49:K49"/>
    <mergeCell ref="G46:G47"/>
    <mergeCell ref="H46:H47"/>
    <mergeCell ref="I46:K46"/>
    <mergeCell ref="I47:K47"/>
    <mergeCell ref="M46:M47"/>
    <mergeCell ref="AC51:AF51"/>
    <mergeCell ref="AA46:AB46"/>
    <mergeCell ref="Y50:Z50"/>
    <mergeCell ref="AA50:AB50"/>
    <mergeCell ref="Y48:Z48"/>
    <mergeCell ref="AA48:AB48"/>
    <mergeCell ref="Y47:Z47"/>
    <mergeCell ref="AA47:AB47"/>
    <mergeCell ref="Y49:Z49"/>
    <mergeCell ref="AA49:AB49"/>
    <mergeCell ref="E84:F84"/>
    <mergeCell ref="K83:L83"/>
    <mergeCell ref="Q83:S83"/>
    <mergeCell ref="G84:H84"/>
    <mergeCell ref="I84:J84"/>
    <mergeCell ref="Q84:S84"/>
    <mergeCell ref="E83:F83"/>
    <mergeCell ref="G110:J110"/>
    <mergeCell ref="M66:O66"/>
    <mergeCell ref="I67:K67"/>
    <mergeCell ref="K72:L72"/>
    <mergeCell ref="N72:P72"/>
    <mergeCell ref="K73:M73"/>
    <mergeCell ref="E106:U108"/>
    <mergeCell ref="E90:F90"/>
    <mergeCell ref="G90:H90"/>
    <mergeCell ref="E96:F96"/>
    <mergeCell ref="G96:I96"/>
    <mergeCell ref="J96:L96"/>
    <mergeCell ref="M96:P96"/>
    <mergeCell ref="G94:I94"/>
    <mergeCell ref="J94:L94"/>
    <mergeCell ref="M94:P94"/>
    <mergeCell ref="E95:F95"/>
    <mergeCell ref="Q66:R66"/>
    <mergeCell ref="G82:I82"/>
    <mergeCell ref="G83:I83"/>
    <mergeCell ref="G79:S79"/>
    <mergeCell ref="G80:S80"/>
    <mergeCell ref="G81:S81"/>
    <mergeCell ref="M89:N89"/>
    <mergeCell ref="J90:K90"/>
    <mergeCell ref="M90:N90"/>
    <mergeCell ref="G86:T86"/>
    <mergeCell ref="G87:T87"/>
    <mergeCell ref="G88:T88"/>
    <mergeCell ref="E123:F123"/>
    <mergeCell ref="G123:I123"/>
    <mergeCell ref="I134:K134"/>
    <mergeCell ref="E113:F113"/>
    <mergeCell ref="G113:I113"/>
    <mergeCell ref="G115:K115"/>
    <mergeCell ref="L115:O115"/>
    <mergeCell ref="L116:O116"/>
    <mergeCell ref="L117:O117"/>
    <mergeCell ref="E118:F118"/>
    <mergeCell ref="G118:H118"/>
    <mergeCell ref="L118:N118"/>
  </mergeCells>
  <phoneticPr fontId="3"/>
  <conditionalFormatting sqref="G113:H113">
    <cfRule type="cellIs" dxfId="6" priority="2" operator="greaterThan">
      <formula>#REF!</formula>
    </cfRule>
  </conditionalFormatting>
  <conditionalFormatting sqref="L118:M118">
    <cfRule type="cellIs" dxfId="5" priority="1" operator="greaterThan">
      <formula>#REF!</formula>
    </cfRule>
  </conditionalFormatting>
  <conditionalFormatting sqref="M92:M96">
    <cfRule type="cellIs" dxfId="4" priority="4" operator="greaterThan">
      <formula>#REF!</formula>
    </cfRule>
  </conditionalFormatting>
  <conditionalFormatting sqref="Q82:R84">
    <cfRule type="cellIs" dxfId="3" priority="5"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848A-A948-4CF2-B8C5-14AE0244051B}">
  <sheetPr>
    <pageSetUpPr fitToPage="1"/>
  </sheetPr>
  <dimension ref="A1:AN441"/>
  <sheetViews>
    <sheetView showGridLines="0" tabSelected="1" view="pageBreakPreview" zoomScale="110" zoomScaleNormal="70" zoomScaleSheetLayoutView="110" workbookViewId="0"/>
  </sheetViews>
  <sheetFormatPr defaultRowHeight="18.75"/>
  <cols>
    <col min="1" max="35" width="3.125" customWidth="1"/>
    <col min="36" max="36" width="3" customWidth="1"/>
    <col min="37" max="37" width="3.125" customWidth="1"/>
  </cols>
  <sheetData>
    <row r="1" spans="1:40">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row>
    <row r="2" spans="1:40">
      <c r="A2" t="s">
        <v>481</v>
      </c>
      <c r="B2" s="79"/>
      <c r="C2" s="79"/>
      <c r="D2" s="79"/>
      <c r="E2" s="79"/>
      <c r="F2" s="79"/>
      <c r="G2" t="s">
        <v>482</v>
      </c>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row>
    <row r="3" spans="1:40">
      <c r="A3" s="79"/>
      <c r="B3" s="353" t="s">
        <v>483</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row>
    <row r="4" spans="1:40">
      <c r="A4" s="79"/>
      <c r="B4" s="79" t="s">
        <v>484</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40">
      <c r="A5" s="79"/>
      <c r="B5" s="79"/>
      <c r="C5" s="82" t="s">
        <v>485</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4"/>
      <c r="AK5" s="79"/>
      <c r="AL5" s="79"/>
    </row>
    <row r="6" spans="1:40">
      <c r="A6" s="79"/>
      <c r="B6" s="79"/>
      <c r="C6" s="85"/>
      <c r="D6" s="79" t="s">
        <v>486</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6"/>
      <c r="AK6" s="79"/>
      <c r="AL6" s="79"/>
      <c r="AM6" s="79"/>
    </row>
    <row r="7" spans="1:40">
      <c r="A7" s="79"/>
      <c r="B7" s="79"/>
      <c r="C7" s="85"/>
      <c r="D7" s="850" t="s">
        <v>487</v>
      </c>
      <c r="E7" s="850"/>
      <c r="F7" s="625" t="s">
        <v>8</v>
      </c>
      <c r="G7" s="502" t="s">
        <v>163</v>
      </c>
      <c r="H7" s="502"/>
      <c r="I7" s="502"/>
      <c r="J7" s="625" t="s">
        <v>8</v>
      </c>
      <c r="K7" s="666">
        <f>'3.断面力2'!I67</f>
        <v>54.517241379310349</v>
      </c>
      <c r="L7" s="502"/>
      <c r="N7" s="625" t="s">
        <v>8</v>
      </c>
      <c r="O7" s="851">
        <f>K7/K8</f>
        <v>36.344827586206897</v>
      </c>
      <c r="P7" s="851"/>
      <c r="Q7" s="625" t="s">
        <v>488</v>
      </c>
      <c r="R7" s="625"/>
      <c r="S7" s="79"/>
      <c r="T7" s="79"/>
      <c r="U7" s="79"/>
      <c r="V7" s="79"/>
      <c r="W7" s="79"/>
      <c r="X7" s="79"/>
      <c r="Y7" s="79"/>
      <c r="Z7" s="79"/>
      <c r="AA7" s="79"/>
      <c r="AB7" s="79"/>
      <c r="AC7" s="79"/>
      <c r="AD7" s="79"/>
      <c r="AE7" s="79"/>
      <c r="AF7" s="79"/>
      <c r="AG7" s="79"/>
      <c r="AH7" s="79"/>
      <c r="AI7" s="79"/>
      <c r="AJ7" s="86"/>
      <c r="AK7" s="79"/>
      <c r="AL7" s="79"/>
      <c r="AM7" s="79"/>
    </row>
    <row r="8" spans="1:40">
      <c r="A8" s="79"/>
      <c r="B8" s="79"/>
      <c r="C8" s="85"/>
      <c r="D8" s="850"/>
      <c r="E8" s="850"/>
      <c r="F8" s="625"/>
      <c r="G8" s="456" t="s">
        <v>489</v>
      </c>
      <c r="H8" s="456"/>
      <c r="I8" s="456"/>
      <c r="J8" s="625"/>
      <c r="K8" s="441">
        <f>'1.設計条件'!R12</f>
        <v>1.5</v>
      </c>
      <c r="L8" s="441"/>
      <c r="N8" s="625"/>
      <c r="O8" s="851"/>
      <c r="P8" s="851"/>
      <c r="Q8" s="625"/>
      <c r="R8" s="625"/>
      <c r="S8" s="79"/>
      <c r="T8" s="79"/>
      <c r="U8" s="79"/>
      <c r="V8" s="79"/>
      <c r="W8" s="79"/>
      <c r="X8" s="79"/>
      <c r="Y8" s="79"/>
      <c r="Z8" s="79"/>
      <c r="AA8" s="79"/>
      <c r="AB8" s="79"/>
      <c r="AC8" s="79"/>
      <c r="AD8" s="79"/>
      <c r="AE8" s="79"/>
      <c r="AF8" s="79"/>
      <c r="AG8" s="79"/>
      <c r="AH8" s="79"/>
      <c r="AI8" s="79"/>
      <c r="AJ8" s="86"/>
      <c r="AK8" s="79"/>
      <c r="AL8" s="79"/>
    </row>
    <row r="9" spans="1:40">
      <c r="A9" s="79"/>
      <c r="B9" s="79"/>
      <c r="C9" s="85" t="s">
        <v>490</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86"/>
      <c r="AK9" s="79"/>
      <c r="AL9" s="79"/>
    </row>
    <row r="10" spans="1:40">
      <c r="A10" s="79"/>
      <c r="B10" s="79"/>
      <c r="C10" s="85"/>
      <c r="D10" s="441" t="s">
        <v>139</v>
      </c>
      <c r="E10" s="441"/>
      <c r="F10" s="190" t="s">
        <v>8</v>
      </c>
      <c r="G10" s="354" t="s">
        <v>14</v>
      </c>
      <c r="H10" s="212" t="s">
        <v>12</v>
      </c>
      <c r="I10" s="355" t="s">
        <v>59</v>
      </c>
      <c r="J10" s="79" t="s">
        <v>236</v>
      </c>
      <c r="K10" s="79">
        <v>2</v>
      </c>
      <c r="L10" s="79" t="s">
        <v>215</v>
      </c>
      <c r="M10" s="79">
        <v>2</v>
      </c>
      <c r="N10" s="79"/>
      <c r="O10" s="79"/>
      <c r="P10" s="79"/>
      <c r="Q10" s="79"/>
      <c r="R10" s="79"/>
      <c r="S10" s="79"/>
      <c r="T10" s="79"/>
      <c r="U10" s="79"/>
      <c r="V10" s="79"/>
      <c r="W10" s="79"/>
      <c r="X10" s="79"/>
      <c r="Y10" s="79"/>
      <c r="Z10" s="79"/>
      <c r="AA10" s="79"/>
      <c r="AB10" s="79"/>
      <c r="AC10" s="79"/>
      <c r="AD10" s="79"/>
      <c r="AE10" s="79"/>
      <c r="AF10" s="79"/>
      <c r="AG10" s="79"/>
      <c r="AH10" s="79"/>
      <c r="AI10" s="79"/>
      <c r="AJ10" s="86"/>
      <c r="AK10" s="79"/>
      <c r="AL10" s="79"/>
    </row>
    <row r="11" spans="1:40">
      <c r="A11" s="79"/>
      <c r="B11" s="79"/>
      <c r="C11" s="85"/>
      <c r="D11" s="79"/>
      <c r="E11" s="79"/>
      <c r="F11" s="190" t="s">
        <v>8</v>
      </c>
      <c r="G11" s="548">
        <f>'1.設計条件'!R12</f>
        <v>1.5</v>
      </c>
      <c r="H11" s="548"/>
      <c r="I11" s="212" t="s">
        <v>12</v>
      </c>
      <c r="J11" s="577">
        <f>'1.設計条件'!T34/1000</f>
        <v>0.3</v>
      </c>
      <c r="K11" s="577"/>
      <c r="L11" s="79" t="s">
        <v>236</v>
      </c>
      <c r="M11" s="79">
        <v>2</v>
      </c>
      <c r="N11" s="79" t="s">
        <v>215</v>
      </c>
      <c r="O11" s="79">
        <v>2</v>
      </c>
      <c r="T11" s="79"/>
      <c r="U11" s="79"/>
      <c r="V11" s="79"/>
      <c r="W11" s="79"/>
      <c r="X11" s="79"/>
      <c r="Y11" s="79"/>
      <c r="Z11" s="79"/>
      <c r="AA11" s="79"/>
      <c r="AB11" s="79"/>
      <c r="AC11" s="79"/>
      <c r="AD11" s="79"/>
      <c r="AE11" s="79"/>
      <c r="AF11" s="79"/>
      <c r="AG11" s="79"/>
      <c r="AH11" s="79"/>
      <c r="AI11" s="79"/>
      <c r="AJ11" s="86"/>
      <c r="AK11" s="79"/>
      <c r="AL11" s="79"/>
    </row>
    <row r="12" spans="1:40">
      <c r="A12" s="79"/>
      <c r="B12" s="79"/>
      <c r="C12" s="85"/>
      <c r="D12" s="79"/>
      <c r="E12" s="79"/>
      <c r="F12" s="190" t="s">
        <v>8</v>
      </c>
      <c r="G12" s="577">
        <f>G11-J11/M11*O11</f>
        <v>1.2</v>
      </c>
      <c r="H12" s="577"/>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86"/>
      <c r="AK12" s="79"/>
      <c r="AL12" s="79"/>
    </row>
    <row r="13" spans="1:40">
      <c r="A13" s="79"/>
      <c r="B13" s="79"/>
      <c r="C13" s="85"/>
      <c r="D13" s="79"/>
      <c r="E13" s="79"/>
      <c r="F13" s="190"/>
      <c r="G13" s="343"/>
      <c r="H13" s="343"/>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86"/>
      <c r="AK13" s="79"/>
      <c r="AL13" s="79"/>
    </row>
    <row r="14" spans="1:40">
      <c r="A14" s="79"/>
      <c r="B14" s="79"/>
      <c r="C14" s="85" t="s">
        <v>491</v>
      </c>
      <c r="D14" s="79"/>
      <c r="E14" s="79"/>
      <c r="F14" s="190"/>
      <c r="G14" s="343"/>
      <c r="H14" s="343"/>
      <c r="I14" s="79"/>
      <c r="J14" s="79"/>
      <c r="K14" s="79"/>
      <c r="L14" s="79"/>
      <c r="M14" s="79"/>
      <c r="N14" s="79"/>
      <c r="O14" s="79"/>
      <c r="P14" s="79"/>
      <c r="Q14" s="79"/>
      <c r="R14" s="79"/>
      <c r="S14" t="s">
        <v>492</v>
      </c>
      <c r="T14" s="79"/>
      <c r="U14" s="79"/>
      <c r="V14" s="79"/>
      <c r="W14" s="79"/>
      <c r="X14" s="79"/>
      <c r="Y14" s="79"/>
      <c r="Z14" s="79"/>
      <c r="AA14" s="79"/>
      <c r="AB14" s="79"/>
      <c r="AC14" s="79"/>
      <c r="AD14" s="79"/>
      <c r="AE14" s="79"/>
      <c r="AF14" s="79"/>
      <c r="AG14" s="79"/>
      <c r="AH14" s="79"/>
      <c r="AI14" s="79"/>
      <c r="AJ14" s="86"/>
      <c r="AK14" s="79"/>
      <c r="AL14" s="79"/>
    </row>
    <row r="15" spans="1:40">
      <c r="A15" s="79"/>
      <c r="B15" s="79"/>
      <c r="C15" s="85"/>
      <c r="D15" s="586" t="s">
        <v>493</v>
      </c>
      <c r="E15" s="586"/>
      <c r="F15" s="190" t="s">
        <v>8</v>
      </c>
      <c r="G15" s="823">
        <v>1000</v>
      </c>
      <c r="H15" s="824"/>
      <c r="I15" s="825"/>
      <c r="J15" s="79" t="s">
        <v>57</v>
      </c>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86"/>
      <c r="AK15" s="79"/>
      <c r="AL15" s="79"/>
    </row>
    <row r="16" spans="1:40">
      <c r="A16" s="79"/>
      <c r="B16" s="79"/>
      <c r="C16" s="85"/>
      <c r="D16" s="78"/>
      <c r="E16" s="78"/>
      <c r="F16" s="190" t="s">
        <v>8</v>
      </c>
      <c r="G16" s="826">
        <f>G15/1000</f>
        <v>1</v>
      </c>
      <c r="H16" s="826"/>
      <c r="I16" s="826"/>
      <c r="J16" s="79" t="s">
        <v>9</v>
      </c>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6"/>
      <c r="AK16" s="79"/>
      <c r="AL16" s="79"/>
    </row>
    <row r="17" spans="1:39">
      <c r="A17" s="79"/>
      <c r="B17" s="79"/>
      <c r="C17" s="88"/>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9"/>
      <c r="AK17" s="79"/>
      <c r="AL17" s="79"/>
    </row>
    <row r="18" spans="1:39">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1:39">
      <c r="A19" s="79"/>
      <c r="B19" s="79" t="s">
        <v>494</v>
      </c>
      <c r="C19" s="79"/>
      <c r="D19" s="79"/>
      <c r="E19" s="79"/>
      <c r="F19" s="79"/>
      <c r="G19" s="79"/>
      <c r="H19" s="79"/>
      <c r="I19" s="79"/>
      <c r="J19" s="79"/>
      <c r="K19" s="79"/>
      <c r="L19" s="79"/>
      <c r="M19" s="79"/>
      <c r="N19" s="79"/>
      <c r="O19" s="79"/>
      <c r="P19" s="79"/>
      <c r="Q19" t="s">
        <v>492</v>
      </c>
      <c r="R19" s="79"/>
      <c r="S19" s="79"/>
      <c r="T19" s="79"/>
      <c r="U19" s="79"/>
      <c r="V19" s="79"/>
      <c r="W19" s="79"/>
      <c r="X19" s="79"/>
      <c r="Y19" s="79"/>
      <c r="Z19" s="79"/>
      <c r="AA19" s="79"/>
      <c r="AB19" s="79"/>
      <c r="AC19" s="79"/>
      <c r="AD19" s="79"/>
      <c r="AE19" s="79"/>
      <c r="AF19" s="79"/>
      <c r="AG19" s="79"/>
      <c r="AH19" s="79"/>
      <c r="AI19" s="79"/>
      <c r="AJ19" s="79"/>
      <c r="AK19" s="79"/>
      <c r="AL19" s="79"/>
    </row>
    <row r="20" spans="1:39">
      <c r="A20" s="79"/>
      <c r="B20" s="79"/>
      <c r="C20" s="82" t="s">
        <v>495</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4"/>
      <c r="AK20" s="79"/>
      <c r="AL20" s="79"/>
      <c r="AM20" s="79"/>
    </row>
    <row r="21" spans="1:39">
      <c r="A21" s="79"/>
      <c r="B21" s="79"/>
      <c r="C21" s="85"/>
      <c r="D21" s="827" t="s">
        <v>496</v>
      </c>
      <c r="E21" s="827"/>
      <c r="F21" s="827"/>
      <c r="G21" s="574" t="s">
        <v>8</v>
      </c>
      <c r="H21" s="828">
        <v>1</v>
      </c>
      <c r="I21" s="828"/>
      <c r="J21" s="829" t="s">
        <v>497</v>
      </c>
      <c r="K21" s="829"/>
      <c r="L21" s="829"/>
      <c r="M21" s="829"/>
      <c r="N21" s="829"/>
      <c r="O21" s="79"/>
      <c r="P21" s="79"/>
      <c r="Q21" s="79"/>
      <c r="R21" s="79"/>
      <c r="S21" s="79"/>
      <c r="T21" s="79"/>
      <c r="U21" s="79"/>
      <c r="V21" s="79"/>
      <c r="W21" s="79"/>
      <c r="X21" s="79"/>
      <c r="Y21" s="79"/>
      <c r="Z21" s="79"/>
      <c r="AA21" s="79"/>
      <c r="AB21" s="79"/>
      <c r="AC21" s="79"/>
      <c r="AD21" s="79"/>
      <c r="AE21" s="79"/>
      <c r="AF21" s="79"/>
      <c r="AG21" s="79"/>
      <c r="AH21" s="79"/>
      <c r="AI21" s="79"/>
      <c r="AJ21" s="86"/>
      <c r="AK21" s="79"/>
      <c r="AL21" s="79"/>
    </row>
    <row r="22" spans="1:39">
      <c r="A22" s="79"/>
      <c r="B22" s="79"/>
      <c r="C22" s="85"/>
      <c r="D22" s="827"/>
      <c r="E22" s="827"/>
      <c r="F22" s="827"/>
      <c r="G22" s="574"/>
      <c r="H22" s="524">
        <v>8</v>
      </c>
      <c r="I22" s="524"/>
      <c r="J22" s="829"/>
      <c r="K22" s="829"/>
      <c r="L22" s="829"/>
      <c r="M22" s="829"/>
      <c r="N22" s="829"/>
      <c r="O22" s="79"/>
      <c r="P22" s="79"/>
      <c r="Q22" s="79"/>
      <c r="R22" s="79"/>
      <c r="S22" s="79"/>
      <c r="T22" s="79"/>
      <c r="U22" s="79"/>
      <c r="V22" s="79"/>
      <c r="W22" s="79"/>
      <c r="X22" s="79"/>
      <c r="Y22" s="79"/>
      <c r="Z22" s="79"/>
      <c r="AA22" s="79"/>
      <c r="AB22" s="79"/>
      <c r="AC22" s="79"/>
      <c r="AD22" s="79"/>
      <c r="AE22" s="79"/>
      <c r="AF22" s="79"/>
      <c r="AG22" s="79"/>
      <c r="AH22" s="79"/>
      <c r="AI22" s="79"/>
      <c r="AJ22" s="86"/>
      <c r="AK22" s="79"/>
      <c r="AL22" s="79"/>
    </row>
    <row r="23" spans="1:39">
      <c r="A23" s="79"/>
      <c r="B23" s="79"/>
      <c r="C23" s="85"/>
      <c r="D23" s="357"/>
      <c r="E23" s="357"/>
      <c r="F23" s="357"/>
      <c r="G23" s="91"/>
      <c r="H23" s="343"/>
      <c r="I23" s="343"/>
      <c r="J23" s="356"/>
      <c r="K23" s="356"/>
      <c r="L23" s="356"/>
      <c r="M23" s="356"/>
      <c r="N23" s="356"/>
      <c r="O23" s="79"/>
      <c r="P23" s="79"/>
      <c r="Q23" s="79"/>
      <c r="R23" s="79"/>
      <c r="S23" s="79"/>
      <c r="T23" s="79"/>
      <c r="U23" s="79"/>
      <c r="V23" s="79"/>
      <c r="W23" s="79"/>
      <c r="X23" s="79"/>
      <c r="Y23" s="79"/>
      <c r="Z23" s="79"/>
      <c r="AA23" s="79"/>
      <c r="AB23" s="79"/>
      <c r="AC23" s="79"/>
      <c r="AD23" s="79"/>
      <c r="AE23" s="79"/>
      <c r="AF23" s="79"/>
      <c r="AG23" s="79"/>
      <c r="AH23" s="79"/>
      <c r="AI23" s="79"/>
      <c r="AJ23" s="86"/>
      <c r="AK23" s="79"/>
      <c r="AL23" s="79"/>
    </row>
    <row r="24" spans="1:39">
      <c r="A24" s="79"/>
      <c r="B24" s="79"/>
      <c r="C24" s="85"/>
      <c r="D24" s="79"/>
      <c r="E24" s="79"/>
      <c r="F24" s="79"/>
      <c r="G24" s="574" t="s">
        <v>8</v>
      </c>
      <c r="H24" s="828">
        <v>1</v>
      </c>
      <c r="I24" s="828"/>
      <c r="J24" s="830" t="s">
        <v>215</v>
      </c>
      <c r="K24" s="831">
        <f>O7</f>
        <v>36.344827586206897</v>
      </c>
      <c r="L24" s="830"/>
      <c r="M24" s="830" t="s">
        <v>215</v>
      </c>
      <c r="N24" s="832">
        <f>G12</f>
        <v>1.2</v>
      </c>
      <c r="O24" s="832"/>
      <c r="P24" s="829" t="s">
        <v>444</v>
      </c>
      <c r="Q24" s="79"/>
      <c r="R24" s="79"/>
      <c r="S24" s="79"/>
      <c r="T24" s="79"/>
      <c r="U24" s="79"/>
      <c r="V24" s="79"/>
      <c r="W24" s="79"/>
      <c r="X24" s="79"/>
      <c r="Y24" s="79"/>
      <c r="Z24" s="79"/>
      <c r="AA24" s="79"/>
      <c r="AB24" s="79"/>
      <c r="AC24" s="79"/>
      <c r="AD24" s="79"/>
      <c r="AE24" s="79"/>
      <c r="AF24" s="79"/>
      <c r="AG24" s="79"/>
      <c r="AH24" s="79"/>
      <c r="AI24" s="79"/>
      <c r="AJ24" s="86"/>
      <c r="AK24" s="79"/>
      <c r="AL24" s="79"/>
      <c r="AM24" s="79"/>
    </row>
    <row r="25" spans="1:39">
      <c r="A25" s="79"/>
      <c r="B25" s="79"/>
      <c r="C25" s="85"/>
      <c r="D25" s="79"/>
      <c r="E25" s="79"/>
      <c r="F25" s="79"/>
      <c r="G25" s="574"/>
      <c r="H25" s="524">
        <v>8</v>
      </c>
      <c r="I25" s="524"/>
      <c r="J25" s="830"/>
      <c r="K25" s="830"/>
      <c r="L25" s="830"/>
      <c r="M25" s="830"/>
      <c r="N25" s="832"/>
      <c r="O25" s="832"/>
      <c r="P25" s="829"/>
      <c r="Q25" s="79"/>
      <c r="R25" s="79"/>
      <c r="S25" s="79"/>
      <c r="T25" s="79"/>
      <c r="U25" s="79"/>
      <c r="V25" s="79"/>
      <c r="W25" s="79"/>
      <c r="X25" s="79"/>
      <c r="Y25" s="79"/>
      <c r="Z25" s="79"/>
      <c r="AA25" s="79"/>
      <c r="AB25" s="79"/>
      <c r="AC25" s="79"/>
      <c r="AD25" s="79"/>
      <c r="AE25" s="79"/>
      <c r="AF25" s="79"/>
      <c r="AG25" s="79"/>
      <c r="AH25" s="79"/>
      <c r="AI25" s="79"/>
      <c r="AJ25" s="86"/>
      <c r="AK25" s="79"/>
      <c r="AL25" s="79"/>
      <c r="AM25" s="79"/>
    </row>
    <row r="26" spans="1:39">
      <c r="A26" s="79"/>
      <c r="B26" s="79"/>
      <c r="C26" s="85"/>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6"/>
      <c r="AK26" s="79"/>
      <c r="AL26" s="79"/>
      <c r="AM26" s="79"/>
    </row>
    <row r="27" spans="1:39">
      <c r="A27" s="79"/>
      <c r="B27" s="79"/>
      <c r="C27" s="85"/>
      <c r="D27" s="79"/>
      <c r="E27" s="79"/>
      <c r="F27" s="79"/>
      <c r="G27" s="79" t="s">
        <v>8</v>
      </c>
      <c r="H27" s="577">
        <f>H24/H25*K24*N24^2</f>
        <v>6.5420689655172408</v>
      </c>
      <c r="I27" s="577"/>
      <c r="J27" s="577"/>
      <c r="K27" s="833" t="s">
        <v>445</v>
      </c>
      <c r="L27" s="833"/>
      <c r="M27" s="833"/>
      <c r="N27" s="79"/>
      <c r="O27" s="79"/>
      <c r="P27" s="79"/>
      <c r="Q27" s="79"/>
      <c r="R27" s="79"/>
      <c r="S27" s="79"/>
      <c r="T27" s="79"/>
      <c r="U27" s="79"/>
      <c r="V27" s="79"/>
      <c r="W27" s="79"/>
      <c r="X27" s="79"/>
      <c r="Y27" s="79"/>
      <c r="Z27" s="79"/>
      <c r="AA27" s="79"/>
      <c r="AB27" s="79"/>
      <c r="AC27" s="79"/>
      <c r="AD27" s="79"/>
      <c r="AE27" s="79"/>
      <c r="AF27" s="79"/>
      <c r="AG27" s="79"/>
      <c r="AH27" s="79"/>
      <c r="AI27" s="79"/>
      <c r="AJ27" s="86"/>
      <c r="AK27" s="79"/>
      <c r="AL27" s="79"/>
      <c r="AM27" s="79"/>
    </row>
    <row r="28" spans="1:39">
      <c r="A28" s="79"/>
      <c r="B28" s="79"/>
      <c r="C28" s="85"/>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6"/>
      <c r="AK28" s="79"/>
      <c r="AL28" s="79"/>
      <c r="AM28" s="79"/>
    </row>
    <row r="29" spans="1:39">
      <c r="A29" s="79"/>
      <c r="B29" s="79"/>
      <c r="C29" s="85" t="s">
        <v>498</v>
      </c>
      <c r="D29" s="79"/>
      <c r="E29" s="79"/>
      <c r="F29" s="79"/>
      <c r="G29" s="79"/>
      <c r="H29" s="79"/>
      <c r="I29" s="79"/>
      <c r="J29" s="79"/>
      <c r="K29" s="79"/>
      <c r="L29" s="79"/>
      <c r="M29" s="79"/>
      <c r="N29" s="79"/>
      <c r="O29" s="79"/>
      <c r="P29" s="79"/>
      <c r="R29" s="79"/>
      <c r="S29" s="79"/>
      <c r="T29" s="79"/>
      <c r="U29" s="79"/>
      <c r="V29" s="79"/>
      <c r="W29" s="79"/>
      <c r="X29" s="79"/>
      <c r="Y29" s="79"/>
      <c r="Z29" s="79"/>
      <c r="AA29" s="79"/>
      <c r="AB29" s="79"/>
      <c r="AC29" s="79"/>
      <c r="AD29" s="79"/>
      <c r="AE29" s="79"/>
      <c r="AF29" s="79"/>
      <c r="AG29" s="79"/>
      <c r="AH29" s="79"/>
      <c r="AI29" s="79"/>
      <c r="AJ29" s="86"/>
      <c r="AK29" s="79"/>
      <c r="AL29" s="79"/>
      <c r="AM29" s="79"/>
    </row>
    <row r="30" spans="1:39">
      <c r="A30" s="79"/>
      <c r="B30" s="79"/>
      <c r="C30" s="85"/>
      <c r="D30" s="827" t="s">
        <v>264</v>
      </c>
      <c r="E30" s="827"/>
      <c r="F30" s="827"/>
      <c r="G30" s="574" t="s">
        <v>8</v>
      </c>
      <c r="I30" s="834" t="s">
        <v>499</v>
      </c>
      <c r="J30" s="834"/>
      <c r="K30" s="834"/>
      <c r="L30" s="359"/>
      <c r="M30" s="359"/>
      <c r="N30" s="79"/>
      <c r="O30" s="79"/>
      <c r="P30" s="79"/>
      <c r="Q30" s="79"/>
      <c r="R30" s="79"/>
      <c r="S30" s="79"/>
      <c r="T30" s="79"/>
      <c r="U30" s="79"/>
      <c r="V30" s="79"/>
      <c r="W30" s="79"/>
      <c r="X30" s="79"/>
      <c r="Y30" s="79"/>
      <c r="Z30" s="79"/>
      <c r="AA30" s="79"/>
      <c r="AB30" s="79"/>
      <c r="AC30" s="79"/>
      <c r="AD30" s="79"/>
      <c r="AE30" s="79"/>
      <c r="AF30" s="79"/>
      <c r="AG30" s="79"/>
      <c r="AH30" s="79"/>
      <c r="AI30" s="79"/>
      <c r="AJ30" s="86"/>
      <c r="AK30" s="79"/>
    </row>
    <row r="31" spans="1:39">
      <c r="A31" s="79"/>
      <c r="B31" s="79"/>
      <c r="C31" s="85"/>
      <c r="D31" s="827"/>
      <c r="E31" s="827"/>
      <c r="F31" s="827"/>
      <c r="G31" s="574"/>
      <c r="H31" s="79"/>
      <c r="I31" s="835" t="s">
        <v>500</v>
      </c>
      <c r="J31" s="836"/>
      <c r="K31" s="836"/>
      <c r="L31" s="359"/>
      <c r="M31" s="359"/>
      <c r="N31" s="79"/>
      <c r="O31" s="79"/>
      <c r="P31" s="79"/>
      <c r="Q31" s="79"/>
      <c r="R31" s="79"/>
      <c r="S31" s="79"/>
      <c r="T31" s="79"/>
      <c r="U31" s="79"/>
      <c r="V31" s="79"/>
      <c r="W31" s="79"/>
      <c r="X31" s="79"/>
      <c r="Y31" s="79"/>
      <c r="Z31" s="79"/>
      <c r="AA31" s="79"/>
      <c r="AB31" s="79"/>
      <c r="AC31" s="79"/>
      <c r="AD31" s="79"/>
      <c r="AE31" s="79"/>
      <c r="AF31" s="79"/>
      <c r="AG31" s="79"/>
      <c r="AH31" s="79"/>
      <c r="AI31" s="79"/>
      <c r="AJ31" s="86"/>
      <c r="AK31" s="79"/>
    </row>
    <row r="32" spans="1:39">
      <c r="A32" s="79"/>
      <c r="B32" s="79"/>
      <c r="C32" s="85"/>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6"/>
      <c r="AK32" s="79"/>
      <c r="AL32" s="79"/>
      <c r="AM32" s="79"/>
    </row>
    <row r="33" spans="1:39">
      <c r="A33" s="79"/>
      <c r="B33" s="79"/>
      <c r="C33" s="85"/>
      <c r="D33" s="79"/>
      <c r="E33" s="79"/>
      <c r="F33" s="79"/>
      <c r="G33" s="574" t="s">
        <v>8</v>
      </c>
      <c r="I33" s="360">
        <v>6</v>
      </c>
      <c r="J33" s="360" t="s">
        <v>215</v>
      </c>
      <c r="K33" s="837">
        <f>H27</f>
        <v>6.5420689655172408</v>
      </c>
      <c r="L33" s="834"/>
      <c r="M33" s="834"/>
      <c r="N33" s="79"/>
      <c r="O33" s="79"/>
      <c r="P33" s="79"/>
      <c r="Q33" s="79"/>
      <c r="R33" s="79"/>
      <c r="S33" s="79"/>
      <c r="T33" s="79"/>
      <c r="U33" s="79"/>
      <c r="V33" s="79"/>
      <c r="W33" s="79"/>
      <c r="X33" s="79"/>
      <c r="Y33" s="79"/>
      <c r="Z33" s="79"/>
      <c r="AA33" s="79"/>
      <c r="AB33" s="79"/>
      <c r="AC33" s="79"/>
      <c r="AD33" s="79"/>
      <c r="AE33" s="79"/>
      <c r="AF33" s="79"/>
      <c r="AG33" s="79"/>
      <c r="AH33" s="79"/>
      <c r="AI33" s="79"/>
      <c r="AJ33" s="86"/>
      <c r="AK33" s="79"/>
      <c r="AL33" s="79"/>
      <c r="AM33" s="79"/>
    </row>
    <row r="34" spans="1:39">
      <c r="A34" s="79"/>
      <c r="B34" s="79"/>
      <c r="C34" s="85"/>
      <c r="D34" s="79"/>
      <c r="E34" s="79"/>
      <c r="F34" s="79"/>
      <c r="G34" s="574"/>
      <c r="H34" s="79"/>
      <c r="I34" s="359">
        <v>1</v>
      </c>
      <c r="J34" s="359" t="s">
        <v>215</v>
      </c>
      <c r="K34" s="838">
        <f>'1.設計条件'!AA63</f>
        <v>13500</v>
      </c>
      <c r="L34" s="836"/>
      <c r="M34" s="836"/>
      <c r="N34" s="79"/>
      <c r="O34" s="79"/>
      <c r="P34" s="79"/>
      <c r="Q34" s="79"/>
      <c r="R34" s="79"/>
      <c r="S34" s="79"/>
      <c r="T34" s="79"/>
      <c r="U34" s="79"/>
      <c r="V34" s="79"/>
      <c r="W34" s="79"/>
      <c r="X34" s="79"/>
      <c r="Y34" s="79"/>
      <c r="Z34" s="79"/>
      <c r="AA34" s="79"/>
      <c r="AB34" s="79"/>
      <c r="AC34" s="79"/>
      <c r="AD34" s="79"/>
      <c r="AE34" s="79"/>
      <c r="AF34" s="79"/>
      <c r="AG34" s="79"/>
      <c r="AH34" s="79"/>
      <c r="AI34" s="79"/>
      <c r="AJ34" s="86"/>
      <c r="AK34" s="79"/>
      <c r="AL34" s="79"/>
      <c r="AM34" s="79"/>
    </row>
    <row r="35" spans="1:39">
      <c r="A35" s="79"/>
      <c r="B35" s="79"/>
      <c r="C35" s="85"/>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86"/>
      <c r="AK35" s="79"/>
      <c r="AL35" s="79"/>
      <c r="AM35" s="79"/>
    </row>
    <row r="36" spans="1:39">
      <c r="A36" s="79"/>
      <c r="B36" s="79"/>
      <c r="C36" s="85"/>
      <c r="D36" s="79"/>
      <c r="E36" s="79"/>
      <c r="F36" s="79"/>
      <c r="G36" s="79" t="s">
        <v>8</v>
      </c>
      <c r="H36" s="839">
        <f>SQRT(I33*K33/I34/K34)</f>
        <v>5.3922038230175898E-2</v>
      </c>
      <c r="I36" s="839"/>
      <c r="J36" s="839"/>
      <c r="K36" s="79" t="s">
        <v>9</v>
      </c>
      <c r="L36" s="79"/>
      <c r="M36" s="79"/>
      <c r="N36" s="79" t="s">
        <v>8</v>
      </c>
      <c r="O36" s="840">
        <f>H36*1000</f>
        <v>53.9220382301759</v>
      </c>
      <c r="P36" s="841"/>
      <c r="Q36" s="842"/>
      <c r="R36" s="79" t="s">
        <v>57</v>
      </c>
      <c r="S36" s="79"/>
      <c r="T36" s="79"/>
      <c r="U36" s="79"/>
      <c r="V36" s="79"/>
      <c r="W36" s="79"/>
      <c r="X36" s="79"/>
      <c r="Y36" s="79"/>
      <c r="Z36" s="79"/>
      <c r="AA36" s="79"/>
      <c r="AB36" s="79"/>
      <c r="AC36" s="79"/>
      <c r="AD36" s="79"/>
      <c r="AE36" s="79"/>
      <c r="AF36" s="79"/>
      <c r="AG36" s="79"/>
      <c r="AH36" s="79"/>
      <c r="AI36" s="79"/>
      <c r="AJ36" s="86"/>
      <c r="AK36" s="79"/>
      <c r="AL36" s="79"/>
      <c r="AM36" s="79"/>
    </row>
    <row r="37" spans="1:39">
      <c r="A37" s="79"/>
      <c r="B37" s="79"/>
      <c r="C37" s="88"/>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9"/>
      <c r="AK37" s="79"/>
      <c r="AL37" s="79"/>
      <c r="AM37" s="79"/>
    </row>
    <row r="38" spans="1:39">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row>
    <row r="39" spans="1:39">
      <c r="A39" s="79"/>
      <c r="B39" s="79" t="s">
        <v>501</v>
      </c>
      <c r="D39" s="79"/>
      <c r="E39" s="79"/>
      <c r="F39" s="79"/>
      <c r="G39" s="79"/>
      <c r="H39" s="79"/>
      <c r="I39" s="79"/>
      <c r="J39" s="79"/>
      <c r="K39" s="79"/>
      <c r="L39" s="79"/>
      <c r="M39" s="79"/>
      <c r="N39" s="79"/>
      <c r="O39" s="79"/>
      <c r="P39" s="79"/>
      <c r="Q39" t="s">
        <v>492</v>
      </c>
      <c r="R39" s="79"/>
      <c r="S39" s="79"/>
      <c r="T39" s="79"/>
      <c r="U39" s="79"/>
      <c r="V39" s="79"/>
      <c r="W39" s="79"/>
      <c r="X39" s="79"/>
      <c r="Y39" s="79"/>
      <c r="Z39" s="79"/>
      <c r="AA39" s="79"/>
      <c r="AB39" s="79"/>
      <c r="AC39" s="79"/>
      <c r="AD39" s="79"/>
      <c r="AE39" s="79"/>
      <c r="AF39" s="79"/>
      <c r="AG39" s="79"/>
      <c r="AH39" s="79"/>
      <c r="AI39" s="79"/>
      <c r="AJ39" s="79"/>
      <c r="AK39" s="79"/>
      <c r="AL39" s="79"/>
      <c r="AM39" s="79"/>
    </row>
    <row r="40" spans="1:39">
      <c r="A40" s="79"/>
      <c r="B40" s="79"/>
      <c r="C40" s="82" t="s">
        <v>881</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4"/>
      <c r="AK40" s="79"/>
      <c r="AL40" s="79"/>
      <c r="AM40" s="79"/>
    </row>
    <row r="41" spans="1:39">
      <c r="A41" s="79"/>
      <c r="B41" s="79"/>
      <c r="C41" s="85"/>
      <c r="D41" s="827" t="s">
        <v>502</v>
      </c>
      <c r="E41" s="827"/>
      <c r="F41" s="827"/>
      <c r="G41" s="574" t="s">
        <v>8</v>
      </c>
      <c r="H41" s="828">
        <v>1</v>
      </c>
      <c r="I41" s="828"/>
      <c r="J41" s="829" t="s">
        <v>503</v>
      </c>
      <c r="K41" s="829"/>
      <c r="L41" s="829"/>
      <c r="M41" s="829"/>
      <c r="N41" s="829"/>
      <c r="O41" s="79"/>
      <c r="P41" s="79"/>
      <c r="Q41" s="79"/>
      <c r="R41" s="79"/>
      <c r="S41" s="79"/>
      <c r="T41" s="79"/>
      <c r="U41" s="79"/>
      <c r="V41" s="79"/>
      <c r="W41" s="79"/>
      <c r="X41" s="79"/>
      <c r="Y41" s="79"/>
      <c r="Z41" s="79"/>
      <c r="AA41" s="79"/>
      <c r="AB41" s="79"/>
      <c r="AC41" s="79"/>
      <c r="AD41" s="79"/>
      <c r="AE41" s="79"/>
      <c r="AF41" s="79"/>
      <c r="AG41" s="79"/>
      <c r="AH41" s="79"/>
      <c r="AI41" s="79"/>
      <c r="AJ41" s="86"/>
      <c r="AK41" s="79"/>
      <c r="AL41" s="79"/>
      <c r="AM41" s="79"/>
    </row>
    <row r="42" spans="1:39">
      <c r="A42" s="79"/>
      <c r="B42" s="79"/>
      <c r="C42" s="85"/>
      <c r="D42" s="827"/>
      <c r="E42" s="827"/>
      <c r="F42" s="827"/>
      <c r="G42" s="574"/>
      <c r="H42" s="524">
        <v>2</v>
      </c>
      <c r="I42" s="524"/>
      <c r="J42" s="829"/>
      <c r="K42" s="829"/>
      <c r="L42" s="829"/>
      <c r="M42" s="829"/>
      <c r="N42" s="829"/>
      <c r="O42" s="79"/>
      <c r="P42" s="79"/>
      <c r="Q42" s="79"/>
      <c r="R42" s="79"/>
      <c r="S42" s="79"/>
      <c r="T42" s="79"/>
      <c r="U42" s="79"/>
      <c r="V42" s="79"/>
      <c r="W42" s="79"/>
      <c r="X42" s="79"/>
      <c r="Y42" s="79"/>
      <c r="Z42" s="79"/>
      <c r="AA42" s="79"/>
      <c r="AB42" s="79"/>
      <c r="AC42" s="79"/>
      <c r="AD42" s="79"/>
      <c r="AE42" s="79"/>
      <c r="AF42" s="79"/>
      <c r="AG42" s="79"/>
      <c r="AH42" s="79"/>
      <c r="AI42" s="79"/>
      <c r="AJ42" s="86"/>
      <c r="AK42" s="79"/>
      <c r="AL42" s="79"/>
      <c r="AM42" s="79"/>
    </row>
    <row r="43" spans="1:39">
      <c r="A43" s="79"/>
      <c r="B43" s="79"/>
      <c r="C43" s="85"/>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86"/>
      <c r="AK43" s="79"/>
      <c r="AL43" s="79"/>
      <c r="AM43" s="79"/>
    </row>
    <row r="44" spans="1:39">
      <c r="A44" s="79"/>
      <c r="B44" s="79"/>
      <c r="C44" s="85"/>
      <c r="D44" s="79"/>
      <c r="E44" s="79"/>
      <c r="F44" s="79"/>
      <c r="G44" s="574" t="s">
        <v>8</v>
      </c>
      <c r="H44" s="828">
        <v>1</v>
      </c>
      <c r="I44" s="828"/>
      <c r="J44" s="830" t="s">
        <v>215</v>
      </c>
      <c r="K44" s="831">
        <f>O7</f>
        <v>36.344827586206897</v>
      </c>
      <c r="L44" s="830"/>
      <c r="M44" s="830" t="s">
        <v>215</v>
      </c>
      <c r="N44" s="831">
        <f>G12</f>
        <v>1.2</v>
      </c>
      <c r="O44" s="831"/>
      <c r="P44" s="79"/>
      <c r="Q44" s="79"/>
      <c r="R44" s="79"/>
      <c r="S44" s="79"/>
      <c r="T44" s="79"/>
      <c r="U44" s="79"/>
      <c r="V44" s="79"/>
      <c r="W44" s="79"/>
      <c r="X44" s="79"/>
      <c r="Y44" s="79"/>
      <c r="Z44" s="79"/>
      <c r="AA44" s="79"/>
      <c r="AB44" s="79"/>
      <c r="AC44" s="79"/>
      <c r="AD44" s="79"/>
      <c r="AE44" s="79"/>
      <c r="AF44" s="79"/>
      <c r="AG44" s="79"/>
      <c r="AH44" s="79"/>
      <c r="AI44" s="79"/>
      <c r="AJ44" s="86"/>
      <c r="AK44" s="79"/>
      <c r="AL44" s="79"/>
      <c r="AM44" s="79"/>
    </row>
    <row r="45" spans="1:39">
      <c r="A45" s="79"/>
      <c r="B45" s="79"/>
      <c r="C45" s="85"/>
      <c r="D45" s="79"/>
      <c r="E45" s="79"/>
      <c r="F45" s="79"/>
      <c r="G45" s="574"/>
      <c r="H45" s="524">
        <v>2</v>
      </c>
      <c r="I45" s="524"/>
      <c r="J45" s="830"/>
      <c r="K45" s="830"/>
      <c r="L45" s="830"/>
      <c r="M45" s="830"/>
      <c r="N45" s="831"/>
      <c r="O45" s="831"/>
      <c r="P45" s="79"/>
      <c r="Q45" s="79"/>
      <c r="R45" s="79"/>
      <c r="S45" s="79"/>
      <c r="T45" s="79"/>
      <c r="U45" s="79"/>
      <c r="V45" s="79"/>
      <c r="W45" s="79"/>
      <c r="X45" s="79"/>
      <c r="Y45" s="79"/>
      <c r="Z45" s="79"/>
      <c r="AA45" s="79"/>
      <c r="AB45" s="79"/>
      <c r="AC45" s="79"/>
      <c r="AD45" s="79"/>
      <c r="AE45" s="79"/>
      <c r="AF45" s="79"/>
      <c r="AG45" s="79"/>
      <c r="AH45" s="79"/>
      <c r="AI45" s="79"/>
      <c r="AJ45" s="86"/>
      <c r="AK45" s="79"/>
      <c r="AL45" s="79"/>
      <c r="AM45" s="79"/>
    </row>
    <row r="46" spans="1:39">
      <c r="A46" s="79"/>
      <c r="B46" s="79"/>
      <c r="C46" s="85"/>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86"/>
      <c r="AK46" s="79"/>
      <c r="AL46" s="79"/>
      <c r="AM46" s="79"/>
    </row>
    <row r="47" spans="1:39">
      <c r="A47" s="79"/>
      <c r="B47" s="79"/>
      <c r="C47" s="85"/>
      <c r="D47" s="79"/>
      <c r="E47" s="79"/>
      <c r="F47" s="79"/>
      <c r="G47" s="79" t="s">
        <v>8</v>
      </c>
      <c r="H47" s="577">
        <f>H44/H45*K44*N44</f>
        <v>21.806896551724137</v>
      </c>
      <c r="I47" s="577"/>
      <c r="J47" s="577"/>
      <c r="K47" s="833" t="s">
        <v>426</v>
      </c>
      <c r="L47" s="833"/>
      <c r="M47" s="833"/>
      <c r="N47" s="79"/>
      <c r="O47" s="79"/>
      <c r="P47" s="79"/>
      <c r="Q47" s="79"/>
      <c r="R47" s="79"/>
      <c r="S47" s="79"/>
      <c r="T47" s="79"/>
      <c r="U47" s="79"/>
      <c r="V47" s="79"/>
      <c r="W47" s="79"/>
      <c r="X47" s="79"/>
      <c r="Y47" s="79"/>
      <c r="Z47" s="79"/>
      <c r="AA47" s="79"/>
      <c r="AB47" s="79"/>
      <c r="AC47" s="79"/>
      <c r="AD47" s="79"/>
      <c r="AE47" s="79"/>
      <c r="AF47" s="79"/>
      <c r="AG47" s="79"/>
      <c r="AH47" s="79"/>
      <c r="AI47" s="79"/>
      <c r="AJ47" s="86"/>
      <c r="AK47" s="79"/>
      <c r="AL47" s="79"/>
      <c r="AM47" s="79"/>
    </row>
    <row r="48" spans="1:39">
      <c r="A48" s="79"/>
      <c r="B48" s="79"/>
      <c r="C48" s="85"/>
      <c r="D48" s="79"/>
      <c r="E48" s="79"/>
      <c r="F48" s="79"/>
      <c r="G48" s="79"/>
      <c r="H48" s="171"/>
      <c r="I48" s="171"/>
      <c r="J48" s="171"/>
      <c r="K48" s="358"/>
      <c r="L48" s="358"/>
      <c r="M48" s="358"/>
      <c r="N48" s="79"/>
      <c r="O48" s="79"/>
      <c r="P48" s="79"/>
      <c r="Q48" s="79"/>
      <c r="R48" s="79"/>
      <c r="S48" s="79"/>
      <c r="T48" s="79"/>
      <c r="U48" s="79"/>
      <c r="V48" s="79"/>
      <c r="W48" s="79"/>
      <c r="X48" s="79"/>
      <c r="Y48" s="79"/>
      <c r="Z48" s="79"/>
      <c r="AA48" s="79"/>
      <c r="AB48" s="79"/>
      <c r="AC48" s="79"/>
      <c r="AD48" s="79"/>
      <c r="AE48" s="79"/>
      <c r="AF48" s="79"/>
      <c r="AG48" s="79"/>
      <c r="AH48" s="79"/>
      <c r="AI48" s="79"/>
      <c r="AJ48" s="86"/>
      <c r="AK48" s="79"/>
      <c r="AL48" s="79"/>
      <c r="AM48" s="79"/>
    </row>
    <row r="49" spans="1:40">
      <c r="A49" s="79"/>
      <c r="B49" s="79"/>
      <c r="C49" s="85" t="s">
        <v>504</v>
      </c>
      <c r="D49" s="79"/>
      <c r="E49" s="79"/>
      <c r="F49" s="79"/>
      <c r="G49" s="79"/>
      <c r="H49" s="171"/>
      <c r="I49" s="171"/>
      <c r="J49" s="171"/>
      <c r="K49" s="358"/>
      <c r="L49" s="358"/>
      <c r="M49" s="358"/>
      <c r="N49" s="79"/>
      <c r="O49" s="79"/>
      <c r="P49" s="79"/>
      <c r="Q49" s="79"/>
      <c r="R49" s="79"/>
      <c r="S49" s="79"/>
      <c r="T49" s="79"/>
      <c r="U49" s="79"/>
      <c r="V49" s="79"/>
      <c r="W49" s="79"/>
      <c r="X49" s="79"/>
      <c r="Y49" s="79"/>
      <c r="Z49" s="79"/>
      <c r="AA49" s="79"/>
      <c r="AB49" s="79"/>
      <c r="AC49" s="79"/>
      <c r="AD49" s="79"/>
      <c r="AE49" s="79"/>
      <c r="AF49" s="79"/>
      <c r="AG49" s="79"/>
      <c r="AH49" s="79"/>
      <c r="AI49" s="79"/>
      <c r="AJ49" s="86"/>
      <c r="AK49" s="79"/>
      <c r="AL49" s="79"/>
      <c r="AM49" s="79"/>
    </row>
    <row r="50" spans="1:40">
      <c r="A50" s="79"/>
      <c r="B50" s="79"/>
      <c r="C50" s="85"/>
      <c r="D50" s="844" t="s">
        <v>505</v>
      </c>
      <c r="E50" s="844"/>
      <c r="F50" s="844"/>
      <c r="G50" s="574" t="s">
        <v>8</v>
      </c>
      <c r="I50" s="845" t="s">
        <v>506</v>
      </c>
      <c r="J50" s="845"/>
      <c r="K50" s="845"/>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86"/>
      <c r="AK50" s="79"/>
      <c r="AL50" s="79"/>
      <c r="AM50" s="79"/>
    </row>
    <row r="51" spans="1:40">
      <c r="A51" s="79"/>
      <c r="B51" s="79"/>
      <c r="C51" s="85"/>
      <c r="D51" s="844"/>
      <c r="E51" s="844"/>
      <c r="F51" s="844"/>
      <c r="G51" s="574"/>
      <c r="H51" s="79"/>
      <c r="I51" s="846" t="s">
        <v>507</v>
      </c>
      <c r="J51" s="846"/>
      <c r="K51" s="846"/>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K51" s="79"/>
      <c r="AL51" s="79"/>
      <c r="AM51" s="79"/>
    </row>
    <row r="52" spans="1:40">
      <c r="A52" s="79"/>
      <c r="B52" s="79"/>
      <c r="C52" s="85"/>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86"/>
      <c r="AK52" s="79"/>
      <c r="AL52" s="79"/>
      <c r="AM52" s="79"/>
    </row>
    <row r="53" spans="1:40">
      <c r="A53" s="79"/>
      <c r="B53" s="79"/>
      <c r="C53" s="85"/>
      <c r="D53" s="79"/>
      <c r="E53" s="79"/>
      <c r="F53" s="79"/>
      <c r="G53" s="574" t="s">
        <v>8</v>
      </c>
      <c r="I53" s="852">
        <f>H47</f>
        <v>21.806896551724137</v>
      </c>
      <c r="J53" s="853"/>
      <c r="K53" s="853"/>
      <c r="L53" s="80"/>
      <c r="M53" s="80"/>
      <c r="N53" s="79"/>
      <c r="O53" s="79"/>
      <c r="P53" s="79"/>
      <c r="Q53" s="79"/>
      <c r="R53" s="79"/>
      <c r="S53" s="79"/>
      <c r="T53" s="79"/>
      <c r="U53" s="79"/>
      <c r="V53" s="79"/>
      <c r="W53" s="79"/>
      <c r="X53" s="79"/>
      <c r="Y53" s="79"/>
      <c r="Z53" s="79"/>
      <c r="AA53" s="79"/>
      <c r="AB53" s="79"/>
      <c r="AC53" s="79"/>
      <c r="AD53" s="79"/>
      <c r="AE53" s="79"/>
      <c r="AF53" s="79"/>
      <c r="AG53" s="79"/>
      <c r="AH53" s="79"/>
      <c r="AI53" s="79"/>
      <c r="AJ53" s="86"/>
      <c r="AK53" s="79"/>
      <c r="AL53" s="79"/>
      <c r="AM53" s="79"/>
    </row>
    <row r="54" spans="1:40">
      <c r="A54" s="79"/>
      <c r="B54" s="79"/>
      <c r="C54" s="85"/>
      <c r="D54" s="79"/>
      <c r="E54" s="79"/>
      <c r="F54" s="79"/>
      <c r="G54" s="574"/>
      <c r="H54" s="79"/>
      <c r="I54" s="361">
        <f>G16</f>
        <v>1</v>
      </c>
      <c r="J54" s="359" t="s">
        <v>215</v>
      </c>
      <c r="K54" s="854">
        <f>H36</f>
        <v>5.3922038230175898E-2</v>
      </c>
      <c r="L54" s="854"/>
      <c r="M54" s="854"/>
      <c r="N54" s="79"/>
      <c r="O54" s="79"/>
      <c r="P54" s="79"/>
      <c r="Q54" s="79"/>
      <c r="R54" s="79"/>
      <c r="S54" s="79"/>
      <c r="T54" s="79"/>
      <c r="U54" s="79"/>
      <c r="V54" s="79"/>
      <c r="W54" s="79"/>
      <c r="X54" s="79"/>
      <c r="Y54" s="79"/>
      <c r="Z54" s="79"/>
      <c r="AA54" s="79"/>
      <c r="AB54" s="79"/>
      <c r="AC54" s="79"/>
      <c r="AD54" s="79"/>
      <c r="AE54" s="79"/>
      <c r="AF54" s="79"/>
      <c r="AG54" s="79"/>
      <c r="AH54" s="79"/>
      <c r="AI54" s="79"/>
      <c r="AJ54" s="86"/>
      <c r="AK54" s="79"/>
      <c r="AL54" s="79"/>
      <c r="AM54" s="79"/>
    </row>
    <row r="55" spans="1:40">
      <c r="A55" s="79"/>
      <c r="B55" s="79"/>
      <c r="C55" s="85"/>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86"/>
      <c r="AK55" s="79"/>
      <c r="AL55" s="79"/>
      <c r="AM55" s="79"/>
    </row>
    <row r="56" spans="1:40">
      <c r="A56" s="79"/>
      <c r="B56" s="79"/>
      <c r="C56" s="85"/>
      <c r="D56" s="79"/>
      <c r="E56" s="79"/>
      <c r="F56" s="79"/>
      <c r="G56" s="79" t="s">
        <v>8</v>
      </c>
      <c r="H56" s="79"/>
      <c r="I56" s="855">
        <f>I53/I54/K54</f>
        <v>404.41528672631932</v>
      </c>
      <c r="J56" s="855"/>
      <c r="K56" s="855"/>
      <c r="L56" s="79" t="s">
        <v>488</v>
      </c>
      <c r="M56" s="79"/>
      <c r="N56" s="79"/>
      <c r="O56" s="79" t="str">
        <f>IF(K58&lt;S56,"&lt;", "&gt;")</f>
        <v>&lt;</v>
      </c>
      <c r="P56" s="524" t="s">
        <v>508</v>
      </c>
      <c r="Q56" s="524"/>
      <c r="R56" s="79" t="s">
        <v>8</v>
      </c>
      <c r="S56" s="843">
        <f>'1.設計条件'!AA64</f>
        <v>1050</v>
      </c>
      <c r="T56" s="843"/>
      <c r="U56" s="79" t="s">
        <v>488</v>
      </c>
      <c r="V56" s="79"/>
      <c r="W56" s="79"/>
      <c r="X56" s="79"/>
      <c r="Y56" s="79"/>
      <c r="Z56" s="79"/>
      <c r="AA56" s="79"/>
      <c r="AB56" s="847" t="str">
        <f>IF(K58&lt;S56,"OK", "NG")</f>
        <v>OK</v>
      </c>
      <c r="AC56" s="848"/>
      <c r="AD56" s="849"/>
      <c r="AE56" s="79"/>
      <c r="AF56" s="79"/>
      <c r="AG56" s="79"/>
      <c r="AH56" s="79"/>
      <c r="AI56" s="79"/>
      <c r="AJ56" s="86"/>
      <c r="AK56" s="79"/>
      <c r="AL56" s="79"/>
      <c r="AM56" s="79"/>
    </row>
    <row r="57" spans="1:40">
      <c r="A57" s="79"/>
      <c r="B57" s="79"/>
      <c r="C57" s="88"/>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9"/>
      <c r="AK57" s="79"/>
      <c r="AL57" s="79"/>
      <c r="AM57" s="79"/>
    </row>
    <row r="58" spans="1:40">
      <c r="A58" s="79"/>
      <c r="B58" s="79"/>
      <c r="C58" s="79"/>
      <c r="D58" s="79"/>
      <c r="E58" s="79"/>
      <c r="F58" s="79"/>
      <c r="G58" s="79"/>
      <c r="H58" s="79"/>
      <c r="I58" s="524"/>
      <c r="J58" s="524"/>
      <c r="K58" s="524"/>
      <c r="L58" s="79"/>
      <c r="M58" s="79"/>
      <c r="N58" s="79"/>
      <c r="AE58" s="79"/>
      <c r="AF58" s="79"/>
      <c r="AG58" s="79"/>
      <c r="AH58" s="79"/>
      <c r="AI58" s="79"/>
      <c r="AJ58" s="79"/>
      <c r="AK58" s="79"/>
      <c r="AL58" s="79"/>
      <c r="AM58" s="79"/>
    </row>
    <row r="59" spans="1:40">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row>
    <row r="60" spans="1:40">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row>
    <row r="61" spans="1:40">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row>
    <row r="62" spans="1:40">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row>
    <row r="63" spans="1:40">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row>
    <row r="64" spans="1:40">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row>
    <row r="65" spans="1:40">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row>
    <row r="66" spans="1:40">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row>
    <row r="67" spans="1:40">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row>
    <row r="68" spans="1:40">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row>
    <row r="69" spans="1:40">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row>
    <row r="70" spans="1:40">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row>
    <row r="71" spans="1:40">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row>
    <row r="72" spans="1:40">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row>
    <row r="73" spans="1:40">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row>
    <row r="74" spans="1:40">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row>
    <row r="75" spans="1:40">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row>
    <row r="76" spans="1:40">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row>
    <row r="77" spans="1:40">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row>
    <row r="78" spans="1:40">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row>
    <row r="79" spans="1:40">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row>
    <row r="80" spans="1:40">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row>
    <row r="81" spans="1:40">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row>
    <row r="82" spans="1:40">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row>
    <row r="83" spans="1:40">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row>
    <row r="84" spans="1:40">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row r="85" spans="1:40">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row>
    <row r="86" spans="1:40">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row>
    <row r="87" spans="1:40">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row>
    <row r="88" spans="1:40">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row>
    <row r="89" spans="1:40">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row>
    <row r="90" spans="1:40">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row>
    <row r="91" spans="1:40">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row>
    <row r="92" spans="1:40">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row>
    <row r="93" spans="1:40">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row>
    <row r="94" spans="1:40">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row>
    <row r="95" spans="1:40">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row>
    <row r="96" spans="1:40">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row>
    <row r="97" spans="1:40">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row>
    <row r="98" spans="1:40">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row>
    <row r="99" spans="1:40">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row>
    <row r="100" spans="1:40">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row>
    <row r="101" spans="1:40">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row>
    <row r="102" spans="1:40">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row>
    <row r="103" spans="1:40">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row>
    <row r="104" spans="1:40">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row>
    <row r="105" spans="1:40">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row>
    <row r="106" spans="1:40">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row>
    <row r="107" spans="1:40">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row>
    <row r="108" spans="1:40">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row>
    <row r="109" spans="1:40">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row>
    <row r="110" spans="1:40">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row>
    <row r="111" spans="1:40">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row>
    <row r="112" spans="1:40">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row>
    <row r="113" spans="1:40">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row>
    <row r="114" spans="1:40">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row>
    <row r="115" spans="1:40">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row>
    <row r="116" spans="1:40">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row>
    <row r="117" spans="1:40">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row>
    <row r="118" spans="1:40">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row>
    <row r="119" spans="1:40">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row>
    <row r="120" spans="1:40">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row>
    <row r="121" spans="1:40">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row>
    <row r="122" spans="1:40">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row>
    <row r="123" spans="1:40">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row>
    <row r="124" spans="1:40">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row>
    <row r="125" spans="1:40">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row>
    <row r="126" spans="1:40">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row>
    <row r="127" spans="1:40">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row>
    <row r="128" spans="1:40">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row>
    <row r="129" spans="1:40">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row>
    <row r="130" spans="1:40">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row>
    <row r="131" spans="1:40">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row>
    <row r="132" spans="1:40">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row>
    <row r="133" spans="1:40">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row>
    <row r="134" spans="1:40">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row>
    <row r="135" spans="1:40">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row>
    <row r="136" spans="1:40">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row>
    <row r="137" spans="1:40">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row>
    <row r="138" spans="1:40">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row>
    <row r="139" spans="1:40">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row>
    <row r="140" spans="1:40">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row>
    <row r="141" spans="1:40">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row>
    <row r="142" spans="1:40">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row>
    <row r="143" spans="1:40">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row>
    <row r="144" spans="1:40">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row>
    <row r="145" spans="1:40">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row>
    <row r="146" spans="1:40">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row>
    <row r="147" spans="1:40">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row>
    <row r="148" spans="1:40">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row>
    <row r="149" spans="1:40">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row>
    <row r="150" spans="1:40">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row>
    <row r="151" spans="1:40">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row>
    <row r="152" spans="1:40">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row>
    <row r="153" spans="1:40">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row>
    <row r="154" spans="1:40">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row>
    <row r="155" spans="1:40">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row>
    <row r="156" spans="1:40">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row>
    <row r="157" spans="1:40">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row>
    <row r="158" spans="1:40">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row>
    <row r="159" spans="1:40">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row>
    <row r="160" spans="1:40">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row>
    <row r="161" spans="1:40">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row>
    <row r="162" spans="1:40">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row>
    <row r="163" spans="1:40">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row>
    <row r="164" spans="1:40">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row>
    <row r="165" spans="1:40">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row>
    <row r="166" spans="1:40">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row>
    <row r="167" spans="1:40">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row>
    <row r="168" spans="1:40">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row>
    <row r="169" spans="1:40">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row>
    <row r="170" spans="1:40">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row>
    <row r="171" spans="1:40">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row>
    <row r="172" spans="1:40">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row>
    <row r="173" spans="1:40">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row>
    <row r="174" spans="1:40">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row>
    <row r="175" spans="1:40">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row>
    <row r="176" spans="1:40">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row>
    <row r="177" spans="1:40">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row>
    <row r="178" spans="1:40">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row>
    <row r="179" spans="1:40">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row>
    <row r="180" spans="1:40">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row>
    <row r="181" spans="1:40">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row>
    <row r="182" spans="1:40">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row>
    <row r="183" spans="1:40">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row>
    <row r="184" spans="1:40">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row>
    <row r="185" spans="1:40">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row>
    <row r="186" spans="1:40">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row>
    <row r="187" spans="1:40">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row>
    <row r="188" spans="1:40">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row>
    <row r="189" spans="1:40">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row>
    <row r="190" spans="1:40">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row>
    <row r="191" spans="1:40">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row>
    <row r="192" spans="1:40">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row>
    <row r="193" spans="1:40">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row>
    <row r="194" spans="1:40">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row>
    <row r="195" spans="1:40">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row>
    <row r="196" spans="1:40">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row>
    <row r="197" spans="1:40">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row>
    <row r="198" spans="1:40">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row>
    <row r="199" spans="1:40">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row>
    <row r="200" spans="1:40">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row>
    <row r="201" spans="1:40">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row>
    <row r="202" spans="1:40">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row>
    <row r="203" spans="1:40">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row>
    <row r="204" spans="1:40">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row>
    <row r="205" spans="1:40">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row>
    <row r="206" spans="1:40">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row>
    <row r="207" spans="1:40">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row>
    <row r="208" spans="1:40">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row>
    <row r="209" spans="1:40">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row>
    <row r="210" spans="1:40">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row>
    <row r="211" spans="1:40">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row>
    <row r="212" spans="1:40">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row>
    <row r="213" spans="1:40">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row>
    <row r="214" spans="1:40">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row>
    <row r="215" spans="1:40">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row>
    <row r="216" spans="1:40">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row>
    <row r="217" spans="1:40">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row>
    <row r="218" spans="1:40">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row>
    <row r="219" spans="1:40">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row>
    <row r="220" spans="1:40">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row>
    <row r="221" spans="1:40">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row>
    <row r="222" spans="1:40">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row>
    <row r="223" spans="1:40">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row>
    <row r="224" spans="1:40">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row>
    <row r="225" spans="1:40">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row>
    <row r="226" spans="1:40">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row>
    <row r="227" spans="1:40">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row>
    <row r="228" spans="1:40">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row>
    <row r="229" spans="1:40">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row>
    <row r="230" spans="1:40">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row>
    <row r="231" spans="1:40">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row>
    <row r="232" spans="1:40">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row>
    <row r="233" spans="1:40">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row>
    <row r="234" spans="1:40">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row>
    <row r="235" spans="1:40">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row>
    <row r="236" spans="1:40">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row>
    <row r="237" spans="1:40">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row>
    <row r="238" spans="1:40">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row>
    <row r="239" spans="1:40">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row>
    <row r="240" spans="1:40">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row>
    <row r="241" spans="1:40">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row>
    <row r="242" spans="1:40">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row>
    <row r="243" spans="1:40">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row>
    <row r="244" spans="1:40">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row>
    <row r="245" spans="1:40">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row>
    <row r="246" spans="1:40">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row>
    <row r="247" spans="1:40">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row>
    <row r="248" spans="1:40">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row>
    <row r="249" spans="1:40">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row>
    <row r="250" spans="1:40">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row>
    <row r="251" spans="1:40">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row>
    <row r="252" spans="1:40">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row>
    <row r="253" spans="1:40">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row>
    <row r="254" spans="1:40">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row>
    <row r="255" spans="1:40">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row>
    <row r="256" spans="1:40">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row>
    <row r="257" spans="1:40">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row>
    <row r="258" spans="1:40">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row>
    <row r="259" spans="1:40">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row>
    <row r="260" spans="1:40">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row>
    <row r="261" spans="1:40">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row>
    <row r="262" spans="1:40">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row>
    <row r="263" spans="1:40">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row>
    <row r="264" spans="1:40">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row>
    <row r="265" spans="1:40">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row>
    <row r="266" spans="1:40">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row>
    <row r="267" spans="1:40">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row>
    <row r="268" spans="1:40">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row>
    <row r="269" spans="1:40">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row>
    <row r="270" spans="1:40">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row>
    <row r="271" spans="1:40">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row>
    <row r="272" spans="1:40">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row>
    <row r="273" spans="1:40">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row>
    <row r="274" spans="1:40">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row>
    <row r="275" spans="1:40">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row>
    <row r="276" spans="1:40">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row>
    <row r="277" spans="1:40">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row>
    <row r="278" spans="1:40">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row>
    <row r="279" spans="1:40">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row>
    <row r="280" spans="1:40">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row>
    <row r="281" spans="1:40">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row>
    <row r="282" spans="1:40">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row>
    <row r="283" spans="1:40">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row>
    <row r="284" spans="1:40">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row>
    <row r="285" spans="1:40">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row>
    <row r="286" spans="1:40">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row>
    <row r="287" spans="1:40">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row>
    <row r="288" spans="1:40">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row>
    <row r="289" spans="1:40">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row>
    <row r="290" spans="1:40">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row>
    <row r="291" spans="1:40">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row>
    <row r="292" spans="1:40">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row>
    <row r="293" spans="1:40">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row>
    <row r="294" spans="1:40">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row>
    <row r="295" spans="1:40">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row>
    <row r="296" spans="1:40">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row>
    <row r="297" spans="1:40">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row>
    <row r="298" spans="1:40">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row>
    <row r="299" spans="1:40">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row>
    <row r="300" spans="1:40">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row>
    <row r="301" spans="1:40">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row>
    <row r="302" spans="1:40">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row>
    <row r="303" spans="1:40">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row>
    <row r="304" spans="1:40">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row>
    <row r="305" spans="1:40">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row>
    <row r="306" spans="1:40">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row>
    <row r="307" spans="1:40">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row>
    <row r="308" spans="1:40">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row>
    <row r="309" spans="1:40">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row>
    <row r="310" spans="1:40">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row>
    <row r="311" spans="1:40">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row>
    <row r="312" spans="1:40">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row>
    <row r="313" spans="1:40">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row>
    <row r="314" spans="1:40">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row>
    <row r="315" spans="1:40">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row>
    <row r="316" spans="1:40">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row>
    <row r="317" spans="1:40">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row>
    <row r="318" spans="1:40">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row>
    <row r="319" spans="1:40">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row>
    <row r="320" spans="1:40">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row>
    <row r="321" spans="1:40">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row>
    <row r="322" spans="1:40">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row>
    <row r="323" spans="1:40">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row>
    <row r="324" spans="1:40">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row>
    <row r="325" spans="1:40">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row>
    <row r="326" spans="1:40">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row>
    <row r="327" spans="1:40">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row>
    <row r="328" spans="1:40">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row>
    <row r="329" spans="1:40">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row>
    <row r="330" spans="1:40">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row>
    <row r="331" spans="1:40">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row>
    <row r="332" spans="1:40">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row>
    <row r="333" spans="1:40">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row>
    <row r="334" spans="1:40">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row>
    <row r="335" spans="1:40">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row>
    <row r="336" spans="1:40">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row>
    <row r="337" spans="1:40">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row>
    <row r="338" spans="1:40">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row>
    <row r="339" spans="1:40">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row>
    <row r="340" spans="1:40">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row>
    <row r="341" spans="1:40">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row>
    <row r="342" spans="1:40">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row>
    <row r="343" spans="1:40">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row>
    <row r="344" spans="1:40">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row>
    <row r="345" spans="1:40">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row>
    <row r="346" spans="1:40">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row>
    <row r="347" spans="1:40">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row>
    <row r="348" spans="1:40">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row>
    <row r="349" spans="1:40">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row>
    <row r="350" spans="1:40">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row>
    <row r="351" spans="1:40">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row>
    <row r="352" spans="1:40">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row>
    <row r="353" spans="1:40">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row>
    <row r="354" spans="1:40">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row>
    <row r="355" spans="1:40">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row>
    <row r="356" spans="1:40">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row>
    <row r="357" spans="1:40">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row>
    <row r="358" spans="1:40">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row>
    <row r="359" spans="1:40">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row>
    <row r="360" spans="1:40">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row>
    <row r="361" spans="1:40">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row>
    <row r="362" spans="1:40">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row>
    <row r="363" spans="1:40">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row>
    <row r="364" spans="1:40">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row>
    <row r="365" spans="1:40">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row>
    <row r="366" spans="1:40">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row>
    <row r="367" spans="1:40">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row>
    <row r="368" spans="1:40">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row>
    <row r="369" spans="1:40">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row>
    <row r="370" spans="1:40">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row>
    <row r="371" spans="1:40">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row>
    <row r="372" spans="1:40">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row>
    <row r="373" spans="1:40">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row>
    <row r="374" spans="1:40">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row>
    <row r="375" spans="1:40">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row>
    <row r="376" spans="1:40">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row>
    <row r="377" spans="1:40">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row>
    <row r="378" spans="1:40">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row>
    <row r="379" spans="1:40">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row>
    <row r="380" spans="1:40">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row>
    <row r="381" spans="1:40">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row>
    <row r="382" spans="1:40">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row>
    <row r="383" spans="1:40">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row>
    <row r="384" spans="1:40">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row>
    <row r="385" spans="1:40">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row>
    <row r="386" spans="1:40">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row>
    <row r="387" spans="1:40">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row>
    <row r="388" spans="1:40">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row>
    <row r="389" spans="1:40">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row>
    <row r="390" spans="1:40">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row>
    <row r="391" spans="1:40">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row>
    <row r="392" spans="1:40">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row>
    <row r="393" spans="1:40">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row>
    <row r="394" spans="1:40">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row>
    <row r="395" spans="1:40">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row>
    <row r="396" spans="1:40">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row>
    <row r="397" spans="1:40">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row>
    <row r="398" spans="1:40">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row>
    <row r="399" spans="1:40">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row>
    <row r="400" spans="1:40">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row>
    <row r="401" spans="1:40">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row>
    <row r="402" spans="1:40">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row>
    <row r="403" spans="1:40">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row>
    <row r="404" spans="1:40">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row>
    <row r="405" spans="1:40">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row>
    <row r="406" spans="1:40">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row>
    <row r="407" spans="1:40">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row>
    <row r="408" spans="1:40">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row>
    <row r="409" spans="1:40">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row>
    <row r="410" spans="1:40">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row>
    <row r="411" spans="1:40">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row>
    <row r="412" spans="1:40">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row>
    <row r="413" spans="1:40">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row>
    <row r="414" spans="1:40">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row>
    <row r="415" spans="1:40">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row>
    <row r="416" spans="1:40">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row>
    <row r="417" spans="1:40">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row>
    <row r="418" spans="1:40">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row>
    <row r="419" spans="1:40">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row>
    <row r="420" spans="1:40">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row>
    <row r="421" spans="1:40">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row>
    <row r="422" spans="1:40">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row>
    <row r="423" spans="1:40">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row>
    <row r="424" spans="1:40">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row>
    <row r="425" spans="1:40">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row>
    <row r="426" spans="1:40">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row>
    <row r="427" spans="1:40">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row>
    <row r="428" spans="1:40">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row>
    <row r="429" spans="1:40">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row>
    <row r="430" spans="1:40">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row>
    <row r="431" spans="1:40">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row>
    <row r="432" spans="1:40">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row>
    <row r="433" spans="1:40">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row>
    <row r="434" spans="1:40">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row>
    <row r="435" spans="1:40">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row>
    <row r="436" spans="1:40">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row>
    <row r="437" spans="1:40">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row>
    <row r="438" spans="1:40">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row>
    <row r="439" spans="1:40">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row>
    <row r="440" spans="1:40">
      <c r="G440" s="79"/>
      <c r="H440" s="79"/>
      <c r="I440" s="79"/>
      <c r="J440" s="79"/>
      <c r="K440" s="79"/>
      <c r="L440" s="79"/>
      <c r="M440" s="79"/>
      <c r="N440" s="79"/>
      <c r="O440" s="79"/>
      <c r="P440" s="79"/>
      <c r="Q440" s="79"/>
      <c r="R440" s="79"/>
    </row>
    <row r="441" spans="1:40">
      <c r="G441" s="79"/>
      <c r="H441" s="79"/>
      <c r="I441" s="79"/>
      <c r="J441" s="79"/>
      <c r="K441" s="79"/>
      <c r="L441" s="79"/>
      <c r="M441" s="79"/>
      <c r="N441" s="79"/>
      <c r="O441" s="79"/>
      <c r="P441" s="79"/>
      <c r="Q441" s="79"/>
      <c r="R441" s="79"/>
    </row>
  </sheetData>
  <sheetProtection sheet="1" objects="1" scenarios="1"/>
  <mergeCells count="67">
    <mergeCell ref="N7:N8"/>
    <mergeCell ref="AB56:AD56"/>
    <mergeCell ref="I58:K58"/>
    <mergeCell ref="D7:E8"/>
    <mergeCell ref="F7:F8"/>
    <mergeCell ref="O7:P8"/>
    <mergeCell ref="Q7:R8"/>
    <mergeCell ref="K8:L8"/>
    <mergeCell ref="G7:I7"/>
    <mergeCell ref="G8:I8"/>
    <mergeCell ref="J7:J8"/>
    <mergeCell ref="G53:G54"/>
    <mergeCell ref="I53:K53"/>
    <mergeCell ref="K54:M54"/>
    <mergeCell ref="I56:K56"/>
    <mergeCell ref="P56:Q56"/>
    <mergeCell ref="S56:T56"/>
    <mergeCell ref="H47:J47"/>
    <mergeCell ref="K47:M47"/>
    <mergeCell ref="D50:F51"/>
    <mergeCell ref="G50:G51"/>
    <mergeCell ref="I50:K50"/>
    <mergeCell ref="I51:K51"/>
    <mergeCell ref="N44:O45"/>
    <mergeCell ref="H45:I45"/>
    <mergeCell ref="G33:G34"/>
    <mergeCell ref="K33:M33"/>
    <mergeCell ref="K34:M34"/>
    <mergeCell ref="H36:J36"/>
    <mergeCell ref="O36:Q36"/>
    <mergeCell ref="G44:G45"/>
    <mergeCell ref="H44:I44"/>
    <mergeCell ref="J44:J45"/>
    <mergeCell ref="K44:L45"/>
    <mergeCell ref="M44:M45"/>
    <mergeCell ref="D41:F42"/>
    <mergeCell ref="G41:G42"/>
    <mergeCell ref="H41:I41"/>
    <mergeCell ref="J41:N42"/>
    <mergeCell ref="H42:I42"/>
    <mergeCell ref="P24:P25"/>
    <mergeCell ref="H25:I25"/>
    <mergeCell ref="H27:J27"/>
    <mergeCell ref="K27:M27"/>
    <mergeCell ref="D30:F31"/>
    <mergeCell ref="G30:G31"/>
    <mergeCell ref="I30:K30"/>
    <mergeCell ref="I31:K31"/>
    <mergeCell ref="J21:N22"/>
    <mergeCell ref="H22:I22"/>
    <mergeCell ref="G24:G25"/>
    <mergeCell ref="H24:I24"/>
    <mergeCell ref="J24:J25"/>
    <mergeCell ref="K24:L25"/>
    <mergeCell ref="M24:M25"/>
    <mergeCell ref="N24:O25"/>
    <mergeCell ref="D15:E15"/>
    <mergeCell ref="G15:I15"/>
    <mergeCell ref="G16:I16"/>
    <mergeCell ref="D21:F22"/>
    <mergeCell ref="G21:G22"/>
    <mergeCell ref="H21:I21"/>
    <mergeCell ref="K7:L7"/>
    <mergeCell ref="D10:E10"/>
    <mergeCell ref="G11:H11"/>
    <mergeCell ref="J11:K11"/>
    <mergeCell ref="G12:H12"/>
  </mergeCells>
  <phoneticPr fontId="3"/>
  <pageMargins left="0.7" right="0.7" top="0.75" bottom="0.75" header="0.3" footer="0.3"/>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C0E9-0C86-4F8F-8BD7-4818CADD2DED}">
  <dimension ref="A2:AJ233"/>
  <sheetViews>
    <sheetView showGridLines="0" view="pageBreakPreview" zoomScale="80" zoomScaleNormal="80" zoomScaleSheetLayoutView="80" workbookViewId="0"/>
  </sheetViews>
  <sheetFormatPr defaultRowHeight="18.75"/>
  <cols>
    <col min="1" max="35" width="3" style="1" customWidth="1"/>
    <col min="36" max="36" width="1.625" style="1" customWidth="1"/>
    <col min="37" max="16384" width="9" style="1"/>
  </cols>
  <sheetData>
    <row r="2" spans="1:35">
      <c r="A2" s="1" t="s">
        <v>509</v>
      </c>
      <c r="V2" s="1" t="s">
        <v>510</v>
      </c>
    </row>
    <row r="3" spans="1:35">
      <c r="B3" s="1" t="s">
        <v>511</v>
      </c>
      <c r="C3" s="112"/>
      <c r="D3" s="112"/>
      <c r="E3" s="112"/>
      <c r="F3" s="112"/>
      <c r="G3" s="112"/>
      <c r="H3" s="112"/>
      <c r="I3" s="112"/>
      <c r="J3" s="112"/>
      <c r="K3" s="112"/>
      <c r="L3" s="112"/>
      <c r="M3" s="112"/>
      <c r="N3" s="112"/>
      <c r="O3" s="112"/>
      <c r="P3" s="112"/>
      <c r="Q3" s="112"/>
      <c r="R3" s="112"/>
      <c r="S3" s="112"/>
      <c r="T3" s="112"/>
      <c r="U3" s="112"/>
      <c r="V3" t="s">
        <v>196</v>
      </c>
      <c r="W3" s="112"/>
      <c r="X3" s="112"/>
      <c r="Y3" s="112"/>
      <c r="Z3" s="112"/>
      <c r="AA3" s="112"/>
      <c r="AB3" s="112"/>
      <c r="AC3" s="112"/>
      <c r="AD3" s="112"/>
      <c r="AE3" s="112"/>
      <c r="AF3" s="112"/>
      <c r="AG3" s="112"/>
      <c r="AH3" s="112"/>
    </row>
    <row r="4" spans="1:35" ht="18.75" customHeight="1">
      <c r="C4" s="892" t="s">
        <v>512</v>
      </c>
      <c r="D4" s="893"/>
      <c r="E4" s="893"/>
      <c r="F4" s="893"/>
      <c r="G4" s="893"/>
      <c r="H4" s="893"/>
      <c r="I4" s="893"/>
      <c r="J4" s="893"/>
      <c r="K4" s="893"/>
      <c r="L4" s="893"/>
      <c r="M4" s="893"/>
      <c r="N4" s="893"/>
      <c r="O4" s="893"/>
      <c r="P4" s="893"/>
      <c r="Q4" s="893"/>
      <c r="R4" s="893"/>
      <c r="S4" s="893"/>
      <c r="T4" s="893"/>
      <c r="U4" s="893"/>
      <c r="V4" s="893"/>
      <c r="W4" s="893"/>
      <c r="X4" s="893"/>
      <c r="Y4" s="893"/>
      <c r="Z4" s="893"/>
      <c r="AA4" s="893"/>
      <c r="AB4" s="893"/>
      <c r="AC4" s="893"/>
      <c r="AD4" s="893"/>
      <c r="AE4" s="893"/>
      <c r="AF4" s="893"/>
      <c r="AG4" s="893"/>
      <c r="AH4" s="893"/>
      <c r="AI4" s="894"/>
    </row>
    <row r="5" spans="1:35" ht="18.75" customHeight="1">
      <c r="B5" s="12"/>
      <c r="C5" s="895"/>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7"/>
    </row>
    <row r="6" spans="1:35">
      <c r="B6" s="12"/>
      <c r="C6" s="11"/>
      <c r="D6" s="12"/>
      <c r="E6" s="12"/>
      <c r="F6" s="12"/>
      <c r="G6"/>
      <c r="H6"/>
      <c r="I6"/>
      <c r="J6"/>
      <c r="K6"/>
      <c r="L6"/>
      <c r="M6"/>
      <c r="N6"/>
      <c r="O6"/>
      <c r="P6" s="12"/>
      <c r="Q6" s="12"/>
      <c r="R6" s="12"/>
      <c r="S6" s="12"/>
      <c r="T6" s="12"/>
      <c r="U6" s="12"/>
      <c r="AI6" s="14"/>
    </row>
    <row r="7" spans="1:35">
      <c r="B7" s="12"/>
      <c r="C7" s="85" t="s">
        <v>485</v>
      </c>
      <c r="D7" s="79"/>
      <c r="E7" s="79"/>
      <c r="F7" s="79"/>
      <c r="G7" s="79"/>
      <c r="H7" s="79"/>
      <c r="I7" s="79"/>
      <c r="J7" s="79"/>
      <c r="K7" s="79"/>
      <c r="L7" s="79"/>
      <c r="M7" s="79"/>
      <c r="N7" s="79"/>
      <c r="O7" s="79"/>
      <c r="P7" s="79"/>
      <c r="Q7" s="79"/>
      <c r="R7" s="79"/>
      <c r="S7" s="79"/>
      <c r="T7" s="79"/>
      <c r="U7" s="79"/>
      <c r="AI7" s="14"/>
    </row>
    <row r="8" spans="1:35">
      <c r="B8" s="12"/>
      <c r="C8" s="85"/>
      <c r="D8" s="79" t="s">
        <v>486</v>
      </c>
      <c r="E8" s="79"/>
      <c r="F8" s="79"/>
      <c r="G8" s="79"/>
      <c r="H8" s="79"/>
      <c r="I8" s="79"/>
      <c r="J8" s="79"/>
      <c r="K8" s="79"/>
      <c r="L8" s="79"/>
      <c r="M8" s="79"/>
      <c r="N8" s="79"/>
      <c r="O8" s="79"/>
      <c r="P8" s="79"/>
      <c r="Q8" s="79"/>
      <c r="R8" s="79"/>
      <c r="S8" s="79"/>
      <c r="T8" s="79"/>
      <c r="U8" s="79"/>
      <c r="AI8" s="14"/>
    </row>
    <row r="9" spans="1:35">
      <c r="B9" s="12"/>
      <c r="C9" s="85"/>
      <c r="D9" s="850" t="s">
        <v>487</v>
      </c>
      <c r="E9" s="850"/>
      <c r="F9" s="625" t="s">
        <v>8</v>
      </c>
      <c r="G9" s="502" t="s">
        <v>163</v>
      </c>
      <c r="H9" s="502"/>
      <c r="I9" s="502"/>
      <c r="J9" s="625" t="s">
        <v>8</v>
      </c>
      <c r="K9" s="666">
        <f>'3.断面力2'!I67</f>
        <v>54.517241379310349</v>
      </c>
      <c r="L9" s="502"/>
      <c r="M9"/>
      <c r="N9" s="625" t="s">
        <v>8</v>
      </c>
      <c r="O9" s="851">
        <f>K9/K10</f>
        <v>36.344827586206897</v>
      </c>
      <c r="P9" s="851"/>
      <c r="Q9" s="625" t="s">
        <v>488</v>
      </c>
      <c r="R9" s="625"/>
      <c r="S9" s="79"/>
      <c r="T9" s="79"/>
      <c r="U9" s="79"/>
      <c r="AI9" s="14"/>
    </row>
    <row r="10" spans="1:35">
      <c r="B10" s="12"/>
      <c r="C10" s="85"/>
      <c r="D10" s="850"/>
      <c r="E10" s="850"/>
      <c r="F10" s="625"/>
      <c r="G10" s="456" t="s">
        <v>489</v>
      </c>
      <c r="H10" s="456"/>
      <c r="I10" s="456"/>
      <c r="J10" s="625"/>
      <c r="K10" s="441">
        <f>'1.設計条件'!R12</f>
        <v>1.5</v>
      </c>
      <c r="L10" s="441"/>
      <c r="M10"/>
      <c r="N10" s="625"/>
      <c r="O10" s="851"/>
      <c r="P10" s="851"/>
      <c r="Q10" s="625"/>
      <c r="R10" s="625"/>
      <c r="S10" s="79"/>
      <c r="T10" s="79"/>
      <c r="U10" s="79"/>
      <c r="AI10" s="14"/>
    </row>
    <row r="11" spans="1:35">
      <c r="B11" s="12"/>
      <c r="C11" s="11"/>
      <c r="D11" s="31"/>
      <c r="E11" s="31"/>
      <c r="F11" s="212"/>
      <c r="G11" s="212"/>
      <c r="H11" s="110"/>
      <c r="I11" s="110"/>
      <c r="J11" s="213"/>
      <c r="K11" s="213"/>
      <c r="L11" s="213"/>
      <c r="M11" s="190"/>
      <c r="N11" s="190"/>
      <c r="O11" s="190"/>
      <c r="P11" s="12"/>
      <c r="Q11" s="12"/>
      <c r="R11" s="12"/>
      <c r="S11" s="12"/>
      <c r="T11" s="12"/>
      <c r="U11" s="12"/>
      <c r="AI11" s="14"/>
    </row>
    <row r="12" spans="1:35">
      <c r="B12" s="12"/>
      <c r="C12" s="11"/>
      <c r="D12" s="94"/>
      <c r="E12" s="93"/>
      <c r="F12" s="455" t="s">
        <v>418</v>
      </c>
      <c r="G12" s="456"/>
      <c r="H12" s="456"/>
      <c r="I12" s="456"/>
      <c r="J12" s="456"/>
      <c r="K12" s="456"/>
      <c r="L12" s="456"/>
      <c r="M12" s="456"/>
      <c r="N12" s="457"/>
      <c r="O12" s="190"/>
      <c r="P12" s="12"/>
      <c r="Q12" s="12"/>
      <c r="R12" s="12"/>
      <c r="S12" s="12"/>
      <c r="T12" s="12"/>
      <c r="U12" s="12"/>
      <c r="AI12" s="14"/>
    </row>
    <row r="13" spans="1:35">
      <c r="B13" s="12"/>
      <c r="C13" s="11"/>
      <c r="D13" s="113"/>
      <c r="E13" s="93"/>
      <c r="F13" s="585" t="s">
        <v>233</v>
      </c>
      <c r="G13" s="586"/>
      <c r="H13" s="586"/>
      <c r="I13" s="586"/>
      <c r="J13" s="586"/>
      <c r="K13" s="586"/>
      <c r="L13" s="586"/>
      <c r="M13" s="586"/>
      <c r="N13" s="587"/>
      <c r="O13" s="190"/>
      <c r="P13" s="12"/>
      <c r="Q13" s="12"/>
      <c r="R13" s="12"/>
      <c r="S13" s="12"/>
      <c r="T13" s="12"/>
      <c r="U13" s="12"/>
      <c r="AI13" s="14"/>
    </row>
    <row r="14" spans="1:35">
      <c r="B14" s="12"/>
      <c r="C14" s="11"/>
      <c r="D14" s="94"/>
      <c r="E14" s="93"/>
      <c r="F14" s="440" t="s">
        <v>234</v>
      </c>
      <c r="G14" s="441"/>
      <c r="H14" s="441"/>
      <c r="I14" s="441"/>
      <c r="J14" s="441"/>
      <c r="K14" s="441"/>
      <c r="L14" s="441"/>
      <c r="M14" s="441"/>
      <c r="N14" s="463"/>
      <c r="O14" s="190"/>
      <c r="P14" s="12"/>
      <c r="Q14" s="12"/>
      <c r="R14" s="12"/>
      <c r="S14" s="12"/>
      <c r="T14" s="12"/>
      <c r="U14" s="12"/>
      <c r="AI14" s="14"/>
    </row>
    <row r="15" spans="1:35">
      <c r="B15" s="12"/>
      <c r="C15" s="11"/>
      <c r="D15" s="222" t="s">
        <v>513</v>
      </c>
      <c r="E15" s="223"/>
      <c r="F15" s="740">
        <f>'3.断面力2'!K73</f>
        <v>0.55028462998102468</v>
      </c>
      <c r="G15" s="741"/>
      <c r="H15" s="184" t="s">
        <v>215</v>
      </c>
      <c r="I15" s="741">
        <f>O9</f>
        <v>36.344827586206897</v>
      </c>
      <c r="J15" s="741"/>
      <c r="K15" s="224" t="s">
        <v>8</v>
      </c>
      <c r="L15" s="740">
        <f>F15*I15</f>
        <v>20</v>
      </c>
      <c r="M15" s="741"/>
      <c r="N15" s="899"/>
      <c r="O15" s="190"/>
      <c r="P15" s="12"/>
      <c r="Q15" s="12"/>
      <c r="R15" s="12"/>
      <c r="S15" s="12"/>
      <c r="T15" s="12"/>
      <c r="U15" s="12"/>
      <c r="AI15" s="14"/>
    </row>
    <row r="16" spans="1:35">
      <c r="B16" s="12"/>
      <c r="C16" s="11"/>
      <c r="D16" s="222" t="s">
        <v>45</v>
      </c>
      <c r="E16" s="223"/>
      <c r="F16" s="740">
        <f>'3.断面力2'!AA47</f>
        <v>1</v>
      </c>
      <c r="G16" s="741"/>
      <c r="H16" s="184" t="s">
        <v>215</v>
      </c>
      <c r="I16" s="741">
        <f>O9</f>
        <v>36.344827586206897</v>
      </c>
      <c r="J16" s="741"/>
      <c r="K16" s="224" t="s">
        <v>8</v>
      </c>
      <c r="L16" s="740">
        <f>F16*I16</f>
        <v>36.344827586206897</v>
      </c>
      <c r="M16" s="741"/>
      <c r="N16" s="899"/>
      <c r="O16" s="190"/>
      <c r="P16" s="12"/>
      <c r="Q16" s="12"/>
      <c r="R16" s="12"/>
      <c r="S16" s="12"/>
      <c r="T16" s="12"/>
      <c r="U16" s="12"/>
      <c r="AI16" s="14"/>
    </row>
    <row r="17" spans="2:36" ht="19.5" thickBot="1">
      <c r="B17" s="12"/>
      <c r="C17" s="11"/>
      <c r="D17" s="364" t="s">
        <v>174</v>
      </c>
      <c r="E17" s="365"/>
      <c r="F17" s="898">
        <f>'3.断面力2'!AA48</f>
        <v>2.8</v>
      </c>
      <c r="G17" s="708"/>
      <c r="H17" s="330" t="s">
        <v>215</v>
      </c>
      <c r="I17" s="708">
        <f>O9</f>
        <v>36.344827586206897</v>
      </c>
      <c r="J17" s="708"/>
      <c r="K17" s="366" t="s">
        <v>8</v>
      </c>
      <c r="L17" s="898">
        <f>F17*I17</f>
        <v>101.7655172413793</v>
      </c>
      <c r="M17" s="708"/>
      <c r="N17" s="915"/>
      <c r="O17" s="190"/>
      <c r="P17" s="12"/>
      <c r="Q17" s="12"/>
      <c r="R17" s="12"/>
      <c r="S17" s="12"/>
      <c r="T17" s="12"/>
      <c r="U17" s="12"/>
      <c r="AI17" s="14"/>
    </row>
    <row r="18" spans="2:36" ht="19.5" thickTop="1">
      <c r="B18" s="12"/>
      <c r="C18" s="11"/>
      <c r="D18" s="225" t="s">
        <v>514</v>
      </c>
      <c r="E18" s="363"/>
      <c r="F18" s="342"/>
      <c r="G18" s="226"/>
      <c r="H18" s="226"/>
      <c r="I18" s="220"/>
      <c r="J18" s="220"/>
      <c r="K18" s="220"/>
      <c r="L18" s="506">
        <f>SUM(L15:N17)</f>
        <v>158.1103448275862</v>
      </c>
      <c r="M18" s="507"/>
      <c r="N18" s="542"/>
      <c r="O18" s="190"/>
      <c r="P18" s="12"/>
      <c r="Q18" s="12"/>
      <c r="R18" s="12"/>
      <c r="S18" s="12"/>
      <c r="T18" s="12"/>
      <c r="U18" s="12"/>
      <c r="AI18" s="14"/>
    </row>
    <row r="19" spans="2:36">
      <c r="C19" s="11"/>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4"/>
    </row>
    <row r="20" spans="2:36">
      <c r="B20" s="12"/>
      <c r="C20" s="11"/>
      <c r="D20" s="155" t="s">
        <v>515</v>
      </c>
      <c r="E20" s="115"/>
      <c r="F20" s="154"/>
      <c r="G20" s="12"/>
      <c r="H20" s="12"/>
      <c r="I20" s="12"/>
      <c r="J20" s="12"/>
      <c r="K20" s="12"/>
      <c r="L20" s="12"/>
      <c r="M20" s="12"/>
      <c r="N20" s="12"/>
      <c r="Q20" s="123"/>
      <c r="R20" s="123"/>
      <c r="S20"/>
      <c r="T20"/>
      <c r="U20" s="12"/>
      <c r="V20" s="12"/>
      <c r="W20" s="12"/>
      <c r="X20" s="12"/>
      <c r="Y20" s="12"/>
      <c r="Z20" s="12"/>
      <c r="AA20" s="12"/>
      <c r="AB20" s="12"/>
      <c r="AC20" s="12"/>
      <c r="AD20" s="12"/>
      <c r="AE20" s="12"/>
      <c r="AF20" s="12"/>
      <c r="AG20" s="12"/>
      <c r="AH20" s="12"/>
      <c r="AI20" s="14"/>
    </row>
    <row r="21" spans="2:36" ht="20.25">
      <c r="B21" s="12"/>
      <c r="C21" s="11"/>
      <c r="D21" s="155"/>
      <c r="E21" s="115"/>
      <c r="F21" s="154"/>
      <c r="G21" s="371" t="s">
        <v>516</v>
      </c>
      <c r="H21" s="371"/>
      <c r="I21" s="12" t="s">
        <v>8</v>
      </c>
      <c r="J21" s="551">
        <f>L18</f>
        <v>158.1103448275862</v>
      </c>
      <c r="K21" s="546"/>
      <c r="L21" s="547"/>
      <c r="M21" s="12" t="s">
        <v>517</v>
      </c>
      <c r="N21" s="114"/>
      <c r="O21" s="114"/>
      <c r="P21" s="123"/>
      <c r="Q21" s="123"/>
      <c r="R21" s="123"/>
      <c r="S21" s="336"/>
      <c r="T21" s="336"/>
      <c r="U21" s="12"/>
      <c r="V21" s="12"/>
      <c r="W21" s="12"/>
      <c r="X21" s="12"/>
      <c r="Y21" s="12"/>
      <c r="Z21" s="12"/>
      <c r="AA21" s="12"/>
      <c r="AB21" s="12"/>
      <c r="AC21" s="12"/>
      <c r="AD21" s="12"/>
      <c r="AE21" s="12"/>
      <c r="AF21" s="12"/>
      <c r="AG21" s="12"/>
      <c r="AH21" s="12"/>
      <c r="AI21" s="14"/>
    </row>
    <row r="22" spans="2:36">
      <c r="B22" s="12"/>
      <c r="C22" s="11"/>
      <c r="N22"/>
      <c r="O22"/>
      <c r="P22"/>
      <c r="Q22"/>
      <c r="R22"/>
      <c r="S22"/>
      <c r="T22"/>
      <c r="U22" s="12"/>
      <c r="V22" s="12"/>
      <c r="W22" s="12"/>
      <c r="X22" s="12"/>
      <c r="Y22" s="12"/>
      <c r="Z22" s="12"/>
      <c r="AA22" s="12"/>
      <c r="AB22" s="12"/>
      <c r="AC22" s="12"/>
      <c r="AD22" s="12"/>
      <c r="AE22" s="12"/>
      <c r="AF22" s="12"/>
      <c r="AG22" s="12"/>
      <c r="AH22" s="12"/>
      <c r="AI22" s="14"/>
    </row>
    <row r="23" spans="2:36">
      <c r="B23" s="12"/>
      <c r="C23" s="11"/>
      <c r="D23" s="94"/>
      <c r="E23" s="93"/>
      <c r="F23" s="455" t="s">
        <v>418</v>
      </c>
      <c r="G23" s="456"/>
      <c r="H23" s="456"/>
      <c r="I23" s="456"/>
      <c r="J23" s="456"/>
      <c r="K23" s="456"/>
      <c r="L23" s="456"/>
      <c r="M23" s="456"/>
      <c r="N23" s="457"/>
      <c r="O23"/>
      <c r="P23"/>
      <c r="Q23"/>
      <c r="R23"/>
      <c r="S23"/>
      <c r="T23"/>
      <c r="X23" s="12"/>
      <c r="Y23" s="12"/>
      <c r="Z23" s="12"/>
      <c r="AA23" s="12"/>
      <c r="AB23" s="12"/>
      <c r="AC23" s="12"/>
      <c r="AD23" s="12"/>
      <c r="AE23" s="12"/>
      <c r="AF23" s="12"/>
      <c r="AG23" s="12"/>
      <c r="AH23" s="12"/>
      <c r="AI23" s="14"/>
    </row>
    <row r="24" spans="2:36">
      <c r="B24" s="12"/>
      <c r="C24" s="11"/>
      <c r="D24" s="113"/>
      <c r="E24" s="93"/>
      <c r="F24" s="585" t="s">
        <v>233</v>
      </c>
      <c r="G24" s="586"/>
      <c r="H24" s="586"/>
      <c r="I24" s="586"/>
      <c r="J24" s="586"/>
      <c r="K24" s="586"/>
      <c r="L24" s="586"/>
      <c r="M24" s="586"/>
      <c r="N24" s="587"/>
      <c r="O24" s="336"/>
      <c r="P24" s="336"/>
      <c r="Q24" s="336"/>
      <c r="R24" s="336"/>
      <c r="S24" s="336"/>
      <c r="T24" s="336"/>
      <c r="X24" s="12"/>
      <c r="Y24" s="12"/>
      <c r="Z24" s="12"/>
      <c r="AA24" s="12"/>
      <c r="AB24" s="12"/>
      <c r="AC24" s="12"/>
      <c r="AD24" s="12"/>
      <c r="AE24" s="12"/>
      <c r="AF24" s="12"/>
      <c r="AG24" s="12"/>
      <c r="AH24" s="12"/>
      <c r="AI24" s="14"/>
    </row>
    <row r="25" spans="2:36">
      <c r="B25" s="12"/>
      <c r="C25" s="11"/>
      <c r="D25" s="94"/>
      <c r="E25" s="93"/>
      <c r="F25" s="440" t="s">
        <v>234</v>
      </c>
      <c r="G25" s="441"/>
      <c r="H25" s="441"/>
      <c r="I25" s="441"/>
      <c r="J25" s="441"/>
      <c r="K25" s="441"/>
      <c r="L25" s="441"/>
      <c r="M25" s="441"/>
      <c r="N25" s="463"/>
      <c r="O25"/>
      <c r="P25"/>
      <c r="Q25"/>
      <c r="R25"/>
      <c r="S25"/>
      <c r="T25"/>
      <c r="X25" s="12"/>
      <c r="Y25" s="12"/>
      <c r="Z25" s="12"/>
      <c r="AA25" s="12"/>
      <c r="AB25" s="12"/>
      <c r="AC25" s="12"/>
      <c r="AD25" s="12"/>
      <c r="AE25" s="12"/>
      <c r="AF25" s="12"/>
      <c r="AG25" s="12"/>
      <c r="AH25" s="12"/>
      <c r="AI25" s="14"/>
    </row>
    <row r="26" spans="2:36">
      <c r="C26" s="11"/>
      <c r="D26" s="222" t="s">
        <v>177</v>
      </c>
      <c r="E26" s="223"/>
      <c r="F26" s="740">
        <f>'3.断面力2'!AA49</f>
        <v>2.2000000000000002</v>
      </c>
      <c r="G26" s="741"/>
      <c r="H26" s="184" t="s">
        <v>215</v>
      </c>
      <c r="I26" s="741">
        <f>O9</f>
        <v>36.344827586206897</v>
      </c>
      <c r="J26" s="741"/>
      <c r="K26" s="224" t="s">
        <v>8</v>
      </c>
      <c r="L26" s="740">
        <f>F26*I26</f>
        <v>79.958620689655177</v>
      </c>
      <c r="M26" s="741"/>
      <c r="N26" s="899"/>
      <c r="O26" s="367"/>
      <c r="P26" s="113"/>
      <c r="Q26" s="100"/>
      <c r="R26" s="113"/>
      <c r="S26" s="367"/>
      <c r="T26" s="367"/>
      <c r="X26" s="123"/>
      <c r="Y26" s="123"/>
      <c r="Z26" s="93"/>
      <c r="AA26" s="93"/>
      <c r="AB26" s="93"/>
      <c r="AC26" s="12"/>
      <c r="AD26" s="12"/>
      <c r="AE26" s="12"/>
      <c r="AF26" s="12"/>
      <c r="AG26" s="12"/>
      <c r="AH26" s="12"/>
      <c r="AI26" s="14"/>
    </row>
    <row r="27" spans="2:36">
      <c r="C27" s="11"/>
      <c r="D27" s="222" t="s">
        <v>49</v>
      </c>
      <c r="E27" s="223"/>
      <c r="F27" s="740">
        <f>'3.断面力2'!AA50</f>
        <v>0.5</v>
      </c>
      <c r="G27" s="741"/>
      <c r="H27" s="184" t="s">
        <v>215</v>
      </c>
      <c r="I27" s="741">
        <f>O9</f>
        <v>36.344827586206897</v>
      </c>
      <c r="J27" s="741"/>
      <c r="K27" s="224" t="s">
        <v>8</v>
      </c>
      <c r="L27" s="740">
        <f>F27*I27</f>
        <v>18.172413793103448</v>
      </c>
      <c r="M27" s="741"/>
      <c r="N27" s="899"/>
      <c r="O27" s="362"/>
      <c r="P27" s="123"/>
      <c r="Q27" s="123"/>
      <c r="R27" s="123"/>
      <c r="S27" s="98"/>
      <c r="T27" s="98"/>
      <c r="U27" s="93"/>
      <c r="V27" s="12"/>
      <c r="W27" s="123"/>
      <c r="X27" s="123"/>
      <c r="Y27" s="123"/>
      <c r="Z27" s="93"/>
      <c r="AA27" s="93"/>
      <c r="AB27" s="93"/>
      <c r="AC27" s="12"/>
      <c r="AD27" s="12"/>
      <c r="AE27" s="12"/>
      <c r="AF27" s="12"/>
      <c r="AG27" s="12"/>
      <c r="AH27" s="12"/>
      <c r="AI27" s="14"/>
    </row>
    <row r="28" spans="2:36">
      <c r="C28" s="11"/>
      <c r="D28" s="225" t="s">
        <v>514</v>
      </c>
      <c r="E28" s="363"/>
      <c r="F28" s="342"/>
      <c r="G28" s="226"/>
      <c r="H28" s="226"/>
      <c r="I28" s="220"/>
      <c r="J28" s="220"/>
      <c r="K28" s="220"/>
      <c r="L28" s="506">
        <f>SUM(L26:N27)</f>
        <v>98.131034482758622</v>
      </c>
      <c r="M28" s="507"/>
      <c r="N28" s="542"/>
      <c r="O28" s="114"/>
      <c r="P28" s="123"/>
      <c r="Q28" s="123"/>
      <c r="R28" s="123"/>
      <c r="S28" s="93"/>
      <c r="T28" s="93"/>
      <c r="U28" s="93"/>
      <c r="V28" s="12"/>
      <c r="W28" s="123"/>
      <c r="X28" s="123"/>
      <c r="Y28" s="123"/>
      <c r="Z28" s="93"/>
      <c r="AA28" s="93"/>
      <c r="AB28" s="93"/>
      <c r="AC28" s="12"/>
      <c r="AD28" s="12"/>
      <c r="AE28" s="12"/>
      <c r="AF28" s="12"/>
      <c r="AG28" s="12"/>
      <c r="AH28" s="12"/>
      <c r="AI28" s="14"/>
    </row>
    <row r="29" spans="2:36">
      <c r="C29" s="11"/>
      <c r="D29" s="368"/>
      <c r="E29" s="368"/>
      <c r="F29" s="154"/>
      <c r="G29" s="369"/>
      <c r="H29" s="369"/>
      <c r="I29" s="123"/>
      <c r="J29" s="123"/>
      <c r="K29" s="123"/>
      <c r="L29" s="92"/>
      <c r="M29" s="92"/>
      <c r="N29" s="92"/>
      <c r="O29" s="114"/>
      <c r="P29" s="123"/>
      <c r="Q29" s="123"/>
      <c r="R29" s="123"/>
      <c r="S29" s="93"/>
      <c r="T29" s="93"/>
      <c r="U29" s="93"/>
      <c r="V29" s="12"/>
      <c r="W29" s="123"/>
      <c r="X29" s="123"/>
      <c r="Y29" s="123"/>
      <c r="Z29" s="93"/>
      <c r="AA29" s="93"/>
      <c r="AB29" s="93"/>
      <c r="AC29" s="12"/>
      <c r="AD29" s="12"/>
      <c r="AE29" s="12"/>
      <c r="AF29" s="12"/>
      <c r="AG29" s="12"/>
      <c r="AH29" s="12"/>
      <c r="AI29" s="14"/>
    </row>
    <row r="30" spans="2:36">
      <c r="C30" s="11"/>
      <c r="D30" s="155" t="s">
        <v>518</v>
      </c>
      <c r="E30" s="115"/>
      <c r="F30" s="154"/>
      <c r="G30" s="12"/>
      <c r="H30" s="12"/>
      <c r="I30" s="12"/>
      <c r="J30" s="12"/>
      <c r="K30" s="12"/>
      <c r="L30" s="12"/>
      <c r="M30" s="12"/>
      <c r="N30" s="12"/>
      <c r="P30" s="123"/>
      <c r="Q30" s="123"/>
      <c r="R30" s="123"/>
      <c r="S30" s="93"/>
      <c r="T30" s="93"/>
      <c r="U30" s="93"/>
      <c r="V30" s="12"/>
      <c r="W30" s="123"/>
      <c r="X30" s="123"/>
      <c r="Y30" s="123"/>
      <c r="Z30" s="93"/>
      <c r="AA30" s="93"/>
      <c r="AB30" s="93"/>
      <c r="AC30" s="12"/>
      <c r="AD30" s="12"/>
      <c r="AE30" s="12"/>
      <c r="AF30" s="12"/>
      <c r="AG30" s="12"/>
      <c r="AH30" s="12"/>
      <c r="AI30" s="14"/>
    </row>
    <row r="31" spans="2:36" ht="20.25">
      <c r="C31" s="11"/>
      <c r="D31" s="155"/>
      <c r="E31" s="115"/>
      <c r="F31" s="154"/>
      <c r="G31" s="371" t="s">
        <v>519</v>
      </c>
      <c r="H31" s="371"/>
      <c r="I31" s="12" t="s">
        <v>8</v>
      </c>
      <c r="J31" s="551">
        <f>L28</f>
        <v>98.131034482758622</v>
      </c>
      <c r="K31" s="546"/>
      <c r="L31" s="547"/>
      <c r="M31" s="12" t="s">
        <v>517</v>
      </c>
      <c r="N31" s="114"/>
      <c r="O31" s="114"/>
      <c r="P31" s="123"/>
      <c r="Q31" s="123"/>
      <c r="R31" s="123"/>
      <c r="S31" s="93"/>
      <c r="T31" s="93"/>
      <c r="U31" s="93"/>
      <c r="V31" s="12"/>
      <c r="W31" s="123"/>
      <c r="X31" s="123"/>
      <c r="Y31" s="123"/>
      <c r="Z31" s="93"/>
      <c r="AA31" s="93"/>
      <c r="AB31" s="93"/>
      <c r="AC31" s="12"/>
      <c r="AD31" s="12"/>
      <c r="AE31" s="12"/>
      <c r="AF31" s="12"/>
      <c r="AG31" s="12"/>
      <c r="AH31" s="12"/>
      <c r="AI31" s="14"/>
    </row>
    <row r="32" spans="2:36">
      <c r="C32" s="1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8"/>
      <c r="AJ32" s="12"/>
    </row>
    <row r="33" spans="2:35">
      <c r="B33" s="12"/>
      <c r="C33" s="113"/>
      <c r="D33" s="113"/>
      <c r="E33" s="113"/>
      <c r="F33" s="113"/>
      <c r="G33" s="113"/>
      <c r="H33" s="113"/>
      <c r="I33" s="113"/>
      <c r="J33" s="113"/>
      <c r="K33" s="113"/>
      <c r="L33" s="113"/>
      <c r="M33" s="113"/>
      <c r="N33" s="113"/>
      <c r="O33" s="113"/>
      <c r="P33" s="113"/>
      <c r="Q33" s="12"/>
      <c r="R33" s="12"/>
      <c r="S33" s="12"/>
      <c r="T33" s="12"/>
      <c r="U33" s="12"/>
      <c r="V33" s="12"/>
      <c r="W33" s="12"/>
      <c r="X33" s="12"/>
      <c r="Y33" s="12"/>
      <c r="Z33" s="12"/>
      <c r="AA33" s="12"/>
      <c r="AB33" s="12"/>
      <c r="AC33" s="12"/>
      <c r="AD33" s="12"/>
      <c r="AE33" s="12"/>
      <c r="AF33" s="12"/>
      <c r="AG33" s="12"/>
      <c r="AH33" s="12"/>
      <c r="AI33" s="12"/>
    </row>
    <row r="34" spans="2:35">
      <c r="B34" s="1" t="s">
        <v>520</v>
      </c>
      <c r="W34" t="s">
        <v>521</v>
      </c>
    </row>
    <row r="35" spans="2:35">
      <c r="C35" s="8" t="s">
        <v>522</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10"/>
    </row>
    <row r="36" spans="2:35" ht="18.75" customHeight="1">
      <c r="C36" s="11"/>
      <c r="D36" s="770" t="s">
        <v>523</v>
      </c>
      <c r="E36" s="770"/>
      <c r="F36" s="770"/>
      <c r="G36" s="770"/>
      <c r="H36" s="770"/>
      <c r="I36" s="770"/>
      <c r="J36" s="770"/>
      <c r="K36" s="770"/>
      <c r="L36" s="770"/>
      <c r="M36" s="770"/>
      <c r="N36" s="770"/>
      <c r="O36" s="770"/>
      <c r="P36" s="770"/>
      <c r="Q36" s="770"/>
      <c r="R36" s="770"/>
      <c r="S36" s="770"/>
      <c r="T36" s="770"/>
      <c r="U36" s="770"/>
      <c r="V36" s="770"/>
      <c r="W36" s="770"/>
      <c r="X36" s="770"/>
      <c r="Y36" s="770"/>
      <c r="Z36" s="770"/>
      <c r="AA36" s="770"/>
      <c r="AB36" s="770"/>
      <c r="AC36" s="770"/>
      <c r="AD36" s="770"/>
      <c r="AE36" s="770"/>
      <c r="AF36" s="770"/>
      <c r="AG36" s="770"/>
      <c r="AH36" s="770"/>
      <c r="AI36" s="775"/>
    </row>
    <row r="37" spans="2:35">
      <c r="C37" s="131"/>
      <c r="D37" s="770"/>
      <c r="E37" s="770"/>
      <c r="F37" s="770"/>
      <c r="G37" s="770"/>
      <c r="H37" s="770"/>
      <c r="I37" s="770"/>
      <c r="J37" s="770"/>
      <c r="K37" s="770"/>
      <c r="L37" s="770"/>
      <c r="M37" s="770"/>
      <c r="N37" s="770"/>
      <c r="O37" s="770"/>
      <c r="P37" s="770"/>
      <c r="Q37" s="770"/>
      <c r="R37" s="770"/>
      <c r="S37" s="770"/>
      <c r="T37" s="770"/>
      <c r="U37" s="770"/>
      <c r="V37" s="770"/>
      <c r="W37" s="770"/>
      <c r="X37" s="770"/>
      <c r="Y37" s="770"/>
      <c r="Z37" s="770"/>
      <c r="AA37" s="770"/>
      <c r="AB37" s="770"/>
      <c r="AC37" s="770"/>
      <c r="AD37" s="770"/>
      <c r="AE37" s="770"/>
      <c r="AF37" s="770"/>
      <c r="AG37" s="770"/>
      <c r="AH37" s="770"/>
      <c r="AI37" s="775"/>
    </row>
    <row r="38" spans="2:35">
      <c r="C38" s="131"/>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7"/>
    </row>
    <row r="39" spans="2:35">
      <c r="C39" s="131"/>
      <c r="D39" s="106"/>
      <c r="E39" s="12" t="s">
        <v>524</v>
      </c>
      <c r="F39" s="106"/>
      <c r="G39" s="106"/>
      <c r="H39" s="106"/>
      <c r="I39" s="106"/>
      <c r="J39" s="106"/>
      <c r="K39" s="106"/>
      <c r="L39" s="371" t="s">
        <v>59</v>
      </c>
      <c r="M39" s="371"/>
      <c r="N39" s="106" t="s">
        <v>8</v>
      </c>
      <c r="O39" s="886">
        <f>'1.設計条件'!Q91</f>
        <v>4.5</v>
      </c>
      <c r="P39" s="886"/>
      <c r="Q39" s="886"/>
      <c r="R39" s="106" t="s">
        <v>9</v>
      </c>
      <c r="S39" s="106"/>
      <c r="T39" s="106"/>
      <c r="U39" s="106"/>
      <c r="V39" s="106"/>
      <c r="W39" s="106"/>
      <c r="X39" s="106"/>
      <c r="Y39" s="106"/>
      <c r="Z39" s="106"/>
      <c r="AA39" s="106"/>
      <c r="AB39" s="106"/>
      <c r="AC39" s="106"/>
      <c r="AD39" s="106"/>
      <c r="AE39" s="106"/>
      <c r="AF39" s="106"/>
      <c r="AG39" s="106"/>
      <c r="AH39" s="106"/>
      <c r="AI39" s="107"/>
    </row>
    <row r="40" spans="2:35">
      <c r="C40" s="131"/>
      <c r="D40" s="106"/>
      <c r="E40" s="701" t="s">
        <v>525</v>
      </c>
      <c r="F40" s="701"/>
      <c r="G40" s="701"/>
      <c r="H40" s="701"/>
      <c r="I40" s="701"/>
      <c r="J40" s="701"/>
      <c r="K40" s="701"/>
      <c r="L40" s="436" t="s">
        <v>139</v>
      </c>
      <c r="M40" s="436"/>
      <c r="N40" s="106" t="s">
        <v>8</v>
      </c>
      <c r="O40" s="881">
        <f>'1.設計条件'!T107</f>
        <v>1.5</v>
      </c>
      <c r="P40" s="881"/>
      <c r="Q40" s="881"/>
      <c r="R40" s="106" t="s">
        <v>9</v>
      </c>
      <c r="S40" s="106"/>
      <c r="T40" s="106"/>
      <c r="U40" s="106"/>
      <c r="V40" s="106"/>
      <c r="W40" s="106"/>
      <c r="X40" s="106"/>
      <c r="Y40" s="106"/>
      <c r="Z40" s="106"/>
      <c r="AA40" s="106"/>
      <c r="AB40" s="106"/>
      <c r="AC40" s="106"/>
      <c r="AD40" s="106"/>
      <c r="AE40" s="106"/>
      <c r="AF40" s="106"/>
      <c r="AG40" s="106"/>
      <c r="AH40" s="106"/>
      <c r="AI40" s="107"/>
    </row>
    <row r="41" spans="2:35">
      <c r="C41" s="131"/>
      <c r="D41" s="106"/>
      <c r="E41" s="701" t="s">
        <v>526</v>
      </c>
      <c r="F41" s="701"/>
      <c r="G41" s="701"/>
      <c r="H41" s="701"/>
      <c r="I41" s="701"/>
      <c r="J41" s="701"/>
      <c r="K41" s="701"/>
      <c r="L41" s="436" t="s">
        <v>527</v>
      </c>
      <c r="M41" s="436"/>
      <c r="N41" s="106" t="s">
        <v>8</v>
      </c>
      <c r="O41" s="371" t="s">
        <v>59</v>
      </c>
      <c r="P41" s="371"/>
      <c r="Q41" s="228" t="s">
        <v>391</v>
      </c>
      <c r="R41" s="230">
        <v>2</v>
      </c>
      <c r="S41" s="436" t="s">
        <v>139</v>
      </c>
      <c r="T41" s="436"/>
      <c r="U41" s="106"/>
      <c r="V41" s="106" t="s">
        <v>8</v>
      </c>
      <c r="W41" s="887">
        <f>O39</f>
        <v>4.5</v>
      </c>
      <c r="X41" s="887"/>
      <c r="Y41" s="228" t="s">
        <v>391</v>
      </c>
      <c r="Z41" s="230">
        <v>2</v>
      </c>
      <c r="AA41" s="1" t="s">
        <v>215</v>
      </c>
      <c r="AB41" s="887">
        <f>O40</f>
        <v>1.5</v>
      </c>
      <c r="AC41" s="887"/>
      <c r="AD41" s="887"/>
      <c r="AE41" s="106"/>
      <c r="AF41" s="106"/>
      <c r="AG41" s="106"/>
      <c r="AH41" s="106"/>
      <c r="AI41" s="107"/>
    </row>
    <row r="42" spans="2:35">
      <c r="C42" s="131"/>
      <c r="D42" s="106"/>
      <c r="E42" s="55"/>
      <c r="F42" s="55"/>
      <c r="G42" s="55"/>
      <c r="H42" s="55"/>
      <c r="I42" s="55"/>
      <c r="J42" s="55"/>
      <c r="K42" s="55"/>
      <c r="L42" s="135"/>
      <c r="M42" s="135"/>
      <c r="N42" s="106" t="s">
        <v>8</v>
      </c>
      <c r="O42" s="881">
        <f>W41-Z41*AB41</f>
        <v>1.5</v>
      </c>
      <c r="P42" s="881"/>
      <c r="Q42" s="881"/>
      <c r="R42" s="106" t="s">
        <v>9</v>
      </c>
      <c r="S42" s="106"/>
      <c r="T42" s="106"/>
      <c r="U42" s="106"/>
      <c r="V42" s="106"/>
      <c r="W42" s="106"/>
      <c r="X42" s="106"/>
      <c r="Y42" s="106"/>
      <c r="Z42" s="106"/>
      <c r="AA42" s="106"/>
      <c r="AB42" s="106"/>
      <c r="AC42" s="106"/>
      <c r="AD42" s="106"/>
      <c r="AE42" s="106"/>
      <c r="AF42" s="106"/>
      <c r="AG42" s="106"/>
      <c r="AH42" s="106"/>
      <c r="AI42" s="107"/>
    </row>
    <row r="43" spans="2:35">
      <c r="C43" s="131"/>
      <c r="D43" s="106"/>
      <c r="E43" s="701" t="s">
        <v>528</v>
      </c>
      <c r="F43" s="701"/>
      <c r="G43" s="701"/>
      <c r="H43" s="701"/>
      <c r="I43" s="701"/>
      <c r="J43" s="701"/>
      <c r="K43" s="701"/>
      <c r="L43" s="436" t="s">
        <v>141</v>
      </c>
      <c r="M43" s="436"/>
      <c r="N43" s="106" t="s">
        <v>8</v>
      </c>
      <c r="O43" s="882">
        <f>'1.設計条件'!T108</f>
        <v>45</v>
      </c>
      <c r="P43" s="882"/>
      <c r="Q43" s="882"/>
      <c r="R43" s="106" t="s">
        <v>142</v>
      </c>
      <c r="S43" s="106"/>
      <c r="T43" s="106"/>
      <c r="U43" s="106"/>
      <c r="V43" s="106"/>
      <c r="W43" s="106"/>
      <c r="X43" s="106"/>
      <c r="Y43" s="106"/>
      <c r="Z43" s="106"/>
      <c r="AA43" s="106"/>
      <c r="AB43" s="106"/>
      <c r="AC43" s="106"/>
      <c r="AD43" s="106"/>
      <c r="AE43" s="106"/>
      <c r="AF43" s="106"/>
      <c r="AG43" s="106"/>
      <c r="AH43" s="106"/>
      <c r="AI43" s="107"/>
    </row>
    <row r="44" spans="2:35">
      <c r="C44" s="131"/>
      <c r="D44" s="106"/>
      <c r="E44" s="55"/>
      <c r="F44" s="55"/>
      <c r="G44" s="55"/>
      <c r="H44" s="55"/>
      <c r="I44" s="55"/>
      <c r="J44" s="55"/>
      <c r="K44" s="55"/>
      <c r="L44" s="135"/>
      <c r="M44" s="135"/>
      <c r="N44" s="106"/>
      <c r="O44" s="227"/>
      <c r="P44" s="227"/>
      <c r="Q44" s="227"/>
      <c r="R44" s="106"/>
      <c r="S44" s="106"/>
      <c r="T44" s="106"/>
      <c r="U44" s="106"/>
      <c r="V44" s="106"/>
      <c r="W44" s="106"/>
      <c r="X44" s="106"/>
      <c r="Y44" s="106"/>
      <c r="Z44" s="106"/>
      <c r="AA44" s="106"/>
      <c r="AB44" s="106"/>
      <c r="AC44" s="106"/>
      <c r="AD44" s="106"/>
      <c r="AE44" s="106"/>
      <c r="AF44" s="106"/>
      <c r="AG44" s="106"/>
      <c r="AH44" s="106"/>
      <c r="AI44" s="107"/>
    </row>
    <row r="45" spans="2:35">
      <c r="C45" s="131"/>
      <c r="D45" s="12" t="s">
        <v>529</v>
      </c>
      <c r="F45" s="55"/>
      <c r="G45" s="55"/>
      <c r="H45" s="55"/>
      <c r="I45" s="55"/>
      <c r="J45" s="55"/>
      <c r="K45" s="55"/>
      <c r="L45" s="135"/>
      <c r="M45" s="135"/>
      <c r="N45" s="106"/>
      <c r="O45" s="227"/>
      <c r="P45" s="227"/>
      <c r="Q45" s="227"/>
      <c r="R45" s="106"/>
      <c r="S45" s="106"/>
      <c r="T45" s="106"/>
      <c r="U45" s="106"/>
      <c r="V45" s="106"/>
      <c r="W45" s="106"/>
      <c r="X45" s="106"/>
      <c r="Y45" s="106"/>
      <c r="Z45" s="106"/>
      <c r="AA45" s="106"/>
      <c r="AB45" s="106"/>
      <c r="AC45" s="106"/>
      <c r="AD45" s="106"/>
      <c r="AE45" s="106"/>
      <c r="AF45" s="106"/>
      <c r="AG45" s="106"/>
      <c r="AH45" s="106"/>
      <c r="AI45" s="107"/>
    </row>
    <row r="46" spans="2:35">
      <c r="C46" s="131"/>
      <c r="D46" s="106"/>
      <c r="E46" s="12"/>
      <c r="F46" s="55"/>
      <c r="G46" s="55"/>
      <c r="H46" s="55"/>
      <c r="I46" s="55"/>
      <c r="J46" s="55"/>
      <c r="K46" s="55"/>
      <c r="L46" s="436" t="s">
        <v>350</v>
      </c>
      <c r="M46" s="436"/>
      <c r="N46" s="106" t="s">
        <v>8</v>
      </c>
      <c r="O46" s="436" t="s">
        <v>527</v>
      </c>
      <c r="P46" s="436"/>
      <c r="Q46" s="229" t="s">
        <v>213</v>
      </c>
      <c r="R46" s="436" t="s">
        <v>139</v>
      </c>
      <c r="S46" s="436"/>
      <c r="T46" s="106"/>
      <c r="U46" s="106"/>
      <c r="V46" s="106"/>
      <c r="W46" s="106"/>
      <c r="X46" s="106"/>
      <c r="Y46" s="106"/>
      <c r="Z46" s="106"/>
      <c r="AA46" s="106"/>
      <c r="AB46" s="106"/>
      <c r="AC46" s="106"/>
      <c r="AD46" s="106"/>
      <c r="AE46" s="106"/>
      <c r="AF46" s="106"/>
      <c r="AG46" s="106"/>
      <c r="AH46" s="106"/>
      <c r="AI46" s="107"/>
    </row>
    <row r="47" spans="2:35">
      <c r="C47" s="131"/>
      <c r="D47" s="106"/>
      <c r="E47" s="106"/>
      <c r="F47" s="106"/>
      <c r="G47" s="106"/>
      <c r="H47" s="106"/>
      <c r="I47" s="106"/>
      <c r="J47" s="106"/>
      <c r="K47" s="106"/>
      <c r="L47" s="106"/>
      <c r="M47" s="106"/>
      <c r="N47" s="106" t="s">
        <v>8</v>
      </c>
      <c r="O47" s="881">
        <f>O42</f>
        <v>1.5</v>
      </c>
      <c r="P47" s="881"/>
      <c r="Q47" s="106" t="s">
        <v>213</v>
      </c>
      <c r="R47" s="881">
        <f>O40</f>
        <v>1.5</v>
      </c>
      <c r="S47" s="881"/>
      <c r="T47" s="106"/>
      <c r="U47" s="106"/>
      <c r="V47" s="106"/>
      <c r="W47" s="106"/>
      <c r="X47" s="106"/>
      <c r="Y47" s="106"/>
      <c r="Z47" s="106"/>
      <c r="AA47" s="106"/>
      <c r="AB47" s="106"/>
      <c r="AC47" s="106"/>
      <c r="AD47" s="106"/>
      <c r="AE47" s="106"/>
      <c r="AF47" s="106"/>
      <c r="AG47" s="106"/>
      <c r="AH47" s="106"/>
      <c r="AI47" s="107"/>
    </row>
    <row r="48" spans="2:35">
      <c r="C48" s="131"/>
      <c r="D48" s="106"/>
      <c r="E48" s="106"/>
      <c r="F48" s="106"/>
      <c r="G48" s="106"/>
      <c r="H48" s="106"/>
      <c r="I48" s="106"/>
      <c r="J48" s="106"/>
      <c r="K48" s="106"/>
      <c r="L48" s="106"/>
      <c r="M48" s="106"/>
      <c r="N48" s="106" t="s">
        <v>8</v>
      </c>
      <c r="O48" s="883">
        <f>O47+R47</f>
        <v>3</v>
      </c>
      <c r="P48" s="884"/>
      <c r="Q48" s="106" t="s">
        <v>9</v>
      </c>
      <c r="R48" s="106"/>
      <c r="S48" s="106"/>
      <c r="T48" s="106"/>
      <c r="U48" s="106"/>
      <c r="V48" s="106"/>
      <c r="W48" s="106"/>
      <c r="X48" s="106"/>
      <c r="Y48" s="106"/>
      <c r="Z48" s="106"/>
      <c r="AA48" s="106"/>
      <c r="AB48" s="106"/>
      <c r="AC48" s="106"/>
      <c r="AD48" s="106"/>
      <c r="AE48" s="106"/>
      <c r="AF48" s="106"/>
      <c r="AG48" s="106"/>
      <c r="AH48" s="106"/>
      <c r="AI48" s="107"/>
    </row>
    <row r="49" spans="3:35">
      <c r="C49" s="131"/>
      <c r="D49" s="106"/>
      <c r="E49" s="106"/>
      <c r="F49" s="106"/>
      <c r="G49" s="106"/>
      <c r="H49" s="106"/>
      <c r="I49" s="106"/>
      <c r="J49" s="106"/>
      <c r="K49" s="106"/>
      <c r="L49" s="106"/>
      <c r="M49" s="106"/>
      <c r="N49" s="106"/>
      <c r="O49" s="228"/>
      <c r="P49" s="228"/>
      <c r="Q49" s="106"/>
      <c r="R49" s="106"/>
      <c r="S49" s="106"/>
      <c r="T49" s="106"/>
      <c r="U49" s="106"/>
      <c r="V49" s="106"/>
      <c r="W49" s="106"/>
      <c r="X49" s="106"/>
      <c r="Y49" s="106"/>
      <c r="Z49" s="106"/>
      <c r="AA49" s="106"/>
      <c r="AB49" s="106"/>
      <c r="AC49" s="106"/>
      <c r="AD49" s="106"/>
      <c r="AE49" s="106"/>
      <c r="AF49" s="106"/>
      <c r="AG49" s="106"/>
      <c r="AH49" s="106"/>
      <c r="AI49" s="107"/>
    </row>
    <row r="50" spans="3:35">
      <c r="C50" s="131"/>
      <c r="D50" s="770" t="s">
        <v>880</v>
      </c>
      <c r="E50" s="770"/>
      <c r="F50" s="770"/>
      <c r="G50" s="770"/>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770"/>
      <c r="AF50" s="770"/>
      <c r="AG50" s="770"/>
      <c r="AH50" s="770"/>
      <c r="AI50" s="775"/>
    </row>
    <row r="51" spans="3:35">
      <c r="C51" s="131"/>
      <c r="D51" s="770"/>
      <c r="E51" s="770"/>
      <c r="F51" s="770"/>
      <c r="G51" s="770"/>
      <c r="H51" s="770"/>
      <c r="I51" s="770"/>
      <c r="J51" s="770"/>
      <c r="K51" s="770"/>
      <c r="L51" s="770"/>
      <c r="M51" s="770"/>
      <c r="N51" s="770"/>
      <c r="O51" s="770"/>
      <c r="P51" s="770"/>
      <c r="Q51" s="770"/>
      <c r="R51" s="770"/>
      <c r="S51" s="770"/>
      <c r="T51" s="770"/>
      <c r="U51" s="770"/>
      <c r="V51" s="770"/>
      <c r="W51" s="770"/>
      <c r="X51" s="770"/>
      <c r="Y51" s="770"/>
      <c r="Z51" s="770"/>
      <c r="AA51" s="770"/>
      <c r="AB51" s="770"/>
      <c r="AC51" s="770"/>
      <c r="AD51" s="770"/>
      <c r="AE51" s="770"/>
      <c r="AF51" s="770"/>
      <c r="AG51" s="770"/>
      <c r="AH51" s="770"/>
      <c r="AI51" s="775"/>
    </row>
    <row r="52" spans="3:35">
      <c r="C52" s="131"/>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7"/>
    </row>
    <row r="53" spans="3:35" s="205" customFormat="1">
      <c r="C53" s="266"/>
      <c r="D53" s="243"/>
      <c r="E53" s="889" t="s">
        <v>530</v>
      </c>
      <c r="F53" s="889"/>
      <c r="G53" s="889"/>
      <c r="H53" s="889"/>
      <c r="I53" s="889"/>
      <c r="J53" s="889"/>
      <c r="K53" s="889"/>
      <c r="L53" s="889"/>
      <c r="M53" s="889"/>
      <c r="N53" s="888" t="s">
        <v>531</v>
      </c>
      <c r="O53" s="888"/>
      <c r="P53" s="243" t="s">
        <v>8</v>
      </c>
      <c r="Q53" s="886">
        <f>'1.設計条件'!T107</f>
        <v>1.5</v>
      </c>
      <c r="R53" s="886"/>
      <c r="S53" s="886"/>
      <c r="T53" s="243" t="s">
        <v>9</v>
      </c>
      <c r="U53" s="243"/>
      <c r="V53" s="243"/>
      <c r="W53" s="243"/>
      <c r="X53" s="243"/>
      <c r="Y53" s="243"/>
      <c r="Z53" s="243"/>
      <c r="AA53" s="243"/>
      <c r="AB53" s="243"/>
      <c r="AC53" s="243"/>
      <c r="AD53" s="243"/>
      <c r="AE53" s="243"/>
      <c r="AF53" s="243"/>
      <c r="AG53" s="243"/>
      <c r="AH53" s="243"/>
      <c r="AI53" s="265"/>
    </row>
    <row r="54" spans="3:35">
      <c r="C54" s="131"/>
      <c r="D54" s="106"/>
      <c r="E54" s="889" t="s">
        <v>532</v>
      </c>
      <c r="F54" s="889"/>
      <c r="G54" s="889"/>
      <c r="H54" s="889"/>
      <c r="I54" s="889"/>
      <c r="J54" s="889"/>
      <c r="K54" s="889"/>
      <c r="L54" s="889"/>
      <c r="M54" s="889"/>
      <c r="N54" s="436" t="s">
        <v>533</v>
      </c>
      <c r="O54" s="436"/>
      <c r="P54" s="106" t="s">
        <v>8</v>
      </c>
      <c r="Q54" s="371" t="s">
        <v>59</v>
      </c>
      <c r="R54" s="371"/>
      <c r="S54" s="228" t="s">
        <v>391</v>
      </c>
      <c r="T54" s="230">
        <v>2</v>
      </c>
      <c r="U54" s="436" t="s">
        <v>531</v>
      </c>
      <c r="V54" s="436"/>
      <c r="W54" s="230"/>
      <c r="X54" s="33"/>
      <c r="Y54" s="33"/>
      <c r="AG54" s="106"/>
      <c r="AH54" s="106"/>
      <c r="AI54" s="107"/>
    </row>
    <row r="55" spans="3:35">
      <c r="C55" s="131"/>
      <c r="D55" s="106"/>
      <c r="E55" s="55"/>
      <c r="F55" s="55"/>
      <c r="G55" s="55"/>
      <c r="H55" s="55"/>
      <c r="I55" s="55"/>
      <c r="J55" s="55"/>
      <c r="K55" s="55"/>
      <c r="L55" s="55"/>
      <c r="M55" s="55"/>
      <c r="N55" s="135"/>
      <c r="O55" s="135"/>
      <c r="P55" s="106" t="s">
        <v>8</v>
      </c>
      <c r="Q55" s="887">
        <f>'1.設計条件'!Q91</f>
        <v>4.5</v>
      </c>
      <c r="R55" s="887"/>
      <c r="S55" s="228" t="s">
        <v>391</v>
      </c>
      <c r="T55" s="230">
        <v>2</v>
      </c>
      <c r="U55" s="1" t="s">
        <v>215</v>
      </c>
      <c r="V55" s="887">
        <f>Q53</f>
        <v>1.5</v>
      </c>
      <c r="W55" s="887"/>
      <c r="X55" s="887"/>
      <c r="Y55" s="241"/>
      <c r="Z55" s="241"/>
      <c r="AA55" s="241"/>
      <c r="AH55" s="106"/>
      <c r="AI55" s="107"/>
    </row>
    <row r="56" spans="3:35">
      <c r="C56" s="131"/>
      <c r="D56" s="106"/>
      <c r="E56" s="106"/>
      <c r="F56" s="106"/>
      <c r="G56" s="106"/>
      <c r="H56" s="106"/>
      <c r="I56" s="106"/>
      <c r="J56" s="106"/>
      <c r="K56" s="106"/>
      <c r="L56" s="106"/>
      <c r="M56" s="106"/>
      <c r="N56" s="106"/>
      <c r="O56" s="106"/>
      <c r="P56" s="106" t="s">
        <v>8</v>
      </c>
      <c r="Q56" s="881">
        <f>Q55-T55*V55</f>
        <v>1.5</v>
      </c>
      <c r="R56" s="881"/>
      <c r="S56" s="881"/>
      <c r="T56" s="106" t="s">
        <v>9</v>
      </c>
      <c r="U56" s="106"/>
      <c r="V56" s="106"/>
      <c r="W56" s="106"/>
      <c r="X56" s="106"/>
      <c r="Y56" s="106"/>
      <c r="Z56" s="106"/>
      <c r="AA56" s="106"/>
      <c r="AB56" s="106"/>
      <c r="AC56" s="106"/>
      <c r="AD56" s="106"/>
      <c r="AE56" s="106"/>
      <c r="AF56" s="106"/>
      <c r="AG56" s="106"/>
      <c r="AH56" s="106"/>
      <c r="AI56" s="107"/>
    </row>
    <row r="57" spans="3:35">
      <c r="C57" s="131"/>
      <c r="D57" s="106"/>
      <c r="E57" s="12" t="s">
        <v>534</v>
      </c>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7"/>
    </row>
    <row r="58" spans="3:35">
      <c r="C58" s="131"/>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7"/>
    </row>
    <row r="59" spans="3:35">
      <c r="C59" s="131"/>
      <c r="D59" s="106"/>
      <c r="E59" s="106"/>
      <c r="F59" s="106"/>
      <c r="G59" s="557" t="s">
        <v>184</v>
      </c>
      <c r="H59" s="900"/>
      <c r="I59" s="890" t="s">
        <v>8</v>
      </c>
      <c r="J59" s="234">
        <v>1</v>
      </c>
      <c r="K59" s="890" t="s">
        <v>533</v>
      </c>
      <c r="L59" s="890"/>
      <c r="M59" s="890" t="s">
        <v>213</v>
      </c>
      <c r="N59" s="890" t="s">
        <v>531</v>
      </c>
      <c r="O59" s="890"/>
      <c r="P59" s="106"/>
      <c r="Q59" s="890" t="s">
        <v>8</v>
      </c>
      <c r="R59" s="234">
        <v>1</v>
      </c>
      <c r="S59" s="891">
        <f>Q56</f>
        <v>1.5</v>
      </c>
      <c r="T59" s="891"/>
      <c r="U59" s="890" t="s">
        <v>213</v>
      </c>
      <c r="V59" s="891">
        <f>Q53</f>
        <v>1.5</v>
      </c>
      <c r="W59" s="891"/>
      <c r="X59" s="106"/>
      <c r="Y59" s="106"/>
      <c r="Z59" s="106"/>
      <c r="AA59" s="106"/>
      <c r="AB59" s="106"/>
      <c r="AC59" s="106"/>
      <c r="AD59" s="106"/>
      <c r="AE59" s="106"/>
      <c r="AF59" s="106"/>
      <c r="AG59" s="106"/>
      <c r="AH59" s="106"/>
      <c r="AI59" s="107"/>
    </row>
    <row r="60" spans="3:35">
      <c r="C60" s="131"/>
      <c r="D60" s="106"/>
      <c r="E60" s="106"/>
      <c r="F60" s="106"/>
      <c r="G60" s="900"/>
      <c r="H60" s="900"/>
      <c r="I60" s="890"/>
      <c r="J60" s="227">
        <v>2</v>
      </c>
      <c r="K60" s="890"/>
      <c r="L60" s="890"/>
      <c r="M60" s="890"/>
      <c r="N60" s="890"/>
      <c r="O60" s="890"/>
      <c r="P60" s="106"/>
      <c r="Q60" s="890"/>
      <c r="R60" s="227">
        <v>2</v>
      </c>
      <c r="S60" s="891"/>
      <c r="T60" s="891"/>
      <c r="U60" s="890"/>
      <c r="V60" s="891"/>
      <c r="W60" s="891"/>
      <c r="X60" s="106"/>
      <c r="Y60" s="106"/>
      <c r="Z60" s="106"/>
      <c r="AA60" s="106"/>
      <c r="AB60" s="106"/>
      <c r="AC60" s="106"/>
      <c r="AD60" s="106"/>
      <c r="AE60" s="106"/>
      <c r="AF60" s="106"/>
      <c r="AG60" s="106"/>
      <c r="AH60" s="106"/>
      <c r="AI60" s="107"/>
    </row>
    <row r="61" spans="3:35">
      <c r="C61" s="131"/>
      <c r="D61" s="106"/>
      <c r="E61" s="106"/>
      <c r="F61" s="106"/>
      <c r="G61" s="880"/>
      <c r="H61" s="880"/>
      <c r="I61" s="115" t="s">
        <v>8</v>
      </c>
      <c r="J61" s="891">
        <f>R59/R60*S59+V59</f>
        <v>2.25</v>
      </c>
      <c r="K61" s="891"/>
      <c r="L61" s="106" t="s">
        <v>9</v>
      </c>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7"/>
    </row>
    <row r="62" spans="3:35">
      <c r="C62" s="131"/>
      <c r="D62" s="106"/>
      <c r="E62" s="106"/>
      <c r="F62" s="106"/>
      <c r="G62" s="106"/>
      <c r="H62" s="106"/>
      <c r="I62" s="115"/>
      <c r="J62" s="235"/>
      <c r="K62" s="235"/>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7"/>
    </row>
    <row r="63" spans="3:35">
      <c r="C63" s="11"/>
      <c r="D63" s="12" t="s">
        <v>535</v>
      </c>
      <c r="E63" s="12"/>
      <c r="F63" s="12"/>
      <c r="G63" s="12"/>
      <c r="H63" s="12"/>
      <c r="I63" s="12"/>
      <c r="J63" s="12"/>
      <c r="K63" s="12"/>
      <c r="L63" s="12"/>
      <c r="M63" s="371" t="s">
        <v>536</v>
      </c>
      <c r="N63" s="371"/>
      <c r="O63" s="12" t="s">
        <v>8</v>
      </c>
      <c r="P63" s="407">
        <v>150</v>
      </c>
      <c r="Q63" s="471"/>
      <c r="R63" s="12" t="s">
        <v>426</v>
      </c>
      <c r="S63" s="12"/>
      <c r="T63" s="12"/>
      <c r="U63" s="31" t="s">
        <v>537</v>
      </c>
      <c r="V63" s="12"/>
      <c r="W63" s="12"/>
      <c r="X63" s="12"/>
      <c r="Y63" s="12"/>
      <c r="Z63" s="12"/>
      <c r="AA63" s="12"/>
      <c r="AB63" s="12"/>
      <c r="AC63" s="12"/>
      <c r="AD63" s="12"/>
      <c r="AE63" s="12"/>
      <c r="AF63" s="12"/>
      <c r="AG63" s="12"/>
      <c r="AH63" s="12"/>
      <c r="AI63" s="14"/>
    </row>
    <row r="64" spans="3:35">
      <c r="C64" s="11"/>
      <c r="D64" s="12"/>
      <c r="E64" s="12"/>
      <c r="F64" s="12"/>
      <c r="G64" s="12"/>
      <c r="H64" s="12"/>
      <c r="I64" s="12"/>
      <c r="J64" s="12"/>
      <c r="K64" s="12"/>
      <c r="L64" s="12"/>
      <c r="M64" s="34"/>
      <c r="N64" s="34"/>
      <c r="O64" s="12"/>
      <c r="P64" s="34"/>
      <c r="Q64" s="12"/>
      <c r="R64" s="34"/>
      <c r="S64" s="12"/>
      <c r="T64" s="12"/>
      <c r="U64" s="31"/>
      <c r="V64" s="12"/>
      <c r="W64" s="12"/>
      <c r="X64" s="12"/>
      <c r="Y64" s="12"/>
      <c r="Z64" s="12"/>
      <c r="AA64" s="12"/>
      <c r="AB64" s="12"/>
      <c r="AC64" s="12"/>
      <c r="AD64" s="12"/>
      <c r="AE64" s="12"/>
      <c r="AF64" s="12"/>
      <c r="AG64" s="12"/>
      <c r="AH64" s="12"/>
      <c r="AI64" s="14"/>
    </row>
    <row r="65" spans="3:35">
      <c r="C65" s="236" t="s">
        <v>538</v>
      </c>
      <c r="D65" s="155"/>
      <c r="E65" s="106"/>
      <c r="F65" s="106"/>
      <c r="G65" s="106"/>
      <c r="H65" s="106"/>
      <c r="I65" s="106"/>
      <c r="J65" s="106"/>
      <c r="K65" s="106"/>
      <c r="L65" s="106"/>
      <c r="M65" s="106"/>
      <c r="N65" s="106"/>
      <c r="O65" s="228"/>
      <c r="P65" s="228"/>
      <c r="Q65" s="106"/>
      <c r="R65" s="106"/>
      <c r="S65" s="106"/>
      <c r="T65" s="106"/>
      <c r="U65" s="106"/>
      <c r="V65" s="106"/>
      <c r="W65" s="106"/>
      <c r="X65" s="106"/>
      <c r="Y65" s="106"/>
      <c r="Z65" s="106"/>
      <c r="AA65" s="106"/>
      <c r="AB65" s="106"/>
      <c r="AC65" s="106"/>
      <c r="AD65" s="106"/>
      <c r="AE65" s="106"/>
      <c r="AF65" s="106"/>
      <c r="AG65" s="106"/>
      <c r="AH65" s="106"/>
      <c r="AI65" s="107"/>
    </row>
    <row r="66" spans="3:35">
      <c r="C66" s="131"/>
      <c r="D66" s="106"/>
      <c r="E66" s="12" t="s">
        <v>539</v>
      </c>
      <c r="F66" s="106"/>
      <c r="G66" s="106"/>
      <c r="H66" s="106"/>
      <c r="Q66" s="106"/>
      <c r="R66" s="106"/>
      <c r="S66" s="106"/>
      <c r="T66" s="106"/>
      <c r="U66" s="106"/>
      <c r="V66" s="106"/>
      <c r="W66" s="106"/>
      <c r="X66" s="106"/>
      <c r="Y66" s="106"/>
      <c r="Z66" s="106"/>
      <c r="AA66" s="106"/>
      <c r="AB66" s="106"/>
      <c r="AC66" s="106"/>
      <c r="AD66" s="106"/>
      <c r="AE66" s="106"/>
      <c r="AF66" s="106"/>
      <c r="AG66" s="106"/>
      <c r="AH66" s="106"/>
      <c r="AI66" s="107"/>
    </row>
    <row r="67" spans="3:35" ht="20.25">
      <c r="C67" s="131"/>
      <c r="D67" s="106"/>
      <c r="E67" s="106"/>
      <c r="F67" s="371" t="s">
        <v>540</v>
      </c>
      <c r="G67" s="371"/>
      <c r="H67" s="106" t="s">
        <v>8</v>
      </c>
      <c r="I67" s="1" t="s">
        <v>216</v>
      </c>
      <c r="J67" s="371" t="s">
        <v>541</v>
      </c>
      <c r="K67" s="371"/>
      <c r="L67" s="106" t="s">
        <v>344</v>
      </c>
      <c r="M67" s="880" t="s">
        <v>184</v>
      </c>
      <c r="N67" s="880"/>
      <c r="O67" s="106" t="s">
        <v>213</v>
      </c>
      <c r="P67" s="371" t="s">
        <v>536</v>
      </c>
      <c r="Q67" s="371"/>
      <c r="R67" s="237" t="s">
        <v>218</v>
      </c>
      <c r="S67" s="106" t="s">
        <v>236</v>
      </c>
      <c r="T67" s="247" t="s">
        <v>110</v>
      </c>
      <c r="U67" s="106"/>
      <c r="V67" s="106"/>
      <c r="W67" s="106"/>
      <c r="X67" s="106"/>
      <c r="Y67" s="106"/>
      <c r="Z67" s="106"/>
      <c r="AA67" s="106"/>
      <c r="AB67" s="106"/>
      <c r="AC67" s="106"/>
      <c r="AD67" s="106"/>
      <c r="AE67" s="106"/>
      <c r="AF67" s="106"/>
      <c r="AG67" s="106"/>
      <c r="AH67" s="106"/>
      <c r="AI67" s="107"/>
    </row>
    <row r="68" spans="3:35" ht="20.25" customHeight="1">
      <c r="C68" s="131"/>
      <c r="D68" s="106"/>
      <c r="E68" s="106"/>
      <c r="F68" s="106"/>
      <c r="G68" s="106"/>
      <c r="H68" s="106" t="s">
        <v>8</v>
      </c>
      <c r="I68" s="1" t="s">
        <v>216</v>
      </c>
      <c r="J68" s="881">
        <f>J21</f>
        <v>158.1103448275862</v>
      </c>
      <c r="K68" s="881"/>
      <c r="L68" s="881"/>
      <c r="M68" s="106" t="s">
        <v>344</v>
      </c>
      <c r="N68" s="881">
        <f>J61</f>
        <v>2.25</v>
      </c>
      <c r="O68" s="881"/>
      <c r="P68" s="106" t="s">
        <v>213</v>
      </c>
      <c r="Q68" s="882">
        <f>P63</f>
        <v>150</v>
      </c>
      <c r="R68" s="882"/>
      <c r="S68" s="882"/>
      <c r="T68" s="1" t="s">
        <v>218</v>
      </c>
      <c r="U68" s="106" t="s">
        <v>236</v>
      </c>
      <c r="V68" s="879">
        <f>'1.設計条件'!N73</f>
        <v>1</v>
      </c>
      <c r="W68" s="879"/>
      <c r="Y68" s="106"/>
      <c r="Z68" s="106"/>
      <c r="AA68" s="106"/>
      <c r="AB68" s="106"/>
      <c r="AC68" s="106"/>
      <c r="AD68" s="106"/>
      <c r="AE68" s="106"/>
      <c r="AF68" s="106"/>
      <c r="AG68" s="106"/>
      <c r="AH68" s="106"/>
      <c r="AI68" s="107"/>
    </row>
    <row r="69" spans="3:35">
      <c r="C69" s="131"/>
      <c r="D69" s="106"/>
      <c r="E69" s="106"/>
      <c r="F69" s="106"/>
      <c r="G69" s="106"/>
      <c r="H69" s="106" t="s">
        <v>8</v>
      </c>
      <c r="I69" s="883">
        <f>(J68*N68+Q68)/V68</f>
        <v>505.74827586206897</v>
      </c>
      <c r="J69" s="906"/>
      <c r="K69" s="884"/>
      <c r="L69" s="106" t="s">
        <v>426</v>
      </c>
      <c r="M69" s="106"/>
      <c r="N69" s="106"/>
      <c r="O69" s="228"/>
      <c r="Z69" s="106"/>
      <c r="AA69" s="106"/>
      <c r="AB69" s="106"/>
      <c r="AC69" s="106"/>
      <c r="AD69" s="106"/>
      <c r="AE69" s="106"/>
      <c r="AF69" s="106"/>
      <c r="AG69" s="106"/>
      <c r="AH69" s="106"/>
      <c r="AI69" s="107"/>
    </row>
    <row r="70" spans="3:35">
      <c r="C70" s="131"/>
      <c r="D70" s="106"/>
      <c r="E70" s="106"/>
      <c r="F70" s="106"/>
      <c r="G70" s="106"/>
      <c r="H70" s="106"/>
      <c r="I70" s="106"/>
      <c r="J70" s="106"/>
      <c r="K70" s="106"/>
      <c r="L70" s="106"/>
      <c r="M70" s="106"/>
      <c r="N70" s="106"/>
      <c r="O70" s="228"/>
      <c r="P70" s="228"/>
      <c r="Q70" s="106"/>
      <c r="R70" s="106"/>
      <c r="S70" s="106"/>
      <c r="T70" s="106"/>
      <c r="U70" s="106"/>
      <c r="V70" s="106"/>
      <c r="W70" s="106"/>
      <c r="X70" s="106"/>
      <c r="Y70" s="106"/>
      <c r="Z70" s="106"/>
      <c r="AA70" s="106"/>
      <c r="AB70" s="106"/>
      <c r="AC70" s="106"/>
      <c r="AD70" s="106"/>
      <c r="AE70" s="106"/>
      <c r="AF70" s="106"/>
      <c r="AG70" s="106"/>
      <c r="AH70" s="106"/>
      <c r="AI70" s="107"/>
    </row>
    <row r="71" spans="3:35">
      <c r="C71" s="11"/>
      <c r="E71" s="12" t="s">
        <v>542</v>
      </c>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4"/>
    </row>
    <row r="72" spans="3:35" ht="20.25">
      <c r="C72" s="11"/>
      <c r="D72" s="12"/>
      <c r="F72" s="557" t="s">
        <v>543</v>
      </c>
      <c r="G72" s="557"/>
      <c r="H72" s="541" t="s">
        <v>8</v>
      </c>
      <c r="I72" s="231" t="s">
        <v>544</v>
      </c>
      <c r="J72" s="232" t="s">
        <v>344</v>
      </c>
      <c r="K72" s="129" t="s">
        <v>350</v>
      </c>
      <c r="L72" s="231" t="s">
        <v>444</v>
      </c>
      <c r="M72" s="541" t="s">
        <v>215</v>
      </c>
      <c r="N72" s="656">
        <v>1</v>
      </c>
      <c r="O72" s="656"/>
      <c r="Q72" s="541" t="s">
        <v>8</v>
      </c>
      <c r="R72" s="769">
        <f>J21</f>
        <v>158.1103448275862</v>
      </c>
      <c r="S72" s="769"/>
      <c r="T72" s="769"/>
      <c r="U72" s="129" t="s">
        <v>215</v>
      </c>
      <c r="V72" s="885">
        <f>O48</f>
        <v>3</v>
      </c>
      <c r="W72" s="885"/>
      <c r="X72" s="130" t="s">
        <v>545</v>
      </c>
      <c r="Y72" s="541" t="s">
        <v>215</v>
      </c>
      <c r="Z72" s="140">
        <v>1</v>
      </c>
      <c r="AB72" s="541" t="s">
        <v>8</v>
      </c>
      <c r="AC72" s="763">
        <f>R72*V72^2/R73*Z72/Z73</f>
        <v>177.87413793103448</v>
      </c>
      <c r="AD72" s="764"/>
      <c r="AE72" s="765"/>
      <c r="AF72" s="871" t="s">
        <v>445</v>
      </c>
      <c r="AG72" s="872"/>
      <c r="AH72" s="872"/>
      <c r="AI72" s="14"/>
    </row>
    <row r="73" spans="3:35">
      <c r="C73" s="11"/>
      <c r="D73" s="12"/>
      <c r="F73" s="557"/>
      <c r="G73" s="557"/>
      <c r="H73" s="541"/>
      <c r="I73" s="870">
        <v>8</v>
      </c>
      <c r="J73" s="870"/>
      <c r="K73" s="870"/>
      <c r="L73" s="870"/>
      <c r="M73" s="541"/>
      <c r="N73" s="660" t="s">
        <v>110</v>
      </c>
      <c r="O73" s="660"/>
      <c r="Q73" s="541"/>
      <c r="R73" s="870">
        <f>I73</f>
        <v>8</v>
      </c>
      <c r="S73" s="870"/>
      <c r="T73" s="870"/>
      <c r="U73" s="870"/>
      <c r="V73" s="870"/>
      <c r="W73" s="870"/>
      <c r="Y73" s="541"/>
      <c r="Z73" s="248">
        <f>V68</f>
        <v>1</v>
      </c>
      <c r="AB73" s="541"/>
      <c r="AC73" s="766"/>
      <c r="AD73" s="767"/>
      <c r="AE73" s="768"/>
      <c r="AF73" s="871"/>
      <c r="AG73" s="872"/>
      <c r="AH73" s="872"/>
      <c r="AI73" s="14"/>
    </row>
    <row r="74" spans="3:35">
      <c r="C74" s="11"/>
      <c r="D74" s="12"/>
      <c r="E74" s="12"/>
      <c r="F74" s="12"/>
      <c r="G74" s="12"/>
      <c r="M74" s="12"/>
      <c r="N74" s="12"/>
      <c r="U74" s="12"/>
      <c r="V74" s="12"/>
      <c r="W74" s="12"/>
      <c r="X74" s="12"/>
      <c r="Y74" s="12"/>
      <c r="Z74" s="12"/>
      <c r="AA74" s="12"/>
      <c r="AB74" s="12"/>
      <c r="AC74" s="12"/>
      <c r="AD74" s="12"/>
      <c r="AE74" s="12"/>
      <c r="AF74" s="12"/>
      <c r="AG74" s="12"/>
      <c r="AH74" s="12"/>
      <c r="AI74" s="14"/>
    </row>
    <row r="75" spans="3:35">
      <c r="C75" s="11"/>
      <c r="D75" s="12"/>
      <c r="E75" s="12" t="s">
        <v>546</v>
      </c>
      <c r="F75" s="12"/>
      <c r="G75" s="12"/>
      <c r="H75" s="12"/>
      <c r="I75" s="12"/>
      <c r="J75" s="12"/>
      <c r="K75" s="12"/>
      <c r="L75" s="12"/>
      <c r="M75" s="12"/>
      <c r="N75" s="12"/>
      <c r="O75" s="12"/>
      <c r="P75" s="12"/>
      <c r="Q75" s="12"/>
      <c r="AG75" s="12"/>
      <c r="AH75" s="12"/>
      <c r="AI75" s="14"/>
    </row>
    <row r="76" spans="3:35">
      <c r="C76" s="11"/>
      <c r="D76" s="12"/>
      <c r="E76" s="12"/>
      <c r="F76" s="557" t="s">
        <v>547</v>
      </c>
      <c r="G76" s="557"/>
      <c r="H76" s="541" t="s">
        <v>8</v>
      </c>
      <c r="I76" s="231" t="s">
        <v>544</v>
      </c>
      <c r="J76" s="232" t="s">
        <v>344</v>
      </c>
      <c r="K76" s="129" t="s">
        <v>350</v>
      </c>
      <c r="L76" s="541" t="s">
        <v>215</v>
      </c>
      <c r="M76" s="656">
        <v>1</v>
      </c>
      <c r="N76" s="656"/>
      <c r="Q76" s="541" t="s">
        <v>8</v>
      </c>
      <c r="R76" s="769">
        <f>J21</f>
        <v>158.1103448275862</v>
      </c>
      <c r="S76" s="769"/>
      <c r="T76" s="769"/>
      <c r="U76" s="129" t="s">
        <v>215</v>
      </c>
      <c r="V76" s="885">
        <f>O48</f>
        <v>3</v>
      </c>
      <c r="W76" s="885"/>
      <c r="Y76" s="541" t="s">
        <v>215</v>
      </c>
      <c r="Z76" s="140">
        <v>1</v>
      </c>
      <c r="AA76" s="31"/>
      <c r="AB76" s="541" t="s">
        <v>8</v>
      </c>
      <c r="AC76" s="763">
        <f>R76*V76/R77*Z76/Z77</f>
        <v>237.16551724137929</v>
      </c>
      <c r="AD76" s="764"/>
      <c r="AE76" s="765"/>
      <c r="AF76" s="730" t="s">
        <v>426</v>
      </c>
      <c r="AG76" s="12"/>
      <c r="AH76" s="12"/>
      <c r="AI76" s="14"/>
    </row>
    <row r="77" spans="3:35">
      <c r="C77" s="11"/>
      <c r="F77" s="557"/>
      <c r="G77" s="557"/>
      <c r="H77" s="541"/>
      <c r="I77" s="870">
        <v>2</v>
      </c>
      <c r="J77" s="870"/>
      <c r="K77" s="870"/>
      <c r="L77" s="541"/>
      <c r="M77" s="660" t="s">
        <v>110</v>
      </c>
      <c r="N77" s="660"/>
      <c r="Q77" s="541"/>
      <c r="R77" s="870">
        <f>I77</f>
        <v>2</v>
      </c>
      <c r="S77" s="870"/>
      <c r="T77" s="870"/>
      <c r="U77" s="870"/>
      <c r="V77" s="870"/>
      <c r="W77" s="870"/>
      <c r="Y77" s="541"/>
      <c r="Z77" s="248">
        <f>V68</f>
        <v>1</v>
      </c>
      <c r="AA77" s="31"/>
      <c r="AB77" s="541"/>
      <c r="AC77" s="766"/>
      <c r="AD77" s="767"/>
      <c r="AE77" s="768"/>
      <c r="AF77" s="730"/>
      <c r="AG77" s="12"/>
      <c r="AH77" s="12"/>
      <c r="AI77" s="14"/>
    </row>
    <row r="78" spans="3:35">
      <c r="C78" s="11"/>
      <c r="D78" s="12"/>
      <c r="M78" s="12"/>
      <c r="X78" s="12"/>
      <c r="Y78" s="12"/>
      <c r="Z78" s="12"/>
      <c r="AA78" s="12"/>
      <c r="AB78" s="12"/>
      <c r="AC78" s="12"/>
      <c r="AD78" s="12"/>
      <c r="AE78" s="12"/>
      <c r="AF78" s="12"/>
      <c r="AG78" s="12"/>
      <c r="AH78" s="12"/>
      <c r="AI78" s="14"/>
    </row>
    <row r="79" spans="3:35">
      <c r="C79" s="236" t="s">
        <v>548</v>
      </c>
      <c r="D79" s="155"/>
      <c r="E79" s="106"/>
      <c r="F79" s="106"/>
      <c r="G79" s="106"/>
      <c r="H79" s="106"/>
      <c r="I79" s="106"/>
      <c r="J79" s="106"/>
      <c r="K79" s="106"/>
      <c r="L79" s="106"/>
      <c r="M79" s="106"/>
      <c r="N79" s="106"/>
      <c r="O79" s="228"/>
      <c r="P79" s="228"/>
      <c r="Q79" s="106"/>
      <c r="R79" s="106"/>
      <c r="S79" s="106"/>
      <c r="T79" s="106"/>
      <c r="U79" s="106"/>
      <c r="V79" s="106"/>
      <c r="W79" s="106"/>
      <c r="X79" s="106"/>
      <c r="Y79" s="106"/>
      <c r="Z79" s="106"/>
      <c r="AA79" s="106"/>
      <c r="AB79" s="106"/>
      <c r="AC79" s="106"/>
      <c r="AD79" s="106"/>
      <c r="AE79" s="106"/>
      <c r="AF79" s="106"/>
      <c r="AG79" s="106"/>
      <c r="AH79" s="106"/>
      <c r="AI79" s="107"/>
    </row>
    <row r="80" spans="3:35">
      <c r="C80" s="131"/>
      <c r="D80" s="106"/>
      <c r="E80" s="12" t="s">
        <v>539</v>
      </c>
      <c r="F80" s="106"/>
      <c r="G80" s="106"/>
      <c r="H80" s="243"/>
      <c r="I80" s="243"/>
      <c r="R80" s="243"/>
      <c r="S80" s="106"/>
      <c r="T80" s="106"/>
      <c r="U80" s="106"/>
      <c r="V80" s="106"/>
      <c r="W80" s="106"/>
      <c r="X80" s="106"/>
      <c r="Y80" s="106"/>
      <c r="Z80" s="106"/>
      <c r="AA80" s="106"/>
      <c r="AB80" s="106"/>
      <c r="AC80" s="106"/>
      <c r="AD80" s="106"/>
      <c r="AE80" s="106"/>
      <c r="AF80" s="106"/>
      <c r="AG80" s="106"/>
      <c r="AH80" s="106"/>
      <c r="AI80" s="107"/>
    </row>
    <row r="81" spans="2:35" ht="20.25" customHeight="1">
      <c r="C81" s="131"/>
      <c r="D81" s="106"/>
      <c r="E81" s="106"/>
      <c r="F81" s="371" t="s">
        <v>549</v>
      </c>
      <c r="G81" s="371"/>
      <c r="H81" s="106" t="s">
        <v>8</v>
      </c>
      <c r="I81" s="1" t="s">
        <v>216</v>
      </c>
      <c r="J81" s="371" t="s">
        <v>550</v>
      </c>
      <c r="K81" s="371"/>
      <c r="L81" s="106" t="s">
        <v>344</v>
      </c>
      <c r="M81" s="880" t="s">
        <v>184</v>
      </c>
      <c r="N81" s="880"/>
      <c r="O81" s="106" t="s">
        <v>213</v>
      </c>
      <c r="P81" s="371" t="s">
        <v>536</v>
      </c>
      <c r="Q81" s="371"/>
      <c r="R81" s="106" t="s">
        <v>218</v>
      </c>
      <c r="S81" s="106" t="s">
        <v>236</v>
      </c>
      <c r="T81" s="247" t="s">
        <v>110</v>
      </c>
      <c r="U81" s="106"/>
      <c r="V81" s="106"/>
      <c r="W81" s="106"/>
      <c r="X81" s="106"/>
      <c r="Y81" s="106"/>
      <c r="Z81" s="106"/>
      <c r="AA81" s="106"/>
      <c r="AB81" s="106"/>
      <c r="AC81" s="106"/>
      <c r="AD81" s="106"/>
      <c r="AE81" s="106"/>
      <c r="AF81" s="106"/>
      <c r="AG81" s="106"/>
      <c r="AH81" s="106"/>
      <c r="AI81" s="107"/>
    </row>
    <row r="82" spans="2:35" ht="20.25" customHeight="1">
      <c r="C82" s="131"/>
      <c r="D82" s="106"/>
      <c r="E82" s="106"/>
      <c r="F82" s="106"/>
      <c r="G82" s="106"/>
      <c r="H82" s="106" t="s">
        <v>8</v>
      </c>
      <c r="I82" s="1" t="s">
        <v>216</v>
      </c>
      <c r="J82" s="881">
        <f>J31</f>
        <v>98.131034482758622</v>
      </c>
      <c r="K82" s="881"/>
      <c r="L82" s="881"/>
      <c r="M82" s="106" t="s">
        <v>344</v>
      </c>
      <c r="N82" s="881">
        <f>J61</f>
        <v>2.25</v>
      </c>
      <c r="O82" s="881"/>
      <c r="P82" s="106" t="s">
        <v>213</v>
      </c>
      <c r="Q82" s="882">
        <f>P63</f>
        <v>150</v>
      </c>
      <c r="R82" s="882"/>
      <c r="S82" s="882"/>
      <c r="T82" s="106" t="s">
        <v>218</v>
      </c>
      <c r="U82" s="106" t="s">
        <v>236</v>
      </c>
      <c r="V82" s="879">
        <f>'1.設計条件'!Q73</f>
        <v>1</v>
      </c>
      <c r="W82" s="879"/>
      <c r="Y82" s="106"/>
      <c r="Z82" s="106"/>
      <c r="AA82" s="106"/>
      <c r="AB82" s="106"/>
      <c r="AC82" s="106"/>
      <c r="AD82" s="106"/>
      <c r="AE82" s="106"/>
      <c r="AF82" s="106"/>
      <c r="AG82" s="106"/>
      <c r="AH82" s="106"/>
      <c r="AI82" s="107"/>
    </row>
    <row r="83" spans="2:35">
      <c r="C83" s="131"/>
      <c r="D83" s="106"/>
      <c r="E83" s="106"/>
      <c r="F83" s="106"/>
      <c r="G83" s="106"/>
      <c r="H83" s="106" t="s">
        <v>8</v>
      </c>
      <c r="I83" s="883">
        <f>(J82*N82+Q82)/V82</f>
        <v>370.79482758620691</v>
      </c>
      <c r="J83" s="906"/>
      <c r="K83" s="884"/>
      <c r="L83" s="106" t="s">
        <v>426</v>
      </c>
      <c r="M83" s="106"/>
      <c r="N83" s="106"/>
      <c r="Y83" s="106"/>
      <c r="Z83" s="106"/>
      <c r="AA83" s="106"/>
      <c r="AB83" s="106"/>
      <c r="AC83" s="106"/>
      <c r="AD83" s="106"/>
      <c r="AE83" s="106"/>
      <c r="AF83" s="106"/>
      <c r="AG83" s="106"/>
      <c r="AH83" s="106"/>
      <c r="AI83" s="107"/>
    </row>
    <row r="84" spans="2:35">
      <c r="C84" s="131"/>
      <c r="D84" s="106"/>
      <c r="E84" s="106"/>
      <c r="F84" s="106"/>
      <c r="G84" s="106"/>
      <c r="H84" s="106"/>
      <c r="I84" s="106"/>
      <c r="J84" s="106"/>
      <c r="K84" s="106"/>
      <c r="L84" s="106"/>
      <c r="M84" s="106"/>
      <c r="N84" s="106"/>
      <c r="O84" s="228"/>
      <c r="P84" s="228"/>
      <c r="Q84" s="106"/>
      <c r="R84" s="106"/>
      <c r="S84" s="106"/>
      <c r="T84" s="106"/>
      <c r="U84" s="106"/>
      <c r="V84" s="106"/>
      <c r="W84" s="106"/>
      <c r="X84" s="106"/>
      <c r="Y84" s="106"/>
      <c r="Z84" s="106"/>
      <c r="AA84" s="106"/>
      <c r="AB84" s="106"/>
      <c r="AC84" s="106"/>
      <c r="AD84" s="106"/>
      <c r="AE84" s="106"/>
      <c r="AF84" s="106"/>
      <c r="AG84" s="106"/>
      <c r="AH84" s="106"/>
      <c r="AI84" s="107"/>
    </row>
    <row r="85" spans="2:35">
      <c r="C85" s="11"/>
      <c r="E85" s="12" t="s">
        <v>542</v>
      </c>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4"/>
    </row>
    <row r="86" spans="2:35" ht="20.25">
      <c r="C86" s="11"/>
      <c r="D86" s="12"/>
      <c r="F86" s="557" t="s">
        <v>551</v>
      </c>
      <c r="G86" s="557"/>
      <c r="H86" s="541" t="s">
        <v>8</v>
      </c>
      <c r="I86" s="231" t="s">
        <v>552</v>
      </c>
      <c r="J86" s="232" t="s">
        <v>344</v>
      </c>
      <c r="K86" s="129" t="s">
        <v>350</v>
      </c>
      <c r="L86" s="231" t="s">
        <v>444</v>
      </c>
      <c r="M86" s="541" t="s">
        <v>215</v>
      </c>
      <c r="N86" s="656">
        <v>1</v>
      </c>
      <c r="O86" s="656"/>
      <c r="Q86" s="541" t="s">
        <v>8</v>
      </c>
      <c r="R86" s="769">
        <f>J31</f>
        <v>98.131034482758622</v>
      </c>
      <c r="S86" s="769"/>
      <c r="T86" s="769"/>
      <c r="U86" s="129" t="s">
        <v>215</v>
      </c>
      <c r="V86" s="885">
        <f>O48</f>
        <v>3</v>
      </c>
      <c r="W86" s="885"/>
      <c r="X86" s="130" t="s">
        <v>545</v>
      </c>
      <c r="Y86" s="541" t="s">
        <v>215</v>
      </c>
      <c r="Z86" s="140">
        <v>1</v>
      </c>
      <c r="AB86" s="541" t="s">
        <v>8</v>
      </c>
      <c r="AC86" s="763">
        <f>R86*V86^2/R87</f>
        <v>110.39741379310345</v>
      </c>
      <c r="AD86" s="764"/>
      <c r="AE86" s="765"/>
      <c r="AF86" s="871" t="s">
        <v>445</v>
      </c>
      <c r="AG86" s="872"/>
      <c r="AH86" s="872"/>
      <c r="AI86" s="14"/>
    </row>
    <row r="87" spans="2:35">
      <c r="C87" s="11"/>
      <c r="D87" s="12"/>
      <c r="F87" s="557"/>
      <c r="G87" s="557"/>
      <c r="H87" s="541"/>
      <c r="I87" s="870">
        <v>8</v>
      </c>
      <c r="J87" s="870"/>
      <c r="K87" s="870"/>
      <c r="L87" s="870"/>
      <c r="M87" s="541"/>
      <c r="N87" s="660" t="s">
        <v>110</v>
      </c>
      <c r="O87" s="660"/>
      <c r="Q87" s="541"/>
      <c r="R87" s="870">
        <f>I87</f>
        <v>8</v>
      </c>
      <c r="S87" s="870"/>
      <c r="T87" s="870"/>
      <c r="U87" s="870"/>
      <c r="V87" s="870"/>
      <c r="W87" s="870"/>
      <c r="Y87" s="541"/>
      <c r="Z87" s="248">
        <f>V82</f>
        <v>1</v>
      </c>
      <c r="AB87" s="541"/>
      <c r="AC87" s="766"/>
      <c r="AD87" s="767"/>
      <c r="AE87" s="768"/>
      <c r="AF87" s="871"/>
      <c r="AG87" s="872"/>
      <c r="AH87" s="872"/>
      <c r="AI87" s="14"/>
    </row>
    <row r="88" spans="2:35">
      <c r="C88" s="11"/>
      <c r="D88" s="12"/>
      <c r="E88" s="12"/>
      <c r="F88" s="12"/>
      <c r="G88" s="12"/>
      <c r="M88" s="12"/>
      <c r="N88" s="12"/>
      <c r="O88" s="12"/>
      <c r="P88" s="12"/>
      <c r="Q88" s="12"/>
      <c r="X88" s="12"/>
      <c r="Y88" s="12"/>
      <c r="Z88" s="12"/>
      <c r="AA88" s="12"/>
      <c r="AB88" s="12"/>
      <c r="AC88" s="12"/>
      <c r="AD88" s="12"/>
      <c r="AE88" s="12"/>
      <c r="AF88" s="12"/>
      <c r="AG88" s="12"/>
      <c r="AH88" s="12"/>
      <c r="AI88" s="14"/>
    </row>
    <row r="89" spans="2:35">
      <c r="C89" s="11"/>
      <c r="D89" s="12"/>
      <c r="E89" s="12" t="s">
        <v>546</v>
      </c>
      <c r="F89" s="12"/>
      <c r="G89" s="12"/>
      <c r="H89" s="12"/>
      <c r="I89" s="12"/>
      <c r="J89" s="12"/>
      <c r="K89" s="12"/>
      <c r="L89" s="12"/>
      <c r="M89" s="12"/>
      <c r="N89" s="12"/>
      <c r="O89" s="12"/>
      <c r="P89" s="12"/>
      <c r="Q89" s="12"/>
      <c r="AG89" s="12"/>
      <c r="AH89" s="12"/>
      <c r="AI89" s="14"/>
    </row>
    <row r="90" spans="2:35">
      <c r="C90" s="11"/>
      <c r="D90" s="12"/>
      <c r="E90" s="12"/>
      <c r="F90" s="557" t="s">
        <v>553</v>
      </c>
      <c r="G90" s="557"/>
      <c r="H90" s="541" t="s">
        <v>8</v>
      </c>
      <c r="I90" s="231" t="s">
        <v>552</v>
      </c>
      <c r="J90" s="232" t="s">
        <v>344</v>
      </c>
      <c r="K90" s="129" t="s">
        <v>350</v>
      </c>
      <c r="L90" s="541" t="s">
        <v>215</v>
      </c>
      <c r="M90" s="656">
        <v>1</v>
      </c>
      <c r="N90" s="656"/>
      <c r="Q90" s="541" t="s">
        <v>8</v>
      </c>
      <c r="R90" s="769">
        <f>J31</f>
        <v>98.131034482758622</v>
      </c>
      <c r="S90" s="769"/>
      <c r="T90" s="769"/>
      <c r="U90" s="129" t="s">
        <v>215</v>
      </c>
      <c r="V90" s="885">
        <f>O48</f>
        <v>3</v>
      </c>
      <c r="W90" s="885"/>
      <c r="X90" s="16"/>
      <c r="Y90" s="541" t="s">
        <v>215</v>
      </c>
      <c r="Z90" s="140">
        <v>1</v>
      </c>
      <c r="AA90" s="31"/>
      <c r="AB90" s="541" t="s">
        <v>8</v>
      </c>
      <c r="AC90" s="763">
        <f>R90*V90/R91</f>
        <v>147.19655172413792</v>
      </c>
      <c r="AD90" s="764"/>
      <c r="AE90" s="765"/>
      <c r="AF90" s="730" t="s">
        <v>426</v>
      </c>
      <c r="AG90" s="12"/>
      <c r="AH90" s="12"/>
      <c r="AI90" s="14"/>
    </row>
    <row r="91" spans="2:35">
      <c r="C91" s="11"/>
      <c r="F91" s="557"/>
      <c r="G91" s="557"/>
      <c r="H91" s="541"/>
      <c r="I91" s="870">
        <v>2</v>
      </c>
      <c r="J91" s="870"/>
      <c r="K91" s="870"/>
      <c r="L91" s="541"/>
      <c r="M91" s="660" t="s">
        <v>110</v>
      </c>
      <c r="N91" s="660"/>
      <c r="Q91" s="541"/>
      <c r="R91" s="870">
        <f>I91</f>
        <v>2</v>
      </c>
      <c r="S91" s="870"/>
      <c r="T91" s="870"/>
      <c r="U91" s="870"/>
      <c r="V91" s="870"/>
      <c r="W91" s="870"/>
      <c r="Y91" s="541"/>
      <c r="Z91" s="248">
        <f>V82</f>
        <v>1</v>
      </c>
      <c r="AA91" s="31"/>
      <c r="AB91" s="541"/>
      <c r="AC91" s="766"/>
      <c r="AD91" s="767"/>
      <c r="AE91" s="768"/>
      <c r="AF91" s="730"/>
      <c r="AG91" s="12"/>
      <c r="AH91" s="12"/>
      <c r="AI91" s="14"/>
    </row>
    <row r="92" spans="2:35">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8"/>
    </row>
    <row r="94" spans="2:35" s="205" customFormat="1">
      <c r="B94" s="205" t="s">
        <v>554</v>
      </c>
      <c r="W94" t="s">
        <v>555</v>
      </c>
    </row>
    <row r="95" spans="2:35">
      <c r="C95" s="8" t="s">
        <v>556</v>
      </c>
      <c r="D95" s="9"/>
      <c r="E95" s="9"/>
      <c r="F95" s="9"/>
      <c r="G95" s="9"/>
      <c r="H95" s="9"/>
      <c r="I95" s="9"/>
      <c r="J95" s="9"/>
      <c r="K95" s="9"/>
      <c r="L95" s="9"/>
      <c r="M95" s="9"/>
      <c r="N95" s="9"/>
      <c r="O95" s="9"/>
      <c r="P95" s="9"/>
      <c r="Q95" s="9"/>
      <c r="R95" s="9"/>
      <c r="S95" s="9"/>
      <c r="T95" s="9"/>
      <c r="U95" s="9"/>
      <c r="V95" s="9"/>
      <c r="W95" s="3" t="s">
        <v>557</v>
      </c>
      <c r="X95" s="9"/>
      <c r="Y95" s="9"/>
      <c r="Z95" s="9"/>
      <c r="AA95" s="9"/>
      <c r="AB95" s="9"/>
      <c r="AC95" s="9"/>
      <c r="AD95" s="9"/>
      <c r="AE95" s="9"/>
      <c r="AF95" s="9"/>
      <c r="AG95" s="9"/>
      <c r="AH95" s="9"/>
      <c r="AI95" s="10"/>
    </row>
    <row r="96" spans="2:35">
      <c r="C96" s="11"/>
      <c r="D96" s="12"/>
      <c r="E96" s="12"/>
      <c r="F96" s="12"/>
      <c r="G96" s="12"/>
      <c r="H96" s="12"/>
      <c r="I96" s="12"/>
      <c r="J96" s="12"/>
      <c r="K96" s="12"/>
      <c r="L96" s="12"/>
      <c r="M96" s="12"/>
      <c r="N96" s="12"/>
      <c r="O96" s="12"/>
      <c r="P96" s="12"/>
      <c r="Q96" s="12"/>
      <c r="R96" s="12"/>
      <c r="S96" s="12"/>
      <c r="T96" s="12"/>
      <c r="U96" s="12"/>
      <c r="V96" s="12"/>
      <c r="X96" s="12"/>
      <c r="Y96" s="12"/>
      <c r="Z96" s="12"/>
      <c r="AA96" s="12"/>
      <c r="AB96" s="12"/>
      <c r="AC96" s="12"/>
      <c r="AD96" s="12"/>
      <c r="AE96" s="12"/>
      <c r="AF96" s="12"/>
      <c r="AG96" s="12"/>
      <c r="AH96" s="12"/>
      <c r="AI96" s="14"/>
    </row>
    <row r="97" spans="3:35">
      <c r="C97" s="11"/>
      <c r="D97" s="1" t="s">
        <v>558</v>
      </c>
      <c r="AI97" s="14"/>
    </row>
    <row r="98" spans="3:35">
      <c r="C98" s="11"/>
      <c r="AI98" s="14"/>
    </row>
    <row r="99" spans="3:35">
      <c r="C99" s="11"/>
      <c r="E99" s="12" t="s">
        <v>559</v>
      </c>
      <c r="F99" s="12"/>
      <c r="G99" s="12"/>
      <c r="H99" s="12"/>
      <c r="I99" s="12"/>
      <c r="J99" s="12"/>
      <c r="K99" s="12"/>
      <c r="L99" s="12"/>
      <c r="M99" s="12"/>
      <c r="N99" s="12"/>
      <c r="O99" s="12"/>
      <c r="P99" s="12"/>
      <c r="Q99" s="12"/>
      <c r="R99" s="12"/>
      <c r="S99" s="12"/>
      <c r="T99" s="12"/>
      <c r="U99" s="12"/>
      <c r="V99" s="12"/>
      <c r="W99"/>
      <c r="X99" s="12"/>
      <c r="Y99" s="12"/>
      <c r="Z99" s="12"/>
      <c r="AA99" s="12"/>
      <c r="AB99" s="12"/>
      <c r="AC99" s="12"/>
      <c r="AI99" s="14"/>
    </row>
    <row r="100" spans="3:35">
      <c r="C100" s="11"/>
      <c r="D100" s="12"/>
      <c r="E100" s="12"/>
      <c r="F100" s="777" t="s">
        <v>560</v>
      </c>
      <c r="G100" s="777"/>
      <c r="H100" s="541" t="s">
        <v>213</v>
      </c>
      <c r="I100" s="16"/>
      <c r="J100" s="16"/>
      <c r="K100" s="16"/>
      <c r="L100" s="16"/>
      <c r="M100" s="777" t="s">
        <v>561</v>
      </c>
      <c r="N100" s="777"/>
      <c r="O100" s="16"/>
      <c r="P100" s="16"/>
      <c r="Q100" s="16"/>
      <c r="R100" s="16"/>
      <c r="S100" s="541" t="s">
        <v>213</v>
      </c>
      <c r="T100" s="16"/>
      <c r="U100" s="16"/>
      <c r="V100" s="16"/>
      <c r="W100" s="16"/>
      <c r="X100" s="777" t="s">
        <v>562</v>
      </c>
      <c r="Y100" s="777"/>
      <c r="Z100" s="16"/>
      <c r="AA100" s="16"/>
      <c r="AB100" s="16"/>
      <c r="AC100" s="16"/>
      <c r="AE100" s="868" t="s">
        <v>563</v>
      </c>
      <c r="AF100" s="869">
        <v>1</v>
      </c>
      <c r="AI100" s="14"/>
    </row>
    <row r="101" spans="3:35">
      <c r="C101" s="11"/>
      <c r="D101" s="12"/>
      <c r="E101" s="12"/>
      <c r="F101" s="371" t="s">
        <v>564</v>
      </c>
      <c r="G101" s="371"/>
      <c r="H101" s="541"/>
      <c r="I101" s="371" t="s">
        <v>565</v>
      </c>
      <c r="J101" s="371"/>
      <c r="K101" s="40" t="s">
        <v>566</v>
      </c>
      <c r="L101" s="12" t="s">
        <v>438</v>
      </c>
      <c r="M101" s="371" t="s">
        <v>560</v>
      </c>
      <c r="N101" s="371"/>
      <c r="O101" s="12" t="s">
        <v>236</v>
      </c>
      <c r="P101" s="371" t="s">
        <v>567</v>
      </c>
      <c r="Q101" s="371"/>
      <c r="R101" s="12" t="s">
        <v>218</v>
      </c>
      <c r="S101" s="541"/>
      <c r="T101" s="371" t="s">
        <v>568</v>
      </c>
      <c r="U101" s="371"/>
      <c r="V101" s="40" t="s">
        <v>566</v>
      </c>
      <c r="W101" s="12" t="s">
        <v>438</v>
      </c>
      <c r="X101" s="371" t="s">
        <v>560</v>
      </c>
      <c r="Y101" s="371"/>
      <c r="Z101" s="12" t="s">
        <v>236</v>
      </c>
      <c r="AA101" s="371" t="s">
        <v>569</v>
      </c>
      <c r="AB101" s="371"/>
      <c r="AC101" s="12" t="s">
        <v>218</v>
      </c>
      <c r="AE101" s="868"/>
      <c r="AF101" s="869"/>
      <c r="AI101" s="14"/>
    </row>
    <row r="102" spans="3:35">
      <c r="C102" s="11"/>
      <c r="AI102" s="14"/>
    </row>
    <row r="103" spans="3:35">
      <c r="C103" s="11"/>
      <c r="AI103" s="14"/>
    </row>
    <row r="104" spans="3:35">
      <c r="C104" s="11"/>
      <c r="E104" s="12" t="s">
        <v>570</v>
      </c>
      <c r="F104" s="12"/>
      <c r="G104" s="12"/>
      <c r="H104" s="12"/>
      <c r="I104" s="12"/>
      <c r="J104" s="12"/>
      <c r="K104" s="12"/>
      <c r="L104" s="12"/>
      <c r="M104" s="12"/>
      <c r="N104" s="12"/>
      <c r="O104" s="12"/>
      <c r="P104" s="12"/>
      <c r="Q104" s="12"/>
      <c r="R104" s="12"/>
      <c r="S104" s="12"/>
      <c r="T104" s="12"/>
      <c r="U104" s="12"/>
      <c r="V104" s="12"/>
      <c r="W104"/>
      <c r="X104" s="12"/>
      <c r="Y104" s="12"/>
      <c r="AI104" s="14"/>
    </row>
    <row r="105" spans="3:35" ht="20.25" customHeight="1">
      <c r="C105" s="11"/>
      <c r="D105" s="12"/>
      <c r="E105" s="12"/>
      <c r="F105" s="557" t="s">
        <v>560</v>
      </c>
      <c r="G105" s="557"/>
      <c r="H105" s="541" t="s">
        <v>213</v>
      </c>
      <c r="I105" s="16"/>
      <c r="J105" s="16"/>
      <c r="K105" s="16"/>
      <c r="L105" s="777" t="s">
        <v>561</v>
      </c>
      <c r="M105" s="777"/>
      <c r="N105" s="16"/>
      <c r="O105" s="16"/>
      <c r="P105" s="16"/>
      <c r="Q105" s="541" t="s">
        <v>213</v>
      </c>
      <c r="R105" s="16"/>
      <c r="S105" s="16"/>
      <c r="T105" s="16"/>
      <c r="U105" s="777" t="s">
        <v>562</v>
      </c>
      <c r="V105" s="777"/>
      <c r="W105" s="16"/>
      <c r="X105" s="16"/>
      <c r="Y105" s="16"/>
      <c r="AB105" s="868" t="s">
        <v>563</v>
      </c>
      <c r="AC105" s="557" t="s">
        <v>571</v>
      </c>
      <c r="AD105" s="557"/>
      <c r="AI105" s="14"/>
    </row>
    <row r="106" spans="3:35">
      <c r="C106" s="11"/>
      <c r="D106" s="12"/>
      <c r="E106" s="12"/>
      <c r="F106" s="557"/>
      <c r="G106" s="557"/>
      <c r="H106" s="541"/>
      <c r="I106" s="12" t="s">
        <v>566</v>
      </c>
      <c r="J106" s="12" t="s">
        <v>438</v>
      </c>
      <c r="K106" s="371" t="s">
        <v>560</v>
      </c>
      <c r="L106" s="371"/>
      <c r="M106" s="12" t="s">
        <v>236</v>
      </c>
      <c r="N106" s="371" t="s">
        <v>567</v>
      </c>
      <c r="O106" s="371"/>
      <c r="P106" s="12" t="s">
        <v>218</v>
      </c>
      <c r="Q106" s="541"/>
      <c r="R106" s="12" t="s">
        <v>566</v>
      </c>
      <c r="S106" s="12" t="s">
        <v>438</v>
      </c>
      <c r="T106" s="371" t="s">
        <v>560</v>
      </c>
      <c r="U106" s="371"/>
      <c r="V106" s="12" t="s">
        <v>236</v>
      </c>
      <c r="W106" s="371" t="s">
        <v>569</v>
      </c>
      <c r="X106" s="371"/>
      <c r="Y106" s="12" t="s">
        <v>218</v>
      </c>
      <c r="AB106" s="868"/>
      <c r="AC106" s="557"/>
      <c r="AD106" s="557"/>
      <c r="AI106" s="14"/>
    </row>
    <row r="107" spans="3:35">
      <c r="C107" s="11"/>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4"/>
    </row>
    <row r="108" spans="3:35">
      <c r="C108" s="11"/>
      <c r="D108" s="12"/>
      <c r="E108" s="12" t="s">
        <v>330</v>
      </c>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4"/>
    </row>
    <row r="109" spans="3:35" ht="20.25">
      <c r="C109" s="11"/>
      <c r="D109" s="12"/>
      <c r="E109" s="8"/>
      <c r="F109" s="9"/>
      <c r="G109" s="610" t="s">
        <v>560</v>
      </c>
      <c r="H109" s="610"/>
      <c r="I109" s="9" t="s">
        <v>572</v>
      </c>
      <c r="J109" s="9"/>
      <c r="K109" s="9"/>
      <c r="L109" s="9"/>
      <c r="M109" s="9"/>
      <c r="N109" s="9"/>
      <c r="O109" s="9"/>
      <c r="P109" s="9"/>
      <c r="Q109" s="9"/>
      <c r="R109" s="9"/>
      <c r="S109" s="9"/>
      <c r="T109" s="9"/>
      <c r="U109" s="9"/>
      <c r="V109" s="9"/>
      <c r="W109" s="3"/>
      <c r="X109" s="9"/>
      <c r="Y109" s="9"/>
      <c r="Z109" s="9"/>
      <c r="AA109" s="9"/>
      <c r="AB109" s="9"/>
      <c r="AC109" s="9"/>
      <c r="AD109" s="9"/>
      <c r="AE109" s="9"/>
      <c r="AF109" s="9"/>
      <c r="AG109" s="9"/>
      <c r="AH109" s="10"/>
      <c r="AI109" s="14"/>
    </row>
    <row r="110" spans="3:35">
      <c r="C110" s="11"/>
      <c r="D110" s="12"/>
      <c r="E110" s="11"/>
      <c r="F110" s="12"/>
      <c r="G110" s="821" t="s">
        <v>560</v>
      </c>
      <c r="H110" s="821"/>
      <c r="I110" s="541" t="s">
        <v>8</v>
      </c>
      <c r="J110" s="149" t="s">
        <v>573</v>
      </c>
      <c r="K110" s="33"/>
      <c r="L110" s="12"/>
      <c r="M110" s="541" t="s">
        <v>8</v>
      </c>
      <c r="N110" s="529">
        <f>I69</f>
        <v>505.74827586206897</v>
      </c>
      <c r="O110" s="529"/>
      <c r="P110" s="529"/>
      <c r="Q110" s="16" t="s">
        <v>215</v>
      </c>
      <c r="R110" s="656">
        <v>1000</v>
      </c>
      <c r="S110" s="656"/>
      <c r="T110" s="12"/>
      <c r="U110" s="541" t="s">
        <v>8</v>
      </c>
      <c r="V110" s="594">
        <f>N110*R110/N111/R111</f>
        <v>32.649985530152932</v>
      </c>
      <c r="W110" s="595"/>
      <c r="X110" s="12"/>
      <c r="Y110" s="12"/>
      <c r="Z110" s="12"/>
      <c r="AA110" s="12"/>
      <c r="AB110" s="12"/>
      <c r="AC110" s="12"/>
      <c r="AD110" s="12"/>
      <c r="AE110" s="12"/>
      <c r="AF110" s="12"/>
      <c r="AG110" s="12"/>
      <c r="AH110" s="14"/>
      <c r="AI110" s="14"/>
    </row>
    <row r="111" spans="3:35">
      <c r="C111" s="11"/>
      <c r="D111" s="12"/>
      <c r="E111" s="11"/>
      <c r="F111" s="12"/>
      <c r="G111" s="821"/>
      <c r="H111" s="821"/>
      <c r="I111" s="541"/>
      <c r="J111" s="34" t="s">
        <v>118</v>
      </c>
      <c r="K111" s="12"/>
      <c r="L111" s="12"/>
      <c r="M111" s="541"/>
      <c r="N111" s="604">
        <f>'1.設計条件'!N79</f>
        <v>154.9</v>
      </c>
      <c r="O111" s="604"/>
      <c r="P111" s="604"/>
      <c r="Q111" s="12" t="s">
        <v>215</v>
      </c>
      <c r="R111" s="576">
        <v>100</v>
      </c>
      <c r="S111" s="576"/>
      <c r="T111" s="12"/>
      <c r="U111" s="541"/>
      <c r="V111" s="596"/>
      <c r="W111" s="597"/>
      <c r="X111" s="12"/>
      <c r="Y111" s="12"/>
      <c r="Z111" s="12"/>
      <c r="AA111" s="12"/>
      <c r="AB111" s="12"/>
      <c r="AC111" s="12"/>
      <c r="AD111" s="12"/>
      <c r="AE111" s="12"/>
      <c r="AF111" s="12"/>
      <c r="AG111" s="12"/>
      <c r="AH111" s="14"/>
      <c r="AI111" s="14"/>
    </row>
    <row r="112" spans="3:35">
      <c r="C112" s="11"/>
      <c r="D112" s="12"/>
      <c r="E112" s="15"/>
      <c r="F112" s="16"/>
      <c r="G112" s="156"/>
      <c r="H112" s="156"/>
      <c r="I112" s="157"/>
      <c r="J112" s="139"/>
      <c r="K112" s="16"/>
      <c r="L112" s="16"/>
      <c r="M112" s="157"/>
      <c r="N112" s="138"/>
      <c r="O112" s="138"/>
      <c r="P112" s="138"/>
      <c r="Q112" s="16"/>
      <c r="R112" s="140"/>
      <c r="S112" s="140"/>
      <c r="T112" s="16"/>
      <c r="U112" s="157"/>
      <c r="V112" s="157"/>
      <c r="W112" s="157"/>
      <c r="X112" s="16"/>
      <c r="Y112" s="16"/>
      <c r="Z112" s="16"/>
      <c r="AA112" s="16"/>
      <c r="AB112" s="16"/>
      <c r="AC112" s="16"/>
      <c r="AD112" s="16"/>
      <c r="AE112" s="16"/>
      <c r="AF112" s="16"/>
      <c r="AG112" s="16"/>
      <c r="AH112" s="18"/>
      <c r="AI112" s="14"/>
    </row>
    <row r="113" spans="3:35">
      <c r="C113" s="11"/>
      <c r="D113" s="12"/>
      <c r="E113" s="12"/>
      <c r="F113" s="12"/>
      <c r="G113" s="148"/>
      <c r="H113" s="148"/>
      <c r="I113" s="27"/>
      <c r="J113" s="34"/>
      <c r="K113" s="12"/>
      <c r="L113" s="12"/>
      <c r="M113" s="27"/>
      <c r="N113" s="23"/>
      <c r="O113" s="23"/>
      <c r="P113" s="23"/>
      <c r="Q113" s="12"/>
      <c r="R113" s="26"/>
      <c r="S113" s="26"/>
      <c r="T113" s="12"/>
      <c r="U113" s="27"/>
      <c r="V113" s="27"/>
      <c r="W113" s="27"/>
      <c r="X113" s="12"/>
      <c r="Y113" s="12"/>
      <c r="Z113" s="12"/>
      <c r="AA113" s="12"/>
      <c r="AB113" s="12"/>
      <c r="AC113" s="12"/>
      <c r="AD113" s="12"/>
      <c r="AE113" s="12"/>
      <c r="AF113" s="12"/>
      <c r="AG113" s="12"/>
      <c r="AH113" s="12"/>
      <c r="AI113" s="14"/>
    </row>
    <row r="114" spans="3:35">
      <c r="C114" s="11"/>
      <c r="D114" s="12"/>
      <c r="E114" s="12"/>
      <c r="F114" s="12"/>
      <c r="G114" s="34"/>
      <c r="H114" s="34"/>
      <c r="I114" s="148"/>
      <c r="J114" s="148"/>
      <c r="K114" s="27"/>
      <c r="L114" s="34"/>
      <c r="M114" s="12"/>
      <c r="N114" s="12"/>
      <c r="O114" s="27"/>
      <c r="P114" s="23"/>
      <c r="Q114" s="23"/>
      <c r="R114" s="23"/>
      <c r="S114" s="12"/>
      <c r="T114" s="26"/>
      <c r="U114" s="26"/>
      <c r="V114" s="12"/>
      <c r="W114" s="27"/>
      <c r="X114" s="27"/>
      <c r="Y114" s="27"/>
      <c r="Z114" s="12"/>
      <c r="AA114" s="12"/>
      <c r="AB114" s="12"/>
      <c r="AC114" s="12"/>
      <c r="AD114" s="12"/>
      <c r="AE114" s="12"/>
      <c r="AF114" s="12"/>
      <c r="AG114" s="12"/>
      <c r="AH114" s="12"/>
      <c r="AI114" s="14"/>
    </row>
    <row r="115" spans="3:35">
      <c r="C115" s="11"/>
      <c r="D115" s="12"/>
      <c r="E115" s="902" t="s">
        <v>561</v>
      </c>
      <c r="F115" s="903"/>
      <c r="G115" s="901" t="s">
        <v>574</v>
      </c>
      <c r="H115" s="901"/>
      <c r="I115" s="904" t="s">
        <v>575</v>
      </c>
      <c r="J115" s="904"/>
      <c r="K115" s="904"/>
      <c r="L115" s="904"/>
      <c r="M115" s="904"/>
      <c r="N115" s="904"/>
      <c r="O115" s="904"/>
      <c r="P115" s="904"/>
      <c r="Q115" s="904"/>
      <c r="R115" s="904"/>
      <c r="S115" s="904"/>
      <c r="T115" s="904"/>
      <c r="U115" s="904"/>
      <c r="V115" s="904"/>
      <c r="W115" s="904"/>
      <c r="X115" s="904"/>
      <c r="Y115" s="904"/>
      <c r="Z115" s="904"/>
      <c r="AA115" s="904"/>
      <c r="AB115" s="904"/>
      <c r="AC115" s="904"/>
      <c r="AD115" s="904"/>
      <c r="AE115" s="904"/>
      <c r="AF115" s="904"/>
      <c r="AG115" s="904"/>
      <c r="AH115" s="905"/>
      <c r="AI115" s="158"/>
    </row>
    <row r="116" spans="3:35">
      <c r="C116" s="11"/>
      <c r="D116" s="12"/>
      <c r="E116" s="159"/>
      <c r="F116" s="141"/>
      <c r="G116" s="143"/>
      <c r="H116" s="143"/>
      <c r="I116" s="701" t="s">
        <v>576</v>
      </c>
      <c r="J116" s="701"/>
      <c r="K116" s="701"/>
      <c r="L116" s="701"/>
      <c r="M116" s="701"/>
      <c r="N116" s="701"/>
      <c r="O116" s="701"/>
      <c r="P116" s="701"/>
      <c r="Q116" s="701"/>
      <c r="R116" s="701"/>
      <c r="S116" s="701"/>
      <c r="T116" s="701"/>
      <c r="U116" s="701"/>
      <c r="V116" s="701"/>
      <c r="W116" s="701"/>
      <c r="X116" s="701"/>
      <c r="Y116" s="701"/>
      <c r="Z116" s="701"/>
      <c r="AA116" s="701"/>
      <c r="AB116" s="701"/>
      <c r="AC116" s="701"/>
      <c r="AD116" s="701"/>
      <c r="AE116" s="701"/>
      <c r="AF116" s="701"/>
      <c r="AG116" s="701"/>
      <c r="AH116" s="875"/>
      <c r="AI116" s="158"/>
    </row>
    <row r="117" spans="3:35">
      <c r="C117" s="11"/>
      <c r="D117" s="12"/>
      <c r="E117" s="159"/>
      <c r="F117" s="141"/>
      <c r="G117" s="821" t="s">
        <v>561</v>
      </c>
      <c r="H117" s="821"/>
      <c r="I117" s="541" t="s">
        <v>8</v>
      </c>
      <c r="J117" s="864" t="s">
        <v>443</v>
      </c>
      <c r="K117" s="864"/>
      <c r="L117" s="55"/>
      <c r="M117" s="541" t="s">
        <v>8</v>
      </c>
      <c r="N117" s="873">
        <f>AC72</f>
        <v>177.87413793103448</v>
      </c>
      <c r="O117" s="873"/>
      <c r="P117" s="873"/>
      <c r="Q117" s="16" t="s">
        <v>215</v>
      </c>
      <c r="R117" s="857">
        <v>1000000</v>
      </c>
      <c r="S117" s="857"/>
      <c r="T117" s="857"/>
      <c r="U117" s="12"/>
      <c r="V117" s="12"/>
      <c r="W117" s="12"/>
      <c r="X117" s="12"/>
      <c r="Y117" s="12"/>
      <c r="Z117" s="55"/>
      <c r="AA117" s="55"/>
      <c r="AB117" s="55"/>
      <c r="AC117" s="55"/>
      <c r="AD117" s="55"/>
      <c r="AE117" s="55"/>
      <c r="AF117" s="55"/>
      <c r="AG117" s="55"/>
      <c r="AH117" s="142"/>
      <c r="AI117" s="142"/>
    </row>
    <row r="118" spans="3:35">
      <c r="C118" s="11"/>
      <c r="D118" s="12"/>
      <c r="E118" s="159"/>
      <c r="F118" s="141"/>
      <c r="G118" s="821"/>
      <c r="H118" s="821"/>
      <c r="I118" s="541"/>
      <c r="J118" s="371" t="s">
        <v>123</v>
      </c>
      <c r="K118" s="371"/>
      <c r="L118" s="55"/>
      <c r="M118" s="541"/>
      <c r="N118" s="874">
        <f>'1.設計条件'!N82</f>
        <v>2000</v>
      </c>
      <c r="O118" s="874"/>
      <c r="P118" s="874"/>
      <c r="Q118" s="12" t="s">
        <v>215</v>
      </c>
      <c r="R118" s="576">
        <v>1000</v>
      </c>
      <c r="S118" s="576"/>
      <c r="T118" s="55"/>
      <c r="U118" s="12"/>
      <c r="V118" s="12"/>
      <c r="W118" s="12"/>
      <c r="X118" s="12"/>
      <c r="Y118" s="12"/>
      <c r="Z118" s="55"/>
      <c r="AA118" s="55"/>
      <c r="AB118" s="55"/>
      <c r="AC118" s="55"/>
      <c r="AD118" s="55"/>
      <c r="AE118" s="55"/>
      <c r="AF118" s="55"/>
      <c r="AG118" s="55"/>
      <c r="AH118" s="142"/>
      <c r="AI118" s="142"/>
    </row>
    <row r="119" spans="3:35">
      <c r="C119" s="11"/>
      <c r="D119" s="12"/>
      <c r="E119" s="159"/>
      <c r="F119" s="141"/>
      <c r="G119" s="148"/>
      <c r="H119" s="148"/>
      <c r="I119" s="541" t="s">
        <v>8</v>
      </c>
      <c r="J119" s="594">
        <f>N117*R117/N118/R118</f>
        <v>88.937068965517227</v>
      </c>
      <c r="K119" s="595"/>
      <c r="L119" s="55"/>
      <c r="M119" s="27"/>
      <c r="N119" s="146"/>
      <c r="O119" s="146"/>
      <c r="P119" s="146"/>
      <c r="Q119" s="12"/>
      <c r="R119" s="26"/>
      <c r="S119" s="26"/>
      <c r="T119" s="55"/>
      <c r="U119" s="27"/>
      <c r="V119" s="27"/>
      <c r="W119" s="27"/>
      <c r="X119" s="12"/>
      <c r="Y119" s="12"/>
      <c r="Z119" s="55"/>
      <c r="AA119" s="55"/>
      <c r="AB119" s="55"/>
      <c r="AC119" s="55"/>
      <c r="AD119" s="55"/>
      <c r="AE119" s="55"/>
      <c r="AF119" s="55"/>
      <c r="AG119" s="55"/>
      <c r="AH119" s="142"/>
      <c r="AI119" s="142"/>
    </row>
    <row r="120" spans="3:35">
      <c r="C120" s="11"/>
      <c r="D120" s="12"/>
      <c r="E120" s="159"/>
      <c r="F120" s="141"/>
      <c r="G120" s="148"/>
      <c r="H120" s="148"/>
      <c r="I120" s="541"/>
      <c r="J120" s="596"/>
      <c r="K120" s="597"/>
      <c r="L120" s="55"/>
      <c r="M120" s="27"/>
      <c r="N120" s="146"/>
      <c r="O120" s="146"/>
      <c r="P120" s="146"/>
      <c r="Q120" s="12"/>
      <c r="R120" s="26"/>
      <c r="S120" s="26"/>
      <c r="T120" s="55"/>
      <c r="U120" s="27"/>
      <c r="V120" s="27"/>
      <c r="W120" s="27"/>
      <c r="X120" s="12"/>
      <c r="Y120" s="12"/>
      <c r="Z120" s="55"/>
      <c r="AA120" s="55"/>
      <c r="AB120" s="55"/>
      <c r="AC120" s="55"/>
      <c r="AD120" s="55"/>
      <c r="AE120" s="55"/>
      <c r="AF120" s="55"/>
      <c r="AG120" s="55"/>
      <c r="AH120" s="142"/>
      <c r="AI120" s="142"/>
    </row>
    <row r="121" spans="3:35">
      <c r="C121" s="11"/>
      <c r="D121" s="12"/>
      <c r="E121" s="159"/>
      <c r="F121" s="141"/>
      <c r="G121" s="148"/>
      <c r="H121" s="148"/>
      <c r="I121" s="27"/>
      <c r="J121" s="34"/>
      <c r="K121" s="34"/>
      <c r="L121" s="55"/>
      <c r="M121" s="27"/>
      <c r="N121" s="146"/>
      <c r="O121" s="146"/>
      <c r="P121" s="146"/>
      <c r="Q121" s="12"/>
      <c r="R121" s="26"/>
      <c r="S121" s="26"/>
      <c r="T121" s="55"/>
      <c r="U121" s="27"/>
      <c r="V121" s="27"/>
      <c r="W121" s="27"/>
      <c r="X121" s="12"/>
      <c r="Y121" s="12"/>
      <c r="Z121" s="55"/>
      <c r="AA121" s="55"/>
      <c r="AB121" s="55"/>
      <c r="AC121" s="55"/>
      <c r="AD121" s="55"/>
      <c r="AE121" s="55"/>
      <c r="AF121" s="55"/>
      <c r="AG121" s="55"/>
      <c r="AH121" s="142"/>
      <c r="AI121" s="142"/>
    </row>
    <row r="122" spans="3:35">
      <c r="C122" s="11"/>
      <c r="D122" s="12"/>
      <c r="E122" s="159"/>
      <c r="F122" s="141"/>
      <c r="G122" s="876" t="s">
        <v>562</v>
      </c>
      <c r="H122" s="876"/>
      <c r="I122" s="55" t="s">
        <v>8</v>
      </c>
      <c r="J122" s="877">
        <v>0</v>
      </c>
      <c r="K122" s="878"/>
      <c r="L122" s="55"/>
      <c r="M122" s="27"/>
      <c r="N122" s="146"/>
      <c r="O122" s="146"/>
      <c r="P122" s="146"/>
      <c r="Q122" s="12"/>
      <c r="R122" s="26"/>
      <c r="S122" s="26"/>
      <c r="T122" s="55"/>
      <c r="U122" s="27"/>
      <c r="V122" s="27"/>
      <c r="W122" s="27"/>
      <c r="X122" s="12"/>
      <c r="Y122" s="12"/>
      <c r="Z122" s="55"/>
      <c r="AA122" s="55"/>
      <c r="AB122" s="55"/>
      <c r="AC122" s="55"/>
      <c r="AD122" s="55"/>
      <c r="AE122" s="55"/>
      <c r="AF122" s="55"/>
      <c r="AG122" s="55"/>
      <c r="AH122" s="142"/>
      <c r="AI122" s="142"/>
    </row>
    <row r="123" spans="3:35">
      <c r="C123" s="11"/>
      <c r="D123" s="12"/>
      <c r="E123" s="160"/>
      <c r="F123" s="161"/>
      <c r="G123" s="162"/>
      <c r="H123" s="16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63"/>
      <c r="AI123" s="142"/>
    </row>
    <row r="124" spans="3:35">
      <c r="C124" s="11"/>
      <c r="D124" s="12"/>
      <c r="E124" s="141"/>
      <c r="F124" s="141"/>
      <c r="G124" s="143"/>
      <c r="H124" s="143"/>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142"/>
    </row>
    <row r="125" spans="3:35">
      <c r="C125" s="11"/>
      <c r="D125" s="12"/>
      <c r="E125" s="141"/>
      <c r="F125" s="141"/>
      <c r="L125" s="12"/>
      <c r="M125" s="12"/>
      <c r="N125" s="55"/>
      <c r="O125" s="55"/>
      <c r="P125" s="12"/>
      <c r="Q125" s="12"/>
      <c r="R125" s="12"/>
      <c r="S125" s="12"/>
      <c r="T125" s="12"/>
      <c r="U125" s="55"/>
      <c r="V125" s="55"/>
      <c r="W125" s="55"/>
      <c r="X125" s="55"/>
      <c r="Y125" s="55"/>
      <c r="Z125" s="55"/>
      <c r="AA125" s="55"/>
      <c r="AB125" s="55"/>
      <c r="AC125" s="55"/>
      <c r="AD125" s="55"/>
      <c r="AE125" s="55"/>
      <c r="AF125" s="55"/>
      <c r="AG125" s="55"/>
      <c r="AH125" s="55"/>
      <c r="AI125" s="142"/>
    </row>
    <row r="126" spans="3:35" ht="20.25">
      <c r="C126" s="11"/>
      <c r="D126" s="12"/>
      <c r="E126" s="8"/>
      <c r="F126" s="9"/>
      <c r="G126" s="610" t="s">
        <v>564</v>
      </c>
      <c r="H126" s="610"/>
      <c r="I126" s="9" t="s">
        <v>577</v>
      </c>
      <c r="J126" s="9"/>
      <c r="K126" s="9"/>
      <c r="L126" s="9"/>
      <c r="M126" s="9"/>
      <c r="N126" s="9"/>
      <c r="O126" s="9"/>
      <c r="P126" s="9"/>
      <c r="Q126" s="9"/>
      <c r="R126" s="9"/>
      <c r="S126" s="9"/>
      <c r="T126" s="9"/>
      <c r="U126" s="9"/>
      <c r="V126" s="9"/>
      <c r="W126" s="3"/>
      <c r="X126" s="9"/>
      <c r="Y126" s="9"/>
      <c r="Z126" s="9"/>
      <c r="AA126" s="9"/>
      <c r="AB126" s="9"/>
      <c r="AC126" s="9"/>
      <c r="AD126" s="9"/>
      <c r="AE126" s="9"/>
      <c r="AF126" s="9"/>
      <c r="AG126" s="9"/>
      <c r="AH126" s="10"/>
      <c r="AI126" s="14"/>
    </row>
    <row r="127" spans="3:35">
      <c r="C127" s="11"/>
      <c r="D127" s="12"/>
      <c r="E127" s="11"/>
      <c r="F127" s="12"/>
      <c r="G127" s="12"/>
      <c r="H127" s="12"/>
      <c r="I127" s="12"/>
      <c r="J127" s="12" t="s">
        <v>578</v>
      </c>
      <c r="K127" s="12"/>
      <c r="L127" s="12"/>
      <c r="M127" s="33" t="s">
        <v>579</v>
      </c>
      <c r="N127" s="12" t="s">
        <v>563</v>
      </c>
      <c r="O127" s="539">
        <v>13.1</v>
      </c>
      <c r="P127" s="539"/>
      <c r="Q127" s="33" t="s">
        <v>580</v>
      </c>
      <c r="R127" s="12" t="s">
        <v>537</v>
      </c>
      <c r="S127" s="12"/>
      <c r="T127" s="12"/>
      <c r="U127" s="12"/>
      <c r="V127" s="12"/>
      <c r="W127"/>
      <c r="X127" s="12"/>
      <c r="Y127" s="12"/>
      <c r="Z127" s="12"/>
      <c r="AA127" s="12"/>
      <c r="AB127" s="12"/>
      <c r="AC127" s="12"/>
      <c r="AD127" s="12"/>
      <c r="AE127" s="12"/>
      <c r="AF127" s="12"/>
      <c r="AG127" s="12"/>
      <c r="AH127" s="14"/>
      <c r="AI127" s="14"/>
    </row>
    <row r="128" spans="3:35">
      <c r="C128" s="11"/>
      <c r="D128" s="12"/>
      <c r="E128" s="11"/>
      <c r="F128" s="12"/>
      <c r="G128" s="12"/>
      <c r="H128" s="12"/>
      <c r="I128" s="12"/>
      <c r="J128" s="33" t="s">
        <v>579</v>
      </c>
      <c r="K128" s="701" t="s">
        <v>581</v>
      </c>
      <c r="L128" s="701"/>
      <c r="M128" s="701"/>
      <c r="N128" s="701"/>
      <c r="O128" s="701"/>
      <c r="P128" s="701"/>
      <c r="Q128" s="701"/>
      <c r="R128" s="701"/>
      <c r="S128" s="12"/>
      <c r="T128" s="12"/>
      <c r="U128" s="12"/>
      <c r="V128" s="12"/>
      <c r="W128" s="12"/>
      <c r="X128" s="12"/>
      <c r="Y128" s="12"/>
      <c r="Z128" s="12"/>
      <c r="AA128" s="12"/>
      <c r="AB128" s="12"/>
      <c r="AC128" s="12"/>
      <c r="AD128" s="12"/>
      <c r="AE128" s="12"/>
      <c r="AF128" s="12"/>
      <c r="AG128" s="12"/>
      <c r="AH128" s="14"/>
      <c r="AI128" s="14"/>
    </row>
    <row r="129" spans="3:35">
      <c r="C129" s="11"/>
      <c r="D129" s="12"/>
      <c r="E129" s="11"/>
      <c r="F129" s="12"/>
      <c r="G129" s="12"/>
      <c r="H129" s="12"/>
      <c r="I129" s="12"/>
      <c r="J129" s="12"/>
      <c r="K129" s="33" t="s">
        <v>579</v>
      </c>
      <c r="L129" s="12" t="s">
        <v>8</v>
      </c>
      <c r="M129" s="12" t="s">
        <v>216</v>
      </c>
      <c r="N129" s="858">
        <f>'1.設計条件'!N76</f>
        <v>350</v>
      </c>
      <c r="O129" s="858"/>
      <c r="P129" s="12" t="s">
        <v>438</v>
      </c>
      <c r="Q129" s="576">
        <f>'1.設計条件'!N77</f>
        <v>12</v>
      </c>
      <c r="R129" s="576"/>
      <c r="S129" s="12" t="s">
        <v>582</v>
      </c>
      <c r="T129" s="30">
        <v>2</v>
      </c>
      <c r="U129" s="12"/>
      <c r="V129" s="12" t="s">
        <v>8</v>
      </c>
      <c r="W129" s="415">
        <f>(N129-Q129)/T129</f>
        <v>169</v>
      </c>
      <c r="X129" s="417"/>
      <c r="Y129" s="12" t="s">
        <v>57</v>
      </c>
      <c r="Z129" s="12"/>
      <c r="AA129" s="12"/>
      <c r="AB129" s="12"/>
      <c r="AC129" s="12"/>
      <c r="AD129" s="12"/>
      <c r="AE129" s="12"/>
      <c r="AF129" s="12"/>
      <c r="AG129" s="12"/>
      <c r="AH129" s="14"/>
      <c r="AI129" s="14"/>
    </row>
    <row r="130" spans="3:35">
      <c r="C130" s="11"/>
      <c r="D130" s="12"/>
      <c r="E130" s="11"/>
      <c r="F130" s="12"/>
      <c r="G130" s="12"/>
      <c r="H130" s="12"/>
      <c r="I130" s="33"/>
      <c r="J130" s="33" t="s">
        <v>580</v>
      </c>
      <c r="K130" s="12" t="s">
        <v>583</v>
      </c>
      <c r="L130" s="26"/>
      <c r="M130" s="26"/>
      <c r="N130" s="12"/>
      <c r="O130" s="33"/>
      <c r="P130" s="12"/>
      <c r="Q130" s="12"/>
      <c r="R130" s="30"/>
      <c r="S130" s="12"/>
      <c r="T130" s="12"/>
      <c r="U130" s="12"/>
      <c r="V130" s="12"/>
      <c r="W130" s="12"/>
      <c r="X130" s="12"/>
      <c r="Y130" s="12"/>
      <c r="Z130" s="12"/>
      <c r="AA130" s="12"/>
      <c r="AB130" s="12"/>
      <c r="AC130" s="12"/>
      <c r="AD130" s="12"/>
      <c r="AE130" s="12"/>
      <c r="AF130" s="12"/>
      <c r="AG130" s="12"/>
      <c r="AH130" s="14"/>
      <c r="AI130" s="14"/>
    </row>
    <row r="131" spans="3:35">
      <c r="C131" s="11"/>
      <c r="D131" s="12"/>
      <c r="E131" s="11"/>
      <c r="F131" s="12"/>
      <c r="G131" s="12"/>
      <c r="H131" s="12"/>
      <c r="I131" s="34"/>
      <c r="J131" s="12"/>
      <c r="K131" s="33" t="s">
        <v>580</v>
      </c>
      <c r="L131" s="12" t="s">
        <v>8</v>
      </c>
      <c r="M131" s="415">
        <f>'1.設計条件'!N78</f>
        <v>19</v>
      </c>
      <c r="N131" s="417"/>
      <c r="O131" s="12" t="s">
        <v>57</v>
      </c>
      <c r="P131" s="12"/>
      <c r="Q131" s="12"/>
      <c r="R131" s="12"/>
      <c r="S131" s="12"/>
      <c r="T131" s="12"/>
      <c r="U131" s="12"/>
      <c r="V131" s="12"/>
      <c r="W131" s="12"/>
      <c r="X131" s="12"/>
      <c r="Y131" s="12"/>
      <c r="Z131" s="12"/>
      <c r="AA131" s="12"/>
      <c r="AB131" s="12"/>
      <c r="AC131" s="12"/>
      <c r="AD131" s="12"/>
      <c r="AE131" s="12"/>
      <c r="AF131" s="12"/>
      <c r="AG131" s="12"/>
      <c r="AH131" s="14"/>
      <c r="AI131" s="14"/>
    </row>
    <row r="132" spans="3:35">
      <c r="C132" s="11"/>
      <c r="D132" s="12"/>
      <c r="E132" s="11"/>
      <c r="F132" s="12"/>
      <c r="G132" s="12"/>
      <c r="H132" s="12"/>
      <c r="I132" s="34"/>
      <c r="J132" s="12"/>
      <c r="K132" s="33"/>
      <c r="L132" s="12"/>
      <c r="M132" s="26"/>
      <c r="N132" s="26"/>
      <c r="O132" s="12"/>
      <c r="P132" s="12"/>
      <c r="Q132" s="12"/>
      <c r="R132" s="12"/>
      <c r="S132" s="12"/>
      <c r="T132" s="12"/>
      <c r="U132" s="12"/>
      <c r="V132" s="12"/>
      <c r="W132" s="12"/>
      <c r="X132" s="12"/>
      <c r="Y132" s="12"/>
      <c r="Z132" s="12"/>
      <c r="AA132" s="12"/>
      <c r="AB132" s="12"/>
      <c r="AC132" s="12"/>
      <c r="AD132" s="12"/>
      <c r="AE132" s="12"/>
      <c r="AF132" s="12"/>
      <c r="AG132" s="12"/>
      <c r="AH132" s="14"/>
      <c r="AI132" s="14"/>
    </row>
    <row r="133" spans="3:35">
      <c r="C133" s="11"/>
      <c r="D133" s="12"/>
      <c r="E133" s="11"/>
      <c r="F133" s="12"/>
      <c r="G133" s="12"/>
      <c r="H133" s="12"/>
      <c r="I133" s="34"/>
      <c r="J133" s="539" t="s">
        <v>584</v>
      </c>
      <c r="K133" s="539"/>
      <c r="L133" s="12" t="s">
        <v>585</v>
      </c>
      <c r="M133" s="12"/>
      <c r="N133" s="12"/>
      <c r="O133" s="12"/>
      <c r="P133" s="12"/>
      <c r="Q133" s="26"/>
      <c r="R133" s="26"/>
      <c r="S133" s="12"/>
      <c r="T133" s="12"/>
      <c r="U133" s="12"/>
      <c r="V133" s="12"/>
      <c r="W133" s="12"/>
      <c r="X133" s="12"/>
      <c r="Y133" s="12"/>
      <c r="Z133" s="12"/>
      <c r="AA133" s="12"/>
      <c r="AB133" s="12"/>
      <c r="AC133" s="12"/>
      <c r="AD133" s="12"/>
      <c r="AE133" s="12"/>
      <c r="AF133" s="12"/>
      <c r="AG133" s="12"/>
      <c r="AH133" s="14"/>
      <c r="AI133" s="14"/>
    </row>
    <row r="134" spans="3:35">
      <c r="C134" s="11"/>
      <c r="D134" s="12"/>
      <c r="E134" s="11"/>
      <c r="F134" s="12"/>
      <c r="G134" s="12"/>
      <c r="H134" s="12"/>
      <c r="I134" s="34"/>
      <c r="J134" s="34"/>
      <c r="K134" s="539" t="s">
        <v>584</v>
      </c>
      <c r="L134" s="539"/>
      <c r="M134" s="12" t="s">
        <v>8</v>
      </c>
      <c r="N134" s="551">
        <f>O48</f>
        <v>3</v>
      </c>
      <c r="O134" s="547"/>
      <c r="P134" s="36" t="s">
        <v>9</v>
      </c>
      <c r="Q134" s="12"/>
      <c r="R134" s="30"/>
      <c r="S134" s="12"/>
      <c r="T134" s="12"/>
      <c r="U134" s="12"/>
      <c r="V134" s="12"/>
      <c r="W134"/>
      <c r="X134" s="12"/>
      <c r="Y134" s="12"/>
      <c r="Z134" s="12"/>
      <c r="AA134" s="12"/>
      <c r="AB134" s="12"/>
      <c r="AC134" s="12"/>
      <c r="AD134" s="12"/>
      <c r="AE134" s="12"/>
      <c r="AF134" s="12"/>
      <c r="AG134" s="12"/>
      <c r="AH134" s="14"/>
      <c r="AI134" s="14"/>
    </row>
    <row r="135" spans="3:35">
      <c r="C135" s="11"/>
      <c r="D135" s="12"/>
      <c r="E135" s="11"/>
      <c r="F135" s="12"/>
      <c r="G135" s="12"/>
      <c r="H135" s="12"/>
      <c r="I135" s="34"/>
      <c r="J135" s="34"/>
      <c r="K135" s="13"/>
      <c r="L135" s="13"/>
      <c r="M135" s="12"/>
      <c r="N135" s="13"/>
      <c r="O135" s="13"/>
      <c r="P135" s="36"/>
      <c r="Q135" s="12"/>
      <c r="R135" s="30"/>
      <c r="S135" s="12"/>
      <c r="T135" s="12"/>
      <c r="U135" s="12"/>
      <c r="V135" s="12"/>
      <c r="W135"/>
      <c r="X135" s="12"/>
      <c r="Y135" s="12"/>
      <c r="Z135" s="12"/>
      <c r="AA135" s="12"/>
      <c r="AB135" s="12"/>
      <c r="AC135" s="12"/>
      <c r="AD135" s="12"/>
      <c r="AE135" s="12"/>
      <c r="AF135" s="12"/>
      <c r="AG135" s="12"/>
      <c r="AH135" s="14"/>
      <c r="AI135" s="14"/>
    </row>
    <row r="136" spans="3:35">
      <c r="C136" s="11"/>
      <c r="D136" s="12"/>
      <c r="E136" s="11"/>
      <c r="F136" s="12"/>
      <c r="G136" s="12"/>
      <c r="H136" s="12"/>
      <c r="I136" s="34"/>
      <c r="J136" s="12" t="s">
        <v>586</v>
      </c>
      <c r="K136" s="12"/>
      <c r="L136" s="12"/>
      <c r="M136" s="12"/>
      <c r="N136" s="12"/>
      <c r="O136" s="12"/>
      <c r="P136" s="33"/>
      <c r="Q136" s="12"/>
      <c r="R136" s="30"/>
      <c r="S136" s="12"/>
      <c r="T136" s="12"/>
      <c r="U136" s="12"/>
      <c r="V136" s="12"/>
      <c r="W136"/>
      <c r="X136" s="12"/>
      <c r="Y136" s="12"/>
      <c r="Z136" s="12"/>
      <c r="AA136" s="12"/>
      <c r="AB136" s="12"/>
      <c r="AC136" s="12"/>
      <c r="AD136" s="12"/>
      <c r="AE136" s="12"/>
      <c r="AF136" s="12"/>
      <c r="AG136" s="12"/>
      <c r="AH136" s="14"/>
      <c r="AI136" s="14"/>
    </row>
    <row r="137" spans="3:35">
      <c r="C137" s="11"/>
      <c r="D137" s="12"/>
      <c r="E137" s="11"/>
      <c r="F137" s="12"/>
      <c r="G137" s="12"/>
      <c r="H137" s="12"/>
      <c r="I137" s="34"/>
      <c r="J137" s="34"/>
      <c r="K137" s="16" t="s">
        <v>584</v>
      </c>
      <c r="L137" s="541" t="s">
        <v>8</v>
      </c>
      <c r="M137" s="556">
        <f>N134</f>
        <v>3</v>
      </c>
      <c r="N137" s="556"/>
      <c r="O137" s="16" t="s">
        <v>215</v>
      </c>
      <c r="P137" s="866">
        <v>1000</v>
      </c>
      <c r="Q137" s="866"/>
      <c r="R137" s="866"/>
      <c r="S137" s="12"/>
      <c r="T137" s="541" t="s">
        <v>8</v>
      </c>
      <c r="U137" s="594">
        <f>M137*P137/M138/P138</f>
        <v>33.370411568409345</v>
      </c>
      <c r="V137" s="595"/>
      <c r="W137"/>
      <c r="X137" s="12"/>
      <c r="Y137" s="12"/>
      <c r="Z137" s="12"/>
      <c r="AA137" s="12"/>
      <c r="AB137" s="12"/>
      <c r="AC137" s="12"/>
      <c r="AD137" s="12"/>
      <c r="AE137" s="12"/>
      <c r="AF137" s="12"/>
      <c r="AG137" s="12"/>
      <c r="AH137" s="14"/>
      <c r="AI137" s="14"/>
    </row>
    <row r="138" spans="3:35">
      <c r="C138" s="11"/>
      <c r="D138" s="12"/>
      <c r="E138" s="11"/>
      <c r="F138" s="12"/>
      <c r="G138" s="12"/>
      <c r="H138" s="12"/>
      <c r="I138" s="34"/>
      <c r="J138" s="34"/>
      <c r="K138" s="33" t="s">
        <v>122</v>
      </c>
      <c r="L138" s="541"/>
      <c r="M138" s="887">
        <f>'1.設計条件'!N81</f>
        <v>8.99</v>
      </c>
      <c r="N138" s="887"/>
      <c r="O138" s="12" t="s">
        <v>215</v>
      </c>
      <c r="P138" s="858">
        <v>10</v>
      </c>
      <c r="Q138" s="858"/>
      <c r="R138" s="858"/>
      <c r="S138" s="12"/>
      <c r="T138" s="541"/>
      <c r="U138" s="596"/>
      <c r="V138" s="597"/>
      <c r="W138"/>
      <c r="X138" s="12"/>
      <c r="Y138" s="12"/>
      <c r="Z138" s="12"/>
      <c r="AA138" s="12"/>
      <c r="AB138" s="12"/>
      <c r="AC138" s="12"/>
      <c r="AD138" s="12"/>
      <c r="AE138" s="12"/>
      <c r="AF138" s="12"/>
      <c r="AG138" s="12"/>
      <c r="AH138" s="14"/>
      <c r="AI138" s="14"/>
    </row>
    <row r="139" spans="3:35">
      <c r="C139" s="11"/>
      <c r="D139" s="12"/>
      <c r="E139" s="11"/>
      <c r="F139" s="12"/>
      <c r="G139" s="12"/>
      <c r="H139" s="12"/>
      <c r="I139" s="34"/>
      <c r="J139" s="34"/>
      <c r="K139" s="33"/>
      <c r="L139" s="27"/>
      <c r="M139" s="135"/>
      <c r="N139" s="135"/>
      <c r="O139" s="12"/>
      <c r="P139" s="145"/>
      <c r="Q139" s="145"/>
      <c r="R139" s="145"/>
      <c r="S139" s="12"/>
      <c r="T139" s="27"/>
      <c r="U139" s="27"/>
      <c r="V139" s="27"/>
      <c r="W139"/>
      <c r="X139" s="12"/>
      <c r="Y139" s="12"/>
      <c r="Z139" s="12"/>
      <c r="AA139" s="12"/>
      <c r="AB139" s="12"/>
      <c r="AC139" s="12"/>
      <c r="AD139" s="12"/>
      <c r="AE139" s="12"/>
      <c r="AF139" s="12"/>
      <c r="AG139" s="12"/>
      <c r="AH139" s="14"/>
      <c r="AI139" s="14"/>
    </row>
    <row r="140" spans="3:35">
      <c r="C140" s="11"/>
      <c r="D140" s="12"/>
      <c r="E140" s="11"/>
      <c r="F140" s="12"/>
      <c r="G140" s="12"/>
      <c r="H140" s="908" t="s">
        <v>587</v>
      </c>
      <c r="I140" s="908"/>
      <c r="J140" s="908"/>
      <c r="K140" s="908"/>
      <c r="L140" s="908"/>
      <c r="M140" s="908"/>
      <c r="N140" s="908"/>
      <c r="O140" s="908"/>
      <c r="P140" s="908"/>
      <c r="Q140" s="908"/>
      <c r="R140" s="145">
        <v>18</v>
      </c>
      <c r="S140" s="12" t="s">
        <v>329</v>
      </c>
      <c r="T140" s="541" t="s">
        <v>588</v>
      </c>
      <c r="U140" s="541"/>
      <c r="V140" s="1" t="s">
        <v>563</v>
      </c>
      <c r="W140">
        <v>92</v>
      </c>
      <c r="Y140" s="12"/>
      <c r="Z140" s="32" t="s">
        <v>589</v>
      </c>
      <c r="AA140" s="12"/>
      <c r="AB140" s="12" t="s">
        <v>590</v>
      </c>
      <c r="AC140" s="12"/>
      <c r="AD140" s="12"/>
      <c r="AE140" s="12"/>
      <c r="AF140" s="12"/>
      <c r="AG140" s="12"/>
      <c r="AH140" s="14"/>
      <c r="AI140" s="14"/>
    </row>
    <row r="141" spans="3:35" ht="20.25">
      <c r="C141" s="11"/>
      <c r="D141" s="12"/>
      <c r="E141" s="11"/>
      <c r="F141" s="12"/>
      <c r="G141" s="557" t="s">
        <v>591</v>
      </c>
      <c r="H141" s="557"/>
      <c r="I141" s="31" t="s">
        <v>8</v>
      </c>
      <c r="J141" s="136" t="s">
        <v>592</v>
      </c>
      <c r="K141" s="867">
        <v>140</v>
      </c>
      <c r="L141" s="867"/>
      <c r="M141" s="136" t="s">
        <v>438</v>
      </c>
      <c r="N141" s="762">
        <v>0.82</v>
      </c>
      <c r="O141" s="762"/>
      <c r="P141" s="136" t="s">
        <v>216</v>
      </c>
      <c r="Q141" s="539" t="s">
        <v>350</v>
      </c>
      <c r="R141" s="539"/>
      <c r="S141" s="135" t="s">
        <v>236</v>
      </c>
      <c r="T141" s="33" t="s">
        <v>122</v>
      </c>
      <c r="U141" s="12" t="s">
        <v>438</v>
      </c>
      <c r="V141" s="752">
        <v>18</v>
      </c>
      <c r="W141" s="752"/>
      <c r="X141" s="26" t="s">
        <v>593</v>
      </c>
      <c r="Y141" s="26" t="s">
        <v>215</v>
      </c>
      <c r="Z141" s="541">
        <v>1.5</v>
      </c>
      <c r="AA141" s="541"/>
      <c r="AB141" s="12"/>
      <c r="AC141" s="12"/>
      <c r="AD141" s="12"/>
      <c r="AE141" s="12"/>
      <c r="AF141" s="26"/>
      <c r="AG141" s="26"/>
      <c r="AH141" s="165"/>
      <c r="AI141" s="14"/>
    </row>
    <row r="142" spans="3:35">
      <c r="C142" s="11"/>
      <c r="D142" s="12"/>
      <c r="E142" s="11"/>
      <c r="F142" s="12"/>
      <c r="G142" s="152"/>
      <c r="H142" s="152"/>
      <c r="I142" s="31" t="s">
        <v>8</v>
      </c>
      <c r="J142" s="136" t="s">
        <v>592</v>
      </c>
      <c r="K142" s="867">
        <v>140</v>
      </c>
      <c r="L142" s="867"/>
      <c r="M142" s="136" t="s">
        <v>438</v>
      </c>
      <c r="N142" s="762">
        <f>N141</f>
        <v>0.82</v>
      </c>
      <c r="O142" s="762"/>
      <c r="P142" s="136" t="s">
        <v>216</v>
      </c>
      <c r="Q142" s="539">
        <f>U137</f>
        <v>33.370411568409345</v>
      </c>
      <c r="R142" s="539"/>
      <c r="S142" s="539"/>
      <c r="T142" s="539"/>
      <c r="U142" s="12" t="s">
        <v>438</v>
      </c>
      <c r="V142" s="752">
        <f>V141</f>
        <v>18</v>
      </c>
      <c r="W142" s="752"/>
      <c r="X142" s="26" t="s">
        <v>593</v>
      </c>
      <c r="Y142" s="26" t="s">
        <v>215</v>
      </c>
      <c r="Z142" s="541">
        <v>1.5</v>
      </c>
      <c r="AA142" s="541"/>
      <c r="AB142" s="12"/>
      <c r="AC142" s="12"/>
      <c r="AD142" s="12"/>
      <c r="AE142" s="12"/>
      <c r="AF142" s="26"/>
      <c r="AG142" s="26"/>
      <c r="AH142" s="165"/>
      <c r="AI142" s="14"/>
    </row>
    <row r="143" spans="3:35" ht="20.25">
      <c r="C143" s="11"/>
      <c r="D143" s="12"/>
      <c r="E143" s="11"/>
      <c r="F143" s="12"/>
      <c r="G143" s="12"/>
      <c r="H143" s="136"/>
      <c r="I143" s="31" t="s">
        <v>8</v>
      </c>
      <c r="J143" s="861">
        <f>(K142-N142*(Q142-V142))*Z142</f>
        <v>191.0943937708565</v>
      </c>
      <c r="K143" s="862"/>
      <c r="L143" s="863"/>
      <c r="M143" s="151" t="s">
        <v>82</v>
      </c>
      <c r="N143" s="136"/>
      <c r="O143" s="136"/>
      <c r="P143" s="136"/>
      <c r="Q143" s="136"/>
      <c r="R143" s="135"/>
      <c r="S143" s="135"/>
      <c r="T143" s="12"/>
      <c r="U143" s="27"/>
      <c r="V143" s="27"/>
      <c r="W143" s="12"/>
      <c r="X143" s="26"/>
      <c r="Y143" s="26"/>
      <c r="Z143" s="32"/>
      <c r="AA143"/>
      <c r="AB143" s="12"/>
      <c r="AC143" s="12"/>
      <c r="AD143" s="12"/>
      <c r="AE143" s="12"/>
      <c r="AF143" s="26"/>
      <c r="AG143" s="26"/>
      <c r="AH143" s="165"/>
      <c r="AI143" s="14"/>
    </row>
    <row r="144" spans="3:35">
      <c r="C144" s="11"/>
      <c r="D144" s="12"/>
      <c r="E144" s="15"/>
      <c r="F144" s="16"/>
      <c r="G144" s="16"/>
      <c r="H144" s="166"/>
      <c r="I144" s="167"/>
      <c r="J144" s="166"/>
      <c r="K144" s="166"/>
      <c r="L144" s="166"/>
      <c r="M144" s="164"/>
      <c r="N144" s="166"/>
      <c r="O144" s="166"/>
      <c r="P144" s="166"/>
      <c r="Q144" s="166"/>
      <c r="R144" s="150"/>
      <c r="S144" s="150"/>
      <c r="T144" s="16"/>
      <c r="U144" s="157"/>
      <c r="V144" s="157"/>
      <c r="W144" s="16"/>
      <c r="X144" s="140"/>
      <c r="Y144" s="140"/>
      <c r="Z144" s="168"/>
      <c r="AA144" s="24"/>
      <c r="AB144" s="16"/>
      <c r="AC144" s="16"/>
      <c r="AD144" s="16"/>
      <c r="AE144" s="16"/>
      <c r="AF144" s="140"/>
      <c r="AG144" s="140"/>
      <c r="AH144" s="169"/>
      <c r="AI144" s="14"/>
    </row>
    <row r="145" spans="3:35">
      <c r="C145" s="11"/>
      <c r="D145" s="12"/>
      <c r="E145" s="12"/>
      <c r="F145" s="12"/>
      <c r="G145" s="12"/>
      <c r="H145" s="12"/>
      <c r="I145" s="34"/>
      <c r="J145" s="135"/>
      <c r="K145" s="135"/>
      <c r="L145" s="135"/>
      <c r="M145" s="151"/>
      <c r="N145" s="135"/>
      <c r="O145" s="12"/>
      <c r="P145" s="145"/>
      <c r="Q145" s="145"/>
      <c r="R145" s="145"/>
      <c r="S145" s="12"/>
      <c r="T145" s="27"/>
      <c r="U145" s="27"/>
      <c r="V145" s="27"/>
      <c r="W145"/>
      <c r="X145" s="12"/>
      <c r="Y145" s="12"/>
      <c r="Z145" s="12"/>
      <c r="AA145" s="12"/>
      <c r="AB145" s="12"/>
      <c r="AC145" s="12"/>
      <c r="AD145" s="12"/>
      <c r="AE145" s="12"/>
      <c r="AF145" s="12"/>
      <c r="AG145" s="12"/>
      <c r="AH145" s="12"/>
      <c r="AI145" s="14"/>
    </row>
    <row r="146" spans="3:35">
      <c r="C146" s="11"/>
      <c r="D146" s="12"/>
      <c r="E146" s="12"/>
      <c r="F146" s="12"/>
      <c r="G146" s="12"/>
      <c r="H146" s="12"/>
      <c r="I146" s="12"/>
      <c r="J146" s="12"/>
      <c r="K146" s="12"/>
      <c r="L146" s="12"/>
      <c r="M146" s="12"/>
      <c r="N146" s="12"/>
      <c r="O146" s="12"/>
      <c r="P146" s="12"/>
      <c r="Q146" s="12"/>
      <c r="R146" s="12"/>
      <c r="S146" s="12"/>
      <c r="T146" s="12"/>
      <c r="U146" s="12"/>
      <c r="V146" s="12"/>
      <c r="W146"/>
      <c r="X146" s="12"/>
      <c r="Y146" s="12"/>
      <c r="Z146" s="12"/>
      <c r="AA146" s="12"/>
      <c r="AB146" s="12"/>
      <c r="AC146" s="12"/>
      <c r="AD146" s="12"/>
      <c r="AE146" s="12"/>
      <c r="AF146" s="12"/>
      <c r="AG146" s="12"/>
      <c r="AH146" s="12"/>
      <c r="AI146" s="14"/>
    </row>
    <row r="147" spans="3:35" ht="20.25">
      <c r="C147" s="11"/>
      <c r="D147" s="12"/>
      <c r="E147" s="8"/>
      <c r="F147" s="9"/>
      <c r="G147" s="610" t="s">
        <v>565</v>
      </c>
      <c r="H147" s="610"/>
      <c r="I147" s="9" t="s">
        <v>594</v>
      </c>
      <c r="J147" s="9"/>
      <c r="K147" s="9"/>
      <c r="L147" s="9"/>
      <c r="M147" s="9"/>
      <c r="N147" s="9"/>
      <c r="O147" s="9"/>
      <c r="P147" s="9"/>
      <c r="Q147" s="9"/>
      <c r="R147" s="9"/>
      <c r="S147" s="9"/>
      <c r="T147" s="9"/>
      <c r="U147" s="9"/>
      <c r="V147" s="9"/>
      <c r="W147" s="3"/>
      <c r="X147" s="9"/>
      <c r="Y147" s="9"/>
      <c r="Z147" s="9"/>
      <c r="AA147" s="9"/>
      <c r="AB147" s="9"/>
      <c r="AC147" s="9"/>
      <c r="AD147" s="9"/>
      <c r="AE147" s="9"/>
      <c r="AF147" s="9"/>
      <c r="AG147" s="9"/>
      <c r="AH147" s="10"/>
      <c r="AI147" s="14"/>
    </row>
    <row r="148" spans="3:35">
      <c r="C148" s="11"/>
      <c r="D148" s="12"/>
      <c r="E148" s="11"/>
      <c r="F148" s="12"/>
      <c r="G148" s="12"/>
      <c r="H148" s="12"/>
      <c r="I148" s="12"/>
      <c r="J148" s="12" t="s">
        <v>578</v>
      </c>
      <c r="K148" s="12"/>
      <c r="L148" s="12"/>
      <c r="M148" s="30">
        <v>2</v>
      </c>
      <c r="N148" s="859" t="s">
        <v>595</v>
      </c>
      <c r="O148" s="859"/>
      <c r="P148" s="12" t="s">
        <v>596</v>
      </c>
      <c r="Q148" s="513" t="s">
        <v>597</v>
      </c>
      <c r="R148" s="513"/>
      <c r="S148" s="12"/>
      <c r="T148" s="12"/>
      <c r="U148" s="12"/>
      <c r="V148" s="12"/>
      <c r="W148" s="12"/>
      <c r="X148" s="12"/>
      <c r="Y148" s="12"/>
      <c r="Z148" s="12"/>
      <c r="AA148" s="12"/>
      <c r="AB148" s="12"/>
      <c r="AC148" s="12"/>
      <c r="AD148" s="12"/>
      <c r="AE148" s="12"/>
      <c r="AF148" s="12"/>
      <c r="AG148" s="12"/>
      <c r="AH148" s="14"/>
      <c r="AI148" s="14"/>
    </row>
    <row r="149" spans="3:35">
      <c r="C149" s="11"/>
      <c r="D149" s="12"/>
      <c r="E149" s="11"/>
      <c r="F149" s="12"/>
      <c r="G149" s="12"/>
      <c r="H149" s="12"/>
      <c r="I149" s="12"/>
      <c r="J149" s="860" t="s">
        <v>595</v>
      </c>
      <c r="K149" s="860"/>
      <c r="L149" s="12" t="s">
        <v>598</v>
      </c>
      <c r="M149" s="12"/>
      <c r="N149" s="12"/>
      <c r="O149" s="12"/>
      <c r="P149" s="12"/>
      <c r="Q149" s="12"/>
      <c r="R149" s="12"/>
      <c r="S149" s="12"/>
      <c r="T149" s="12"/>
      <c r="U149" s="860" t="s">
        <v>595</v>
      </c>
      <c r="V149" s="860"/>
      <c r="W149" s="12" t="s">
        <v>8</v>
      </c>
      <c r="X149" s="576">
        <f>'1.設計条件'!N76</f>
        <v>350</v>
      </c>
      <c r="Y149" s="576"/>
      <c r="Z149" s="12" t="s">
        <v>215</v>
      </c>
      <c r="AA149" s="576">
        <f>'1.設計条件'!N78</f>
        <v>19</v>
      </c>
      <c r="AB149" s="576"/>
      <c r="AC149" s="12" t="s">
        <v>8</v>
      </c>
      <c r="AD149" s="415">
        <f>X149*AA149</f>
        <v>6650</v>
      </c>
      <c r="AE149" s="416"/>
      <c r="AF149" s="865"/>
      <c r="AG149" s="12"/>
      <c r="AH149" s="14"/>
      <c r="AI149" s="14"/>
    </row>
    <row r="150" spans="3:35">
      <c r="C150" s="11"/>
      <c r="D150" s="12"/>
      <c r="E150" s="11"/>
      <c r="F150" s="12"/>
      <c r="G150" s="12"/>
      <c r="H150" s="12"/>
      <c r="I150" s="12"/>
      <c r="J150" s="860" t="s">
        <v>597</v>
      </c>
      <c r="K150" s="860"/>
      <c r="L150" s="701" t="s">
        <v>599</v>
      </c>
      <c r="M150" s="701"/>
      <c r="N150" s="701"/>
      <c r="O150" s="701"/>
      <c r="P150" s="701"/>
      <c r="Q150" s="701"/>
      <c r="R150" s="860" t="s">
        <v>597</v>
      </c>
      <c r="S150" s="860"/>
      <c r="T150" s="12" t="s">
        <v>8</v>
      </c>
      <c r="U150" s="12" t="s">
        <v>216</v>
      </c>
      <c r="V150" s="576">
        <f>'1.設計条件'!N75</f>
        <v>350</v>
      </c>
      <c r="W150" s="576"/>
      <c r="X150" s="12" t="s">
        <v>438</v>
      </c>
      <c r="Y150" s="30">
        <v>2</v>
      </c>
      <c r="Z150" s="12" t="s">
        <v>215</v>
      </c>
      <c r="AA150" s="30">
        <f>'1.設計条件'!N78</f>
        <v>19</v>
      </c>
      <c r="AB150" s="12" t="s">
        <v>218</v>
      </c>
      <c r="AC150" s="12" t="s">
        <v>215</v>
      </c>
      <c r="AD150" s="30">
        <f>'1.設計条件'!N77</f>
        <v>12</v>
      </c>
      <c r="AE150" s="30" t="s">
        <v>8</v>
      </c>
      <c r="AF150" s="415">
        <f>(V150-Y150*AA150)*AD150</f>
        <v>3744</v>
      </c>
      <c r="AG150" s="416"/>
      <c r="AH150" s="417"/>
      <c r="AI150" s="14"/>
    </row>
    <row r="151" spans="3:35">
      <c r="C151" s="11"/>
      <c r="D151" s="12"/>
      <c r="E151" s="11"/>
      <c r="F151" s="12"/>
      <c r="G151" s="12"/>
      <c r="H151" s="12"/>
      <c r="I151" s="12"/>
      <c r="J151" s="144"/>
      <c r="K151" s="144"/>
      <c r="L151" s="55"/>
      <c r="M151" s="55"/>
      <c r="N151" s="55"/>
      <c r="O151" s="55"/>
      <c r="P151" s="55"/>
      <c r="Q151" s="55"/>
      <c r="R151" s="144"/>
      <c r="S151" s="144"/>
      <c r="T151" s="12"/>
      <c r="U151" s="12"/>
      <c r="V151" s="26"/>
      <c r="W151" s="26"/>
      <c r="X151" s="12"/>
      <c r="Y151" s="30"/>
      <c r="Z151" s="12"/>
      <c r="AA151" s="30"/>
      <c r="AB151" s="12"/>
      <c r="AC151" s="12"/>
      <c r="AD151" s="30"/>
      <c r="AE151" s="30"/>
      <c r="AF151" s="26"/>
      <c r="AG151" s="26"/>
      <c r="AH151" s="165"/>
      <c r="AI151" s="14"/>
    </row>
    <row r="152" spans="3:35">
      <c r="C152" s="11"/>
      <c r="D152" s="12"/>
      <c r="E152" s="11"/>
      <c r="F152" s="12"/>
      <c r="G152" s="12"/>
      <c r="H152" s="12"/>
      <c r="I152" s="34"/>
      <c r="J152" s="539" t="s">
        <v>600</v>
      </c>
      <c r="K152" s="539"/>
      <c r="L152" s="12" t="s">
        <v>601</v>
      </c>
      <c r="M152" s="12"/>
      <c r="N152" s="12"/>
      <c r="O152" s="12"/>
      <c r="P152" s="12"/>
      <c r="Q152" s="26"/>
      <c r="R152" s="26"/>
      <c r="S152" s="12"/>
      <c r="T152" s="12"/>
      <c r="U152" s="12"/>
      <c r="V152" s="12"/>
      <c r="W152" s="12"/>
      <c r="X152" s="12"/>
      <c r="Y152" s="12"/>
      <c r="Z152" s="12"/>
      <c r="AA152" s="12"/>
      <c r="AB152" s="12"/>
      <c r="AC152" s="12"/>
      <c r="AD152" s="30"/>
      <c r="AE152" s="30"/>
      <c r="AF152" s="26"/>
      <c r="AG152" s="26"/>
      <c r="AH152" s="165"/>
      <c r="AI152" s="14"/>
    </row>
    <row r="153" spans="3:35">
      <c r="C153" s="11"/>
      <c r="D153" s="12"/>
      <c r="E153" s="11"/>
      <c r="F153" s="12"/>
      <c r="G153" s="12"/>
      <c r="H153" s="12"/>
      <c r="I153" s="34"/>
      <c r="J153" s="34"/>
      <c r="K153" s="539" t="s">
        <v>600</v>
      </c>
      <c r="L153" s="539"/>
      <c r="M153" s="12" t="s">
        <v>8</v>
      </c>
      <c r="N153" s="551">
        <f>O48</f>
        <v>3</v>
      </c>
      <c r="O153" s="547"/>
      <c r="P153" s="36" t="s">
        <v>9</v>
      </c>
      <c r="Q153" s="12"/>
      <c r="R153" s="30" t="s">
        <v>602</v>
      </c>
      <c r="S153" s="12"/>
      <c r="T153" s="12"/>
      <c r="U153" s="12"/>
      <c r="V153" s="12"/>
      <c r="W153"/>
      <c r="X153" s="12"/>
      <c r="Y153" s="12"/>
      <c r="Z153" s="12"/>
      <c r="AA153" s="12"/>
      <c r="AB153" s="12"/>
      <c r="AC153" s="12"/>
      <c r="AD153" s="30"/>
      <c r="AE153" s="30"/>
      <c r="AF153" s="26"/>
      <c r="AG153" s="26"/>
      <c r="AH153" s="165"/>
      <c r="AI153" s="14"/>
    </row>
    <row r="154" spans="3:35">
      <c r="C154" s="11"/>
      <c r="D154" s="12"/>
      <c r="E154" s="11"/>
      <c r="F154" s="12"/>
      <c r="G154" s="12"/>
      <c r="H154" s="12"/>
      <c r="I154" s="34"/>
      <c r="J154" s="34"/>
      <c r="K154" s="13"/>
      <c r="L154" s="13"/>
      <c r="M154" s="12"/>
      <c r="N154" s="13"/>
      <c r="O154" s="13"/>
      <c r="P154" s="36"/>
      <c r="Q154" s="12"/>
      <c r="R154" s="30"/>
      <c r="S154" s="12"/>
      <c r="T154" s="12"/>
      <c r="U154" s="12"/>
      <c r="V154" s="12"/>
      <c r="W154"/>
      <c r="X154" s="12"/>
      <c r="Y154" s="12"/>
      <c r="Z154" s="12"/>
      <c r="AA154" s="12"/>
      <c r="AB154" s="12"/>
      <c r="AC154" s="12"/>
      <c r="AD154" s="30"/>
      <c r="AE154" s="30"/>
      <c r="AF154" s="26"/>
      <c r="AG154" s="26"/>
      <c r="AH154" s="165"/>
      <c r="AI154" s="14"/>
    </row>
    <row r="155" spans="3:35">
      <c r="C155" s="11"/>
      <c r="D155" s="12"/>
      <c r="E155" s="11"/>
      <c r="F155" s="12"/>
      <c r="G155" s="12"/>
      <c r="H155" s="12"/>
      <c r="I155" s="34"/>
      <c r="J155" s="12" t="s">
        <v>603</v>
      </c>
      <c r="K155" s="12"/>
      <c r="L155" s="12"/>
      <c r="M155" s="12"/>
      <c r="N155" s="12"/>
      <c r="O155" s="12"/>
      <c r="P155" s="33"/>
      <c r="Q155" s="12"/>
      <c r="R155" s="30"/>
      <c r="S155" s="12"/>
      <c r="T155" s="12"/>
      <c r="U155" s="12"/>
      <c r="V155" s="12"/>
      <c r="W155"/>
      <c r="X155" s="12"/>
      <c r="Y155" s="12"/>
      <c r="Z155" s="12"/>
      <c r="AA155" s="12"/>
      <c r="AB155" s="12"/>
      <c r="AC155" s="12"/>
      <c r="AD155" s="30"/>
      <c r="AE155" s="30"/>
      <c r="AF155" s="26"/>
      <c r="AG155" s="26"/>
      <c r="AH155" s="165"/>
      <c r="AI155" s="14"/>
    </row>
    <row r="156" spans="3:35" ht="20.25">
      <c r="C156" s="11"/>
      <c r="D156" s="12"/>
      <c r="E156" s="11"/>
      <c r="F156" s="12"/>
      <c r="G156" s="12"/>
      <c r="H156" s="12"/>
      <c r="I156" s="34"/>
      <c r="J156" s="529" t="s">
        <v>604</v>
      </c>
      <c r="K156" s="529"/>
      <c r="L156" s="541" t="s">
        <v>8</v>
      </c>
      <c r="M156" s="556">
        <f>N153</f>
        <v>3</v>
      </c>
      <c r="N156" s="556"/>
      <c r="O156" s="16" t="s">
        <v>215</v>
      </c>
      <c r="P156" s="866">
        <v>1000</v>
      </c>
      <c r="Q156" s="866"/>
      <c r="R156" s="866"/>
      <c r="S156" s="12"/>
      <c r="T156" s="541" t="s">
        <v>8</v>
      </c>
      <c r="U156" s="594">
        <f>M156*P156/O157</f>
        <v>8.5714285714285712</v>
      </c>
      <c r="V156" s="595"/>
      <c r="W156"/>
      <c r="X156" s="12"/>
      <c r="Y156" s="12"/>
      <c r="Z156" s="12"/>
      <c r="AA156" s="12"/>
      <c r="AB156" s="12"/>
      <c r="AC156" s="12"/>
      <c r="AD156" s="30"/>
      <c r="AE156" s="30"/>
      <c r="AF156" s="26"/>
      <c r="AG156" s="26"/>
      <c r="AH156" s="165"/>
      <c r="AI156" s="14"/>
    </row>
    <row r="157" spans="3:35">
      <c r="C157" s="11"/>
      <c r="D157" s="12"/>
      <c r="E157" s="11"/>
      <c r="F157" s="12"/>
      <c r="G157" s="12"/>
      <c r="H157" s="12"/>
      <c r="I157" s="34"/>
      <c r="J157" s="610" t="s">
        <v>184</v>
      </c>
      <c r="K157" s="610"/>
      <c r="L157" s="541"/>
      <c r="M157" s="12"/>
      <c r="N157" s="12"/>
      <c r="O157" s="858">
        <f>'1.設計条件'!N76</f>
        <v>350</v>
      </c>
      <c r="P157" s="858"/>
      <c r="Q157" s="133"/>
      <c r="R157" s="133"/>
      <c r="S157" s="12"/>
      <c r="T157" s="541"/>
      <c r="U157" s="596"/>
      <c r="V157" s="597"/>
      <c r="W157"/>
      <c r="X157" s="12"/>
      <c r="Y157" s="12"/>
      <c r="Z157" s="12"/>
      <c r="AA157" s="12"/>
      <c r="AB157" s="12"/>
      <c r="AC157" s="12"/>
      <c r="AD157" s="30"/>
      <c r="AE157" s="30"/>
      <c r="AF157" s="26"/>
      <c r="AG157" s="26"/>
      <c r="AH157" s="165"/>
      <c r="AI157" s="14"/>
    </row>
    <row r="158" spans="3:35">
      <c r="C158" s="11"/>
      <c r="D158" s="12"/>
      <c r="E158" s="11"/>
      <c r="F158" s="12"/>
      <c r="G158" s="12"/>
      <c r="H158" s="12"/>
      <c r="I158" s="34"/>
      <c r="J158" s="34"/>
      <c r="K158" s="33"/>
      <c r="L158" s="27"/>
      <c r="M158" s="135"/>
      <c r="N158" s="135"/>
      <c r="O158" s="12"/>
      <c r="P158" s="145"/>
      <c r="Q158" s="145"/>
      <c r="R158" s="145"/>
      <c r="S158" s="12"/>
      <c r="T158" s="27"/>
      <c r="U158" s="27"/>
      <c r="V158" s="27"/>
      <c r="W158"/>
      <c r="X158" s="12"/>
      <c r="Y158" s="12"/>
      <c r="Z158" s="12"/>
      <c r="AA158" s="12"/>
      <c r="AB158" s="12"/>
      <c r="AC158" s="12"/>
      <c r="AD158" s="30"/>
      <c r="AE158" s="30"/>
      <c r="AF158" s="26"/>
      <c r="AG158" s="26"/>
      <c r="AH158" s="165"/>
      <c r="AI158" s="14"/>
    </row>
    <row r="159" spans="3:35">
      <c r="C159" s="11"/>
      <c r="D159" s="12"/>
      <c r="E159" s="11"/>
      <c r="F159" s="12"/>
      <c r="G159" s="12"/>
      <c r="H159" s="459" t="s">
        <v>605</v>
      </c>
      <c r="I159" s="459"/>
      <c r="J159" s="459"/>
      <c r="K159" s="459"/>
      <c r="L159" s="459"/>
      <c r="M159" s="459"/>
      <c r="N159" s="459"/>
      <c r="O159" s="459"/>
      <c r="P159" s="459"/>
      <c r="Q159" s="459"/>
      <c r="R159" s="436">
        <v>4.5</v>
      </c>
      <c r="S159" s="436"/>
      <c r="T159" s="12" t="s">
        <v>329</v>
      </c>
      <c r="U159" s="541" t="s">
        <v>606</v>
      </c>
      <c r="V159" s="541"/>
      <c r="W159" s="12" t="s">
        <v>563</v>
      </c>
      <c r="X159" s="576">
        <v>30</v>
      </c>
      <c r="Y159" s="576"/>
      <c r="Z159" s="32" t="s">
        <v>589</v>
      </c>
      <c r="AA159"/>
      <c r="AB159" s="12" t="s">
        <v>590</v>
      </c>
      <c r="AC159" s="12"/>
      <c r="AD159" s="12"/>
      <c r="AE159" s="12"/>
      <c r="AF159" s="26"/>
      <c r="AG159" s="26"/>
      <c r="AH159" s="165"/>
      <c r="AI159" s="14"/>
    </row>
    <row r="160" spans="3:35">
      <c r="C160" s="11"/>
      <c r="D160" s="12"/>
      <c r="E160" s="11"/>
      <c r="F160" s="12"/>
      <c r="G160" s="557" t="s">
        <v>565</v>
      </c>
      <c r="H160" s="557"/>
      <c r="I160" s="31" t="s">
        <v>8</v>
      </c>
      <c r="J160" s="136" t="s">
        <v>592</v>
      </c>
      <c r="K160" s="867">
        <v>140</v>
      </c>
      <c r="L160" s="867"/>
      <c r="M160" s="136" t="s">
        <v>438</v>
      </c>
      <c r="N160" s="459">
        <v>2.4</v>
      </c>
      <c r="O160" s="459"/>
      <c r="P160" s="136" t="s">
        <v>216</v>
      </c>
      <c r="Q160" s="539" t="s">
        <v>600</v>
      </c>
      <c r="R160" s="539"/>
      <c r="S160" s="135" t="s">
        <v>236</v>
      </c>
      <c r="T160" s="33" t="s">
        <v>184</v>
      </c>
      <c r="U160" s="12" t="s">
        <v>438</v>
      </c>
      <c r="V160" s="541">
        <v>4.5</v>
      </c>
      <c r="W160" s="541"/>
      <c r="X160" s="26" t="s">
        <v>593</v>
      </c>
      <c r="Y160" s="26" t="s">
        <v>215</v>
      </c>
      <c r="Z160" s="541">
        <v>1.5</v>
      </c>
      <c r="AA160" s="541"/>
      <c r="AB160" s="12"/>
      <c r="AC160" s="12"/>
      <c r="AD160" s="12"/>
      <c r="AE160" s="12"/>
      <c r="AF160" s="26"/>
      <c r="AG160" s="26"/>
      <c r="AH160" s="165"/>
      <c r="AI160" s="14"/>
    </row>
    <row r="161" spans="3:35">
      <c r="C161" s="11"/>
      <c r="D161" s="12"/>
      <c r="E161" s="11"/>
      <c r="F161" s="12"/>
      <c r="G161" s="152"/>
      <c r="H161" s="152"/>
      <c r="I161" s="31" t="s">
        <v>8</v>
      </c>
      <c r="J161" s="136" t="s">
        <v>592</v>
      </c>
      <c r="K161" s="867">
        <v>140</v>
      </c>
      <c r="L161" s="867"/>
      <c r="M161" s="136" t="s">
        <v>438</v>
      </c>
      <c r="N161" s="459">
        <v>2.4</v>
      </c>
      <c r="O161" s="459"/>
      <c r="P161" s="136" t="s">
        <v>216</v>
      </c>
      <c r="Q161" s="539">
        <f>U156</f>
        <v>8.5714285714285712</v>
      </c>
      <c r="R161" s="539"/>
      <c r="S161" s="539"/>
      <c r="T161" s="539"/>
      <c r="U161" s="12" t="s">
        <v>438</v>
      </c>
      <c r="V161" s="541">
        <v>4.5</v>
      </c>
      <c r="W161" s="541"/>
      <c r="X161" s="26" t="s">
        <v>593</v>
      </c>
      <c r="Y161" s="26" t="s">
        <v>215</v>
      </c>
      <c r="Z161" s="541">
        <v>1.5</v>
      </c>
      <c r="AA161" s="541"/>
      <c r="AB161" s="12"/>
      <c r="AC161" s="12"/>
      <c r="AD161" s="12"/>
      <c r="AE161" s="12"/>
      <c r="AF161" s="26"/>
      <c r="AG161" s="26"/>
      <c r="AH161" s="165"/>
      <c r="AI161" s="14"/>
    </row>
    <row r="162" spans="3:35" ht="20.25">
      <c r="C162" s="11"/>
      <c r="D162" s="12"/>
      <c r="E162" s="11"/>
      <c r="F162" s="12"/>
      <c r="G162" s="12"/>
      <c r="H162" s="136"/>
      <c r="I162" s="31" t="s">
        <v>8</v>
      </c>
      <c r="J162" s="861">
        <f>(K161-N161*(Q161-V161))*Z161</f>
        <v>195.34285714285716</v>
      </c>
      <c r="K162" s="862"/>
      <c r="L162" s="863"/>
      <c r="M162" s="151" t="s">
        <v>82</v>
      </c>
      <c r="N162" s="136"/>
      <c r="O162" s="136"/>
      <c r="P162" s="136"/>
      <c r="Q162" s="136"/>
      <c r="R162" s="135"/>
      <c r="S162" s="135"/>
      <c r="T162" s="12"/>
      <c r="U162" s="27"/>
      <c r="V162" s="27"/>
      <c r="W162" s="12"/>
      <c r="X162" s="26"/>
      <c r="Y162" s="26"/>
      <c r="Z162" s="32"/>
      <c r="AA162"/>
      <c r="AB162" s="12"/>
      <c r="AC162" s="12"/>
      <c r="AD162" s="12"/>
      <c r="AE162" s="12"/>
      <c r="AF162" s="26"/>
      <c r="AG162" s="26"/>
      <c r="AH162" s="165"/>
      <c r="AI162" s="14"/>
    </row>
    <row r="163" spans="3:35">
      <c r="C163" s="11"/>
      <c r="D163" s="12"/>
      <c r="E163" s="15"/>
      <c r="F163" s="16"/>
      <c r="G163" s="16"/>
      <c r="H163" s="166"/>
      <c r="I163" s="167"/>
      <c r="J163" s="166"/>
      <c r="K163" s="166"/>
      <c r="L163" s="166"/>
      <c r="M163" s="164"/>
      <c r="N163" s="166"/>
      <c r="O163" s="166"/>
      <c r="P163" s="166"/>
      <c r="Q163" s="166"/>
      <c r="R163" s="150"/>
      <c r="S163" s="150"/>
      <c r="T163" s="16"/>
      <c r="U163" s="157"/>
      <c r="V163" s="157"/>
      <c r="W163" s="16"/>
      <c r="X163" s="140"/>
      <c r="Y163" s="140"/>
      <c r="Z163" s="168"/>
      <c r="AA163" s="24"/>
      <c r="AB163" s="16"/>
      <c r="AC163" s="16"/>
      <c r="AD163" s="16"/>
      <c r="AE163" s="16"/>
      <c r="AF163" s="140"/>
      <c r="AG163" s="140"/>
      <c r="AH163" s="169"/>
      <c r="AI163" s="14"/>
    </row>
    <row r="164" spans="3:35">
      <c r="C164" s="11"/>
      <c r="D164" s="12"/>
      <c r="E164" s="12"/>
      <c r="F164" s="12"/>
      <c r="G164" s="12"/>
      <c r="H164" s="136"/>
      <c r="I164" s="31"/>
      <c r="J164" s="136"/>
      <c r="K164" s="136"/>
      <c r="L164" s="136"/>
      <c r="M164" s="151"/>
      <c r="N164" s="136"/>
      <c r="O164" s="136"/>
      <c r="P164" s="136"/>
      <c r="Q164" s="136"/>
      <c r="R164" s="135"/>
      <c r="S164" s="135"/>
      <c r="T164" s="12"/>
      <c r="U164" s="27"/>
      <c r="V164" s="27"/>
      <c r="W164" s="12"/>
      <c r="X164" s="26"/>
      <c r="Y164" s="26"/>
      <c r="Z164" s="32"/>
      <c r="AA164"/>
      <c r="AB164" s="12"/>
      <c r="AC164" s="12"/>
      <c r="AD164" s="12"/>
      <c r="AE164" s="12"/>
      <c r="AF164" s="26"/>
      <c r="AG164" s="26"/>
      <c r="AH164" s="26"/>
      <c r="AI164" s="14"/>
    </row>
    <row r="165" spans="3:35">
      <c r="C165" s="11"/>
      <c r="D165" s="12"/>
      <c r="E165" s="12"/>
      <c r="F165" s="12"/>
      <c r="G165" s="12"/>
      <c r="H165" s="136"/>
      <c r="I165" s="136"/>
      <c r="J165" s="136"/>
      <c r="K165" s="136"/>
      <c r="L165" s="136"/>
      <c r="M165" s="136"/>
      <c r="N165" s="136"/>
      <c r="O165" s="136"/>
      <c r="P165" s="136"/>
      <c r="Q165" s="136"/>
      <c r="R165" s="135"/>
      <c r="S165" s="135"/>
      <c r="T165" s="12"/>
      <c r="U165" s="27"/>
      <c r="V165" s="27"/>
      <c r="W165" s="12"/>
      <c r="X165" s="26"/>
      <c r="Y165" s="26"/>
      <c r="Z165" s="32"/>
      <c r="AA165"/>
      <c r="AB165" s="12"/>
      <c r="AC165" s="12"/>
      <c r="AD165" s="12"/>
      <c r="AE165" s="12"/>
      <c r="AF165" s="26"/>
      <c r="AG165" s="26"/>
      <c r="AH165" s="26"/>
      <c r="AI165" s="14"/>
    </row>
    <row r="166" spans="3:35">
      <c r="C166" s="11"/>
      <c r="D166" s="12"/>
      <c r="E166" s="8"/>
      <c r="F166" s="9"/>
      <c r="G166" s="610" t="s">
        <v>568</v>
      </c>
      <c r="H166" s="610"/>
      <c r="I166" s="9" t="s">
        <v>607</v>
      </c>
      <c r="J166" s="9"/>
      <c r="K166" s="9"/>
      <c r="L166" s="9"/>
      <c r="M166" s="9"/>
      <c r="N166" s="9"/>
      <c r="O166" s="9"/>
      <c r="P166" s="9"/>
      <c r="Q166" s="9"/>
      <c r="R166" s="9"/>
      <c r="S166" s="9"/>
      <c r="T166" s="9"/>
      <c r="U166" s="9"/>
      <c r="V166" s="9"/>
      <c r="W166" s="3"/>
      <c r="X166" s="9"/>
      <c r="Y166" s="9"/>
      <c r="Z166" s="9"/>
      <c r="AA166" s="9"/>
      <c r="AB166" s="9"/>
      <c r="AC166" s="9"/>
      <c r="AD166" s="9"/>
      <c r="AE166" s="9"/>
      <c r="AF166" s="9"/>
      <c r="AG166" s="9"/>
      <c r="AH166" s="10"/>
      <c r="AI166" s="14"/>
    </row>
    <row r="167" spans="3:35" ht="20.25">
      <c r="C167" s="11"/>
      <c r="D167" s="12"/>
      <c r="E167" s="11"/>
      <c r="F167" s="12"/>
      <c r="G167" s="12"/>
      <c r="H167" s="12"/>
      <c r="I167" s="371" t="s">
        <v>568</v>
      </c>
      <c r="J167" s="371"/>
      <c r="K167" s="12" t="s">
        <v>8</v>
      </c>
      <c r="L167" s="407">
        <v>210</v>
      </c>
      <c r="M167" s="471"/>
      <c r="N167" s="12" t="s">
        <v>82</v>
      </c>
      <c r="O167" s="12"/>
      <c r="P167" s="12"/>
      <c r="Q167" s="12" t="s">
        <v>608</v>
      </c>
      <c r="R167" s="12"/>
      <c r="S167" s="12"/>
      <c r="T167" s="12"/>
      <c r="U167" s="12"/>
      <c r="V167" s="12"/>
      <c r="W167"/>
      <c r="X167" s="12"/>
      <c r="Y167" s="12"/>
      <c r="Z167" s="12"/>
      <c r="AA167" s="12"/>
      <c r="AB167" s="12"/>
      <c r="AC167" s="12"/>
      <c r="AD167" s="12"/>
      <c r="AE167" s="12"/>
      <c r="AF167" s="12"/>
      <c r="AG167" s="12"/>
      <c r="AH167" s="14"/>
      <c r="AI167" s="14"/>
    </row>
    <row r="168" spans="3:35">
      <c r="C168" s="11"/>
      <c r="D168" s="12"/>
      <c r="E168" s="15"/>
      <c r="F168" s="16"/>
      <c r="G168" s="16"/>
      <c r="H168" s="16"/>
      <c r="I168" s="139"/>
      <c r="J168" s="139"/>
      <c r="K168" s="16"/>
      <c r="L168" s="170"/>
      <c r="M168" s="170"/>
      <c r="N168" s="16"/>
      <c r="O168" s="16"/>
      <c r="P168" s="16"/>
      <c r="Q168" s="16"/>
      <c r="R168" s="16"/>
      <c r="S168" s="16"/>
      <c r="T168" s="16"/>
      <c r="U168" s="16"/>
      <c r="V168" s="16"/>
      <c r="W168" s="24"/>
      <c r="X168" s="16"/>
      <c r="Y168" s="16"/>
      <c r="Z168" s="16"/>
      <c r="AA168" s="16"/>
      <c r="AB168" s="16"/>
      <c r="AC168" s="16"/>
      <c r="AD168" s="16"/>
      <c r="AE168" s="16"/>
      <c r="AF168" s="16"/>
      <c r="AG168" s="16"/>
      <c r="AH168" s="18"/>
      <c r="AI168" s="14"/>
    </row>
    <row r="169" spans="3:35">
      <c r="C169" s="11"/>
      <c r="D169" s="12"/>
      <c r="E169" s="12"/>
      <c r="F169" s="12"/>
      <c r="G169" s="12"/>
      <c r="H169" s="12"/>
      <c r="I169" s="34"/>
      <c r="J169" s="34"/>
      <c r="K169" s="12"/>
      <c r="L169" s="134"/>
      <c r="M169" s="134"/>
      <c r="N169" s="12"/>
      <c r="O169" s="12"/>
      <c r="P169" s="12"/>
      <c r="Q169" s="12"/>
      <c r="R169" s="12"/>
      <c r="S169" s="12"/>
      <c r="T169" s="12"/>
      <c r="U169" s="12"/>
      <c r="V169" s="12"/>
      <c r="W169"/>
      <c r="X169" s="12"/>
      <c r="Y169" s="12"/>
      <c r="Z169" s="12"/>
      <c r="AA169" s="12"/>
      <c r="AB169" s="12"/>
      <c r="AC169" s="12"/>
      <c r="AD169" s="12"/>
      <c r="AE169" s="12"/>
      <c r="AF169" s="12"/>
      <c r="AG169" s="12"/>
      <c r="AH169" s="12"/>
      <c r="AI169" s="14"/>
    </row>
    <row r="170" spans="3:35">
      <c r="C170" s="11"/>
      <c r="D170" s="12"/>
      <c r="E170" s="12"/>
      <c r="F170" s="12"/>
      <c r="G170" s="12"/>
      <c r="H170" s="12"/>
      <c r="I170" s="12"/>
      <c r="J170" s="12"/>
      <c r="K170" s="12"/>
      <c r="L170" s="12"/>
      <c r="M170" s="12"/>
      <c r="N170" s="12"/>
      <c r="O170" s="12"/>
      <c r="P170" s="12"/>
      <c r="Q170" s="12"/>
      <c r="R170" s="12"/>
      <c r="S170" s="12"/>
      <c r="T170" s="12"/>
      <c r="U170" s="12"/>
      <c r="V170" s="12"/>
      <c r="W170"/>
      <c r="X170" s="12"/>
      <c r="Y170" s="12"/>
      <c r="Z170" s="12"/>
      <c r="AA170" s="12"/>
      <c r="AB170" s="12"/>
      <c r="AC170" s="12"/>
      <c r="AD170" s="12"/>
      <c r="AE170" s="12"/>
      <c r="AF170" s="12"/>
      <c r="AG170" s="12"/>
      <c r="AH170" s="12"/>
      <c r="AI170" s="14"/>
    </row>
    <row r="171" spans="3:35">
      <c r="C171" s="11"/>
      <c r="D171" s="12"/>
      <c r="E171" s="8"/>
      <c r="F171" s="9"/>
      <c r="G171" s="610" t="s">
        <v>609</v>
      </c>
      <c r="H171" s="610"/>
      <c r="I171" s="9" t="s">
        <v>610</v>
      </c>
      <c r="J171" s="9"/>
      <c r="K171" s="9"/>
      <c r="L171" s="9"/>
      <c r="M171" s="9"/>
      <c r="N171" s="9"/>
      <c r="O171" s="9"/>
      <c r="P171" s="9"/>
      <c r="Q171" s="9"/>
      <c r="R171" s="9"/>
      <c r="S171" s="9"/>
      <c r="T171" s="9"/>
      <c r="U171" s="9"/>
      <c r="V171" s="9"/>
      <c r="W171" s="3"/>
      <c r="X171" s="9"/>
      <c r="Y171" s="9"/>
      <c r="Z171" s="9"/>
      <c r="AA171" s="9"/>
      <c r="AB171" s="9"/>
      <c r="AC171" s="9"/>
      <c r="AD171" s="9"/>
      <c r="AE171" s="9"/>
      <c r="AF171" s="9"/>
      <c r="AG171" s="9"/>
      <c r="AH171" s="10"/>
      <c r="AI171" s="14"/>
    </row>
    <row r="172" spans="3:35" ht="20.25">
      <c r="C172" s="11"/>
      <c r="D172" s="12"/>
      <c r="E172" s="11"/>
      <c r="F172" s="12"/>
      <c r="G172" s="12"/>
      <c r="H172" s="12"/>
      <c r="I172" s="371" t="s">
        <v>609</v>
      </c>
      <c r="J172" s="371"/>
      <c r="K172" s="12" t="s">
        <v>8</v>
      </c>
      <c r="L172" s="407">
        <v>210</v>
      </c>
      <c r="M172" s="471"/>
      <c r="N172" s="12" t="s">
        <v>82</v>
      </c>
      <c r="O172" s="12"/>
      <c r="P172" s="12"/>
      <c r="Q172" s="12" t="s">
        <v>608</v>
      </c>
      <c r="R172" s="12"/>
      <c r="S172" s="12"/>
      <c r="T172" s="12"/>
      <c r="U172" s="12"/>
      <c r="V172" s="12"/>
      <c r="W172"/>
      <c r="X172" s="12"/>
      <c r="Y172" s="12"/>
      <c r="Z172" s="12"/>
      <c r="AA172" s="12"/>
      <c r="AB172" s="12"/>
      <c r="AC172" s="12"/>
      <c r="AD172" s="12"/>
      <c r="AE172" s="12"/>
      <c r="AF172" s="12"/>
      <c r="AG172" s="12"/>
      <c r="AH172" s="14"/>
      <c r="AI172" s="14"/>
    </row>
    <row r="173" spans="3:35">
      <c r="C173" s="11"/>
      <c r="D173" s="12"/>
      <c r="E173" s="15"/>
      <c r="F173" s="16"/>
      <c r="G173" s="16"/>
      <c r="H173" s="16"/>
      <c r="I173" s="16"/>
      <c r="J173" s="16" t="s">
        <v>578</v>
      </c>
      <c r="K173" s="16"/>
      <c r="L173" s="16"/>
      <c r="M173" s="119" t="s">
        <v>579</v>
      </c>
      <c r="N173" s="16" t="s">
        <v>563</v>
      </c>
      <c r="O173" s="529">
        <v>13.1</v>
      </c>
      <c r="P173" s="529"/>
      <c r="Q173" s="119" t="s">
        <v>580</v>
      </c>
      <c r="R173" s="16" t="s">
        <v>537</v>
      </c>
      <c r="S173" s="16"/>
      <c r="T173" s="16"/>
      <c r="U173" s="16"/>
      <c r="V173" s="16"/>
      <c r="W173" s="24"/>
      <c r="X173" s="16"/>
      <c r="Y173" s="16"/>
      <c r="Z173" s="16"/>
      <c r="AA173" s="16"/>
      <c r="AB173" s="16"/>
      <c r="AC173" s="16"/>
      <c r="AD173" s="16"/>
      <c r="AE173" s="16"/>
      <c r="AF173" s="16"/>
      <c r="AG173" s="16"/>
      <c r="AH173" s="18"/>
      <c r="AI173" s="14"/>
    </row>
    <row r="174" spans="3:35">
      <c r="C174" s="11"/>
      <c r="D174" s="12"/>
      <c r="E174" s="12"/>
      <c r="F174" s="12"/>
      <c r="G174" s="12"/>
      <c r="H174" s="12"/>
      <c r="I174" s="12"/>
      <c r="J174" s="12"/>
      <c r="K174" s="12"/>
      <c r="L174" s="12"/>
      <c r="M174" s="33"/>
      <c r="N174" s="12"/>
      <c r="O174" s="13"/>
      <c r="P174" s="13"/>
      <c r="Q174" s="33"/>
      <c r="R174" s="12"/>
      <c r="S174" s="12"/>
      <c r="T174" s="12"/>
      <c r="U174" s="12"/>
      <c r="V174" s="12"/>
      <c r="W174"/>
      <c r="X174" s="12"/>
      <c r="Y174" s="12"/>
      <c r="Z174" s="12"/>
      <c r="AA174" s="12"/>
      <c r="AB174" s="12"/>
      <c r="AC174" s="12"/>
      <c r="AD174" s="12"/>
      <c r="AE174" s="12"/>
      <c r="AF174" s="12"/>
      <c r="AG174" s="12"/>
      <c r="AH174" s="12"/>
      <c r="AI174" s="14"/>
    </row>
    <row r="175" spans="3:35">
      <c r="C175" s="11"/>
      <c r="D175" s="12"/>
      <c r="E175" s="12"/>
      <c r="F175" s="12"/>
      <c r="G175" s="12"/>
      <c r="H175" s="12"/>
      <c r="I175" s="12"/>
      <c r="J175" s="12"/>
      <c r="K175" s="12"/>
      <c r="L175" s="12"/>
      <c r="M175" s="33"/>
      <c r="N175" s="12"/>
      <c r="O175" s="13"/>
      <c r="P175" s="13"/>
      <c r="Q175" s="33"/>
      <c r="R175" s="12"/>
      <c r="S175" s="12"/>
      <c r="T175" s="12"/>
      <c r="U175" s="12"/>
      <c r="V175" s="12"/>
      <c r="W175"/>
      <c r="X175" s="12"/>
      <c r="Y175" s="12"/>
      <c r="Z175" s="12"/>
      <c r="AA175" s="12"/>
      <c r="AB175" s="12"/>
      <c r="AC175" s="12"/>
      <c r="AD175" s="12"/>
      <c r="AE175" s="12"/>
      <c r="AF175" s="12"/>
      <c r="AG175" s="12"/>
      <c r="AH175" s="12"/>
      <c r="AI175" s="14"/>
    </row>
    <row r="176" spans="3:35" ht="20.25">
      <c r="C176" s="11"/>
      <c r="D176" s="12"/>
      <c r="E176" s="902" t="s">
        <v>567</v>
      </c>
      <c r="F176" s="903"/>
      <c r="G176" s="901" t="s">
        <v>611</v>
      </c>
      <c r="H176" s="901"/>
      <c r="I176" s="9" t="s">
        <v>612</v>
      </c>
      <c r="J176" s="9"/>
      <c r="K176" s="9"/>
      <c r="L176" s="9"/>
      <c r="M176" s="9"/>
      <c r="N176" s="9"/>
      <c r="O176" s="9"/>
      <c r="P176" s="9"/>
      <c r="Q176" s="9"/>
      <c r="R176" s="9"/>
      <c r="S176" s="9"/>
      <c r="T176" s="9"/>
      <c r="U176" s="9"/>
      <c r="V176" s="9"/>
      <c r="W176" s="3"/>
      <c r="X176" s="9"/>
      <c r="Y176" s="9"/>
      <c r="Z176" s="9"/>
      <c r="AA176" s="9"/>
      <c r="AB176" s="9"/>
      <c r="AC176" s="9"/>
      <c r="AD176" s="9"/>
      <c r="AE176" s="9"/>
      <c r="AF176" s="9"/>
      <c r="AG176" s="9"/>
      <c r="AH176" s="10"/>
      <c r="AI176" s="14"/>
    </row>
    <row r="177" spans="3:35">
      <c r="C177" s="11"/>
      <c r="D177" s="12"/>
      <c r="E177" s="11"/>
      <c r="F177" s="12"/>
      <c r="G177" s="12"/>
      <c r="H177" s="12"/>
      <c r="I177" s="557" t="s">
        <v>567</v>
      </c>
      <c r="J177" s="557"/>
      <c r="K177" s="541" t="s">
        <v>8</v>
      </c>
      <c r="L177" s="857">
        <v>1200000</v>
      </c>
      <c r="M177" s="857"/>
      <c r="N177" s="857"/>
      <c r="O177" s="857"/>
      <c r="P177" s="857"/>
      <c r="Q177" s="12"/>
      <c r="R177" s="541" t="s">
        <v>8</v>
      </c>
      <c r="S177" s="857">
        <v>1200000</v>
      </c>
      <c r="T177" s="857"/>
      <c r="U177" s="857"/>
      <c r="V177" s="857"/>
      <c r="W177" s="857"/>
      <c r="X177" s="16"/>
      <c r="Y177" s="16"/>
      <c r="Z177" s="16"/>
      <c r="AA177" s="16"/>
      <c r="AB177" s="12"/>
      <c r="AC177" s="541" t="s">
        <v>8</v>
      </c>
      <c r="AD177" s="656">
        <f>S177</f>
        <v>1200000</v>
      </c>
      <c r="AE177" s="656"/>
      <c r="AF177" s="656"/>
      <c r="AG177" s="656"/>
      <c r="AH177" s="14"/>
      <c r="AI177" s="14"/>
    </row>
    <row r="178" spans="3:35" ht="20.25">
      <c r="C178" s="11"/>
      <c r="D178" s="12"/>
      <c r="E178" s="11"/>
      <c r="F178" s="12"/>
      <c r="G178" s="12"/>
      <c r="H178" s="12"/>
      <c r="I178" s="557"/>
      <c r="J178" s="557"/>
      <c r="K178" s="541"/>
      <c r="L178" s="12" t="s">
        <v>216</v>
      </c>
      <c r="M178" s="12" t="s">
        <v>613</v>
      </c>
      <c r="N178" s="12" t="s">
        <v>236</v>
      </c>
      <c r="O178" s="33" t="s">
        <v>121</v>
      </c>
      <c r="P178" s="12" t="s">
        <v>614</v>
      </c>
      <c r="Q178" s="12"/>
      <c r="R178" s="541"/>
      <c r="S178" s="12" t="s">
        <v>216</v>
      </c>
      <c r="T178" s="576">
        <f>U188</f>
        <v>3000</v>
      </c>
      <c r="U178" s="576"/>
      <c r="V178" s="576"/>
      <c r="W178" s="12" t="s">
        <v>236</v>
      </c>
      <c r="X178" s="539">
        <f>U191</f>
        <v>151</v>
      </c>
      <c r="Y178" s="539"/>
      <c r="Z178" s="12"/>
      <c r="AA178" s="12" t="s">
        <v>614</v>
      </c>
      <c r="AB178" s="12"/>
      <c r="AC178" s="541"/>
      <c r="AD178" s="539">
        <f>(T178/X178)^2</f>
        <v>394.71952984518225</v>
      </c>
      <c r="AE178" s="539"/>
      <c r="AF178" s="539"/>
      <c r="AG178" s="539"/>
      <c r="AH178" s="14"/>
      <c r="AI178" s="14"/>
    </row>
    <row r="179" spans="3:35">
      <c r="C179" s="11"/>
      <c r="D179" s="12"/>
      <c r="E179" s="11"/>
      <c r="F179" s="12"/>
      <c r="G179" s="12"/>
      <c r="H179" s="12"/>
      <c r="I179" s="35"/>
      <c r="J179" s="35"/>
      <c r="K179" s="27"/>
      <c r="L179" s="12"/>
      <c r="M179" s="12"/>
      <c r="N179" s="12"/>
      <c r="O179" s="33"/>
      <c r="P179" s="12"/>
      <c r="Q179" s="12"/>
      <c r="R179" s="27"/>
      <c r="S179" s="12"/>
      <c r="T179" s="26"/>
      <c r="U179" s="26"/>
      <c r="V179" s="26"/>
      <c r="W179" s="12"/>
      <c r="X179" s="13"/>
      <c r="Y179" s="13"/>
      <c r="Z179" s="12"/>
      <c r="AA179" s="12"/>
      <c r="AB179" s="12"/>
      <c r="AC179" s="27"/>
      <c r="AD179" s="13"/>
      <c r="AE179" s="13"/>
      <c r="AF179" s="13"/>
      <c r="AG179" s="13"/>
      <c r="AH179" s="14"/>
      <c r="AI179" s="14"/>
    </row>
    <row r="180" spans="3:35">
      <c r="C180" s="11"/>
      <c r="D180" s="12"/>
      <c r="E180" s="11"/>
      <c r="F180" s="12"/>
      <c r="G180" s="12"/>
      <c r="H180" s="12"/>
      <c r="I180" s="35"/>
      <c r="J180" s="35"/>
      <c r="K180" s="27" t="s">
        <v>8</v>
      </c>
      <c r="L180" s="525">
        <f>AD177/AD178</f>
        <v>3040.1333333333332</v>
      </c>
      <c r="M180" s="526"/>
      <c r="N180" s="527"/>
      <c r="O180" s="33"/>
      <c r="P180" s="12"/>
      <c r="Q180" s="12"/>
      <c r="R180" s="12"/>
      <c r="S180" s="27"/>
      <c r="T180" s="12"/>
      <c r="U180" s="26"/>
      <c r="V180" s="26"/>
      <c r="W180" s="26"/>
      <c r="X180" s="12"/>
      <c r="Y180" s="13"/>
      <c r="Z180" s="13"/>
      <c r="AA180" s="12"/>
      <c r="AB180" s="30"/>
      <c r="AC180" s="12"/>
      <c r="AD180" s="12"/>
      <c r="AE180" s="12"/>
      <c r="AF180" s="12"/>
      <c r="AG180" s="12"/>
      <c r="AH180" s="14"/>
      <c r="AI180" s="14"/>
    </row>
    <row r="181" spans="3:35">
      <c r="C181" s="11"/>
      <c r="D181" s="12"/>
      <c r="E181" s="11"/>
      <c r="F181" s="12"/>
      <c r="G181" s="12"/>
      <c r="H181" s="12"/>
      <c r="I181" s="12"/>
      <c r="J181" s="12"/>
      <c r="K181" s="12"/>
      <c r="L181" s="12"/>
      <c r="M181" s="12"/>
      <c r="N181" s="12"/>
      <c r="O181" s="12"/>
      <c r="P181" s="12"/>
      <c r="Q181" s="12"/>
      <c r="R181" s="12"/>
      <c r="S181" s="12"/>
      <c r="T181" s="12"/>
      <c r="U181" s="12"/>
      <c r="V181" s="12"/>
      <c r="W181"/>
      <c r="X181" s="12"/>
      <c r="Y181" s="12"/>
      <c r="Z181" s="12"/>
      <c r="AA181" s="12"/>
      <c r="AB181" s="12"/>
      <c r="AC181" s="12"/>
      <c r="AD181" s="12"/>
      <c r="AE181" s="12"/>
      <c r="AF181" s="12"/>
      <c r="AG181" s="12"/>
      <c r="AH181" s="14"/>
      <c r="AI181" s="14"/>
    </row>
    <row r="182" spans="3:35">
      <c r="C182" s="11"/>
      <c r="D182" s="12"/>
      <c r="E182" s="11"/>
      <c r="F182" s="12"/>
      <c r="G182" s="12"/>
      <c r="H182" s="12"/>
      <c r="I182" s="557" t="s">
        <v>569</v>
      </c>
      <c r="J182" s="557"/>
      <c r="K182" s="541" t="s">
        <v>8</v>
      </c>
      <c r="L182" s="857">
        <v>1200000</v>
      </c>
      <c r="M182" s="857"/>
      <c r="N182" s="857"/>
      <c r="O182" s="857"/>
      <c r="P182" s="857"/>
      <c r="Q182" s="12"/>
      <c r="R182" s="541" t="s">
        <v>8</v>
      </c>
      <c r="S182" s="857">
        <v>1200000</v>
      </c>
      <c r="T182" s="857"/>
      <c r="U182" s="857"/>
      <c r="V182" s="857"/>
      <c r="W182" s="857"/>
      <c r="X182" s="16"/>
      <c r="Y182" s="16"/>
      <c r="Z182" s="16"/>
      <c r="AA182" s="16"/>
      <c r="AB182" s="12"/>
      <c r="AC182" s="541" t="s">
        <v>8</v>
      </c>
      <c r="AD182" s="656">
        <f>S182</f>
        <v>1200000</v>
      </c>
      <c r="AE182" s="656"/>
      <c r="AF182" s="656"/>
      <c r="AG182" s="656"/>
      <c r="AH182" s="14"/>
      <c r="AI182" s="14"/>
    </row>
    <row r="183" spans="3:35" ht="20.25">
      <c r="C183" s="11"/>
      <c r="D183" s="12"/>
      <c r="E183" s="11"/>
      <c r="F183" s="12"/>
      <c r="G183" s="12"/>
      <c r="H183" s="12"/>
      <c r="I183" s="557"/>
      <c r="J183" s="557"/>
      <c r="K183" s="541"/>
      <c r="L183" s="12" t="s">
        <v>216</v>
      </c>
      <c r="M183" s="12" t="s">
        <v>613</v>
      </c>
      <c r="N183" s="12" t="s">
        <v>236</v>
      </c>
      <c r="O183" s="33" t="s">
        <v>122</v>
      </c>
      <c r="P183" s="12" t="s">
        <v>614</v>
      </c>
      <c r="Q183" s="12"/>
      <c r="R183" s="541"/>
      <c r="S183" s="12" t="s">
        <v>216</v>
      </c>
      <c r="T183" s="576">
        <f>U188</f>
        <v>3000</v>
      </c>
      <c r="U183" s="576"/>
      <c r="V183" s="576"/>
      <c r="W183" s="12" t="s">
        <v>236</v>
      </c>
      <c r="X183" s="539">
        <f>U192</f>
        <v>89.9</v>
      </c>
      <c r="Y183" s="539"/>
      <c r="Z183" s="12"/>
      <c r="AA183" s="12" t="s">
        <v>614</v>
      </c>
      <c r="AB183" s="12"/>
      <c r="AC183" s="541"/>
      <c r="AD183" s="539">
        <f>(T183/X183)^2</f>
        <v>1113.5843682450277</v>
      </c>
      <c r="AE183" s="539"/>
      <c r="AF183" s="539"/>
      <c r="AG183" s="539"/>
      <c r="AH183" s="14"/>
      <c r="AI183" s="14"/>
    </row>
    <row r="184" spans="3:35">
      <c r="C184" s="11"/>
      <c r="D184" s="12"/>
      <c r="E184" s="11"/>
      <c r="F184" s="12"/>
      <c r="G184" s="12"/>
      <c r="H184" s="12"/>
      <c r="I184" s="35"/>
      <c r="J184" s="35"/>
      <c r="K184" s="27"/>
      <c r="L184" s="12"/>
      <c r="M184" s="12"/>
      <c r="N184" s="12"/>
      <c r="O184" s="33"/>
      <c r="P184" s="12"/>
      <c r="Q184" s="12"/>
      <c r="R184" s="27"/>
      <c r="S184" s="12"/>
      <c r="T184" s="26"/>
      <c r="U184" s="26"/>
      <c r="V184" s="26"/>
      <c r="W184" s="12"/>
      <c r="X184" s="13"/>
      <c r="Y184" s="13"/>
      <c r="Z184" s="12"/>
      <c r="AA184" s="12"/>
      <c r="AB184" s="12"/>
      <c r="AC184" s="27"/>
      <c r="AD184" s="13"/>
      <c r="AE184" s="13"/>
      <c r="AF184" s="13"/>
      <c r="AG184" s="13"/>
      <c r="AH184" s="14"/>
      <c r="AI184" s="14"/>
    </row>
    <row r="185" spans="3:35">
      <c r="C185" s="11"/>
      <c r="D185" s="12"/>
      <c r="E185" s="11"/>
      <c r="F185" s="12"/>
      <c r="G185" s="12"/>
      <c r="H185" s="12"/>
      <c r="I185" s="35"/>
      <c r="J185" s="35"/>
      <c r="K185" s="27" t="s">
        <v>8</v>
      </c>
      <c r="L185" s="525">
        <f>AD182/AD183</f>
        <v>1077.6013333333337</v>
      </c>
      <c r="M185" s="526"/>
      <c r="N185" s="527"/>
      <c r="O185" s="33"/>
      <c r="P185" s="12"/>
      <c r="Q185" s="12"/>
      <c r="R185" s="12"/>
      <c r="S185" s="27"/>
      <c r="T185" s="12"/>
      <c r="U185" s="26"/>
      <c r="V185" s="26"/>
      <c r="W185" s="26"/>
      <c r="X185" s="12"/>
      <c r="Y185" s="13"/>
      <c r="Z185" s="13"/>
      <c r="AA185" s="12"/>
      <c r="AB185" s="30"/>
      <c r="AC185" s="12"/>
      <c r="AD185" s="12"/>
      <c r="AE185" s="12"/>
      <c r="AF185" s="12"/>
      <c r="AG185" s="12"/>
      <c r="AH185" s="14"/>
      <c r="AI185" s="14"/>
    </row>
    <row r="186" spans="3:35">
      <c r="C186" s="11"/>
      <c r="D186" s="12"/>
      <c r="E186" s="11"/>
      <c r="F186" s="12"/>
      <c r="G186" s="12"/>
      <c r="H186" s="12"/>
      <c r="I186" s="12"/>
      <c r="J186" s="12"/>
      <c r="K186" s="12"/>
      <c r="L186" s="12"/>
      <c r="M186" s="12"/>
      <c r="N186" s="12"/>
      <c r="O186" s="12"/>
      <c r="P186" s="12"/>
      <c r="Q186" s="12"/>
      <c r="R186" s="12"/>
      <c r="S186" s="12"/>
      <c r="T186" s="12"/>
      <c r="U186" s="12"/>
      <c r="V186" s="12"/>
      <c r="W186"/>
      <c r="X186" s="12"/>
      <c r="Y186" s="12"/>
      <c r="Z186" s="12"/>
      <c r="AA186" s="12"/>
      <c r="AB186" s="12"/>
      <c r="AC186" s="12"/>
      <c r="AD186" s="12"/>
      <c r="AE186" s="12"/>
      <c r="AF186" s="12"/>
      <c r="AG186" s="12"/>
      <c r="AH186" s="14"/>
      <c r="AI186" s="14"/>
    </row>
    <row r="187" spans="3:35">
      <c r="C187" s="11"/>
      <c r="D187" s="12"/>
      <c r="E187" s="11"/>
      <c r="F187" s="12"/>
      <c r="G187" s="12"/>
      <c r="H187" s="12"/>
      <c r="I187" s="12"/>
      <c r="J187" s="12"/>
      <c r="K187" s="12" t="s">
        <v>613</v>
      </c>
      <c r="L187" s="12" t="s">
        <v>615</v>
      </c>
      <c r="M187" s="12"/>
      <c r="N187" s="12"/>
      <c r="O187" s="12"/>
      <c r="P187" s="12"/>
      <c r="Q187" s="12"/>
      <c r="R187" s="12"/>
      <c r="S187" s="12"/>
      <c r="T187" s="12"/>
      <c r="U187" s="12"/>
      <c r="V187" s="12"/>
      <c r="W187"/>
      <c r="X187" s="12"/>
      <c r="Y187" s="12"/>
      <c r="Z187" s="12"/>
      <c r="AA187" s="12"/>
      <c r="AB187" s="12"/>
      <c r="AC187" s="12"/>
      <c r="AD187" s="12"/>
      <c r="AE187" s="12"/>
      <c r="AF187" s="12"/>
      <c r="AG187" s="12"/>
      <c r="AH187" s="14"/>
      <c r="AI187" s="14"/>
    </row>
    <row r="188" spans="3:35">
      <c r="C188" s="11"/>
      <c r="D188" s="12"/>
      <c r="E188" s="11"/>
      <c r="F188" s="12"/>
      <c r="G188" s="12"/>
      <c r="H188" s="12"/>
      <c r="I188" s="12"/>
      <c r="J188" s="12"/>
      <c r="K188" s="12"/>
      <c r="L188" s="12" t="s">
        <v>613</v>
      </c>
      <c r="M188" s="12" t="s">
        <v>8</v>
      </c>
      <c r="N188" s="555">
        <f>O48</f>
        <v>3</v>
      </c>
      <c r="O188" s="555"/>
      <c r="P188" s="12" t="s">
        <v>215</v>
      </c>
      <c r="Q188" s="856">
        <v>1000</v>
      </c>
      <c r="R188" s="856"/>
      <c r="S188" s="12"/>
      <c r="T188" s="12" t="s">
        <v>8</v>
      </c>
      <c r="U188" s="415">
        <f>N188*Q188</f>
        <v>3000</v>
      </c>
      <c r="V188" s="416"/>
      <c r="W188" s="417"/>
      <c r="X188" s="12"/>
      <c r="Y188" s="12"/>
      <c r="Z188" s="12"/>
      <c r="AA188" s="12"/>
      <c r="AB188" s="12"/>
      <c r="AC188" s="12"/>
      <c r="AD188" s="12"/>
      <c r="AE188" s="12"/>
      <c r="AF188" s="12"/>
      <c r="AG188" s="12"/>
      <c r="AH188" s="14"/>
      <c r="AI188" s="14"/>
    </row>
    <row r="189" spans="3:35">
      <c r="C189" s="11"/>
      <c r="D189" s="12"/>
      <c r="E189" s="11"/>
      <c r="F189" s="12"/>
      <c r="G189" s="12"/>
      <c r="H189" s="12"/>
      <c r="I189" s="12"/>
      <c r="J189" s="12"/>
      <c r="K189" s="12"/>
      <c r="L189" s="12"/>
      <c r="M189" s="12"/>
      <c r="N189" s="13"/>
      <c r="O189" s="13"/>
      <c r="P189" s="12"/>
      <c r="Q189" s="146"/>
      <c r="R189" s="146"/>
      <c r="S189" s="12"/>
      <c r="T189" s="12"/>
      <c r="U189" s="26"/>
      <c r="V189" s="26"/>
      <c r="W189" s="26"/>
      <c r="X189" s="12"/>
      <c r="Y189" s="12"/>
      <c r="Z189" s="12"/>
      <c r="AA189" s="12"/>
      <c r="AB189" s="12"/>
      <c r="AC189" s="12"/>
      <c r="AD189" s="12"/>
      <c r="AE189" s="12"/>
      <c r="AF189" s="12"/>
      <c r="AG189" s="12"/>
      <c r="AH189" s="14"/>
      <c r="AI189" s="14"/>
    </row>
    <row r="190" spans="3:35">
      <c r="C190" s="11"/>
      <c r="D190" s="12"/>
      <c r="E190" s="11"/>
      <c r="F190" s="12"/>
      <c r="G190" s="12"/>
      <c r="H190" s="12"/>
      <c r="I190" s="12"/>
      <c r="J190" s="33" t="s">
        <v>121</v>
      </c>
      <c r="K190" s="33" t="s">
        <v>122</v>
      </c>
      <c r="L190" s="12" t="s">
        <v>616</v>
      </c>
      <c r="M190" s="12"/>
      <c r="N190" s="12"/>
      <c r="O190" s="12"/>
      <c r="P190" s="12"/>
      <c r="Q190" s="12"/>
      <c r="R190" s="12"/>
      <c r="S190" s="12"/>
      <c r="T190" s="12"/>
      <c r="U190" s="12"/>
      <c r="V190" s="12"/>
      <c r="W190"/>
      <c r="X190" s="12"/>
      <c r="Y190" s="12"/>
      <c r="Z190" s="12"/>
      <c r="AA190" s="12"/>
      <c r="AB190" s="12"/>
      <c r="AC190" s="12"/>
      <c r="AD190" s="12"/>
      <c r="AE190" s="12"/>
      <c r="AF190" s="12"/>
      <c r="AG190" s="12"/>
      <c r="AH190" s="14"/>
      <c r="AI190" s="14"/>
    </row>
    <row r="191" spans="3:35">
      <c r="C191" s="11"/>
      <c r="D191" s="12"/>
      <c r="E191" s="11"/>
      <c r="F191" s="12"/>
      <c r="G191" s="12"/>
      <c r="H191" s="12"/>
      <c r="I191" s="12"/>
      <c r="J191" s="12"/>
      <c r="K191" s="12"/>
      <c r="L191" s="33" t="s">
        <v>121</v>
      </c>
      <c r="M191" s="12" t="s">
        <v>8</v>
      </c>
      <c r="N191" s="555">
        <f>'1.設計条件'!N80</f>
        <v>15.1</v>
      </c>
      <c r="O191" s="555"/>
      <c r="P191" s="12" t="s">
        <v>215</v>
      </c>
      <c r="Q191" s="856">
        <v>10</v>
      </c>
      <c r="R191" s="856"/>
      <c r="S191" s="12"/>
      <c r="T191" s="12" t="s">
        <v>8</v>
      </c>
      <c r="U191" s="525">
        <f>N191*Q191</f>
        <v>151</v>
      </c>
      <c r="V191" s="526"/>
      <c r="W191" s="527"/>
      <c r="X191" s="12"/>
      <c r="Y191" s="12"/>
      <c r="Z191" s="12"/>
      <c r="AA191" s="12"/>
      <c r="AB191" s="12"/>
      <c r="AC191" s="12"/>
      <c r="AD191" s="12"/>
      <c r="AE191" s="12"/>
      <c r="AF191" s="12"/>
      <c r="AG191" s="12"/>
      <c r="AH191" s="14"/>
      <c r="AI191" s="14"/>
    </row>
    <row r="192" spans="3:35">
      <c r="C192" s="11"/>
      <c r="D192" s="12"/>
      <c r="E192" s="11"/>
      <c r="F192" s="12"/>
      <c r="G192" s="12"/>
      <c r="H192" s="12"/>
      <c r="I192" s="12"/>
      <c r="J192" s="12"/>
      <c r="K192" s="12"/>
      <c r="L192" s="33" t="s">
        <v>122</v>
      </c>
      <c r="M192" s="12" t="s">
        <v>8</v>
      </c>
      <c r="N192" s="555">
        <f>'1.設計条件'!N81</f>
        <v>8.99</v>
      </c>
      <c r="O192" s="555"/>
      <c r="P192" s="12" t="s">
        <v>215</v>
      </c>
      <c r="Q192" s="856">
        <v>10</v>
      </c>
      <c r="R192" s="856"/>
      <c r="S192" s="12"/>
      <c r="T192" s="12" t="s">
        <v>8</v>
      </c>
      <c r="U192" s="525">
        <f>N192*Q192</f>
        <v>89.9</v>
      </c>
      <c r="V192" s="526"/>
      <c r="W192" s="527"/>
      <c r="X192" s="12"/>
      <c r="Y192" s="12"/>
      <c r="Z192" s="12"/>
      <c r="AA192" s="12"/>
      <c r="AB192" s="12"/>
      <c r="AC192" s="12"/>
      <c r="AD192" s="12"/>
      <c r="AE192" s="12"/>
      <c r="AF192" s="12"/>
      <c r="AG192" s="12"/>
      <c r="AH192" s="14"/>
      <c r="AI192" s="14"/>
    </row>
    <row r="193" spans="3:35">
      <c r="C193" s="11"/>
      <c r="D193" s="12"/>
      <c r="E193" s="15"/>
      <c r="F193" s="16"/>
      <c r="G193" s="16"/>
      <c r="H193" s="16"/>
      <c r="I193" s="16"/>
      <c r="J193" s="16"/>
      <c r="K193" s="16"/>
      <c r="L193" s="119"/>
      <c r="M193" s="16"/>
      <c r="N193" s="138"/>
      <c r="O193" s="138"/>
      <c r="P193" s="16"/>
      <c r="Q193" s="147"/>
      <c r="R193" s="147"/>
      <c r="S193" s="16"/>
      <c r="T193" s="16"/>
      <c r="U193" s="17"/>
      <c r="V193" s="17"/>
      <c r="W193" s="17"/>
      <c r="X193" s="16"/>
      <c r="Y193" s="16"/>
      <c r="Z193" s="16"/>
      <c r="AA193" s="16"/>
      <c r="AB193" s="16"/>
      <c r="AC193" s="16"/>
      <c r="AD193" s="16"/>
      <c r="AE193" s="16"/>
      <c r="AF193" s="16"/>
      <c r="AG193" s="16"/>
      <c r="AH193" s="18"/>
      <c r="AI193" s="14"/>
    </row>
    <row r="194" spans="3:35">
      <c r="C194" s="11"/>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4"/>
    </row>
    <row r="195" spans="3:35">
      <c r="C195" s="11"/>
      <c r="D195" s="12" t="s">
        <v>262</v>
      </c>
      <c r="E195" s="12"/>
      <c r="F195" s="12"/>
      <c r="G195" s="12"/>
      <c r="H195" s="12"/>
      <c r="I195" s="12"/>
      <c r="J195" s="12"/>
      <c r="K195" s="12"/>
      <c r="L195" s="12"/>
      <c r="M195" s="12"/>
      <c r="N195" s="12"/>
      <c r="O195" s="12"/>
      <c r="P195" s="12"/>
      <c r="Q195" s="12"/>
      <c r="R195" s="12"/>
      <c r="S195" s="12"/>
      <c r="T195" s="12"/>
      <c r="U195" s="12"/>
      <c r="AF195" s="12"/>
      <c r="AG195" s="12"/>
      <c r="AH195" s="12"/>
      <c r="AI195" s="14"/>
    </row>
    <row r="196" spans="3:35">
      <c r="C196" s="11"/>
      <c r="D196" s="12" t="s">
        <v>559</v>
      </c>
      <c r="F196" s="12"/>
      <c r="G196" s="12"/>
      <c r="H196" s="12"/>
      <c r="I196" s="12"/>
      <c r="J196" s="12"/>
      <c r="K196" s="12"/>
      <c r="L196" s="12"/>
      <c r="M196" s="12"/>
      <c r="N196" s="12"/>
      <c r="O196" s="12"/>
      <c r="P196" s="12"/>
      <c r="Q196" s="12"/>
      <c r="R196" s="12"/>
      <c r="S196" s="12"/>
      <c r="T196" s="12"/>
      <c r="U196" s="12"/>
      <c r="AF196" s="12"/>
      <c r="AG196" s="12"/>
      <c r="AH196" s="12"/>
      <c r="AI196" s="14"/>
    </row>
    <row r="197" spans="3:35">
      <c r="C197" s="11"/>
      <c r="D197" s="12"/>
      <c r="E197" s="12"/>
      <c r="F197" s="777" t="s">
        <v>560</v>
      </c>
      <c r="G197" s="777"/>
      <c r="H197" s="541" t="s">
        <v>213</v>
      </c>
      <c r="I197" s="16"/>
      <c r="J197" s="16"/>
      <c r="K197" s="16"/>
      <c r="L197" s="16"/>
      <c r="M197" s="777" t="s">
        <v>561</v>
      </c>
      <c r="N197" s="777"/>
      <c r="O197" s="16"/>
      <c r="P197" s="16"/>
      <c r="Q197" s="16"/>
      <c r="R197" s="16"/>
      <c r="S197" s="16"/>
      <c r="U197" s="541" t="s">
        <v>213</v>
      </c>
      <c r="V197" s="16"/>
      <c r="W197" s="16"/>
      <c r="X197" s="16"/>
      <c r="Y197" s="16"/>
      <c r="Z197" s="777" t="s">
        <v>562</v>
      </c>
      <c r="AA197" s="777"/>
      <c r="AB197" s="16"/>
      <c r="AC197" s="16"/>
      <c r="AD197" s="16"/>
      <c r="AE197" s="16"/>
      <c r="AF197" s="12"/>
      <c r="AG197" s="12"/>
      <c r="AH197" s="12"/>
      <c r="AI197" s="14"/>
    </row>
    <row r="198" spans="3:35">
      <c r="C198" s="11"/>
      <c r="D198" s="12"/>
      <c r="E198" s="12"/>
      <c r="F198" s="371" t="s">
        <v>564</v>
      </c>
      <c r="G198" s="371"/>
      <c r="H198" s="541"/>
      <c r="I198" s="371" t="s">
        <v>565</v>
      </c>
      <c r="J198" s="371"/>
      <c r="K198" s="40" t="s">
        <v>566</v>
      </c>
      <c r="L198" s="12" t="s">
        <v>438</v>
      </c>
      <c r="M198" s="371" t="s">
        <v>560</v>
      </c>
      <c r="N198" s="371"/>
      <c r="O198" s="12" t="s">
        <v>236</v>
      </c>
      <c r="P198" s="371" t="s">
        <v>567</v>
      </c>
      <c r="Q198" s="371"/>
      <c r="R198" s="371"/>
      <c r="S198" s="371"/>
      <c r="T198" s="12" t="s">
        <v>218</v>
      </c>
      <c r="U198" s="541"/>
      <c r="V198" s="371" t="s">
        <v>568</v>
      </c>
      <c r="W198" s="371"/>
      <c r="X198" s="40" t="s">
        <v>566</v>
      </c>
      <c r="Y198" s="12" t="s">
        <v>438</v>
      </c>
      <c r="Z198" s="371" t="s">
        <v>560</v>
      </c>
      <c r="AA198" s="371"/>
      <c r="AB198" s="12" t="s">
        <v>236</v>
      </c>
      <c r="AC198" s="371" t="s">
        <v>569</v>
      </c>
      <c r="AD198" s="371"/>
      <c r="AE198" s="12" t="s">
        <v>218</v>
      </c>
      <c r="AF198" s="12"/>
      <c r="AG198" s="12"/>
      <c r="AH198" s="12"/>
      <c r="AI198" s="14"/>
    </row>
    <row r="199" spans="3:35">
      <c r="C199" s="11"/>
      <c r="D199" s="12"/>
      <c r="E199" s="12"/>
      <c r="F199" s="34"/>
      <c r="G199" s="34"/>
      <c r="H199" s="27"/>
      <c r="I199" s="34"/>
      <c r="J199" s="34"/>
      <c r="K199" s="40"/>
      <c r="L199" s="12"/>
      <c r="M199" s="34"/>
      <c r="N199" s="34"/>
      <c r="O199" s="12"/>
      <c r="P199" s="34"/>
      <c r="Q199" s="34"/>
      <c r="R199" s="12"/>
      <c r="S199" s="27"/>
      <c r="T199" s="34"/>
      <c r="U199" s="34"/>
      <c r="V199" s="40"/>
      <c r="W199" s="12"/>
      <c r="X199" s="34"/>
      <c r="Y199" s="34"/>
      <c r="Z199" s="12"/>
      <c r="AA199" s="34"/>
      <c r="AB199" s="34"/>
      <c r="AC199" s="12"/>
      <c r="AD199" s="27"/>
      <c r="AE199" s="137"/>
      <c r="AF199" s="12"/>
      <c r="AG199" s="12"/>
      <c r="AH199" s="12"/>
      <c r="AI199" s="14"/>
    </row>
    <row r="200" spans="3:35">
      <c r="C200" s="11"/>
      <c r="D200" s="12"/>
      <c r="E200" s="541" t="s">
        <v>8</v>
      </c>
      <c r="F200" s="558">
        <f>V110</f>
        <v>32.649985530152932</v>
      </c>
      <c r="G200" s="558"/>
      <c r="H200" s="541" t="s">
        <v>213</v>
      </c>
      <c r="I200" s="16"/>
      <c r="J200" s="16"/>
      <c r="K200" s="16"/>
      <c r="L200" s="16"/>
      <c r="M200" s="558">
        <f>J119</f>
        <v>88.937068965517227</v>
      </c>
      <c r="N200" s="558"/>
      <c r="O200" s="16"/>
      <c r="P200" s="16"/>
      <c r="Q200" s="16"/>
      <c r="R200" s="16"/>
      <c r="S200" s="16"/>
      <c r="U200" s="541" t="s">
        <v>213</v>
      </c>
      <c r="V200" s="16"/>
      <c r="W200" s="16"/>
      <c r="X200" s="16"/>
      <c r="Y200" s="16"/>
      <c r="Z200" s="558">
        <f>J122</f>
        <v>0</v>
      </c>
      <c r="AA200" s="558"/>
      <c r="AB200" s="16"/>
      <c r="AC200" s="16"/>
      <c r="AD200" s="16"/>
      <c r="AE200" s="16"/>
      <c r="AF200" s="12"/>
      <c r="AG200" s="12"/>
      <c r="AH200" s="12"/>
      <c r="AI200" s="14"/>
    </row>
    <row r="201" spans="3:35">
      <c r="C201" s="11"/>
      <c r="D201" s="12"/>
      <c r="E201" s="541"/>
      <c r="F201" s="436">
        <f>J143</f>
        <v>191.0943937708565</v>
      </c>
      <c r="G201" s="436"/>
      <c r="H201" s="541"/>
      <c r="I201" s="459">
        <f>J162</f>
        <v>195.34285714285716</v>
      </c>
      <c r="J201" s="459"/>
      <c r="K201" s="40" t="s">
        <v>566</v>
      </c>
      <c r="L201" s="12" t="s">
        <v>438</v>
      </c>
      <c r="M201" s="436">
        <f>V110</f>
        <v>32.649985530152932</v>
      </c>
      <c r="N201" s="436"/>
      <c r="O201" s="12" t="s">
        <v>236</v>
      </c>
      <c r="P201" s="459">
        <f>L180</f>
        <v>3040.1333333333332</v>
      </c>
      <c r="Q201" s="459"/>
      <c r="R201" s="459"/>
      <c r="S201" s="459"/>
      <c r="T201" s="12" t="s">
        <v>218</v>
      </c>
      <c r="U201" s="541"/>
      <c r="V201" s="459">
        <f>L167</f>
        <v>210</v>
      </c>
      <c r="W201" s="459"/>
      <c r="X201" s="40" t="s">
        <v>566</v>
      </c>
      <c r="Y201" s="12" t="s">
        <v>438</v>
      </c>
      <c r="Z201" s="436">
        <f>V110</f>
        <v>32.649985530152932</v>
      </c>
      <c r="AA201" s="436"/>
      <c r="AB201" s="12" t="s">
        <v>236</v>
      </c>
      <c r="AC201" s="907">
        <f>L185</f>
        <v>1077.6013333333337</v>
      </c>
      <c r="AD201" s="907"/>
      <c r="AE201" s="907"/>
      <c r="AF201" s="12" t="s">
        <v>218</v>
      </c>
      <c r="AG201" s="12"/>
      <c r="AH201" s="12"/>
      <c r="AI201" s="14"/>
    </row>
    <row r="202" spans="3:35">
      <c r="C202" s="11"/>
      <c r="D202" s="12"/>
      <c r="E202" s="27"/>
      <c r="F202" s="34"/>
      <c r="G202" s="34"/>
      <c r="H202" s="27"/>
      <c r="I202" s="34"/>
      <c r="J202" s="34"/>
      <c r="K202" s="40"/>
      <c r="L202" s="12"/>
      <c r="M202" s="34"/>
      <c r="N202" s="34"/>
      <c r="O202" s="12"/>
      <c r="P202" s="34"/>
      <c r="Q202" s="34"/>
      <c r="R202" s="12"/>
      <c r="S202" s="27"/>
      <c r="T202" s="34"/>
      <c r="U202" s="34"/>
      <c r="V202" s="40"/>
      <c r="W202" s="12"/>
      <c r="X202" s="34"/>
      <c r="Y202" s="34"/>
      <c r="Z202" s="12"/>
      <c r="AA202" s="34"/>
      <c r="AB202" s="34"/>
      <c r="AC202" s="12"/>
      <c r="AD202" s="27"/>
      <c r="AE202" s="137"/>
      <c r="AF202" s="12"/>
      <c r="AG202" s="12"/>
      <c r="AH202" s="12"/>
      <c r="AI202" s="14"/>
    </row>
    <row r="203" spans="3:35">
      <c r="C203" s="11"/>
      <c r="D203" s="12"/>
      <c r="E203" s="12" t="s">
        <v>8</v>
      </c>
      <c r="F203" s="887">
        <f>F200/F201</f>
        <v>0.17085789324256109</v>
      </c>
      <c r="G203" s="887"/>
      <c r="H203" s="27" t="s">
        <v>213</v>
      </c>
      <c r="I203" s="887">
        <f>M200/(I201*(1-M201/P201))</f>
        <v>0.46022973745170498</v>
      </c>
      <c r="J203" s="887"/>
      <c r="K203" s="887"/>
      <c r="L203" s="887"/>
      <c r="M203" s="887"/>
      <c r="N203" s="887"/>
      <c r="O203" s="887"/>
      <c r="P203" s="887"/>
      <c r="Q203" s="887"/>
      <c r="R203" s="887"/>
      <c r="S203" s="27" t="s">
        <v>213</v>
      </c>
      <c r="T203" s="887">
        <f>Z200/(V201*(1-Z201/AC201))</f>
        <v>0</v>
      </c>
      <c r="U203" s="887"/>
      <c r="V203" s="887"/>
      <c r="W203" s="887"/>
      <c r="X203" s="887"/>
      <c r="Y203" s="887"/>
      <c r="Z203" s="887"/>
      <c r="AA203" s="887"/>
      <c r="AB203" s="887"/>
      <c r="AC203" s="887"/>
      <c r="AD203" s="27"/>
      <c r="AE203" s="137"/>
      <c r="AF203" s="12"/>
      <c r="AG203" s="12"/>
      <c r="AH203" s="12"/>
      <c r="AI203" s="14"/>
    </row>
    <row r="204" spans="3:35">
      <c r="C204" s="11"/>
      <c r="D204" s="12"/>
      <c r="E204" s="12"/>
      <c r="F204" s="153"/>
      <c r="G204" s="153"/>
      <c r="H204" s="27"/>
      <c r="I204" s="153"/>
      <c r="J204" s="153"/>
      <c r="K204" s="153"/>
      <c r="L204" s="153"/>
      <c r="M204" s="153"/>
      <c r="N204" s="153"/>
      <c r="O204" s="153"/>
      <c r="P204" s="153"/>
      <c r="Q204" s="153"/>
      <c r="R204" s="153"/>
      <c r="S204" s="27"/>
      <c r="T204" s="153"/>
      <c r="U204" s="153"/>
      <c r="V204" s="153"/>
      <c r="W204" s="153"/>
      <c r="X204" s="153"/>
      <c r="Y204" s="153"/>
      <c r="Z204" s="153"/>
      <c r="AA204" s="153"/>
      <c r="AB204" s="153"/>
      <c r="AC204" s="153"/>
      <c r="AD204" s="27"/>
      <c r="AE204" s="137"/>
      <c r="AF204" s="12"/>
      <c r="AG204" s="12"/>
      <c r="AH204" s="12"/>
      <c r="AI204" s="14"/>
    </row>
    <row r="205" spans="3:35">
      <c r="C205" s="11"/>
      <c r="D205" s="12"/>
      <c r="E205" s="12" t="s">
        <v>8</v>
      </c>
      <c r="F205" s="912">
        <f>F203+I203+T203</f>
        <v>0.6310876306942661</v>
      </c>
      <c r="G205" s="913"/>
      <c r="H205" s="27"/>
      <c r="I205" s="12" t="str">
        <f>IF(F205&lt;=J205, "≦","&gt;")</f>
        <v>≦</v>
      </c>
      <c r="J205" s="30">
        <v>1</v>
      </c>
      <c r="K205" s="153"/>
      <c r="L205" s="525" t="str">
        <f>IF(I205="≦","OK","NG")</f>
        <v>OK</v>
      </c>
      <c r="M205" s="526"/>
      <c r="N205" s="527"/>
      <c r="O205" s="33"/>
      <c r="P205" s="12"/>
      <c r="Q205" s="12"/>
      <c r="R205" s="12"/>
      <c r="S205" s="30"/>
      <c r="AB205" s="153"/>
      <c r="AC205" s="153"/>
      <c r="AD205" s="27"/>
      <c r="AE205" s="137"/>
      <c r="AF205" s="12"/>
      <c r="AG205" s="12"/>
      <c r="AH205" s="12"/>
      <c r="AI205" s="14"/>
    </row>
    <row r="206" spans="3:35">
      <c r="C206" s="11"/>
      <c r="D206" s="12"/>
      <c r="E206" s="12"/>
      <c r="F206" s="12"/>
      <c r="G206" s="12"/>
      <c r="H206" s="12"/>
      <c r="I206" s="12"/>
      <c r="J206" s="12"/>
      <c r="K206" s="12"/>
      <c r="L206" s="12"/>
      <c r="M206" s="12"/>
      <c r="N206" s="12"/>
      <c r="O206" s="12"/>
      <c r="P206" s="12"/>
      <c r="Q206" s="12"/>
      <c r="R206" s="12"/>
      <c r="S206" s="12"/>
      <c r="AB206" s="12"/>
      <c r="AC206" s="12"/>
      <c r="AD206" s="12"/>
      <c r="AE206" s="12"/>
      <c r="AF206" s="12"/>
      <c r="AG206" s="12"/>
      <c r="AH206" s="12"/>
      <c r="AI206" s="14"/>
    </row>
    <row r="207" spans="3:35">
      <c r="C207" s="11"/>
      <c r="D207" s="12" t="s">
        <v>570</v>
      </c>
      <c r="E207" s="12"/>
      <c r="F207" s="12"/>
      <c r="G207" s="12"/>
      <c r="H207" s="12"/>
      <c r="I207" s="12"/>
      <c r="J207" s="12"/>
      <c r="K207" s="12"/>
      <c r="L207" s="12"/>
      <c r="M207" s="12"/>
      <c r="N207" s="12"/>
      <c r="O207" s="12"/>
      <c r="P207" s="12"/>
      <c r="Q207" s="12"/>
      <c r="R207" s="12"/>
      <c r="S207" s="12"/>
      <c r="AB207" s="12"/>
      <c r="AC207" s="12"/>
      <c r="AD207" s="12"/>
      <c r="AE207" s="12"/>
      <c r="AF207" s="12"/>
      <c r="AG207" s="12"/>
      <c r="AH207" s="12"/>
      <c r="AI207" s="14"/>
    </row>
    <row r="208" spans="3:35">
      <c r="C208" s="11"/>
      <c r="D208" s="12"/>
      <c r="E208" s="12"/>
      <c r="F208" s="557" t="s">
        <v>560</v>
      </c>
      <c r="G208" s="557"/>
      <c r="H208" s="541" t="s">
        <v>213</v>
      </c>
      <c r="I208" s="16"/>
      <c r="J208" s="16"/>
      <c r="K208" s="16"/>
      <c r="L208" s="777" t="s">
        <v>561</v>
      </c>
      <c r="M208" s="777"/>
      <c r="N208" s="16"/>
      <c r="O208" s="16"/>
      <c r="P208" s="16"/>
      <c r="Q208" s="16"/>
      <c r="R208" s="16"/>
      <c r="S208" s="541" t="s">
        <v>213</v>
      </c>
      <c r="T208" s="16"/>
      <c r="U208" s="16"/>
      <c r="V208" s="16"/>
      <c r="W208" s="777" t="s">
        <v>562</v>
      </c>
      <c r="X208" s="777"/>
      <c r="Y208" s="16"/>
      <c r="Z208" s="16"/>
      <c r="AA208" s="16"/>
      <c r="AI208" s="14"/>
    </row>
    <row r="209" spans="3:35">
      <c r="C209" s="11"/>
      <c r="D209" s="12"/>
      <c r="E209" s="12"/>
      <c r="F209" s="557"/>
      <c r="G209" s="557"/>
      <c r="H209" s="541"/>
      <c r="I209" s="12" t="s">
        <v>566</v>
      </c>
      <c r="J209" s="12" t="s">
        <v>438</v>
      </c>
      <c r="K209" s="371" t="s">
        <v>560</v>
      </c>
      <c r="L209" s="371"/>
      <c r="M209" s="12" t="s">
        <v>236</v>
      </c>
      <c r="N209" s="371" t="s">
        <v>567</v>
      </c>
      <c r="O209" s="371"/>
      <c r="P209" s="371"/>
      <c r="Q209" s="371"/>
      <c r="R209" s="12" t="s">
        <v>218</v>
      </c>
      <c r="S209" s="541"/>
      <c r="T209" s="12" t="s">
        <v>566</v>
      </c>
      <c r="U209" s="12" t="s">
        <v>438</v>
      </c>
      <c r="V209" s="371" t="s">
        <v>560</v>
      </c>
      <c r="W209" s="371"/>
      <c r="X209" s="12" t="s">
        <v>236</v>
      </c>
      <c r="Y209" s="371" t="s">
        <v>569</v>
      </c>
      <c r="Z209" s="371"/>
      <c r="AA209" s="12" t="s">
        <v>218</v>
      </c>
      <c r="AI209" s="14"/>
    </row>
    <row r="210" spans="3:35">
      <c r="C210" s="11"/>
      <c r="D210" s="12"/>
      <c r="E210" s="12"/>
      <c r="F210" s="12"/>
      <c r="G210" s="12"/>
      <c r="H210" s="12"/>
      <c r="I210" s="12"/>
      <c r="J210" s="12"/>
      <c r="K210" s="12"/>
      <c r="L210" s="12"/>
      <c r="M210" s="12"/>
      <c r="N210" s="12"/>
      <c r="O210" s="12"/>
      <c r="P210" s="12"/>
      <c r="Q210" s="12"/>
      <c r="R210" s="12"/>
      <c r="S210" s="12"/>
      <c r="T210" s="12"/>
      <c r="U210" s="12"/>
      <c r="V210" s="12"/>
      <c r="W210"/>
      <c r="X210" s="12"/>
      <c r="Y210" s="12"/>
      <c r="Z210" s="12"/>
      <c r="AA210" s="12"/>
      <c r="AB210" s="12"/>
      <c r="AC210" s="12"/>
      <c r="AD210" s="12"/>
      <c r="AE210" s="12"/>
      <c r="AF210" s="12"/>
      <c r="AG210" s="12"/>
      <c r="AH210" s="12"/>
      <c r="AI210" s="14"/>
    </row>
    <row r="211" spans="3:35">
      <c r="C211" s="11"/>
      <c r="D211" s="12"/>
      <c r="E211" s="541" t="s">
        <v>8</v>
      </c>
      <c r="F211" s="737">
        <f>V110</f>
        <v>32.649985530152932</v>
      </c>
      <c r="G211" s="737"/>
      <c r="H211" s="541" t="s">
        <v>213</v>
      </c>
      <c r="I211" s="16"/>
      <c r="J211" s="16"/>
      <c r="K211" s="16"/>
      <c r="L211" s="558">
        <f>J119</f>
        <v>88.937068965517227</v>
      </c>
      <c r="M211" s="558"/>
      <c r="N211" s="16"/>
      <c r="O211" s="16"/>
      <c r="P211" s="16"/>
      <c r="Q211" s="16"/>
      <c r="R211" s="16"/>
      <c r="S211" s="541" t="s">
        <v>213</v>
      </c>
      <c r="T211" s="16"/>
      <c r="U211" s="16"/>
      <c r="V211" s="16"/>
      <c r="W211" s="558">
        <f>J122</f>
        <v>0</v>
      </c>
      <c r="X211" s="558"/>
      <c r="Y211" s="16"/>
      <c r="Z211" s="16"/>
      <c r="AA211" s="16"/>
      <c r="AB211" s="238"/>
      <c r="AC211" s="12"/>
      <c r="AD211" s="12"/>
      <c r="AE211" s="12"/>
      <c r="AF211" s="12"/>
      <c r="AG211" s="12"/>
      <c r="AH211" s="12"/>
      <c r="AI211" s="14"/>
    </row>
    <row r="212" spans="3:35">
      <c r="C212" s="11"/>
      <c r="D212" s="12"/>
      <c r="E212" s="541"/>
      <c r="F212" s="737"/>
      <c r="G212" s="737"/>
      <c r="H212" s="541"/>
      <c r="I212" s="12" t="s">
        <v>566</v>
      </c>
      <c r="J212" s="12" t="s">
        <v>438</v>
      </c>
      <c r="K212" s="436">
        <f>V110</f>
        <v>32.649985530152932</v>
      </c>
      <c r="L212" s="436"/>
      <c r="M212" s="12" t="s">
        <v>236</v>
      </c>
      <c r="N212" s="459">
        <f>L180</f>
        <v>3040.1333333333332</v>
      </c>
      <c r="O212" s="459"/>
      <c r="P212" s="459"/>
      <c r="Q212" s="459"/>
      <c r="R212" s="12" t="s">
        <v>218</v>
      </c>
      <c r="S212" s="541"/>
      <c r="T212" s="12" t="s">
        <v>566</v>
      </c>
      <c r="U212" s="12" t="s">
        <v>438</v>
      </c>
      <c r="V212" s="436">
        <f>V110</f>
        <v>32.649985530152932</v>
      </c>
      <c r="W212" s="436"/>
      <c r="X212" s="12" t="s">
        <v>236</v>
      </c>
      <c r="Y212" s="559">
        <f>L185</f>
        <v>1077.6013333333337</v>
      </c>
      <c r="Z212" s="559"/>
      <c r="AA212" s="559"/>
      <c r="AB212" s="12" t="s">
        <v>218</v>
      </c>
      <c r="AC212" s="12"/>
      <c r="AD212" s="12"/>
      <c r="AE212" s="12"/>
      <c r="AF212" s="12"/>
      <c r="AG212" s="12"/>
      <c r="AH212" s="12"/>
      <c r="AI212" s="14"/>
    </row>
    <row r="213" spans="3:35">
      <c r="C213" s="11"/>
      <c r="D213" s="12"/>
      <c r="E213" s="12"/>
      <c r="F213" s="12"/>
      <c r="G213" s="12"/>
      <c r="H213" s="12"/>
      <c r="I213" s="12"/>
      <c r="J213" s="12"/>
      <c r="K213" s="12"/>
      <c r="L213" s="12"/>
      <c r="M213" s="12"/>
      <c r="N213" s="12"/>
      <c r="O213" s="12"/>
      <c r="P213" s="12"/>
      <c r="Q213" s="12"/>
      <c r="R213" s="12"/>
      <c r="S213" s="12"/>
      <c r="T213" s="12"/>
      <c r="U213" s="12"/>
      <c r="V213" s="12"/>
      <c r="W213"/>
      <c r="X213" s="12"/>
      <c r="Y213" s="12"/>
      <c r="Z213" s="12"/>
      <c r="AA213" s="12"/>
      <c r="AB213" s="12"/>
      <c r="AC213" s="12"/>
      <c r="AD213" s="12"/>
      <c r="AE213" s="12"/>
      <c r="AF213" s="12"/>
      <c r="AG213" s="12"/>
      <c r="AH213" s="12"/>
      <c r="AI213" s="14"/>
    </row>
    <row r="214" spans="3:35">
      <c r="C214" s="11"/>
      <c r="D214" s="12"/>
      <c r="E214" s="12" t="s">
        <v>8</v>
      </c>
      <c r="F214" s="539">
        <f>F211</f>
        <v>32.649985530152932</v>
      </c>
      <c r="G214" s="539"/>
      <c r="H214" s="12" t="s">
        <v>213</v>
      </c>
      <c r="I214" s="539">
        <f>L211/(1-K212/N212)</f>
        <v>89.902591855923063</v>
      </c>
      <c r="J214" s="539"/>
      <c r="K214" s="539"/>
      <c r="L214" s="539"/>
      <c r="M214" s="539"/>
      <c r="N214" s="539"/>
      <c r="O214" s="539"/>
      <c r="P214" s="539"/>
      <c r="Q214" s="12" t="s">
        <v>213</v>
      </c>
      <c r="R214" s="539">
        <f>W211/(1-V212/Y212)</f>
        <v>0</v>
      </c>
      <c r="S214" s="539"/>
      <c r="T214" s="539"/>
      <c r="U214" s="539"/>
      <c r="V214" s="539"/>
      <c r="W214" s="539"/>
      <c r="X214" s="539"/>
      <c r="Y214" s="539"/>
      <c r="Z214" s="12"/>
      <c r="AA214" s="12"/>
      <c r="AB214" s="12"/>
      <c r="AC214" s="12"/>
      <c r="AD214" s="12"/>
      <c r="AE214" s="12"/>
      <c r="AF214" s="12"/>
      <c r="AG214" s="12"/>
      <c r="AH214" s="12"/>
      <c r="AI214" s="14"/>
    </row>
    <row r="215" spans="3:35">
      <c r="C215" s="11"/>
      <c r="D215" s="12"/>
      <c r="E215" s="12"/>
      <c r="F215" s="12"/>
      <c r="G215" s="12"/>
      <c r="H215" s="12"/>
      <c r="I215" s="12"/>
      <c r="J215" s="12"/>
      <c r="K215" s="12"/>
      <c r="L215" s="12"/>
      <c r="M215" s="12"/>
      <c r="N215" s="12"/>
      <c r="O215" s="12"/>
      <c r="P215" s="12"/>
      <c r="Q215" s="12"/>
      <c r="R215" s="12"/>
      <c r="S215" s="12"/>
      <c r="T215" s="12"/>
      <c r="U215" s="12"/>
      <c r="V215" s="12"/>
      <c r="W215"/>
      <c r="X215" s="12"/>
      <c r="Y215" s="12"/>
      <c r="Z215" s="12"/>
      <c r="AA215" s="12"/>
      <c r="AB215" s="12"/>
      <c r="AC215" s="12"/>
      <c r="AD215" s="12"/>
      <c r="AE215" s="12"/>
      <c r="AF215" s="12"/>
      <c r="AG215" s="12"/>
      <c r="AH215" s="12"/>
      <c r="AI215" s="14"/>
    </row>
    <row r="216" spans="3:35" ht="20.25">
      <c r="C216" s="11"/>
      <c r="D216" s="12"/>
      <c r="E216" s="12" t="s">
        <v>8</v>
      </c>
      <c r="F216" s="909">
        <f>F214+I214+R214</f>
        <v>122.552577386076</v>
      </c>
      <c r="G216" s="910"/>
      <c r="H216" s="911"/>
      <c r="I216" s="12"/>
      <c r="J216" s="12" t="str">
        <f>IF(F216&lt;=N216, "≦","&gt;")</f>
        <v>≦</v>
      </c>
      <c r="K216" s="557" t="s">
        <v>571</v>
      </c>
      <c r="L216" s="557"/>
      <c r="M216" s="12" t="s">
        <v>8</v>
      </c>
      <c r="N216" s="539">
        <f>L172</f>
        <v>210</v>
      </c>
      <c r="O216" s="539"/>
      <c r="P216" s="539"/>
      <c r="Q216" s="525" t="str">
        <f>IF(J216="≦","OK","NG")</f>
        <v>OK</v>
      </c>
      <c r="R216" s="526"/>
      <c r="S216" s="527"/>
      <c r="T216" s="12"/>
      <c r="U216" s="12"/>
      <c r="V216" s="12"/>
      <c r="W216" s="12"/>
      <c r="X216" s="12"/>
      <c r="Y216" s="12"/>
      <c r="Z216" s="12"/>
      <c r="AA216" s="12"/>
      <c r="AB216" s="12"/>
      <c r="AC216" s="12"/>
      <c r="AD216" s="12"/>
      <c r="AE216" s="12"/>
      <c r="AF216" s="12"/>
      <c r="AG216" s="12"/>
      <c r="AH216" s="12"/>
      <c r="AI216" s="14"/>
    </row>
    <row r="217" spans="3:35">
      <c r="C217" s="11"/>
      <c r="D217" s="12"/>
      <c r="E217" s="12"/>
      <c r="F217" s="135"/>
      <c r="G217" s="135"/>
      <c r="H217" s="135"/>
      <c r="I217" s="12"/>
      <c r="J217" s="12"/>
      <c r="K217" s="35"/>
      <c r="L217" s="35"/>
      <c r="M217" s="12"/>
      <c r="N217" s="13"/>
      <c r="O217" s="13"/>
      <c r="P217" s="13"/>
      <c r="Q217" s="13"/>
      <c r="R217" s="13"/>
      <c r="S217" s="13"/>
      <c r="T217" s="12"/>
      <c r="U217" s="12"/>
      <c r="V217" s="12"/>
      <c r="W217" s="12"/>
      <c r="X217" s="12"/>
      <c r="Y217" s="12"/>
      <c r="Z217" s="12"/>
      <c r="AA217" s="12"/>
      <c r="AB217" s="12"/>
      <c r="AC217" s="12"/>
      <c r="AD217" s="12"/>
      <c r="AE217" s="12"/>
      <c r="AF217" s="12"/>
      <c r="AG217" s="12"/>
      <c r="AH217" s="12"/>
      <c r="AI217" s="14"/>
    </row>
    <row r="218" spans="3:35">
      <c r="C218" s="11"/>
      <c r="D218" s="12"/>
      <c r="E218" s="12"/>
      <c r="F218" s="135"/>
      <c r="G218" s="135"/>
      <c r="H218" s="135"/>
      <c r="I218" s="12"/>
      <c r="J218" s="12"/>
      <c r="K218" s="35"/>
      <c r="L218" s="35"/>
      <c r="M218" s="12"/>
      <c r="N218" s="13"/>
      <c r="O218" s="13"/>
      <c r="P218" s="13"/>
      <c r="Q218" s="13"/>
      <c r="R218" s="13"/>
      <c r="S218" s="13"/>
      <c r="T218" s="12"/>
      <c r="U218" s="12"/>
      <c r="V218" s="12"/>
      <c r="W218" s="12"/>
      <c r="X218" s="12"/>
      <c r="Y218" s="12"/>
      <c r="Z218" s="12"/>
      <c r="AA218" s="12"/>
      <c r="AB218" s="12"/>
      <c r="AC218" s="12"/>
      <c r="AD218" s="12"/>
      <c r="AE218" s="12"/>
      <c r="AF218" s="12"/>
      <c r="AG218" s="12"/>
      <c r="AH218" s="12"/>
      <c r="AI218" s="14"/>
    </row>
    <row r="219" spans="3:35">
      <c r="C219" s="11" t="s">
        <v>617</v>
      </c>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4"/>
    </row>
    <row r="220" spans="3:35">
      <c r="C220" s="11"/>
      <c r="D220" s="12" t="s">
        <v>618</v>
      </c>
      <c r="F220" s="12"/>
      <c r="G220" s="12"/>
      <c r="H220" s="12"/>
      <c r="I220" s="12"/>
      <c r="J220" s="12"/>
      <c r="K220" s="12"/>
      <c r="L220" s="12"/>
      <c r="M220" s="12"/>
      <c r="N220" s="12"/>
      <c r="V220" s="12"/>
      <c r="W220" s="12"/>
      <c r="X220" s="12"/>
      <c r="Y220" s="12"/>
      <c r="Z220" s="12"/>
      <c r="AA220" s="12"/>
      <c r="AB220" s="12"/>
      <c r="AC220" s="12"/>
      <c r="AD220" s="12"/>
      <c r="AE220" s="12"/>
      <c r="AF220" s="12"/>
      <c r="AG220" s="12"/>
      <c r="AH220" s="12"/>
      <c r="AI220" s="14"/>
    </row>
    <row r="221" spans="3:35">
      <c r="C221" s="11"/>
      <c r="D221" s="12"/>
      <c r="F221" s="914" t="s">
        <v>505</v>
      </c>
      <c r="G221" s="557"/>
      <c r="H221" s="541" t="s">
        <v>8</v>
      </c>
      <c r="I221" s="777" t="s">
        <v>547</v>
      </c>
      <c r="J221" s="777"/>
      <c r="K221" s="132"/>
      <c r="L221" s="541" t="s">
        <v>8</v>
      </c>
      <c r="M221" s="16"/>
      <c r="N221" s="16"/>
      <c r="O221" s="556">
        <f>AC76</f>
        <v>237.16551724137929</v>
      </c>
      <c r="P221" s="556"/>
      <c r="Q221" s="556"/>
      <c r="R221" s="16" t="s">
        <v>215</v>
      </c>
      <c r="S221" s="656">
        <v>1000</v>
      </c>
      <c r="T221" s="656"/>
      <c r="U221" s="656"/>
      <c r="V221" s="16"/>
      <c r="W221" s="16"/>
      <c r="X221" s="16"/>
      <c r="Y221" s="12"/>
      <c r="Z221" s="12"/>
      <c r="AA221" s="12"/>
      <c r="AB221" s="12"/>
      <c r="AC221" s="12"/>
      <c r="AD221" s="12"/>
      <c r="AE221" s="12"/>
      <c r="AF221" s="12"/>
      <c r="AG221" s="12"/>
      <c r="AH221" s="12"/>
      <c r="AI221" s="14"/>
    </row>
    <row r="222" spans="3:35">
      <c r="C222" s="11"/>
      <c r="D222" s="12"/>
      <c r="F222" s="557"/>
      <c r="G222" s="557"/>
      <c r="H222" s="541"/>
      <c r="I222" s="610" t="s">
        <v>597</v>
      </c>
      <c r="J222" s="610"/>
      <c r="K222" s="133"/>
      <c r="L222" s="541"/>
      <c r="M222" s="1" t="s">
        <v>216</v>
      </c>
      <c r="N222" s="576">
        <f>'1.設計条件'!N75</f>
        <v>350</v>
      </c>
      <c r="O222" s="576"/>
      <c r="P222" s="30" t="s">
        <v>438</v>
      </c>
      <c r="Q222" s="30">
        <v>2</v>
      </c>
      <c r="R222" s="30" t="s">
        <v>215</v>
      </c>
      <c r="S222" s="576">
        <f>'1.設計条件'!N78</f>
        <v>19</v>
      </c>
      <c r="T222" s="576"/>
      <c r="U222" s="12" t="s">
        <v>218</v>
      </c>
      <c r="V222" s="12" t="s">
        <v>215</v>
      </c>
      <c r="W222" s="576">
        <f>'1.設計条件'!N77</f>
        <v>12</v>
      </c>
      <c r="X222" s="576"/>
      <c r="AF222" s="12"/>
      <c r="AG222" s="12"/>
      <c r="AH222" s="12"/>
      <c r="AI222" s="14"/>
    </row>
    <row r="223" spans="3:35">
      <c r="C223" s="11"/>
      <c r="D223" s="12"/>
      <c r="F223" s="35"/>
      <c r="G223" s="35"/>
      <c r="H223" s="27"/>
      <c r="I223" s="34"/>
      <c r="J223" s="34"/>
      <c r="K223" s="133"/>
      <c r="L223" s="27"/>
      <c r="M223" s="26"/>
      <c r="N223" s="26"/>
      <c r="O223" s="26"/>
      <c r="P223" s="12"/>
      <c r="Q223" s="26"/>
      <c r="R223" s="26"/>
      <c r="S223" s="12"/>
      <c r="T223" s="12"/>
      <c r="U223" s="12"/>
      <c r="V223" s="12"/>
      <c r="W223" s="12"/>
      <c r="X223" s="12"/>
      <c r="Y223" s="12"/>
      <c r="Z223" s="12"/>
      <c r="AA223" s="12"/>
      <c r="AB223" s="12"/>
      <c r="AC223" s="12"/>
      <c r="AD223" s="12"/>
      <c r="AE223" s="12"/>
      <c r="AF223" s="12"/>
      <c r="AG223" s="12"/>
      <c r="AH223" s="12"/>
      <c r="AI223" s="14"/>
    </row>
    <row r="224" spans="3:35" ht="20.25">
      <c r="C224" s="11"/>
      <c r="D224" s="12"/>
      <c r="E224" s="12"/>
      <c r="F224" s="12"/>
      <c r="G224" s="12"/>
      <c r="H224" s="12" t="s">
        <v>8</v>
      </c>
      <c r="I224" s="525">
        <f>O221*S221/(N222-Q222*S222)/W222</f>
        <v>63.345490716180372</v>
      </c>
      <c r="J224" s="526"/>
      <c r="K224" s="527"/>
      <c r="L224" s="12" t="s">
        <v>82</v>
      </c>
      <c r="M224" s="12"/>
      <c r="N224" s="12"/>
      <c r="O224" s="12"/>
      <c r="P224" s="12" t="str">
        <f>IF(I224&lt;=T224, "≦","&gt;")</f>
        <v>≦</v>
      </c>
      <c r="Q224" s="375" t="s">
        <v>619</v>
      </c>
      <c r="R224" s="371"/>
      <c r="S224" s="12" t="s">
        <v>8</v>
      </c>
      <c r="T224" s="539">
        <f>'1.設計条件'!N85</f>
        <v>120</v>
      </c>
      <c r="U224" s="539"/>
      <c r="V224" s="539"/>
      <c r="W224" s="12" t="s">
        <v>82</v>
      </c>
      <c r="X224" s="12"/>
      <c r="Y224" s="12"/>
      <c r="Z224" s="12"/>
      <c r="AA224" s="525" t="str">
        <f>IF(P224="≦","OK","NG")</f>
        <v>OK</v>
      </c>
      <c r="AB224" s="526"/>
      <c r="AC224" s="527"/>
      <c r="AD224" s="12"/>
      <c r="AE224" s="12"/>
      <c r="AF224" s="12"/>
      <c r="AG224" s="12"/>
      <c r="AH224" s="12"/>
      <c r="AI224" s="14"/>
    </row>
    <row r="225" spans="2:35">
      <c r="C225" s="11"/>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4"/>
    </row>
    <row r="226" spans="2:35">
      <c r="C226" s="15"/>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8"/>
    </row>
    <row r="228" spans="2:35">
      <c r="B228" s="1" t="s">
        <v>620</v>
      </c>
      <c r="W228" t="s">
        <v>555</v>
      </c>
    </row>
    <row r="229" spans="2:35">
      <c r="C229" s="8"/>
      <c r="D229" s="9"/>
      <c r="E229" s="9"/>
      <c r="F229" s="9"/>
      <c r="G229" s="9"/>
      <c r="H229" s="9"/>
      <c r="I229" s="9"/>
      <c r="J229" s="9"/>
      <c r="K229" s="9"/>
      <c r="L229" s="9"/>
      <c r="M229" s="9"/>
      <c r="N229" s="9"/>
      <c r="O229" s="9"/>
      <c r="P229" s="9"/>
      <c r="Q229" s="9"/>
      <c r="R229" s="9"/>
      <c r="S229" s="9"/>
      <c r="T229" s="9"/>
      <c r="U229" s="9"/>
      <c r="V229" s="9"/>
      <c r="W229" s="3"/>
      <c r="X229" s="9"/>
      <c r="Y229" s="9"/>
      <c r="Z229" s="9"/>
      <c r="AA229" s="9"/>
      <c r="AB229" s="9"/>
      <c r="AC229" s="9"/>
      <c r="AD229" s="9"/>
      <c r="AE229" s="9"/>
      <c r="AF229" s="9"/>
      <c r="AG229" s="9"/>
      <c r="AH229" s="9"/>
      <c r="AI229" s="10"/>
    </row>
    <row r="230" spans="2:35">
      <c r="C230" s="11"/>
      <c r="D230" s="12" t="s">
        <v>621</v>
      </c>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4"/>
    </row>
    <row r="231" spans="2:35">
      <c r="C231" s="15"/>
      <c r="D231" s="16" t="s">
        <v>622</v>
      </c>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8"/>
    </row>
    <row r="233" spans="2:35">
      <c r="B233" s="205"/>
      <c r="C233" s="205"/>
      <c r="D233" s="205"/>
    </row>
  </sheetData>
  <sheetProtection sheet="1" objects="1" scenarios="1"/>
  <mergeCells count="391">
    <mergeCell ref="F9:F10"/>
    <mergeCell ref="G9:I9"/>
    <mergeCell ref="J9:J10"/>
    <mergeCell ref="K9:L9"/>
    <mergeCell ref="N9:N10"/>
    <mergeCell ref="I17:J17"/>
    <mergeCell ref="I83:K83"/>
    <mergeCell ref="G109:H109"/>
    <mergeCell ref="F76:G77"/>
    <mergeCell ref="H76:H77"/>
    <mergeCell ref="J21:L21"/>
    <mergeCell ref="F16:G16"/>
    <mergeCell ref="G31:H31"/>
    <mergeCell ref="J31:L31"/>
    <mergeCell ref="L39:M39"/>
    <mergeCell ref="G21:H21"/>
    <mergeCell ref="F81:G81"/>
    <mergeCell ref="F100:G100"/>
    <mergeCell ref="H100:H101"/>
    <mergeCell ref="M100:N100"/>
    <mergeCell ref="N87:O87"/>
    <mergeCell ref="J82:L82"/>
    <mergeCell ref="F90:G91"/>
    <mergeCell ref="O9:P10"/>
    <mergeCell ref="Q9:R10"/>
    <mergeCell ref="G10:I10"/>
    <mergeCell ref="K10:L10"/>
    <mergeCell ref="T137:T138"/>
    <mergeCell ref="U137:V138"/>
    <mergeCell ref="T140:U140"/>
    <mergeCell ref="N192:O192"/>
    <mergeCell ref="Q192:R192"/>
    <mergeCell ref="U192:W192"/>
    <mergeCell ref="U188:W188"/>
    <mergeCell ref="T178:V178"/>
    <mergeCell ref="V161:W161"/>
    <mergeCell ref="I177:J178"/>
    <mergeCell ref="L177:P177"/>
    <mergeCell ref="I182:J183"/>
    <mergeCell ref="G110:H111"/>
    <mergeCell ref="L15:N15"/>
    <mergeCell ref="L16:N16"/>
    <mergeCell ref="L17:N17"/>
    <mergeCell ref="L18:N18"/>
    <mergeCell ref="F12:N12"/>
    <mergeCell ref="F13:N13"/>
    <mergeCell ref="F14:N14"/>
    <mergeCell ref="F101:G101"/>
    <mergeCell ref="F216:H216"/>
    <mergeCell ref="S221:U221"/>
    <mergeCell ref="I222:J222"/>
    <mergeCell ref="L205:N205"/>
    <mergeCell ref="U197:U198"/>
    <mergeCell ref="S208:S209"/>
    <mergeCell ref="F214:G214"/>
    <mergeCell ref="I214:P214"/>
    <mergeCell ref="R214:Y214"/>
    <mergeCell ref="F200:G200"/>
    <mergeCell ref="V198:W198"/>
    <mergeCell ref="F211:G212"/>
    <mergeCell ref="H211:H212"/>
    <mergeCell ref="F203:G203"/>
    <mergeCell ref="F205:G205"/>
    <mergeCell ref="W222:X222"/>
    <mergeCell ref="F221:G222"/>
    <mergeCell ref="H221:H222"/>
    <mergeCell ref="I221:J221"/>
    <mergeCell ref="L221:L222"/>
    <mergeCell ref="O221:Q221"/>
    <mergeCell ref="U200:U201"/>
    <mergeCell ref="W211:X211"/>
    <mergeCell ref="H200:H201"/>
    <mergeCell ref="F198:G198"/>
    <mergeCell ref="F197:G197"/>
    <mergeCell ref="H197:H198"/>
    <mergeCell ref="K106:L106"/>
    <mergeCell ref="N106:O106"/>
    <mergeCell ref="K142:L142"/>
    <mergeCell ref="N142:O142"/>
    <mergeCell ref="N141:O141"/>
    <mergeCell ref="Q141:R141"/>
    <mergeCell ref="J149:K149"/>
    <mergeCell ref="Q142:T142"/>
    <mergeCell ref="I198:J198"/>
    <mergeCell ref="M197:N197"/>
    <mergeCell ref="M198:N198"/>
    <mergeCell ref="AA149:AB149"/>
    <mergeCell ref="H140:Q140"/>
    <mergeCell ref="I101:J101"/>
    <mergeCell ref="I110:I111"/>
    <mergeCell ref="F105:G106"/>
    <mergeCell ref="H105:H106"/>
    <mergeCell ref="L105:M105"/>
    <mergeCell ref="Q105:Q106"/>
    <mergeCell ref="M101:N101"/>
    <mergeCell ref="P101:Q101"/>
    <mergeCell ref="E115:F115"/>
    <mergeCell ref="G147:H147"/>
    <mergeCell ref="G115:H115"/>
    <mergeCell ref="O157:P157"/>
    <mergeCell ref="K153:L153"/>
    <mergeCell ref="J152:K152"/>
    <mergeCell ref="T156:T157"/>
    <mergeCell ref="L180:N180"/>
    <mergeCell ref="R177:R178"/>
    <mergeCell ref="S177:W177"/>
    <mergeCell ref="I172:J172"/>
    <mergeCell ref="L172:M172"/>
    <mergeCell ref="Q161:T161"/>
    <mergeCell ref="J162:L162"/>
    <mergeCell ref="O173:P173"/>
    <mergeCell ref="P67:Q67"/>
    <mergeCell ref="R86:T86"/>
    <mergeCell ref="N86:O86"/>
    <mergeCell ref="M86:M87"/>
    <mergeCell ref="F86:G87"/>
    <mergeCell ref="H86:H87"/>
    <mergeCell ref="Q86:Q87"/>
    <mergeCell ref="F72:G73"/>
    <mergeCell ref="I69:K69"/>
    <mergeCell ref="I115:AH115"/>
    <mergeCell ref="H90:H91"/>
    <mergeCell ref="I87:L87"/>
    <mergeCell ref="G126:H126"/>
    <mergeCell ref="V72:W72"/>
    <mergeCell ref="R72:T72"/>
    <mergeCell ref="M72:M73"/>
    <mergeCell ref="N72:O72"/>
    <mergeCell ref="N73:O73"/>
    <mergeCell ref="R76:T76"/>
    <mergeCell ref="M76:N76"/>
    <mergeCell ref="I77:K77"/>
    <mergeCell ref="L76:L77"/>
    <mergeCell ref="Q76:Q77"/>
    <mergeCell ref="R77:W77"/>
    <mergeCell ref="R73:W73"/>
    <mergeCell ref="V86:W86"/>
    <mergeCell ref="I73:L73"/>
    <mergeCell ref="V90:W90"/>
    <mergeCell ref="J81:K81"/>
    <mergeCell ref="L90:L91"/>
    <mergeCell ref="I91:K91"/>
    <mergeCell ref="E211:E212"/>
    <mergeCell ref="E200:E201"/>
    <mergeCell ref="K161:L161"/>
    <mergeCell ref="L137:L138"/>
    <mergeCell ref="M137:N137"/>
    <mergeCell ref="M138:N138"/>
    <mergeCell ref="P137:R137"/>
    <mergeCell ref="P138:R138"/>
    <mergeCell ref="F201:G201"/>
    <mergeCell ref="I201:J201"/>
    <mergeCell ref="M201:N201"/>
    <mergeCell ref="G166:H166"/>
    <mergeCell ref="I167:J167"/>
    <mergeCell ref="L167:M167"/>
    <mergeCell ref="L150:Q150"/>
    <mergeCell ref="N153:O153"/>
    <mergeCell ref="L156:L157"/>
    <mergeCell ref="L185:N185"/>
    <mergeCell ref="N191:O191"/>
    <mergeCell ref="F208:G209"/>
    <mergeCell ref="H208:H209"/>
    <mergeCell ref="L208:M208"/>
    <mergeCell ref="G176:H176"/>
    <mergeCell ref="E176:F176"/>
    <mergeCell ref="C4:AI5"/>
    <mergeCell ref="D9:E10"/>
    <mergeCell ref="I16:J16"/>
    <mergeCell ref="H72:H73"/>
    <mergeCell ref="M63:N63"/>
    <mergeCell ref="F15:G15"/>
    <mergeCell ref="I15:J15"/>
    <mergeCell ref="F17:G17"/>
    <mergeCell ref="Q72:Q73"/>
    <mergeCell ref="E43:K43"/>
    <mergeCell ref="L28:N28"/>
    <mergeCell ref="F23:N23"/>
    <mergeCell ref="F24:N24"/>
    <mergeCell ref="F25:N25"/>
    <mergeCell ref="F26:G26"/>
    <mergeCell ref="I26:J26"/>
    <mergeCell ref="L26:N26"/>
    <mergeCell ref="F27:G27"/>
    <mergeCell ref="I27:J27"/>
    <mergeCell ref="L27:N27"/>
    <mergeCell ref="N54:O54"/>
    <mergeCell ref="S41:T41"/>
    <mergeCell ref="G59:H60"/>
    <mergeCell ref="D36:AI37"/>
    <mergeCell ref="W41:X41"/>
    <mergeCell ref="AB41:AD41"/>
    <mergeCell ref="O42:Q42"/>
    <mergeCell ref="O46:P46"/>
    <mergeCell ref="R46:S46"/>
    <mergeCell ref="M67:N67"/>
    <mergeCell ref="N53:O53"/>
    <mergeCell ref="Q53:S53"/>
    <mergeCell ref="E53:M53"/>
    <mergeCell ref="I59:I60"/>
    <mergeCell ref="U54:V54"/>
    <mergeCell ref="P63:Q63"/>
    <mergeCell ref="N59:O60"/>
    <mergeCell ref="Q59:Q60"/>
    <mergeCell ref="S59:T60"/>
    <mergeCell ref="Q54:R54"/>
    <mergeCell ref="U59:U60"/>
    <mergeCell ref="E54:M54"/>
    <mergeCell ref="V55:X55"/>
    <mergeCell ref="V59:W60"/>
    <mergeCell ref="K59:L60"/>
    <mergeCell ref="M59:M60"/>
    <mergeCell ref="G61:H61"/>
    <mergeCell ref="J61:K61"/>
    <mergeCell ref="O39:Q39"/>
    <mergeCell ref="E40:K40"/>
    <mergeCell ref="L40:M40"/>
    <mergeCell ref="O40:Q40"/>
    <mergeCell ref="L43:M43"/>
    <mergeCell ref="O43:Q43"/>
    <mergeCell ref="Q56:S56"/>
    <mergeCell ref="L46:M46"/>
    <mergeCell ref="E41:K41"/>
    <mergeCell ref="L41:M41"/>
    <mergeCell ref="O41:P41"/>
    <mergeCell ref="Q55:R55"/>
    <mergeCell ref="M90:N90"/>
    <mergeCell ref="M91:N91"/>
    <mergeCell ref="O47:P47"/>
    <mergeCell ref="R47:S47"/>
    <mergeCell ref="O48:P48"/>
    <mergeCell ref="D50:AI51"/>
    <mergeCell ref="F67:G67"/>
    <mergeCell ref="J67:K67"/>
    <mergeCell ref="Y72:Y73"/>
    <mergeCell ref="AF76:AF77"/>
    <mergeCell ref="AF90:AF91"/>
    <mergeCell ref="AF72:AH73"/>
    <mergeCell ref="V76:W76"/>
    <mergeCell ref="Y86:Y87"/>
    <mergeCell ref="M77:N77"/>
    <mergeCell ref="R87:W87"/>
    <mergeCell ref="AC72:AE73"/>
    <mergeCell ref="AB72:AB73"/>
    <mergeCell ref="Y76:Y77"/>
    <mergeCell ref="AC76:AE77"/>
    <mergeCell ref="AC90:AE91"/>
    <mergeCell ref="N68:O68"/>
    <mergeCell ref="Q68:S68"/>
    <mergeCell ref="J68:L68"/>
    <mergeCell ref="AB86:AB87"/>
    <mergeCell ref="AC86:AE87"/>
    <mergeCell ref="AB76:AB77"/>
    <mergeCell ref="P81:Q81"/>
    <mergeCell ref="V82:W82"/>
    <mergeCell ref="M81:N81"/>
    <mergeCell ref="V68:W68"/>
    <mergeCell ref="N82:O82"/>
    <mergeCell ref="Q82:S82"/>
    <mergeCell ref="AF86:AH87"/>
    <mergeCell ref="Q90:Q91"/>
    <mergeCell ref="V110:W111"/>
    <mergeCell ref="N117:P117"/>
    <mergeCell ref="N118:P118"/>
    <mergeCell ref="R118:S118"/>
    <mergeCell ref="G117:H118"/>
    <mergeCell ref="X149:Y149"/>
    <mergeCell ref="R150:S150"/>
    <mergeCell ref="N110:P110"/>
    <mergeCell ref="I116:AH116"/>
    <mergeCell ref="J150:K150"/>
    <mergeCell ref="G141:H141"/>
    <mergeCell ref="K141:L141"/>
    <mergeCell ref="J119:K120"/>
    <mergeCell ref="G122:H122"/>
    <mergeCell ref="J122:K122"/>
    <mergeCell ref="K134:L134"/>
    <mergeCell ref="J133:K133"/>
    <mergeCell ref="I119:I120"/>
    <mergeCell ref="K128:R128"/>
    <mergeCell ref="U110:U111"/>
    <mergeCell ref="Z142:AA142"/>
    <mergeCell ref="V141:W141"/>
    <mergeCell ref="AC105:AD106"/>
    <mergeCell ref="AB105:AB106"/>
    <mergeCell ref="U105:V105"/>
    <mergeCell ref="AE100:AE101"/>
    <mergeCell ref="AF100:AF101"/>
    <mergeCell ref="X100:Y100"/>
    <mergeCell ref="X101:Y101"/>
    <mergeCell ref="AA101:AB101"/>
    <mergeCell ref="R91:W91"/>
    <mergeCell ref="W106:X106"/>
    <mergeCell ref="S100:S101"/>
    <mergeCell ref="AB90:AB91"/>
    <mergeCell ref="Y90:Y91"/>
    <mergeCell ref="R90:T90"/>
    <mergeCell ref="T106:U106"/>
    <mergeCell ref="T101:U101"/>
    <mergeCell ref="W129:X129"/>
    <mergeCell ref="J143:L143"/>
    <mergeCell ref="I117:I118"/>
    <mergeCell ref="J117:K117"/>
    <mergeCell ref="J118:K118"/>
    <mergeCell ref="AD149:AF149"/>
    <mergeCell ref="AF150:AH150"/>
    <mergeCell ref="Z160:AA160"/>
    <mergeCell ref="AD177:AG177"/>
    <mergeCell ref="P156:R156"/>
    <mergeCell ref="R117:T117"/>
    <mergeCell ref="H159:Q159"/>
    <mergeCell ref="G160:H160"/>
    <mergeCell ref="K160:L160"/>
    <mergeCell ref="N160:O160"/>
    <mergeCell ref="Q160:R160"/>
    <mergeCell ref="U159:V159"/>
    <mergeCell ref="R159:S159"/>
    <mergeCell ref="Z161:AA161"/>
    <mergeCell ref="G171:H171"/>
    <mergeCell ref="K177:K178"/>
    <mergeCell ref="X178:Y178"/>
    <mergeCell ref="Z141:AA141"/>
    <mergeCell ref="V142:W142"/>
    <mergeCell ref="AD178:AG178"/>
    <mergeCell ref="AC177:AC178"/>
    <mergeCell ref="X159:Y159"/>
    <mergeCell ref="U156:V157"/>
    <mergeCell ref="J156:K156"/>
    <mergeCell ref="J157:K157"/>
    <mergeCell ref="V160:W160"/>
    <mergeCell ref="K182:K183"/>
    <mergeCell ref="N111:P111"/>
    <mergeCell ref="M117:M118"/>
    <mergeCell ref="M110:M111"/>
    <mergeCell ref="N134:O134"/>
    <mergeCell ref="N129:O129"/>
    <mergeCell ref="R110:S110"/>
    <mergeCell ref="R111:S111"/>
    <mergeCell ref="Q129:R129"/>
    <mergeCell ref="O127:P127"/>
    <mergeCell ref="V150:W150"/>
    <mergeCell ref="Q148:R148"/>
    <mergeCell ref="N148:O148"/>
    <mergeCell ref="N161:O161"/>
    <mergeCell ref="M131:N131"/>
    <mergeCell ref="U149:V149"/>
    <mergeCell ref="M156:N156"/>
    <mergeCell ref="AA224:AC224"/>
    <mergeCell ref="N209:Q209"/>
    <mergeCell ref="N212:Q212"/>
    <mergeCell ref="P198:S198"/>
    <mergeCell ref="P201:S201"/>
    <mergeCell ref="Z200:AA200"/>
    <mergeCell ref="V201:W201"/>
    <mergeCell ref="Z201:AA201"/>
    <mergeCell ref="I224:K224"/>
    <mergeCell ref="Q224:R224"/>
    <mergeCell ref="T224:V224"/>
    <mergeCell ref="N216:P216"/>
    <mergeCell ref="Q216:S216"/>
    <mergeCell ref="K216:L216"/>
    <mergeCell ref="W208:X208"/>
    <mergeCell ref="V209:W209"/>
    <mergeCell ref="L211:M211"/>
    <mergeCell ref="K209:L209"/>
    <mergeCell ref="S211:S212"/>
    <mergeCell ref="K212:L212"/>
    <mergeCell ref="M200:N200"/>
    <mergeCell ref="I203:R203"/>
    <mergeCell ref="T203:AC203"/>
    <mergeCell ref="AC201:AE201"/>
    <mergeCell ref="AC182:AC183"/>
    <mergeCell ref="Y209:Z209"/>
    <mergeCell ref="N222:O222"/>
    <mergeCell ref="S222:T222"/>
    <mergeCell ref="V212:W212"/>
    <mergeCell ref="Y212:AA212"/>
    <mergeCell ref="AC198:AD198"/>
    <mergeCell ref="N188:O188"/>
    <mergeCell ref="Q188:R188"/>
    <mergeCell ref="AD182:AG182"/>
    <mergeCell ref="T183:V183"/>
    <mergeCell ref="X183:Y183"/>
    <mergeCell ref="AD183:AG183"/>
    <mergeCell ref="L182:P182"/>
    <mergeCell ref="Z198:AA198"/>
    <mergeCell ref="Z197:AA197"/>
    <mergeCell ref="Q191:R191"/>
    <mergeCell ref="R182:R183"/>
    <mergeCell ref="S182:W182"/>
    <mergeCell ref="U191:W191"/>
  </mergeCells>
  <phoneticPr fontId="3"/>
  <conditionalFormatting sqref="L15:L17 S26">
    <cfRule type="cellIs" dxfId="2" priority="3" operator="greaterThan">
      <formula>#REF!</formula>
    </cfRule>
  </conditionalFormatting>
  <conditionalFormatting sqref="L26:L27">
    <cfRule type="cellIs" dxfId="1" priority="1"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8DB2-BD35-4381-BC61-6E5E5B71E414}">
  <dimension ref="A2:AI183"/>
  <sheetViews>
    <sheetView showGridLines="0" view="pageBreakPreview" zoomScale="80" zoomScaleNormal="80" zoomScaleSheetLayoutView="80" workbookViewId="0">
      <selection activeCell="AC24" sqref="AC24:AD24"/>
    </sheetView>
  </sheetViews>
  <sheetFormatPr defaultRowHeight="18.75"/>
  <cols>
    <col min="1" max="35" width="3" style="1" customWidth="1"/>
    <col min="36" max="36" width="1.625" style="1" customWidth="1"/>
    <col min="37" max="16384" width="9" style="1"/>
  </cols>
  <sheetData>
    <row r="2" spans="1:35">
      <c r="A2" s="1" t="s">
        <v>623</v>
      </c>
      <c r="W2" t="s">
        <v>555</v>
      </c>
    </row>
    <row r="3" spans="1:35">
      <c r="B3" s="1" t="s">
        <v>624</v>
      </c>
      <c r="W3"/>
    </row>
    <row r="4" spans="1:35">
      <c r="C4" s="8"/>
      <c r="D4" s="9" t="s">
        <v>625</v>
      </c>
      <c r="E4" s="9"/>
      <c r="F4" s="9"/>
      <c r="G4" s="9"/>
      <c r="H4" s="9"/>
      <c r="I4" s="9"/>
      <c r="J4" s="9"/>
      <c r="K4" s="9"/>
      <c r="L4" s="9"/>
      <c r="M4" s="244"/>
      <c r="N4" s="244"/>
      <c r="O4" s="9"/>
      <c r="P4" s="252"/>
      <c r="Q4" s="252"/>
      <c r="R4" s="9"/>
      <c r="S4" s="9"/>
      <c r="T4" s="9"/>
      <c r="U4" s="251"/>
      <c r="V4" s="9"/>
      <c r="W4" s="9"/>
      <c r="X4" s="9"/>
      <c r="Y4" s="9"/>
      <c r="Z4" s="9"/>
      <c r="AA4" s="9"/>
      <c r="AB4" s="9"/>
      <c r="AC4" s="9"/>
      <c r="AD4" s="9"/>
      <c r="AE4" s="9"/>
      <c r="AF4" s="9"/>
      <c r="AG4" s="9"/>
      <c r="AH4" s="9"/>
      <c r="AI4" s="10"/>
    </row>
    <row r="5" spans="1:35">
      <c r="C5" s="11"/>
      <c r="D5" s="12"/>
      <c r="E5" s="12" t="s">
        <v>108</v>
      </c>
      <c r="F5" s="12"/>
      <c r="G5" s="12"/>
      <c r="H5" s="371" t="s">
        <v>626</v>
      </c>
      <c r="I5" s="371"/>
      <c r="J5" s="12" t="s">
        <v>8</v>
      </c>
      <c r="K5" s="551">
        <f>'5.腹起'!J21</f>
        <v>158.1103448275862</v>
      </c>
      <c r="L5" s="546"/>
      <c r="M5" s="547"/>
      <c r="N5" s="12" t="s">
        <v>517</v>
      </c>
      <c r="O5" s="12"/>
      <c r="P5" s="245"/>
      <c r="Q5" s="245"/>
      <c r="R5" s="12"/>
      <c r="S5" s="12"/>
      <c r="T5" s="12"/>
      <c r="U5" s="31"/>
      <c r="V5" s="12"/>
      <c r="W5" s="12"/>
      <c r="X5" s="12"/>
      <c r="Y5" s="12"/>
      <c r="Z5" s="12"/>
      <c r="AA5" s="12"/>
      <c r="AB5" s="12"/>
      <c r="AC5" s="12"/>
      <c r="AD5" s="12"/>
      <c r="AE5" s="12"/>
      <c r="AF5" s="12"/>
      <c r="AG5" s="12"/>
      <c r="AH5" s="12"/>
      <c r="AI5" s="14"/>
    </row>
    <row r="6" spans="1:35">
      <c r="C6" s="11"/>
      <c r="D6" s="12"/>
      <c r="E6" s="12" t="s">
        <v>109</v>
      </c>
      <c r="F6" s="12"/>
      <c r="G6" s="12"/>
      <c r="H6" s="371" t="s">
        <v>627</v>
      </c>
      <c r="I6" s="371"/>
      <c r="J6" s="12" t="s">
        <v>8</v>
      </c>
      <c r="K6" s="551">
        <f>'5.腹起'!J31</f>
        <v>98.131034482758622</v>
      </c>
      <c r="L6" s="546"/>
      <c r="M6" s="547"/>
      <c r="N6" s="12" t="s">
        <v>517</v>
      </c>
      <c r="O6" s="12"/>
      <c r="P6" s="245"/>
      <c r="Q6" s="245"/>
      <c r="R6" s="12"/>
      <c r="S6" s="12"/>
      <c r="T6" s="12"/>
      <c r="U6" s="31"/>
      <c r="V6" s="12"/>
      <c r="W6" s="12"/>
      <c r="X6" s="12"/>
      <c r="Y6" s="12"/>
      <c r="Z6" s="12"/>
      <c r="AA6" s="12"/>
      <c r="AB6" s="12"/>
      <c r="AC6" s="12"/>
      <c r="AD6" s="12"/>
      <c r="AE6" s="12"/>
      <c r="AF6" s="12"/>
      <c r="AG6" s="12"/>
      <c r="AH6" s="12"/>
      <c r="AI6" s="14"/>
    </row>
    <row r="7" spans="1:35">
      <c r="C7" s="11"/>
      <c r="D7" s="12"/>
      <c r="E7" s="12"/>
      <c r="F7" s="12"/>
      <c r="G7" s="12"/>
      <c r="H7" s="12"/>
      <c r="I7" s="12"/>
      <c r="J7" s="12"/>
      <c r="K7" s="12"/>
      <c r="L7" s="12"/>
      <c r="M7" s="34"/>
      <c r="N7" s="34"/>
      <c r="O7" s="12"/>
      <c r="P7" s="134"/>
      <c r="Q7" s="134"/>
      <c r="R7" s="12"/>
      <c r="S7" s="12"/>
      <c r="T7" s="12"/>
      <c r="U7" s="31"/>
      <c r="V7" s="12"/>
      <c r="W7" s="12"/>
      <c r="X7" s="12"/>
      <c r="Y7" s="12"/>
      <c r="Z7" s="12"/>
      <c r="AA7" s="12"/>
      <c r="AB7" s="12"/>
      <c r="AC7" s="12"/>
      <c r="AD7" s="12"/>
      <c r="AE7" s="12"/>
      <c r="AF7" s="12"/>
      <c r="AG7" s="12"/>
      <c r="AH7" s="12"/>
      <c r="AI7" s="14"/>
    </row>
    <row r="8" spans="1:35">
      <c r="C8" s="11"/>
      <c r="D8" s="12" t="s">
        <v>628</v>
      </c>
      <c r="E8" s="12"/>
      <c r="F8" s="12"/>
      <c r="G8" s="12"/>
      <c r="H8" s="12"/>
      <c r="I8" s="12"/>
      <c r="J8" s="12"/>
      <c r="K8" s="12"/>
      <c r="L8" s="12"/>
      <c r="M8" s="12"/>
      <c r="N8" s="12"/>
      <c r="O8" s="134"/>
      <c r="P8" s="134"/>
      <c r="Q8" s="12"/>
      <c r="R8" s="12"/>
      <c r="S8" s="12"/>
      <c r="T8" s="12"/>
      <c r="U8" s="31"/>
      <c r="V8" s="13"/>
      <c r="W8" s="13"/>
      <c r="X8" s="13"/>
      <c r="Y8" s="12"/>
      <c r="Z8" s="12"/>
      <c r="AA8" s="12"/>
      <c r="AB8" s="12"/>
      <c r="AC8" s="12"/>
      <c r="AD8" s="12"/>
      <c r="AE8" s="12"/>
      <c r="AF8" s="12"/>
      <c r="AG8" s="12"/>
      <c r="AH8" s="12"/>
      <c r="AI8" s="14"/>
    </row>
    <row r="9" spans="1:35">
      <c r="C9" s="11"/>
      <c r="D9" s="12"/>
      <c r="E9" s="12"/>
      <c r="F9" s="12"/>
      <c r="G9" s="12"/>
      <c r="H9" s="12"/>
      <c r="I9" s="12"/>
      <c r="J9" s="12"/>
      <c r="K9" s="12"/>
      <c r="L9" s="12"/>
      <c r="M9" s="12"/>
      <c r="N9" s="12"/>
      <c r="O9" s="134"/>
      <c r="P9" s="134"/>
      <c r="Q9" s="12"/>
      <c r="R9" s="12"/>
      <c r="S9" s="12"/>
      <c r="T9" s="12"/>
      <c r="U9" s="31"/>
      <c r="V9" s="13"/>
      <c r="W9" s="13"/>
      <c r="X9" s="13"/>
      <c r="Y9" s="12"/>
      <c r="Z9" s="12"/>
      <c r="AA9" s="12"/>
      <c r="AB9" s="12"/>
      <c r="AC9" s="12"/>
      <c r="AD9" s="12"/>
      <c r="AE9" s="12"/>
      <c r="AF9" s="12"/>
      <c r="AG9" s="12"/>
      <c r="AH9" s="12"/>
      <c r="AI9" s="14"/>
    </row>
    <row r="10" spans="1:35">
      <c r="C10" s="11"/>
      <c r="D10" s="12" t="s">
        <v>629</v>
      </c>
      <c r="E10" s="12"/>
      <c r="F10" s="12"/>
      <c r="G10" s="12"/>
      <c r="H10" s="12"/>
      <c r="I10" s="12"/>
      <c r="J10" s="12"/>
      <c r="K10" s="12"/>
      <c r="L10" s="12"/>
      <c r="M10" s="12"/>
      <c r="N10" s="12"/>
      <c r="O10" s="407">
        <v>5</v>
      </c>
      <c r="P10" s="471"/>
      <c r="Q10" s="12" t="s">
        <v>517</v>
      </c>
      <c r="R10" s="12"/>
      <c r="S10" s="12"/>
      <c r="T10" s="12" t="s">
        <v>630</v>
      </c>
      <c r="U10" s="31"/>
      <c r="V10" s="13"/>
      <c r="W10" s="13"/>
      <c r="X10" s="13"/>
      <c r="Y10" s="12"/>
      <c r="Z10" s="12"/>
      <c r="AA10" s="12"/>
      <c r="AB10" s="12"/>
      <c r="AC10" s="12"/>
      <c r="AD10" s="12"/>
      <c r="AE10" s="12"/>
      <c r="AF10" s="12"/>
      <c r="AG10" s="12"/>
      <c r="AH10" s="12"/>
      <c r="AI10" s="14"/>
    </row>
    <row r="11" spans="1:35">
      <c r="C11" s="11"/>
      <c r="D11" s="12"/>
      <c r="E11" s="12"/>
      <c r="F11" s="12"/>
      <c r="G11" s="12"/>
      <c r="H11" s="371" t="s">
        <v>631</v>
      </c>
      <c r="I11" s="371"/>
      <c r="J11" s="12" t="s">
        <v>8</v>
      </c>
      <c r="K11" s="551">
        <f>O10</f>
        <v>5</v>
      </c>
      <c r="L11" s="546"/>
      <c r="M11" s="547"/>
      <c r="N11" s="12" t="s">
        <v>517</v>
      </c>
      <c r="O11" s="245"/>
      <c r="P11" s="245"/>
      <c r="Q11" s="12"/>
      <c r="R11" s="12"/>
      <c r="S11" s="12"/>
      <c r="T11" s="12"/>
      <c r="U11" s="31"/>
      <c r="V11" s="13"/>
      <c r="W11" s="13"/>
      <c r="X11" s="13"/>
      <c r="Y11" s="12"/>
      <c r="Z11" s="12"/>
      <c r="AA11" s="12"/>
      <c r="AB11" s="12"/>
      <c r="AC11" s="12"/>
      <c r="AD11" s="12"/>
      <c r="AE11" s="12"/>
      <c r="AF11" s="12"/>
      <c r="AG11" s="12"/>
      <c r="AH11" s="12"/>
      <c r="AI11" s="14"/>
    </row>
    <row r="12" spans="1:35">
      <c r="C12" s="11"/>
      <c r="D12" s="12"/>
      <c r="E12" s="12"/>
      <c r="F12" s="12"/>
      <c r="G12" s="12"/>
      <c r="H12" s="34"/>
      <c r="I12" s="34"/>
      <c r="J12" s="12"/>
      <c r="K12" s="23"/>
      <c r="L12" s="23"/>
      <c r="M12" s="23"/>
      <c r="N12" s="12"/>
      <c r="O12" s="245"/>
      <c r="P12" s="245"/>
      <c r="Q12" s="12"/>
      <c r="R12" s="12"/>
      <c r="S12" s="12"/>
      <c r="T12" s="12"/>
      <c r="U12" s="31"/>
      <c r="V12" s="13"/>
      <c r="W12" s="13"/>
      <c r="X12" s="13"/>
      <c r="Y12" s="12"/>
      <c r="Z12" s="12"/>
      <c r="AA12" s="12"/>
      <c r="AB12" s="12"/>
      <c r="AC12" s="12"/>
      <c r="AD12" s="12"/>
      <c r="AE12" s="12"/>
      <c r="AF12" s="12"/>
      <c r="AG12" s="12"/>
      <c r="AH12" s="12"/>
      <c r="AI12" s="14"/>
    </row>
    <row r="13" spans="1:35">
      <c r="C13" s="131"/>
      <c r="D13" s="12" t="s">
        <v>632</v>
      </c>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233"/>
    </row>
    <row r="14" spans="1:35">
      <c r="C14" s="131"/>
      <c r="D14" s="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233"/>
    </row>
    <row r="15" spans="1:35">
      <c r="C15" s="11"/>
      <c r="D15" s="12" t="s">
        <v>633</v>
      </c>
      <c r="E15" s="12"/>
      <c r="F15" s="12"/>
      <c r="G15" s="12"/>
      <c r="H15" s="12"/>
      <c r="I15" s="12"/>
      <c r="J15" s="12"/>
      <c r="K15" s="12"/>
      <c r="L15" s="12"/>
      <c r="M15" s="371" t="s">
        <v>536</v>
      </c>
      <c r="N15" s="371"/>
      <c r="O15" s="12" t="s">
        <v>8</v>
      </c>
      <c r="P15" s="407">
        <v>150</v>
      </c>
      <c r="Q15" s="471"/>
      <c r="R15" s="12" t="s">
        <v>426</v>
      </c>
      <c r="S15" s="12"/>
      <c r="T15" s="12"/>
      <c r="U15" s="31" t="s">
        <v>537</v>
      </c>
      <c r="V15" s="12"/>
      <c r="W15" s="12"/>
      <c r="X15" s="12"/>
      <c r="Y15" s="12"/>
      <c r="Z15" s="12"/>
      <c r="AA15" s="12"/>
      <c r="AB15" s="12"/>
      <c r="AC15" s="12"/>
      <c r="AD15" s="12"/>
      <c r="AE15" s="12"/>
      <c r="AF15" s="12"/>
      <c r="AG15" s="12"/>
      <c r="AH15" s="12"/>
      <c r="AI15" s="14"/>
    </row>
    <row r="16" spans="1:35">
      <c r="C16" s="15"/>
      <c r="D16" s="16"/>
      <c r="E16" s="16"/>
      <c r="F16" s="16"/>
      <c r="G16" s="16"/>
      <c r="H16" s="16"/>
      <c r="I16" s="16"/>
      <c r="J16" s="16"/>
      <c r="K16" s="16"/>
      <c r="L16" s="16"/>
      <c r="M16" s="139"/>
      <c r="N16" s="139"/>
      <c r="O16" s="16"/>
      <c r="P16" s="253"/>
      <c r="Q16" s="253"/>
      <c r="R16" s="16"/>
      <c r="S16" s="16"/>
      <c r="T16" s="16"/>
      <c r="U16" s="167"/>
      <c r="V16" s="16"/>
      <c r="W16" s="16"/>
      <c r="X16" s="16"/>
      <c r="Y16" s="16"/>
      <c r="Z16" s="16"/>
      <c r="AA16" s="16"/>
      <c r="AB16" s="16"/>
      <c r="AC16" s="16"/>
      <c r="AD16" s="16"/>
      <c r="AE16" s="16"/>
      <c r="AF16" s="16"/>
      <c r="AG16" s="16"/>
      <c r="AH16" s="16"/>
      <c r="AI16" s="18"/>
    </row>
    <row r="17" spans="2:35">
      <c r="W17"/>
    </row>
    <row r="18" spans="2:35">
      <c r="B18" s="1" t="s">
        <v>634</v>
      </c>
      <c r="W18"/>
    </row>
    <row r="19" spans="2:35" ht="18.75" customHeight="1">
      <c r="C19" s="8"/>
      <c r="D19" s="9" t="s">
        <v>635</v>
      </c>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5"/>
    </row>
    <row r="20" spans="2:35" ht="18.75" customHeight="1">
      <c r="C20" s="11"/>
      <c r="D20" s="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233"/>
    </row>
    <row r="21" spans="2:35" ht="18.75" customHeight="1">
      <c r="C21" s="11"/>
      <c r="D21" s="12" t="s">
        <v>636</v>
      </c>
      <c r="E21" s="112"/>
      <c r="F21" s="112"/>
      <c r="G21" s="112"/>
      <c r="H21" s="112"/>
      <c r="I21" s="112"/>
      <c r="J21" s="112"/>
      <c r="K21" s="112"/>
      <c r="L21" s="112"/>
      <c r="Q21" s="813" t="s">
        <v>527</v>
      </c>
      <c r="R21" s="813"/>
      <c r="S21" s="112" t="s">
        <v>8</v>
      </c>
      <c r="T21" s="813" t="s">
        <v>139</v>
      </c>
      <c r="U21" s="813"/>
      <c r="V21" s="112" t="s">
        <v>8</v>
      </c>
      <c r="W21" s="883">
        <f>'1.設計条件'!Q91</f>
        <v>4.5</v>
      </c>
      <c r="X21" s="906"/>
      <c r="Y21" s="884"/>
      <c r="Z21" s="112" t="s">
        <v>9</v>
      </c>
      <c r="AA21" s="112"/>
      <c r="AB21" s="112"/>
      <c r="AC21" s="112"/>
      <c r="AD21" s="112"/>
      <c r="AE21" s="112"/>
      <c r="AF21" s="112"/>
      <c r="AG21" s="112"/>
      <c r="AH21" s="112"/>
      <c r="AI21" s="233"/>
    </row>
    <row r="22" spans="2:35" ht="18.75" customHeight="1">
      <c r="C22" s="11"/>
      <c r="D22" s="12" t="s">
        <v>637</v>
      </c>
      <c r="E22" s="112"/>
      <c r="F22" s="112"/>
      <c r="G22" s="112"/>
      <c r="H22" s="112"/>
      <c r="I22" s="112"/>
      <c r="J22" s="112"/>
      <c r="K22" s="112"/>
      <c r="L22" s="112"/>
      <c r="M22" s="112"/>
      <c r="N22" s="112"/>
      <c r="O22" s="112"/>
      <c r="P22" s="112"/>
      <c r="Q22" s="924" t="s">
        <v>638</v>
      </c>
      <c r="R22" s="924"/>
      <c r="S22" s="112" t="s">
        <v>8</v>
      </c>
      <c r="T22" s="883">
        <f>'1.設計条件'!Q92</f>
        <v>8.6000000000000014</v>
      </c>
      <c r="U22" s="906"/>
      <c r="V22" s="884"/>
      <c r="W22" s="112" t="s">
        <v>9</v>
      </c>
      <c r="X22" s="112"/>
      <c r="Y22" s="112"/>
      <c r="Z22" s="112"/>
      <c r="AA22" s="112"/>
      <c r="AB22" s="112"/>
      <c r="AC22" s="112"/>
      <c r="AD22" s="112"/>
      <c r="AE22" s="112"/>
      <c r="AF22" s="112"/>
      <c r="AG22" s="112"/>
      <c r="AH22" s="112"/>
      <c r="AI22" s="233"/>
    </row>
    <row r="23" spans="2:35" ht="18.75" customHeight="1">
      <c r="C23" s="11"/>
      <c r="D23" s="113" t="s">
        <v>639</v>
      </c>
      <c r="E23" s="250"/>
      <c r="F23" s="250"/>
      <c r="G23" s="250"/>
      <c r="H23" s="250"/>
      <c r="I23" s="250"/>
      <c r="J23" s="250"/>
      <c r="K23" s="250"/>
      <c r="L23" s="250"/>
      <c r="M23" s="250"/>
      <c r="N23" s="250"/>
      <c r="O23" s="250"/>
      <c r="P23" s="250"/>
      <c r="Q23" s="924" t="s">
        <v>640</v>
      </c>
      <c r="R23" s="924"/>
      <c r="S23" s="112" t="s">
        <v>8</v>
      </c>
      <c r="T23" s="813">
        <v>1.5</v>
      </c>
      <c r="U23" s="813"/>
      <c r="V23" s="229" t="s">
        <v>344</v>
      </c>
      <c r="W23" s="1" t="s">
        <v>350</v>
      </c>
      <c r="AA23" s="916" t="s">
        <v>641</v>
      </c>
      <c r="AB23" s="916"/>
      <c r="AC23" s="916"/>
      <c r="AD23" s="916"/>
      <c r="AE23" s="916"/>
      <c r="AF23" s="916"/>
      <c r="AG23" s="916"/>
      <c r="AH23" s="916"/>
      <c r="AI23" s="233"/>
    </row>
    <row r="24" spans="2:35" ht="18.75" customHeight="1">
      <c r="C24" s="11"/>
      <c r="D24" s="113"/>
      <c r="E24" s="250"/>
      <c r="F24" s="250"/>
      <c r="O24" s="250"/>
      <c r="P24" s="250"/>
      <c r="Q24" s="249"/>
      <c r="R24" s="249"/>
      <c r="S24" s="112" t="s">
        <v>8</v>
      </c>
      <c r="T24" s="813">
        <v>1.5</v>
      </c>
      <c r="U24" s="813"/>
      <c r="V24" s="229" t="s">
        <v>215</v>
      </c>
      <c r="W24" s="12" t="s">
        <v>216</v>
      </c>
      <c r="X24" s="555">
        <f>T22</f>
        <v>8.6000000000000014</v>
      </c>
      <c r="Y24" s="555"/>
      <c r="Z24" s="112" t="s">
        <v>236</v>
      </c>
      <c r="AA24" s="237">
        <v>2</v>
      </c>
      <c r="AB24" s="1" t="s">
        <v>438</v>
      </c>
      <c r="AC24" s="881">
        <f>'1.設計条件'!T107</f>
        <v>1.5</v>
      </c>
      <c r="AD24" s="881"/>
      <c r="AE24" s="1" t="s">
        <v>218</v>
      </c>
      <c r="AF24" s="112"/>
      <c r="AG24" s="112"/>
      <c r="AH24" s="112"/>
      <c r="AI24" s="233"/>
    </row>
    <row r="25" spans="2:35">
      <c r="C25" s="11"/>
      <c r="D25" s="12"/>
      <c r="E25" s="12"/>
      <c r="F25" s="12"/>
      <c r="G25" s="12"/>
      <c r="H25" s="12"/>
      <c r="I25" s="12"/>
      <c r="J25" s="12"/>
      <c r="K25" s="12"/>
      <c r="L25" s="12"/>
      <c r="M25" s="12"/>
      <c r="N25" s="12"/>
      <c r="O25" s="134"/>
      <c r="P25" s="134"/>
      <c r="Q25" s="12"/>
      <c r="R25" s="12"/>
      <c r="S25" s="12"/>
      <c r="T25" s="883">
        <f>(X24/AA24-AC24)*T24</f>
        <v>4.2000000000000011</v>
      </c>
      <c r="U25" s="906"/>
      <c r="V25" s="884"/>
      <c r="W25" s="112" t="s">
        <v>9</v>
      </c>
      <c r="Z25" s="112"/>
      <c r="AC25" s="12"/>
      <c r="AD25" s="12"/>
      <c r="AE25" s="12"/>
      <c r="AF25" s="12"/>
      <c r="AG25" s="12"/>
      <c r="AH25" s="12"/>
      <c r="AI25" s="14"/>
    </row>
    <row r="26" spans="2:35">
      <c r="C26" s="11" t="s">
        <v>642</v>
      </c>
      <c r="D26" s="12"/>
      <c r="E26" s="12"/>
      <c r="F26" s="12"/>
      <c r="G26" s="12"/>
      <c r="H26" s="12"/>
      <c r="I26" s="12"/>
      <c r="J26" s="12"/>
      <c r="K26" s="12"/>
      <c r="L26" s="12"/>
      <c r="M26" s="12"/>
      <c r="N26" s="12"/>
      <c r="O26" s="134"/>
      <c r="P26" s="134"/>
      <c r="Q26" s="12"/>
      <c r="R26" s="12"/>
      <c r="S26" s="12"/>
      <c r="T26" s="228"/>
      <c r="U26" s="228"/>
      <c r="V26" s="228"/>
      <c r="W26" s="112"/>
      <c r="Z26" s="112"/>
      <c r="AC26" s="12"/>
      <c r="AD26" s="12"/>
      <c r="AE26" s="12"/>
      <c r="AF26" s="12"/>
      <c r="AG26" s="12"/>
      <c r="AH26" s="12"/>
      <c r="AI26" s="14"/>
    </row>
    <row r="27" spans="2:35">
      <c r="C27" s="11"/>
      <c r="D27" s="12" t="s">
        <v>539</v>
      </c>
      <c r="E27" s="12"/>
      <c r="F27" s="12"/>
      <c r="G27" s="12"/>
      <c r="H27" s="12"/>
      <c r="I27" s="12"/>
      <c r="J27" s="12"/>
      <c r="K27" s="12"/>
      <c r="L27" s="12"/>
      <c r="M27" s="12"/>
      <c r="N27" s="12"/>
      <c r="O27" s="12"/>
      <c r="P27" s="12"/>
      <c r="Q27" s="12"/>
      <c r="R27" s="12"/>
      <c r="S27" s="12"/>
      <c r="T27" s="12"/>
      <c r="U27" s="31"/>
      <c r="AF27" s="12"/>
      <c r="AG27" s="12"/>
      <c r="AH27" s="12"/>
      <c r="AI27" s="14"/>
    </row>
    <row r="28" spans="2:35">
      <c r="C28" s="11"/>
      <c r="D28" s="12"/>
      <c r="E28" s="12"/>
      <c r="F28" s="557" t="s">
        <v>643</v>
      </c>
      <c r="G28" s="557"/>
      <c r="H28" s="541" t="s">
        <v>8</v>
      </c>
      <c r="I28" s="917" t="s">
        <v>626</v>
      </c>
      <c r="J28" s="917"/>
      <c r="K28" s="918" t="s">
        <v>344</v>
      </c>
      <c r="L28" s="920" t="s">
        <v>527</v>
      </c>
      <c r="M28" s="920"/>
      <c r="N28" s="16" t="s">
        <v>213</v>
      </c>
      <c r="O28" s="920" t="s">
        <v>139</v>
      </c>
      <c r="P28" s="920"/>
      <c r="Q28" s="541" t="s">
        <v>213</v>
      </c>
      <c r="R28" s="557" t="s">
        <v>536</v>
      </c>
      <c r="S28" s="557"/>
      <c r="T28" s="12"/>
      <c r="U28" s="12"/>
      <c r="V28" s="12"/>
      <c r="W28" s="12"/>
      <c r="X28" s="12"/>
      <c r="Y28" s="12"/>
      <c r="Z28" s="12"/>
      <c r="AA28" s="12"/>
      <c r="AE28" s="12"/>
      <c r="AF28" s="12"/>
      <c r="AG28" s="12"/>
      <c r="AH28" s="12"/>
      <c r="AI28" s="14"/>
    </row>
    <row r="29" spans="2:35">
      <c r="C29" s="11"/>
      <c r="D29" s="12"/>
      <c r="E29" s="12"/>
      <c r="F29" s="557"/>
      <c r="G29" s="557"/>
      <c r="H29" s="541"/>
      <c r="I29" s="917"/>
      <c r="J29" s="917"/>
      <c r="K29" s="919"/>
      <c r="L29" s="921">
        <v>2</v>
      </c>
      <c r="M29" s="921"/>
      <c r="N29" s="921"/>
      <c r="O29" s="921"/>
      <c r="P29" s="921"/>
      <c r="Q29" s="541"/>
      <c r="R29" s="557"/>
      <c r="S29" s="557"/>
      <c r="T29" s="12"/>
      <c r="U29" s="12"/>
      <c r="V29" s="12"/>
      <c r="W29" s="12"/>
      <c r="X29" s="12"/>
      <c r="Y29" s="12"/>
      <c r="Z29" s="12"/>
      <c r="AA29" s="12"/>
      <c r="AE29" s="12"/>
      <c r="AF29" s="12"/>
      <c r="AG29" s="12"/>
      <c r="AH29" s="12"/>
      <c r="AI29" s="14"/>
    </row>
    <row r="30" spans="2:35">
      <c r="C30" s="11"/>
      <c r="D30" s="12"/>
      <c r="E30" s="12"/>
      <c r="F30" s="12"/>
      <c r="G30" s="12"/>
      <c r="H30" s="541" t="s">
        <v>8</v>
      </c>
      <c r="I30" s="609">
        <f>K5</f>
        <v>158.1103448275862</v>
      </c>
      <c r="J30" s="609"/>
      <c r="K30" s="609"/>
      <c r="L30" s="541" t="s">
        <v>215</v>
      </c>
      <c r="M30" s="822">
        <f>W21</f>
        <v>4.5</v>
      </c>
      <c r="N30" s="822"/>
      <c r="O30" s="16" t="s">
        <v>213</v>
      </c>
      <c r="P30" s="822">
        <f>W21</f>
        <v>4.5</v>
      </c>
      <c r="Q30" s="822"/>
      <c r="R30" s="541" t="s">
        <v>213</v>
      </c>
      <c r="S30" s="752">
        <f>P15</f>
        <v>150</v>
      </c>
      <c r="T30" s="752"/>
      <c r="U30" s="752"/>
      <c r="V30" s="13"/>
      <c r="W30" s="13"/>
      <c r="X30" s="13"/>
      <c r="Y30" s="12"/>
      <c r="Z30" s="12"/>
      <c r="AA30" s="12"/>
      <c r="AB30" s="12"/>
      <c r="AC30" s="12"/>
      <c r="AH30" s="12"/>
      <c r="AI30" s="14"/>
    </row>
    <row r="31" spans="2:35">
      <c r="C31" s="11"/>
      <c r="D31" s="12"/>
      <c r="E31" s="12"/>
      <c r="F31" s="12"/>
      <c r="G31" s="12"/>
      <c r="H31" s="541"/>
      <c r="I31" s="767"/>
      <c r="J31" s="767"/>
      <c r="K31" s="767"/>
      <c r="L31" s="541"/>
      <c r="M31" s="921">
        <v>2</v>
      </c>
      <c r="N31" s="921"/>
      <c r="O31" s="921"/>
      <c r="P31" s="921"/>
      <c r="Q31" s="921"/>
      <c r="R31" s="541"/>
      <c r="S31" s="752"/>
      <c r="T31" s="752"/>
      <c r="U31" s="752"/>
      <c r="V31" s="13"/>
      <c r="W31" s="13"/>
      <c r="X31" s="13"/>
      <c r="Y31" s="12"/>
      <c r="Z31" s="12"/>
      <c r="AA31" s="12"/>
      <c r="AB31" s="12"/>
      <c r="AC31" s="12"/>
      <c r="AH31" s="12"/>
      <c r="AI31" s="14"/>
    </row>
    <row r="32" spans="2:35">
      <c r="C32" s="11"/>
      <c r="D32" s="12"/>
      <c r="E32" s="12"/>
      <c r="F32" s="12"/>
      <c r="G32" s="12"/>
      <c r="H32" s="12" t="s">
        <v>8</v>
      </c>
      <c r="I32" s="525">
        <f>I30*(M30+P30)/M31+S30</f>
        <v>861.49655172413793</v>
      </c>
      <c r="J32" s="526"/>
      <c r="K32" s="527"/>
      <c r="L32" s="12" t="s">
        <v>426</v>
      </c>
      <c r="M32" s="12"/>
      <c r="N32" s="12"/>
      <c r="O32" s="134"/>
      <c r="P32" s="134"/>
      <c r="Q32" s="12"/>
      <c r="R32" s="12"/>
      <c r="S32" s="12"/>
      <c r="T32" s="12"/>
      <c r="U32" s="31"/>
      <c r="V32" s="13"/>
      <c r="W32" s="13"/>
      <c r="X32" s="13"/>
      <c r="Y32" s="12"/>
      <c r="Z32" s="12"/>
      <c r="AA32" s="12"/>
      <c r="AB32" s="12"/>
      <c r="AC32" s="12"/>
      <c r="AD32" s="12"/>
      <c r="AE32" s="12"/>
      <c r="AF32" s="12"/>
      <c r="AG32" s="12"/>
      <c r="AH32" s="12"/>
      <c r="AI32" s="14"/>
    </row>
    <row r="33" spans="3:35">
      <c r="C33" s="11"/>
      <c r="D33" s="12"/>
      <c r="E33" s="12"/>
      <c r="F33" s="12"/>
      <c r="G33" s="12"/>
      <c r="H33" s="12"/>
      <c r="I33" s="13"/>
      <c r="J33" s="13"/>
      <c r="K33" s="13"/>
      <c r="L33" s="12"/>
      <c r="M33" s="12"/>
      <c r="N33" s="12"/>
      <c r="O33" s="134"/>
      <c r="P33" s="134"/>
      <c r="Q33" s="12"/>
      <c r="R33" s="12"/>
      <c r="S33" s="12"/>
      <c r="T33" s="12"/>
      <c r="U33" s="31"/>
      <c r="V33" s="13"/>
      <c r="W33" s="13"/>
      <c r="X33" s="13"/>
      <c r="Y33" s="12"/>
      <c r="Z33" s="12"/>
      <c r="AA33" s="12"/>
      <c r="AB33" s="12"/>
      <c r="AC33" s="12"/>
      <c r="AD33" s="12"/>
      <c r="AE33" s="12"/>
      <c r="AF33" s="12"/>
      <c r="AG33" s="12"/>
      <c r="AH33" s="12"/>
      <c r="AI33" s="14"/>
    </row>
    <row r="34" spans="3:35">
      <c r="C34" s="11"/>
      <c r="D34" s="12" t="s">
        <v>644</v>
      </c>
      <c r="E34" s="12"/>
      <c r="F34" s="12"/>
      <c r="G34" s="12"/>
      <c r="H34" s="12"/>
      <c r="I34" s="12"/>
      <c r="J34" s="12"/>
      <c r="K34" s="12"/>
      <c r="L34" s="12"/>
      <c r="M34" s="12"/>
      <c r="N34" s="12"/>
      <c r="O34" s="134"/>
      <c r="P34" s="134"/>
      <c r="Q34" s="12"/>
      <c r="R34" s="12"/>
      <c r="S34" s="12"/>
      <c r="T34" s="12"/>
      <c r="U34" s="31"/>
      <c r="V34" s="13"/>
      <c r="W34" s="13"/>
      <c r="X34" s="13"/>
      <c r="Y34" s="12"/>
      <c r="Z34" s="12"/>
      <c r="AA34" s="12"/>
      <c r="AB34" s="12"/>
      <c r="AC34" s="12"/>
      <c r="AD34" s="12"/>
      <c r="AE34" s="12"/>
      <c r="AF34" s="12"/>
      <c r="AG34" s="12"/>
      <c r="AH34" s="12"/>
      <c r="AI34" s="14"/>
    </row>
    <row r="35" spans="3:35" ht="20.25">
      <c r="C35" s="11"/>
      <c r="D35" s="12"/>
      <c r="E35" s="12"/>
      <c r="F35" s="557" t="s">
        <v>543</v>
      </c>
      <c r="G35" s="557"/>
      <c r="H35" s="541" t="s">
        <v>8</v>
      </c>
      <c r="I35" s="776" t="s">
        <v>645</v>
      </c>
      <c r="J35" s="776"/>
      <c r="K35" s="776"/>
      <c r="L35" s="776"/>
      <c r="M35" s="12"/>
      <c r="N35" s="541" t="s">
        <v>8</v>
      </c>
      <c r="O35" s="769">
        <f>K11</f>
        <v>5</v>
      </c>
      <c r="P35" s="769"/>
      <c r="Q35" s="129" t="s">
        <v>215</v>
      </c>
      <c r="R35" s="885">
        <f>T22</f>
        <v>8.6000000000000014</v>
      </c>
      <c r="S35" s="885"/>
      <c r="T35" s="130" t="s">
        <v>545</v>
      </c>
      <c r="U35" s="31"/>
      <c r="V35" s="13"/>
      <c r="W35" s="13"/>
      <c r="X35" s="13"/>
      <c r="Y35" s="12"/>
      <c r="Z35" s="12"/>
      <c r="AA35" s="12"/>
      <c r="AB35" s="12"/>
      <c r="AC35" s="12"/>
      <c r="AD35" s="12"/>
      <c r="AE35" s="12"/>
      <c r="AF35" s="12"/>
      <c r="AG35" s="12"/>
      <c r="AH35" s="12"/>
      <c r="AI35" s="14"/>
    </row>
    <row r="36" spans="3:35">
      <c r="C36" s="11"/>
      <c r="D36" s="12"/>
      <c r="E36" s="12"/>
      <c r="F36" s="557"/>
      <c r="G36" s="557"/>
      <c r="H36" s="541"/>
      <c r="I36" s="870">
        <v>8</v>
      </c>
      <c r="J36" s="870"/>
      <c r="K36" s="870"/>
      <c r="L36" s="870"/>
      <c r="M36" s="12"/>
      <c r="N36" s="541"/>
      <c r="O36" s="870">
        <f>I36</f>
        <v>8</v>
      </c>
      <c r="P36" s="870"/>
      <c r="Q36" s="870"/>
      <c r="R36" s="870"/>
      <c r="S36" s="870"/>
      <c r="T36" s="870"/>
      <c r="U36" s="31"/>
      <c r="V36" s="13"/>
      <c r="W36" s="13"/>
      <c r="X36" s="13"/>
      <c r="Y36" s="12"/>
      <c r="Z36" s="12"/>
      <c r="AA36" s="12"/>
      <c r="AB36" s="12"/>
      <c r="AC36" s="12"/>
      <c r="AD36" s="12"/>
      <c r="AE36" s="12"/>
      <c r="AF36" s="12"/>
      <c r="AG36" s="12"/>
      <c r="AH36" s="12"/>
      <c r="AI36" s="14"/>
    </row>
    <row r="37" spans="3:35">
      <c r="C37" s="11"/>
      <c r="D37" s="12"/>
      <c r="E37" s="12"/>
      <c r="F37" s="12"/>
      <c r="G37" s="12"/>
      <c r="H37" s="12" t="s">
        <v>8</v>
      </c>
      <c r="I37" s="525">
        <f>O35*R35^2/O36</f>
        <v>46.225000000000016</v>
      </c>
      <c r="J37" s="526"/>
      <c r="K37" s="527"/>
      <c r="L37" s="12" t="s">
        <v>445</v>
      </c>
      <c r="M37" s="12"/>
      <c r="N37" s="12"/>
      <c r="O37" s="12"/>
      <c r="P37" s="12"/>
      <c r="Q37" s="12"/>
      <c r="R37" s="12"/>
      <c r="S37" s="12"/>
      <c r="T37" s="12"/>
      <c r="U37" s="31"/>
      <c r="V37" s="13"/>
      <c r="W37" s="13"/>
      <c r="X37" s="13"/>
      <c r="Y37" s="12"/>
      <c r="Z37" s="12"/>
      <c r="AA37" s="12"/>
      <c r="AB37" s="12"/>
      <c r="AC37" s="12"/>
      <c r="AD37" s="12"/>
      <c r="AE37" s="12"/>
      <c r="AF37" s="12"/>
      <c r="AG37" s="12"/>
      <c r="AH37" s="12"/>
      <c r="AI37" s="14"/>
    </row>
    <row r="38" spans="3:35">
      <c r="C38" s="11"/>
      <c r="D38" s="12"/>
      <c r="E38" s="12"/>
      <c r="F38" s="12"/>
      <c r="G38" s="12"/>
      <c r="H38" s="12"/>
      <c r="I38" s="23"/>
      <c r="J38" s="23"/>
      <c r="K38" s="23"/>
      <c r="L38" s="12"/>
      <c r="M38" s="12"/>
      <c r="N38" s="12"/>
      <c r="O38" s="12"/>
      <c r="P38" s="12"/>
      <c r="Q38" s="12"/>
      <c r="R38" s="12"/>
      <c r="S38" s="12"/>
      <c r="T38" s="12"/>
      <c r="U38" s="31"/>
      <c r="V38" s="13"/>
      <c r="W38" s="13"/>
      <c r="X38" s="13"/>
      <c r="Y38" s="12"/>
      <c r="Z38" s="12"/>
      <c r="AA38" s="12"/>
      <c r="AB38" s="12"/>
      <c r="AC38" s="12"/>
      <c r="AD38" s="12"/>
      <c r="AE38" s="12"/>
      <c r="AF38" s="12"/>
      <c r="AG38" s="12"/>
      <c r="AH38" s="12"/>
      <c r="AI38" s="14"/>
    </row>
    <row r="39" spans="3:35">
      <c r="C39" s="11" t="s">
        <v>646</v>
      </c>
      <c r="D39" s="12"/>
      <c r="E39" s="12"/>
      <c r="F39" s="12"/>
      <c r="G39" s="12"/>
      <c r="H39" s="12"/>
      <c r="I39" s="12"/>
      <c r="J39" s="12"/>
      <c r="K39" s="12"/>
      <c r="L39" s="12"/>
      <c r="M39" s="12"/>
      <c r="N39" s="12"/>
      <c r="O39" s="134"/>
      <c r="P39" s="134"/>
      <c r="Q39" s="12"/>
      <c r="R39" s="12"/>
      <c r="S39" s="12"/>
      <c r="T39" s="12"/>
      <c r="U39" s="31"/>
      <c r="V39" s="13"/>
      <c r="W39" s="13"/>
      <c r="X39" s="13"/>
      <c r="Y39" s="12"/>
      <c r="Z39" s="12"/>
      <c r="AA39" s="12"/>
      <c r="AB39" s="12"/>
      <c r="AC39" s="12"/>
      <c r="AD39" s="12"/>
      <c r="AE39" s="12"/>
      <c r="AF39" s="12"/>
      <c r="AG39" s="12"/>
      <c r="AH39" s="12"/>
      <c r="AI39" s="14"/>
    </row>
    <row r="40" spans="3:35">
      <c r="C40" s="11"/>
      <c r="D40" s="12" t="s">
        <v>539</v>
      </c>
      <c r="E40" s="12"/>
      <c r="F40" s="12"/>
      <c r="G40" s="12"/>
      <c r="H40" s="12"/>
      <c r="I40" s="12"/>
      <c r="J40" s="12"/>
      <c r="K40" s="12"/>
      <c r="L40" s="12"/>
      <c r="M40" s="12"/>
      <c r="N40" s="12"/>
      <c r="O40" s="12"/>
      <c r="P40" s="12"/>
      <c r="Q40" s="12"/>
      <c r="R40" s="12"/>
      <c r="S40" s="12"/>
      <c r="T40" s="12"/>
      <c r="U40" s="31"/>
      <c r="V40" s="13"/>
      <c r="W40" s="13"/>
      <c r="X40" s="13"/>
      <c r="Y40" s="12"/>
      <c r="Z40" s="12"/>
      <c r="AA40" s="12"/>
      <c r="AB40" s="12"/>
      <c r="AC40" s="12"/>
      <c r="AD40" s="12"/>
      <c r="AE40" s="12"/>
      <c r="AF40" s="12"/>
      <c r="AG40" s="12"/>
      <c r="AH40" s="12"/>
      <c r="AI40" s="14"/>
    </row>
    <row r="41" spans="3:35">
      <c r="C41" s="11"/>
      <c r="D41" s="12"/>
      <c r="E41" s="12"/>
      <c r="F41" s="557" t="s">
        <v>647</v>
      </c>
      <c r="G41" s="557"/>
      <c r="H41" s="541" t="s">
        <v>8</v>
      </c>
      <c r="I41" s="917" t="s">
        <v>627</v>
      </c>
      <c r="J41" s="917"/>
      <c r="K41" s="918" t="s">
        <v>344</v>
      </c>
      <c r="L41" s="920" t="s">
        <v>527</v>
      </c>
      <c r="M41" s="920"/>
      <c r="N41" s="16" t="s">
        <v>213</v>
      </c>
      <c r="O41" s="920" t="s">
        <v>139</v>
      </c>
      <c r="P41" s="920"/>
      <c r="Q41" s="541" t="s">
        <v>213</v>
      </c>
      <c r="R41" s="557" t="s">
        <v>536</v>
      </c>
      <c r="S41" s="557"/>
      <c r="T41" s="12"/>
      <c r="U41" s="12"/>
      <c r="V41" s="12"/>
      <c r="W41" s="12"/>
      <c r="X41" s="12"/>
      <c r="Y41" s="12"/>
      <c r="Z41" s="12"/>
      <c r="AA41" s="12"/>
      <c r="AE41" s="12"/>
      <c r="AF41" s="12"/>
      <c r="AG41" s="12"/>
      <c r="AH41" s="12"/>
      <c r="AI41" s="14"/>
    </row>
    <row r="42" spans="3:35">
      <c r="C42" s="11"/>
      <c r="D42" s="12"/>
      <c r="E42" s="12"/>
      <c r="F42" s="557"/>
      <c r="G42" s="557"/>
      <c r="H42" s="541"/>
      <c r="I42" s="917"/>
      <c r="J42" s="917"/>
      <c r="K42" s="919"/>
      <c r="L42" s="921">
        <v>2</v>
      </c>
      <c r="M42" s="921"/>
      <c r="N42" s="921"/>
      <c r="O42" s="921"/>
      <c r="P42" s="921"/>
      <c r="Q42" s="541"/>
      <c r="R42" s="557"/>
      <c r="S42" s="557"/>
      <c r="T42" s="12"/>
      <c r="U42" s="12"/>
      <c r="V42" s="12"/>
      <c r="W42" s="12"/>
      <c r="X42" s="12"/>
      <c r="Y42" s="12"/>
      <c r="Z42" s="12"/>
      <c r="AA42" s="12"/>
      <c r="AE42" s="12"/>
      <c r="AF42" s="12"/>
      <c r="AG42" s="12"/>
      <c r="AH42" s="12"/>
      <c r="AI42" s="14"/>
    </row>
    <row r="43" spans="3:35">
      <c r="C43" s="11"/>
      <c r="D43" s="12"/>
      <c r="E43" s="12"/>
      <c r="F43" s="12"/>
      <c r="G43" s="12"/>
      <c r="H43" s="541" t="s">
        <v>8</v>
      </c>
      <c r="I43" s="609">
        <f>K6</f>
        <v>98.131034482758622</v>
      </c>
      <c r="J43" s="609"/>
      <c r="K43" s="609"/>
      <c r="L43" s="541" t="s">
        <v>215</v>
      </c>
      <c r="M43" s="822">
        <f>W21</f>
        <v>4.5</v>
      </c>
      <c r="N43" s="822"/>
      <c r="O43" s="16" t="s">
        <v>213</v>
      </c>
      <c r="P43" s="822">
        <f>W21</f>
        <v>4.5</v>
      </c>
      <c r="Q43" s="822"/>
      <c r="R43" s="541" t="s">
        <v>213</v>
      </c>
      <c r="S43" s="752">
        <f>P15</f>
        <v>150</v>
      </c>
      <c r="T43" s="752"/>
      <c r="U43" s="752"/>
      <c r="V43" s="13"/>
      <c r="W43" s="13"/>
      <c r="X43" s="13"/>
      <c r="Y43" s="12"/>
      <c r="Z43" s="12"/>
      <c r="AA43" s="12"/>
      <c r="AB43" s="12"/>
      <c r="AC43" s="12"/>
      <c r="AH43" s="12"/>
      <c r="AI43" s="14"/>
    </row>
    <row r="44" spans="3:35">
      <c r="C44" s="11"/>
      <c r="D44" s="12"/>
      <c r="E44" s="12"/>
      <c r="F44" s="12"/>
      <c r="G44" s="12"/>
      <c r="H44" s="541"/>
      <c r="I44" s="767"/>
      <c r="J44" s="767"/>
      <c r="K44" s="767"/>
      <c r="L44" s="541"/>
      <c r="M44" s="921">
        <v>2</v>
      </c>
      <c r="N44" s="921"/>
      <c r="O44" s="921"/>
      <c r="P44" s="921"/>
      <c r="Q44" s="921"/>
      <c r="R44" s="541"/>
      <c r="S44" s="752"/>
      <c r="T44" s="752"/>
      <c r="U44" s="752"/>
      <c r="V44" s="13"/>
      <c r="W44" s="13"/>
      <c r="X44" s="13"/>
      <c r="Y44" s="12"/>
      <c r="Z44" s="12"/>
      <c r="AA44" s="12"/>
      <c r="AB44" s="12"/>
      <c r="AC44" s="12"/>
      <c r="AH44" s="12"/>
      <c r="AI44" s="14"/>
    </row>
    <row r="45" spans="3:35">
      <c r="C45" s="11"/>
      <c r="D45" s="12"/>
      <c r="E45" s="12"/>
      <c r="F45" s="12"/>
      <c r="G45" s="12"/>
      <c r="H45" s="12" t="s">
        <v>8</v>
      </c>
      <c r="I45" s="525">
        <f>I43*(M43+P43)/M44+S43</f>
        <v>591.58965517241381</v>
      </c>
      <c r="J45" s="526"/>
      <c r="K45" s="527"/>
      <c r="L45" s="12" t="s">
        <v>426</v>
      </c>
      <c r="M45" s="12"/>
      <c r="N45" s="12"/>
      <c r="O45" s="134"/>
      <c r="P45" s="134"/>
      <c r="Q45" s="12"/>
      <c r="R45" s="12"/>
      <c r="S45" s="12"/>
      <c r="T45" s="12"/>
      <c r="U45" s="31"/>
      <c r="V45" s="13"/>
      <c r="W45" s="13"/>
      <c r="X45" s="13"/>
      <c r="Y45" s="12"/>
      <c r="Z45" s="12"/>
      <c r="AA45" s="12"/>
      <c r="AB45" s="12"/>
      <c r="AC45" s="12"/>
      <c r="AD45" s="12"/>
      <c r="AE45" s="12"/>
      <c r="AF45" s="12"/>
      <c r="AG45" s="12"/>
      <c r="AH45" s="12"/>
      <c r="AI45" s="14"/>
    </row>
    <row r="46" spans="3:35">
      <c r="C46" s="11"/>
      <c r="D46" s="12"/>
      <c r="E46" s="12"/>
      <c r="F46" s="12"/>
      <c r="G46" s="12"/>
      <c r="H46" s="12"/>
      <c r="I46" s="13"/>
      <c r="J46" s="13"/>
      <c r="K46" s="13"/>
      <c r="L46" s="12"/>
      <c r="M46" s="12"/>
      <c r="N46" s="12"/>
      <c r="O46" s="134"/>
      <c r="P46" s="134"/>
      <c r="Q46" s="12"/>
      <c r="R46" s="12"/>
      <c r="S46" s="12"/>
      <c r="T46" s="12"/>
      <c r="U46" s="31"/>
      <c r="V46" s="13"/>
      <c r="W46" s="13"/>
      <c r="X46" s="13"/>
      <c r="Y46" s="12"/>
      <c r="Z46" s="12"/>
      <c r="AA46" s="12"/>
      <c r="AB46" s="12"/>
      <c r="AC46" s="12"/>
      <c r="AD46" s="12"/>
      <c r="AE46" s="12"/>
      <c r="AF46" s="12"/>
      <c r="AG46" s="12"/>
      <c r="AH46" s="12"/>
      <c r="AI46" s="14"/>
    </row>
    <row r="47" spans="3:35">
      <c r="C47" s="11"/>
      <c r="D47" s="12" t="s">
        <v>644</v>
      </c>
      <c r="E47" s="12"/>
      <c r="F47" s="12"/>
      <c r="G47" s="12"/>
      <c r="H47" s="12"/>
      <c r="I47" s="12"/>
      <c r="J47" s="12"/>
      <c r="K47" s="12"/>
      <c r="L47" s="12"/>
      <c r="M47" s="12"/>
      <c r="N47" s="12"/>
      <c r="O47" s="134"/>
      <c r="P47" s="134"/>
      <c r="Q47" s="12"/>
      <c r="R47" s="12"/>
      <c r="S47" s="12"/>
      <c r="T47" s="12"/>
      <c r="U47" s="31"/>
      <c r="V47" s="13"/>
      <c r="W47" s="13"/>
      <c r="X47" s="13"/>
      <c r="Y47" s="12"/>
      <c r="Z47" s="12"/>
      <c r="AA47" s="12"/>
      <c r="AB47" s="12"/>
      <c r="AC47" s="12"/>
      <c r="AD47" s="12"/>
      <c r="AE47" s="12"/>
      <c r="AF47" s="12"/>
      <c r="AG47" s="12"/>
      <c r="AH47" s="12"/>
      <c r="AI47" s="14"/>
    </row>
    <row r="48" spans="3:35" ht="20.25">
      <c r="C48" s="11"/>
      <c r="D48" s="12"/>
      <c r="E48" s="12"/>
      <c r="F48" s="557" t="s">
        <v>551</v>
      </c>
      <c r="G48" s="557"/>
      <c r="H48" s="541" t="s">
        <v>8</v>
      </c>
      <c r="I48" s="776" t="s">
        <v>645</v>
      </c>
      <c r="J48" s="776"/>
      <c r="K48" s="776"/>
      <c r="L48" s="776"/>
      <c r="M48" s="12"/>
      <c r="N48" s="541" t="s">
        <v>8</v>
      </c>
      <c r="O48" s="769">
        <f>K11</f>
        <v>5</v>
      </c>
      <c r="P48" s="769"/>
      <c r="Q48" s="129" t="s">
        <v>215</v>
      </c>
      <c r="R48" s="885">
        <f>T22</f>
        <v>8.6000000000000014</v>
      </c>
      <c r="S48" s="885"/>
      <c r="T48" s="130" t="s">
        <v>545</v>
      </c>
      <c r="U48" s="31"/>
      <c r="V48" s="13"/>
      <c r="W48" s="13"/>
      <c r="X48" s="13"/>
      <c r="Y48" s="12"/>
      <c r="Z48" s="12"/>
      <c r="AA48" s="12"/>
      <c r="AB48" s="12"/>
      <c r="AC48" s="12"/>
      <c r="AD48" s="12"/>
      <c r="AE48" s="12"/>
      <c r="AF48" s="12"/>
      <c r="AG48" s="12"/>
      <c r="AH48" s="12"/>
      <c r="AI48" s="14"/>
    </row>
    <row r="49" spans="2:35">
      <c r="C49" s="11"/>
      <c r="D49" s="12"/>
      <c r="E49" s="12"/>
      <c r="F49" s="557"/>
      <c r="G49" s="557"/>
      <c r="H49" s="541"/>
      <c r="I49" s="870">
        <v>8</v>
      </c>
      <c r="J49" s="870"/>
      <c r="K49" s="870"/>
      <c r="L49" s="870"/>
      <c r="M49" s="12"/>
      <c r="N49" s="541"/>
      <c r="O49" s="870">
        <f>I49</f>
        <v>8</v>
      </c>
      <c r="P49" s="870"/>
      <c r="Q49" s="870"/>
      <c r="R49" s="870"/>
      <c r="S49" s="870"/>
      <c r="T49" s="870"/>
      <c r="U49" s="31"/>
      <c r="V49" s="13"/>
      <c r="W49" s="13"/>
      <c r="X49" s="13"/>
      <c r="Y49" s="12"/>
      <c r="Z49" s="12"/>
      <c r="AA49" s="12"/>
      <c r="AB49" s="12"/>
      <c r="AC49" s="12"/>
      <c r="AD49" s="12"/>
      <c r="AE49" s="12"/>
      <c r="AF49" s="12"/>
      <c r="AG49" s="12"/>
      <c r="AH49" s="12"/>
      <c r="AI49" s="14"/>
    </row>
    <row r="50" spans="2:35">
      <c r="C50" s="11"/>
      <c r="D50" s="12"/>
      <c r="E50" s="12"/>
      <c r="F50" s="12"/>
      <c r="G50" s="12"/>
      <c r="H50" s="12" t="s">
        <v>8</v>
      </c>
      <c r="I50" s="525">
        <f>O48*R48^2/O49</f>
        <v>46.225000000000016</v>
      </c>
      <c r="J50" s="526"/>
      <c r="K50" s="527"/>
      <c r="L50" s="12" t="s">
        <v>445</v>
      </c>
      <c r="M50" s="12"/>
      <c r="N50" s="12"/>
      <c r="O50" s="12"/>
      <c r="P50" s="12"/>
      <c r="Q50" s="12"/>
      <c r="R50" s="12"/>
      <c r="S50" s="12"/>
      <c r="T50" s="12"/>
      <c r="U50" s="31"/>
      <c r="V50" s="13"/>
      <c r="W50" s="13"/>
      <c r="X50" s="13"/>
      <c r="Y50" s="12"/>
      <c r="Z50" s="12"/>
      <c r="AA50" s="12"/>
      <c r="AB50" s="12"/>
      <c r="AC50" s="12"/>
      <c r="AD50" s="12"/>
      <c r="AE50" s="12"/>
      <c r="AF50" s="12"/>
      <c r="AG50" s="12"/>
      <c r="AH50" s="12"/>
      <c r="AI50" s="14"/>
    </row>
    <row r="51" spans="2:35">
      <c r="C51" s="15"/>
      <c r="D51" s="16"/>
      <c r="E51" s="16"/>
      <c r="F51" s="16"/>
      <c r="G51" s="16"/>
      <c r="H51" s="16"/>
      <c r="I51" s="17"/>
      <c r="J51" s="17"/>
      <c r="K51" s="17"/>
      <c r="L51" s="16"/>
      <c r="M51" s="16"/>
      <c r="N51" s="16"/>
      <c r="O51" s="16"/>
      <c r="P51" s="16"/>
      <c r="Q51" s="16"/>
      <c r="R51" s="16"/>
      <c r="S51" s="16"/>
      <c r="T51" s="16"/>
      <c r="U51" s="167"/>
      <c r="V51" s="17"/>
      <c r="W51" s="17"/>
      <c r="X51" s="17"/>
      <c r="Y51" s="16"/>
      <c r="Z51" s="16"/>
      <c r="AA51" s="16"/>
      <c r="AB51" s="16"/>
      <c r="AC51" s="16"/>
      <c r="AD51" s="16"/>
      <c r="AE51" s="16"/>
      <c r="AF51" s="16"/>
      <c r="AG51" s="16"/>
      <c r="AH51" s="16"/>
      <c r="AI51" s="18"/>
    </row>
    <row r="52" spans="2:35">
      <c r="C52" s="12"/>
      <c r="D52" s="12"/>
      <c r="E52" s="12"/>
      <c r="F52" s="12"/>
      <c r="G52" s="12"/>
      <c r="H52" s="12"/>
      <c r="I52" s="13"/>
      <c r="J52" s="13"/>
      <c r="K52" s="13"/>
      <c r="L52" s="12"/>
      <c r="M52" s="12"/>
      <c r="N52" s="12"/>
      <c r="O52" s="12"/>
      <c r="P52" s="12"/>
      <c r="Q52" s="12"/>
      <c r="R52" s="12"/>
      <c r="S52" s="12"/>
      <c r="T52" s="12"/>
      <c r="U52" s="31"/>
      <c r="V52" s="13"/>
      <c r="W52" s="13"/>
      <c r="X52" s="13"/>
      <c r="Y52" s="12"/>
      <c r="Z52" s="12"/>
      <c r="AA52" s="12"/>
      <c r="AB52" s="12"/>
      <c r="AC52" s="12"/>
      <c r="AD52" s="12"/>
      <c r="AE52" s="12"/>
      <c r="AF52" s="12"/>
      <c r="AG52" s="12"/>
      <c r="AH52" s="12"/>
      <c r="AI52" s="12"/>
    </row>
    <row r="53" spans="2:35">
      <c r="B53" s="1" t="s">
        <v>648</v>
      </c>
      <c r="C53" s="12"/>
      <c r="D53" s="12"/>
      <c r="E53" s="12"/>
      <c r="F53" s="12"/>
      <c r="G53" s="12"/>
      <c r="H53" s="12"/>
      <c r="I53" s="13"/>
      <c r="J53" s="13"/>
      <c r="K53" s="13"/>
      <c r="L53" s="12"/>
      <c r="M53" s="12"/>
      <c r="N53" s="12"/>
      <c r="O53" s="12"/>
      <c r="P53" s="12"/>
      <c r="Q53" s="12"/>
      <c r="R53" s="12"/>
      <c r="S53" s="12"/>
      <c r="T53" s="12"/>
      <c r="U53" s="31"/>
      <c r="V53" s="13"/>
      <c r="W53" s="13"/>
      <c r="X53" s="13"/>
      <c r="Y53" s="12"/>
      <c r="Z53" s="12"/>
      <c r="AA53" s="12"/>
      <c r="AB53" s="12"/>
      <c r="AC53" s="12"/>
      <c r="AD53" s="12"/>
      <c r="AE53" s="12"/>
      <c r="AF53" s="12"/>
      <c r="AG53" s="12"/>
      <c r="AH53" s="12"/>
      <c r="AI53" s="12"/>
    </row>
    <row r="54" spans="2:35">
      <c r="C54" s="8" t="s">
        <v>556</v>
      </c>
      <c r="D54" s="9"/>
      <c r="E54" s="9"/>
      <c r="F54" s="9"/>
      <c r="G54" s="9"/>
      <c r="H54" s="9"/>
      <c r="I54" s="9"/>
      <c r="J54" s="9"/>
      <c r="K54" s="9"/>
      <c r="L54" s="9"/>
      <c r="M54" s="9"/>
      <c r="N54" s="9"/>
      <c r="O54" s="9"/>
      <c r="P54" s="9"/>
      <c r="Q54" s="9"/>
      <c r="R54" s="9"/>
      <c r="S54" s="9"/>
      <c r="T54" s="9"/>
      <c r="U54" s="9"/>
      <c r="V54" s="9"/>
      <c r="W54" s="3" t="s">
        <v>557</v>
      </c>
      <c r="X54" s="9"/>
      <c r="Y54" s="9"/>
      <c r="Z54" s="9"/>
      <c r="AA54" s="9"/>
      <c r="AB54" s="9"/>
      <c r="AC54" s="9"/>
      <c r="AD54" s="9"/>
      <c r="AE54" s="9"/>
      <c r="AF54" s="9"/>
      <c r="AG54" s="9"/>
      <c r="AH54" s="9"/>
      <c r="AI54" s="10"/>
    </row>
    <row r="55" spans="2:35">
      <c r="C55" s="11"/>
      <c r="D55" s="12"/>
      <c r="E55" s="12"/>
      <c r="F55" s="12"/>
      <c r="G55" s="12"/>
      <c r="H55" s="12"/>
      <c r="I55" s="12"/>
      <c r="J55" s="12"/>
      <c r="K55" s="12"/>
      <c r="L55" s="12"/>
      <c r="M55" s="12"/>
      <c r="N55" s="12"/>
      <c r="O55" s="12"/>
      <c r="P55" s="12"/>
      <c r="Q55" s="12"/>
      <c r="R55" s="12"/>
      <c r="S55" s="12"/>
      <c r="T55" s="12"/>
      <c r="U55" s="12"/>
      <c r="V55" s="12"/>
      <c r="W55"/>
      <c r="X55" s="12"/>
      <c r="Y55" s="12"/>
      <c r="Z55" s="12"/>
      <c r="AA55" s="12"/>
      <c r="AB55" s="12"/>
      <c r="AC55" s="12"/>
      <c r="AD55" s="12"/>
      <c r="AE55" s="12"/>
      <c r="AF55" s="12"/>
      <c r="AG55" s="12"/>
      <c r="AH55" s="12"/>
      <c r="AI55" s="14"/>
    </row>
    <row r="56" spans="2:35">
      <c r="C56" s="11"/>
      <c r="D56" s="1" t="s">
        <v>558</v>
      </c>
      <c r="AI56" s="14"/>
    </row>
    <row r="57" spans="2:35">
      <c r="C57" s="11"/>
      <c r="AI57" s="14"/>
    </row>
    <row r="58" spans="2:35">
      <c r="C58" s="11"/>
      <c r="E58" s="12" t="s">
        <v>559</v>
      </c>
      <c r="F58" s="12"/>
      <c r="G58" s="12"/>
      <c r="H58" s="12"/>
      <c r="I58" s="12"/>
      <c r="J58" s="12"/>
      <c r="K58" s="12"/>
      <c r="L58" s="12"/>
      <c r="M58" s="12"/>
      <c r="N58" s="12"/>
      <c r="O58" s="12"/>
      <c r="P58" s="12"/>
      <c r="Q58" s="12"/>
      <c r="R58" s="12"/>
      <c r="S58" s="12"/>
      <c r="T58" s="12"/>
      <c r="U58" s="12"/>
      <c r="V58" s="12"/>
      <c r="W58"/>
      <c r="X58" s="12"/>
      <c r="Y58" s="12"/>
      <c r="Z58" s="12"/>
      <c r="AA58" s="12"/>
      <c r="AB58" s="12"/>
      <c r="AC58" s="12"/>
      <c r="AI58" s="14"/>
    </row>
    <row r="59" spans="2:35">
      <c r="C59" s="11"/>
      <c r="D59" s="12"/>
      <c r="E59" s="12"/>
      <c r="F59" s="777" t="s">
        <v>560</v>
      </c>
      <c r="G59" s="777"/>
      <c r="H59" s="541" t="s">
        <v>213</v>
      </c>
      <c r="I59" s="16"/>
      <c r="J59" s="16"/>
      <c r="K59" s="16"/>
      <c r="L59" s="16"/>
      <c r="M59" s="777" t="s">
        <v>561</v>
      </c>
      <c r="N59" s="777"/>
      <c r="O59" s="16"/>
      <c r="P59" s="16"/>
      <c r="Q59" s="16"/>
      <c r="R59" s="16"/>
      <c r="S59" s="541" t="s">
        <v>213</v>
      </c>
      <c r="T59" s="16"/>
      <c r="U59" s="16"/>
      <c r="V59" s="16"/>
      <c r="W59" s="16"/>
      <c r="X59" s="777" t="s">
        <v>562</v>
      </c>
      <c r="Y59" s="777"/>
      <c r="Z59" s="16"/>
      <c r="AA59" s="16"/>
      <c r="AB59" s="16"/>
      <c r="AC59" s="16"/>
      <c r="AE59" s="868" t="s">
        <v>563</v>
      </c>
      <c r="AF59" s="869">
        <v>1</v>
      </c>
      <c r="AI59" s="14"/>
    </row>
    <row r="60" spans="2:35">
      <c r="C60" s="11"/>
      <c r="D60" s="12"/>
      <c r="E60" s="12"/>
      <c r="F60" s="371" t="s">
        <v>564</v>
      </c>
      <c r="G60" s="371"/>
      <c r="H60" s="541"/>
      <c r="I60" s="371" t="s">
        <v>565</v>
      </c>
      <c r="J60" s="371"/>
      <c r="K60" s="40" t="s">
        <v>566</v>
      </c>
      <c r="L60" s="12" t="s">
        <v>438</v>
      </c>
      <c r="M60" s="371" t="s">
        <v>560</v>
      </c>
      <c r="N60" s="371"/>
      <c r="O60" s="12" t="s">
        <v>236</v>
      </c>
      <c r="P60" s="371" t="s">
        <v>567</v>
      </c>
      <c r="Q60" s="371"/>
      <c r="R60" s="12" t="s">
        <v>218</v>
      </c>
      <c r="S60" s="541"/>
      <c r="T60" s="371" t="s">
        <v>568</v>
      </c>
      <c r="U60" s="371"/>
      <c r="V60" s="40" t="s">
        <v>566</v>
      </c>
      <c r="W60" s="12" t="s">
        <v>438</v>
      </c>
      <c r="X60" s="371" t="s">
        <v>560</v>
      </c>
      <c r="Y60" s="371"/>
      <c r="Z60" s="12" t="s">
        <v>236</v>
      </c>
      <c r="AA60" s="371" t="s">
        <v>569</v>
      </c>
      <c r="AB60" s="371"/>
      <c r="AC60" s="12" t="s">
        <v>218</v>
      </c>
      <c r="AE60" s="868"/>
      <c r="AF60" s="869"/>
      <c r="AI60" s="14"/>
    </row>
    <row r="61" spans="2:35">
      <c r="C61" s="11"/>
      <c r="AI61" s="14"/>
    </row>
    <row r="62" spans="2:35">
      <c r="C62" s="11"/>
      <c r="AI62" s="14"/>
    </row>
    <row r="63" spans="2:35">
      <c r="C63" s="11"/>
      <c r="E63" s="12" t="s">
        <v>570</v>
      </c>
      <c r="F63" s="12"/>
      <c r="G63" s="12"/>
      <c r="H63" s="12"/>
      <c r="I63" s="12"/>
      <c r="J63" s="12"/>
      <c r="K63" s="12"/>
      <c r="L63" s="12"/>
      <c r="M63" s="12"/>
      <c r="N63" s="12"/>
      <c r="O63" s="12"/>
      <c r="P63" s="12"/>
      <c r="Q63" s="12"/>
      <c r="R63" s="12"/>
      <c r="S63" s="12"/>
      <c r="T63" s="12"/>
      <c r="U63" s="12"/>
      <c r="V63" s="12"/>
      <c r="W63"/>
      <c r="X63" s="12"/>
      <c r="Y63" s="12"/>
      <c r="AI63" s="14"/>
    </row>
    <row r="64" spans="2:35" ht="20.25" customHeight="1">
      <c r="C64" s="11"/>
      <c r="D64" s="12"/>
      <c r="E64" s="12"/>
      <c r="F64" s="557" t="s">
        <v>560</v>
      </c>
      <c r="G64" s="557"/>
      <c r="H64" s="541" t="s">
        <v>213</v>
      </c>
      <c r="I64" s="16"/>
      <c r="J64" s="16"/>
      <c r="K64" s="16"/>
      <c r="L64" s="777" t="s">
        <v>561</v>
      </c>
      <c r="M64" s="777"/>
      <c r="N64" s="16"/>
      <c r="O64" s="16"/>
      <c r="P64" s="16"/>
      <c r="Q64" s="541" t="s">
        <v>213</v>
      </c>
      <c r="R64" s="16"/>
      <c r="S64" s="16"/>
      <c r="T64" s="16"/>
      <c r="U64" s="777" t="s">
        <v>562</v>
      </c>
      <c r="V64" s="777"/>
      <c r="W64" s="16"/>
      <c r="X64" s="16"/>
      <c r="Y64" s="16"/>
      <c r="AB64" s="868" t="s">
        <v>563</v>
      </c>
      <c r="AC64" s="557" t="s">
        <v>571</v>
      </c>
      <c r="AD64" s="557"/>
      <c r="AI64" s="14"/>
    </row>
    <row r="65" spans="3:35">
      <c r="C65" s="11"/>
      <c r="D65" s="12"/>
      <c r="E65" s="12"/>
      <c r="F65" s="557"/>
      <c r="G65" s="557"/>
      <c r="H65" s="541"/>
      <c r="I65" s="12" t="s">
        <v>566</v>
      </c>
      <c r="J65" s="12" t="s">
        <v>438</v>
      </c>
      <c r="K65" s="371" t="s">
        <v>560</v>
      </c>
      <c r="L65" s="371"/>
      <c r="M65" s="12" t="s">
        <v>236</v>
      </c>
      <c r="N65" s="371" t="s">
        <v>567</v>
      </c>
      <c r="O65" s="371"/>
      <c r="P65" s="12" t="s">
        <v>218</v>
      </c>
      <c r="Q65" s="541"/>
      <c r="R65" s="12" t="s">
        <v>566</v>
      </c>
      <c r="S65" s="12" t="s">
        <v>438</v>
      </c>
      <c r="T65" s="371" t="s">
        <v>560</v>
      </c>
      <c r="U65" s="371"/>
      <c r="V65" s="12" t="s">
        <v>236</v>
      </c>
      <c r="W65" s="371" t="s">
        <v>569</v>
      </c>
      <c r="X65" s="371"/>
      <c r="Y65" s="12" t="s">
        <v>218</v>
      </c>
      <c r="AB65" s="868"/>
      <c r="AC65" s="557"/>
      <c r="AD65" s="557"/>
      <c r="AI65" s="14"/>
    </row>
    <row r="66" spans="3:35">
      <c r="C66" s="11"/>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4"/>
    </row>
    <row r="67" spans="3:35">
      <c r="C67" s="11"/>
      <c r="D67" s="12"/>
      <c r="E67" s="12" t="s">
        <v>330</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4"/>
    </row>
    <row r="68" spans="3:35" ht="20.25">
      <c r="C68" s="11"/>
      <c r="D68" s="12"/>
      <c r="E68" s="8"/>
      <c r="F68" s="9"/>
      <c r="G68" s="610" t="s">
        <v>560</v>
      </c>
      <c r="H68" s="610"/>
      <c r="I68" s="9" t="s">
        <v>572</v>
      </c>
      <c r="J68" s="9"/>
      <c r="K68" s="9"/>
      <c r="L68" s="9"/>
      <c r="M68" s="9"/>
      <c r="N68" s="9"/>
      <c r="O68" s="9"/>
      <c r="P68" s="9"/>
      <c r="Q68" s="9"/>
      <c r="R68" s="9"/>
      <c r="S68" s="9"/>
      <c r="T68" s="9"/>
      <c r="U68" s="9"/>
      <c r="V68" s="9"/>
      <c r="W68" s="3"/>
      <c r="X68" s="9"/>
      <c r="Y68" s="9"/>
      <c r="Z68" s="9"/>
      <c r="AA68" s="9"/>
      <c r="AB68" s="9"/>
      <c r="AC68" s="9"/>
      <c r="AD68" s="9"/>
      <c r="AE68" s="9"/>
      <c r="AF68" s="9"/>
      <c r="AG68" s="9"/>
      <c r="AH68" s="10"/>
      <c r="AI68" s="14"/>
    </row>
    <row r="69" spans="3:35">
      <c r="C69" s="11"/>
      <c r="D69" s="12"/>
      <c r="E69" s="11"/>
      <c r="F69" s="12"/>
      <c r="G69" s="821" t="s">
        <v>560</v>
      </c>
      <c r="H69" s="821"/>
      <c r="I69" s="541" t="s">
        <v>8</v>
      </c>
      <c r="J69" s="149" t="s">
        <v>573</v>
      </c>
      <c r="K69" s="33"/>
      <c r="L69" s="12"/>
      <c r="M69" s="541" t="s">
        <v>8</v>
      </c>
      <c r="N69" s="529">
        <f>I32</f>
        <v>861.49655172413793</v>
      </c>
      <c r="O69" s="529"/>
      <c r="P69" s="529"/>
      <c r="Q69" s="16" t="s">
        <v>215</v>
      </c>
      <c r="R69" s="656">
        <v>1000</v>
      </c>
      <c r="S69" s="656"/>
      <c r="T69" s="12"/>
      <c r="U69" s="541" t="s">
        <v>8</v>
      </c>
      <c r="V69" s="594">
        <f>N69*R69/N70/R70</f>
        <v>82.203869439326141</v>
      </c>
      <c r="W69" s="595"/>
      <c r="X69" s="12"/>
      <c r="Y69" s="12"/>
      <c r="Z69" s="12"/>
      <c r="AA69" s="12"/>
      <c r="AB69" s="12"/>
      <c r="AC69" s="12"/>
      <c r="AD69" s="12"/>
      <c r="AE69" s="12"/>
      <c r="AF69" s="12"/>
      <c r="AG69" s="12"/>
      <c r="AH69" s="14"/>
      <c r="AI69" s="14"/>
    </row>
    <row r="70" spans="3:35">
      <c r="C70" s="11"/>
      <c r="D70" s="12"/>
      <c r="E70" s="11"/>
      <c r="F70" s="12"/>
      <c r="G70" s="821"/>
      <c r="H70" s="821"/>
      <c r="I70" s="541"/>
      <c r="J70" s="34" t="s">
        <v>118</v>
      </c>
      <c r="K70" s="12"/>
      <c r="L70" s="12"/>
      <c r="M70" s="541"/>
      <c r="N70" s="922">
        <f>'1.設計条件'!Q99</f>
        <v>104.8</v>
      </c>
      <c r="O70" s="922"/>
      <c r="P70" s="922"/>
      <c r="Q70" s="12" t="s">
        <v>215</v>
      </c>
      <c r="R70" s="576">
        <v>100</v>
      </c>
      <c r="S70" s="576"/>
      <c r="T70" s="12"/>
      <c r="U70" s="541"/>
      <c r="V70" s="596"/>
      <c r="W70" s="597"/>
      <c r="X70" s="12"/>
      <c r="Y70" s="12"/>
      <c r="Z70" s="12"/>
      <c r="AA70" s="12"/>
      <c r="AB70" s="12"/>
      <c r="AC70" s="12"/>
      <c r="AD70" s="12"/>
      <c r="AE70" s="12"/>
      <c r="AF70" s="12"/>
      <c r="AG70" s="12"/>
      <c r="AH70" s="14"/>
      <c r="AI70" s="14"/>
    </row>
    <row r="71" spans="3:35">
      <c r="C71" s="11"/>
      <c r="D71" s="12"/>
      <c r="E71" s="15"/>
      <c r="F71" s="16"/>
      <c r="G71" s="156"/>
      <c r="H71" s="156"/>
      <c r="I71" s="157"/>
      <c r="J71" s="139"/>
      <c r="K71" s="16"/>
      <c r="L71" s="16"/>
      <c r="M71" s="157"/>
      <c r="N71" s="138"/>
      <c r="O71" s="138"/>
      <c r="P71" s="138"/>
      <c r="Q71" s="16"/>
      <c r="R71" s="140"/>
      <c r="S71" s="140"/>
      <c r="T71" s="16"/>
      <c r="U71" s="157"/>
      <c r="V71" s="157"/>
      <c r="W71" s="157"/>
      <c r="X71" s="16"/>
      <c r="Y71" s="16"/>
      <c r="Z71" s="16"/>
      <c r="AA71" s="16"/>
      <c r="AB71" s="16"/>
      <c r="AC71" s="16"/>
      <c r="AD71" s="16"/>
      <c r="AE71" s="16"/>
      <c r="AF71" s="16"/>
      <c r="AG71" s="16"/>
      <c r="AH71" s="18"/>
      <c r="AI71" s="14"/>
    </row>
    <row r="72" spans="3:35">
      <c r="C72" s="11"/>
      <c r="D72" s="12"/>
      <c r="E72" s="12"/>
      <c r="F72" s="12"/>
      <c r="G72" s="148"/>
      <c r="H72" s="148"/>
      <c r="I72" s="27"/>
      <c r="J72" s="34"/>
      <c r="K72" s="12"/>
      <c r="L72" s="12"/>
      <c r="M72" s="27"/>
      <c r="N72" s="23"/>
      <c r="O72" s="23"/>
      <c r="P72" s="23"/>
      <c r="Q72" s="12"/>
      <c r="R72" s="26"/>
      <c r="S72" s="26"/>
      <c r="T72" s="12"/>
      <c r="U72" s="27"/>
      <c r="V72" s="27"/>
      <c r="W72" s="27"/>
      <c r="X72" s="12"/>
      <c r="Y72" s="12"/>
      <c r="Z72" s="12"/>
      <c r="AA72" s="12"/>
      <c r="AB72" s="12"/>
      <c r="AC72" s="12"/>
      <c r="AD72" s="12"/>
      <c r="AE72" s="12"/>
      <c r="AF72" s="12"/>
      <c r="AG72" s="12"/>
      <c r="AH72" s="12"/>
      <c r="AI72" s="14"/>
    </row>
    <row r="73" spans="3:35">
      <c r="C73" s="11"/>
      <c r="D73" s="12"/>
      <c r="E73" s="12"/>
      <c r="F73" s="12"/>
      <c r="G73" s="34"/>
      <c r="H73" s="34"/>
      <c r="I73" s="148"/>
      <c r="J73" s="148"/>
      <c r="K73" s="27"/>
      <c r="L73" s="34"/>
      <c r="M73" s="12"/>
      <c r="N73" s="12"/>
      <c r="O73" s="27"/>
      <c r="P73" s="23"/>
      <c r="Q73" s="23"/>
      <c r="R73" s="23"/>
      <c r="S73" s="12"/>
      <c r="T73" s="26"/>
      <c r="U73" s="26"/>
      <c r="V73" s="12"/>
      <c r="W73" s="27"/>
      <c r="X73" s="27"/>
      <c r="Y73" s="27"/>
      <c r="Z73" s="12"/>
      <c r="AA73" s="12"/>
      <c r="AB73" s="12"/>
      <c r="AC73" s="12"/>
      <c r="AD73" s="12"/>
      <c r="AE73" s="12"/>
      <c r="AF73" s="12"/>
      <c r="AG73" s="12"/>
      <c r="AH73" s="12"/>
      <c r="AI73" s="14"/>
    </row>
    <row r="74" spans="3:35">
      <c r="C74" s="11"/>
      <c r="D74" s="12"/>
      <c r="E74" s="902" t="s">
        <v>561</v>
      </c>
      <c r="F74" s="903"/>
      <c r="G74" s="901" t="s">
        <v>574</v>
      </c>
      <c r="H74" s="901"/>
      <c r="I74" s="904" t="s">
        <v>575</v>
      </c>
      <c r="J74" s="904"/>
      <c r="K74" s="904"/>
      <c r="L74" s="904"/>
      <c r="M74" s="904"/>
      <c r="N74" s="904"/>
      <c r="O74" s="904"/>
      <c r="P74" s="904"/>
      <c r="Q74" s="904"/>
      <c r="R74" s="904"/>
      <c r="S74" s="904"/>
      <c r="T74" s="904"/>
      <c r="U74" s="904"/>
      <c r="V74" s="904"/>
      <c r="W74" s="904"/>
      <c r="X74" s="904"/>
      <c r="Y74" s="904"/>
      <c r="Z74" s="904"/>
      <c r="AA74" s="904"/>
      <c r="AB74" s="904"/>
      <c r="AC74" s="904"/>
      <c r="AD74" s="904"/>
      <c r="AE74" s="904"/>
      <c r="AF74" s="904"/>
      <c r="AG74" s="904"/>
      <c r="AH74" s="905"/>
      <c r="AI74" s="158"/>
    </row>
    <row r="75" spans="3:35">
      <c r="C75" s="11"/>
      <c r="D75" s="12"/>
      <c r="E75" s="159"/>
      <c r="F75" s="141"/>
      <c r="G75" s="143"/>
      <c r="H75" s="143"/>
      <c r="I75" s="701" t="s">
        <v>576</v>
      </c>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c r="AH75" s="875"/>
      <c r="AI75" s="158"/>
    </row>
    <row r="76" spans="3:35">
      <c r="C76" s="11"/>
      <c r="D76" s="12"/>
      <c r="E76" s="159"/>
      <c r="F76" s="141"/>
      <c r="G76" s="821" t="s">
        <v>561</v>
      </c>
      <c r="H76" s="821"/>
      <c r="I76" s="541" t="s">
        <v>8</v>
      </c>
      <c r="J76" s="864" t="s">
        <v>443</v>
      </c>
      <c r="K76" s="864"/>
      <c r="L76" s="55"/>
      <c r="M76" s="541" t="s">
        <v>8</v>
      </c>
      <c r="N76" s="873">
        <f>I37</f>
        <v>46.225000000000016</v>
      </c>
      <c r="O76" s="873"/>
      <c r="P76" s="873"/>
      <c r="Q76" s="16" t="s">
        <v>215</v>
      </c>
      <c r="R76" s="857">
        <v>1000000</v>
      </c>
      <c r="S76" s="857"/>
      <c r="T76" s="857"/>
      <c r="U76" s="12"/>
      <c r="V76" s="12"/>
      <c r="W76" s="12"/>
      <c r="X76" s="12"/>
      <c r="Y76" s="12"/>
      <c r="Z76" s="55"/>
      <c r="AA76" s="55"/>
      <c r="AB76" s="55"/>
      <c r="AC76" s="55"/>
      <c r="AD76" s="55"/>
      <c r="AE76" s="55"/>
      <c r="AF76" s="55"/>
      <c r="AG76" s="55"/>
      <c r="AH76" s="142"/>
      <c r="AI76" s="142"/>
    </row>
    <row r="77" spans="3:35">
      <c r="C77" s="11"/>
      <c r="D77" s="12"/>
      <c r="E77" s="159"/>
      <c r="F77" s="141"/>
      <c r="G77" s="821"/>
      <c r="H77" s="821"/>
      <c r="I77" s="541"/>
      <c r="J77" s="371" t="s">
        <v>123</v>
      </c>
      <c r="K77" s="371"/>
      <c r="L77" s="55"/>
      <c r="M77" s="541"/>
      <c r="N77" s="874">
        <f>'1.設計条件'!Q102</f>
        <v>1150</v>
      </c>
      <c r="O77" s="874"/>
      <c r="P77" s="874"/>
      <c r="Q77" s="12" t="s">
        <v>215</v>
      </c>
      <c r="R77" s="576">
        <v>1000</v>
      </c>
      <c r="S77" s="576"/>
      <c r="T77" s="55"/>
      <c r="U77" s="12"/>
      <c r="V77" s="12"/>
      <c r="W77" s="12"/>
      <c r="X77" s="12"/>
      <c r="Y77" s="12"/>
      <c r="Z77" s="55"/>
      <c r="AA77" s="55"/>
      <c r="AB77" s="55"/>
      <c r="AC77" s="55"/>
      <c r="AD77" s="55"/>
      <c r="AE77" s="55"/>
      <c r="AF77" s="55"/>
      <c r="AG77" s="55"/>
      <c r="AH77" s="142"/>
      <c r="AI77" s="142"/>
    </row>
    <row r="78" spans="3:35">
      <c r="C78" s="11"/>
      <c r="D78" s="12"/>
      <c r="E78" s="159"/>
      <c r="F78" s="141"/>
      <c r="G78" s="148"/>
      <c r="H78" s="148"/>
      <c r="I78" s="541" t="s">
        <v>8</v>
      </c>
      <c r="J78" s="594">
        <f>N76*R76/N77/R77</f>
        <v>40.195652173913054</v>
      </c>
      <c r="K78" s="595"/>
      <c r="L78" s="55"/>
      <c r="M78" s="27"/>
      <c r="N78" s="146"/>
      <c r="O78" s="146"/>
      <c r="P78" s="146"/>
      <c r="Q78" s="12"/>
      <c r="R78" s="26"/>
      <c r="S78" s="26"/>
      <c r="T78" s="55"/>
      <c r="U78" s="27"/>
      <c r="V78" s="27"/>
      <c r="W78" s="27"/>
      <c r="X78" s="12"/>
      <c r="Y78" s="12"/>
      <c r="Z78" s="55"/>
      <c r="AA78" s="55"/>
      <c r="AB78" s="55"/>
      <c r="AC78" s="55"/>
      <c r="AD78" s="55"/>
      <c r="AE78" s="55"/>
      <c r="AF78" s="55"/>
      <c r="AG78" s="55"/>
      <c r="AH78" s="142"/>
      <c r="AI78" s="142"/>
    </row>
    <row r="79" spans="3:35">
      <c r="C79" s="11"/>
      <c r="D79" s="12"/>
      <c r="E79" s="159"/>
      <c r="F79" s="141"/>
      <c r="G79" s="148"/>
      <c r="H79" s="148"/>
      <c r="I79" s="541"/>
      <c r="J79" s="596"/>
      <c r="K79" s="597"/>
      <c r="L79" s="55"/>
      <c r="M79" s="27"/>
      <c r="N79" s="146"/>
      <c r="O79" s="146"/>
      <c r="P79" s="146"/>
      <c r="Q79" s="12"/>
      <c r="R79" s="26"/>
      <c r="S79" s="26"/>
      <c r="T79" s="55"/>
      <c r="U79" s="27"/>
      <c r="V79" s="27"/>
      <c r="W79" s="27"/>
      <c r="X79" s="12"/>
      <c r="Y79" s="12"/>
      <c r="Z79" s="55"/>
      <c r="AA79" s="55"/>
      <c r="AB79" s="55"/>
      <c r="AC79" s="55"/>
      <c r="AD79" s="55"/>
      <c r="AE79" s="55"/>
      <c r="AF79" s="55"/>
      <c r="AG79" s="55"/>
      <c r="AH79" s="142"/>
      <c r="AI79" s="142"/>
    </row>
    <row r="80" spans="3:35">
      <c r="C80" s="11"/>
      <c r="D80" s="12"/>
      <c r="E80" s="159"/>
      <c r="F80" s="141"/>
      <c r="G80" s="148"/>
      <c r="H80" s="148"/>
      <c r="I80" s="27"/>
      <c r="J80" s="34"/>
      <c r="K80" s="34"/>
      <c r="L80" s="55"/>
      <c r="M80" s="27"/>
      <c r="N80" s="146"/>
      <c r="O80" s="146"/>
      <c r="P80" s="146"/>
      <c r="Q80" s="12"/>
      <c r="R80" s="26"/>
      <c r="S80" s="26"/>
      <c r="T80" s="55"/>
      <c r="U80" s="27"/>
      <c r="V80" s="27"/>
      <c r="W80" s="27"/>
      <c r="X80" s="12"/>
      <c r="Y80" s="12"/>
      <c r="Z80" s="55"/>
      <c r="AA80" s="55"/>
      <c r="AB80" s="55"/>
      <c r="AC80" s="55"/>
      <c r="AD80" s="55"/>
      <c r="AE80" s="55"/>
      <c r="AF80" s="55"/>
      <c r="AG80" s="55"/>
      <c r="AH80" s="142"/>
      <c r="AI80" s="142"/>
    </row>
    <row r="81" spans="3:35">
      <c r="C81" s="11"/>
      <c r="D81" s="12"/>
      <c r="E81" s="159"/>
      <c r="F81" s="141"/>
      <c r="G81" s="876" t="s">
        <v>562</v>
      </c>
      <c r="H81" s="876"/>
      <c r="I81" s="55" t="s">
        <v>8</v>
      </c>
      <c r="J81" s="877">
        <v>0</v>
      </c>
      <c r="K81" s="878"/>
      <c r="L81" s="55"/>
      <c r="M81" s="27"/>
      <c r="N81" s="146"/>
      <c r="O81" s="146"/>
      <c r="P81" s="146"/>
      <c r="Q81" s="12"/>
      <c r="R81" s="26"/>
      <c r="S81" s="26"/>
      <c r="T81" s="55"/>
      <c r="U81" s="27"/>
      <c r="V81" s="27"/>
      <c r="W81" s="27"/>
      <c r="X81" s="12"/>
      <c r="Y81" s="12"/>
      <c r="Z81" s="55"/>
      <c r="AA81" s="55"/>
      <c r="AB81" s="55"/>
      <c r="AC81" s="55"/>
      <c r="AD81" s="55"/>
      <c r="AE81" s="55"/>
      <c r="AF81" s="55"/>
      <c r="AG81" s="55"/>
      <c r="AH81" s="142"/>
      <c r="AI81" s="142"/>
    </row>
    <row r="82" spans="3:35">
      <c r="C82" s="11"/>
      <c r="D82" s="12"/>
      <c r="E82" s="160"/>
      <c r="F82" s="161"/>
      <c r="G82" s="162"/>
      <c r="H82" s="16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63"/>
      <c r="AI82" s="142"/>
    </row>
    <row r="83" spans="3:35">
      <c r="C83" s="11"/>
      <c r="D83" s="12"/>
      <c r="E83" s="141"/>
      <c r="F83" s="141"/>
      <c r="G83" s="143"/>
      <c r="H83" s="143"/>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142"/>
    </row>
    <row r="84" spans="3:35">
      <c r="C84" s="11"/>
      <c r="D84" s="12"/>
      <c r="E84" s="141"/>
      <c r="F84" s="141"/>
      <c r="L84" s="12"/>
      <c r="M84" s="12"/>
      <c r="N84" s="55"/>
      <c r="O84" s="55"/>
      <c r="P84" s="12"/>
      <c r="Q84" s="12"/>
      <c r="R84" s="12"/>
      <c r="S84" s="12"/>
      <c r="T84" s="12"/>
      <c r="U84" s="55"/>
      <c r="V84" s="55"/>
      <c r="W84" s="55"/>
      <c r="X84" s="55"/>
      <c r="Y84" s="55"/>
      <c r="Z84" s="55"/>
      <c r="AA84" s="55"/>
      <c r="AB84" s="55"/>
      <c r="AC84" s="55"/>
      <c r="AD84" s="55"/>
      <c r="AE84" s="55"/>
      <c r="AF84" s="55"/>
      <c r="AG84" s="55"/>
      <c r="AH84" s="55"/>
      <c r="AI84" s="142"/>
    </row>
    <row r="85" spans="3:35" ht="20.25">
      <c r="C85" s="11"/>
      <c r="D85" s="12"/>
      <c r="E85" s="8"/>
      <c r="F85" s="9"/>
      <c r="G85" s="610" t="s">
        <v>564</v>
      </c>
      <c r="H85" s="610"/>
      <c r="I85" s="9" t="s">
        <v>577</v>
      </c>
      <c r="J85" s="9"/>
      <c r="K85" s="9"/>
      <c r="L85" s="9"/>
      <c r="M85" s="9"/>
      <c r="N85" s="9"/>
      <c r="O85" s="9"/>
      <c r="P85" s="9"/>
      <c r="Q85" s="9"/>
      <c r="R85" s="9"/>
      <c r="S85" s="9"/>
      <c r="T85" s="9"/>
      <c r="U85" s="9"/>
      <c r="V85" s="9"/>
      <c r="W85" s="3"/>
      <c r="X85" s="9"/>
      <c r="Y85" s="9"/>
      <c r="Z85" s="9"/>
      <c r="AA85" s="9"/>
      <c r="AB85" s="9"/>
      <c r="AC85" s="9"/>
      <c r="AD85" s="9"/>
      <c r="AE85" s="9"/>
      <c r="AF85" s="9"/>
      <c r="AG85" s="9"/>
      <c r="AH85" s="10"/>
      <c r="AI85" s="14"/>
    </row>
    <row r="86" spans="3:35">
      <c r="C86" s="11"/>
      <c r="D86" s="12"/>
      <c r="E86" s="11"/>
      <c r="F86" s="12"/>
      <c r="G86" s="12"/>
      <c r="H86" s="12"/>
      <c r="I86" s="12"/>
      <c r="J86" s="12" t="s">
        <v>578</v>
      </c>
      <c r="K86" s="12"/>
      <c r="L86" s="12"/>
      <c r="M86" s="33" t="s">
        <v>579</v>
      </c>
      <c r="N86" s="12" t="s">
        <v>563</v>
      </c>
      <c r="O86" s="539">
        <v>13.1</v>
      </c>
      <c r="P86" s="539"/>
      <c r="Q86" s="33" t="s">
        <v>580</v>
      </c>
      <c r="R86" s="12" t="s">
        <v>537</v>
      </c>
      <c r="S86" s="12"/>
      <c r="T86" s="12"/>
      <c r="U86" s="12"/>
      <c r="V86" s="12"/>
      <c r="W86"/>
      <c r="X86" s="12"/>
      <c r="Y86" s="12"/>
      <c r="Z86" s="12"/>
      <c r="AA86" s="12"/>
      <c r="AB86" s="12"/>
      <c r="AC86" s="12"/>
      <c r="AD86" s="12"/>
      <c r="AE86" s="12"/>
      <c r="AF86" s="12"/>
      <c r="AG86" s="12"/>
      <c r="AH86" s="14"/>
      <c r="AI86" s="14"/>
    </row>
    <row r="87" spans="3:35">
      <c r="C87" s="11"/>
      <c r="D87" s="12"/>
      <c r="E87" s="11"/>
      <c r="F87" s="12"/>
      <c r="G87" s="12"/>
      <c r="H87" s="12"/>
      <c r="I87" s="12"/>
      <c r="J87" s="33" t="s">
        <v>579</v>
      </c>
      <c r="K87" s="701" t="s">
        <v>649</v>
      </c>
      <c r="L87" s="701"/>
      <c r="M87" s="701"/>
      <c r="N87" s="701"/>
      <c r="O87" s="701"/>
      <c r="P87" s="701"/>
      <c r="Q87" s="701"/>
      <c r="R87" s="701"/>
      <c r="S87" s="12"/>
      <c r="T87" s="12"/>
      <c r="U87" s="12"/>
      <c r="V87" s="12"/>
      <c r="W87" s="12"/>
      <c r="X87" s="12"/>
      <c r="Y87" s="12"/>
      <c r="Z87" s="12"/>
      <c r="AA87" s="12"/>
      <c r="AB87" s="12"/>
      <c r="AC87" s="12"/>
      <c r="AD87" s="12"/>
      <c r="AE87" s="12"/>
      <c r="AF87" s="12"/>
      <c r="AG87" s="12"/>
      <c r="AH87" s="14"/>
      <c r="AI87" s="14"/>
    </row>
    <row r="88" spans="3:35">
      <c r="C88" s="11"/>
      <c r="D88" s="12"/>
      <c r="E88" s="11"/>
      <c r="F88" s="12"/>
      <c r="G88" s="12"/>
      <c r="H88" s="12"/>
      <c r="I88" s="12"/>
      <c r="J88" s="12"/>
      <c r="K88" s="33" t="s">
        <v>579</v>
      </c>
      <c r="L88" s="12" t="s">
        <v>8</v>
      </c>
      <c r="M88" s="12" t="s">
        <v>216</v>
      </c>
      <c r="N88" s="858">
        <f>'1.設計条件'!Q96</f>
        <v>300</v>
      </c>
      <c r="O88" s="858"/>
      <c r="P88" s="12" t="s">
        <v>438</v>
      </c>
      <c r="Q88" s="576">
        <f>'1.設計条件'!Q97</f>
        <v>10</v>
      </c>
      <c r="R88" s="576"/>
      <c r="S88" s="12" t="s">
        <v>582</v>
      </c>
      <c r="T88" s="30">
        <v>2</v>
      </c>
      <c r="U88" s="12"/>
      <c r="V88" s="12" t="s">
        <v>8</v>
      </c>
      <c r="W88" s="415">
        <f>(N88-Q88)/T88</f>
        <v>145</v>
      </c>
      <c r="X88" s="417"/>
      <c r="Y88" s="12" t="s">
        <v>57</v>
      </c>
      <c r="Z88" s="12"/>
      <c r="AA88" s="12"/>
      <c r="AB88" s="12"/>
      <c r="AC88" s="12"/>
      <c r="AD88" s="12"/>
      <c r="AE88" s="12"/>
      <c r="AF88" s="12"/>
      <c r="AG88" s="12"/>
      <c r="AH88" s="14"/>
      <c r="AI88" s="14"/>
    </row>
    <row r="89" spans="3:35">
      <c r="C89" s="11"/>
      <c r="D89" s="12"/>
      <c r="E89" s="11"/>
      <c r="F89" s="12"/>
      <c r="G89" s="12"/>
      <c r="H89" s="12"/>
      <c r="I89" s="33"/>
      <c r="J89" s="33" t="s">
        <v>580</v>
      </c>
      <c r="K89" s="12" t="s">
        <v>650</v>
      </c>
      <c r="L89" s="26"/>
      <c r="M89" s="26"/>
      <c r="N89" s="12"/>
      <c r="O89" s="33"/>
      <c r="P89" s="12"/>
      <c r="Q89" s="12"/>
      <c r="R89" s="30"/>
      <c r="S89" s="12"/>
      <c r="T89" s="12"/>
      <c r="U89" s="12"/>
      <c r="V89" s="12"/>
      <c r="W89" s="12"/>
      <c r="X89" s="12"/>
      <c r="Y89" s="12"/>
      <c r="Z89" s="12"/>
      <c r="AA89" s="12"/>
      <c r="AB89" s="12"/>
      <c r="AC89" s="12"/>
      <c r="AD89" s="12"/>
      <c r="AE89" s="12"/>
      <c r="AF89" s="12"/>
      <c r="AG89" s="12"/>
      <c r="AH89" s="14"/>
      <c r="AI89" s="14"/>
    </row>
    <row r="90" spans="3:35">
      <c r="C90" s="11"/>
      <c r="D90" s="12"/>
      <c r="E90" s="11"/>
      <c r="F90" s="12"/>
      <c r="G90" s="12"/>
      <c r="H90" s="12"/>
      <c r="I90" s="34"/>
      <c r="J90" s="12"/>
      <c r="K90" s="33" t="s">
        <v>580</v>
      </c>
      <c r="L90" s="12" t="s">
        <v>8</v>
      </c>
      <c r="M90" s="415">
        <f>'1.設計条件'!Q98</f>
        <v>15</v>
      </c>
      <c r="N90" s="417"/>
      <c r="O90" s="12" t="s">
        <v>57</v>
      </c>
      <c r="P90" s="12"/>
      <c r="Q90" s="12"/>
      <c r="R90" s="12"/>
      <c r="S90" s="12"/>
      <c r="T90" s="12"/>
      <c r="U90" s="12"/>
      <c r="V90" s="12"/>
      <c r="W90" s="12"/>
      <c r="X90" s="12"/>
      <c r="Y90" s="12"/>
      <c r="Z90" s="12"/>
      <c r="AA90" s="12"/>
      <c r="AB90" s="12"/>
      <c r="AC90" s="12"/>
      <c r="AD90" s="12"/>
      <c r="AE90" s="12"/>
      <c r="AF90" s="12"/>
      <c r="AG90" s="12"/>
      <c r="AH90" s="14"/>
      <c r="AI90" s="14"/>
    </row>
    <row r="91" spans="3:35">
      <c r="C91" s="11"/>
      <c r="D91" s="12"/>
      <c r="E91" s="11"/>
      <c r="F91" s="12"/>
      <c r="G91" s="12"/>
      <c r="H91" s="12"/>
      <c r="I91" s="34"/>
      <c r="J91" s="12"/>
      <c r="K91" s="33"/>
      <c r="L91" s="12"/>
      <c r="M91" s="26"/>
      <c r="N91" s="26"/>
      <c r="O91" s="12"/>
      <c r="P91" s="12"/>
      <c r="Q91" s="12"/>
      <c r="R91" s="12"/>
      <c r="S91" s="12"/>
      <c r="T91" s="12"/>
      <c r="U91" s="12"/>
      <c r="V91" s="12"/>
      <c r="W91" s="12"/>
      <c r="X91" s="12"/>
      <c r="Y91" s="12"/>
      <c r="Z91" s="12"/>
      <c r="AA91" s="12"/>
      <c r="AB91" s="12"/>
      <c r="AC91" s="12"/>
      <c r="AD91" s="12"/>
      <c r="AE91" s="12"/>
      <c r="AF91" s="12"/>
      <c r="AG91" s="12"/>
      <c r="AH91" s="14"/>
      <c r="AI91" s="14"/>
    </row>
    <row r="92" spans="3:35">
      <c r="C92" s="11"/>
      <c r="D92" s="12"/>
      <c r="E92" s="11"/>
      <c r="F92" s="12"/>
      <c r="G92" s="12"/>
      <c r="H92" s="12"/>
      <c r="I92" s="34"/>
      <c r="J92" s="539" t="s">
        <v>584</v>
      </c>
      <c r="K92" s="539"/>
      <c r="L92" s="12" t="s">
        <v>651</v>
      </c>
      <c r="M92" s="12"/>
      <c r="N92" s="12"/>
      <c r="O92" s="12"/>
      <c r="P92" s="12"/>
      <c r="Q92" s="26"/>
      <c r="R92" s="26"/>
      <c r="S92" s="12"/>
      <c r="T92" s="12"/>
      <c r="U92" s="12"/>
      <c r="V92" s="12"/>
      <c r="W92" s="12"/>
      <c r="X92" s="12"/>
      <c r="Y92" s="12"/>
      <c r="Z92" s="12"/>
      <c r="AA92" s="12"/>
      <c r="AB92" s="12"/>
      <c r="AC92" s="12"/>
      <c r="AD92" s="12"/>
      <c r="AE92" s="12"/>
      <c r="AF92" s="12"/>
      <c r="AG92" s="12"/>
      <c r="AH92" s="14"/>
      <c r="AI92" s="14"/>
    </row>
    <row r="93" spans="3:35">
      <c r="C93" s="11"/>
      <c r="D93" s="12"/>
      <c r="E93" s="11"/>
      <c r="F93" s="12"/>
      <c r="G93" s="12"/>
      <c r="H93" s="12"/>
      <c r="I93" s="34"/>
      <c r="J93" s="34"/>
      <c r="K93" s="539" t="s">
        <v>584</v>
      </c>
      <c r="L93" s="539"/>
      <c r="M93" s="12" t="s">
        <v>8</v>
      </c>
      <c r="N93" s="551">
        <f>T25</f>
        <v>4.2000000000000011</v>
      </c>
      <c r="O93" s="547"/>
      <c r="P93" s="36" t="s">
        <v>9</v>
      </c>
      <c r="Q93" s="12"/>
      <c r="R93" s="30" t="s">
        <v>602</v>
      </c>
      <c r="S93" s="12"/>
      <c r="T93" s="12"/>
      <c r="U93" s="12"/>
      <c r="V93" s="12"/>
      <c r="W93"/>
      <c r="X93" s="12"/>
      <c r="Y93" s="12"/>
      <c r="Z93" s="12"/>
      <c r="AA93" s="12"/>
      <c r="AB93" s="12"/>
      <c r="AC93" s="12"/>
      <c r="AD93" s="12"/>
      <c r="AE93" s="12"/>
      <c r="AF93" s="12"/>
      <c r="AG93" s="12"/>
      <c r="AH93" s="14"/>
      <c r="AI93" s="14"/>
    </row>
    <row r="94" spans="3:35">
      <c r="C94" s="11"/>
      <c r="D94" s="12"/>
      <c r="E94" s="11"/>
      <c r="F94" s="12"/>
      <c r="G94" s="12"/>
      <c r="H94" s="12"/>
      <c r="I94" s="34"/>
      <c r="J94" s="34"/>
      <c r="K94" s="13"/>
      <c r="L94" s="13"/>
      <c r="M94" s="12"/>
      <c r="N94" s="13"/>
      <c r="O94" s="13"/>
      <c r="P94" s="36"/>
      <c r="Q94" s="12"/>
      <c r="R94" s="30"/>
      <c r="S94" s="12"/>
      <c r="T94" s="12"/>
      <c r="U94" s="12"/>
      <c r="V94" s="12"/>
      <c r="W94"/>
      <c r="X94" s="12"/>
      <c r="Y94" s="12"/>
      <c r="Z94" s="12"/>
      <c r="AA94" s="12"/>
      <c r="AB94" s="12"/>
      <c r="AC94" s="12"/>
      <c r="AD94" s="12"/>
      <c r="AE94" s="12"/>
      <c r="AF94" s="12"/>
      <c r="AG94" s="12"/>
      <c r="AH94" s="14"/>
      <c r="AI94" s="14"/>
    </row>
    <row r="95" spans="3:35">
      <c r="C95" s="11"/>
      <c r="D95" s="12"/>
      <c r="E95" s="11"/>
      <c r="F95" s="12"/>
      <c r="G95" s="12"/>
      <c r="H95" s="12"/>
      <c r="I95" s="34"/>
      <c r="J95" s="12" t="s">
        <v>586</v>
      </c>
      <c r="K95" s="12"/>
      <c r="L95" s="12"/>
      <c r="M95" s="12"/>
      <c r="N95" s="12"/>
      <c r="O95" s="12"/>
      <c r="P95" s="33"/>
      <c r="Q95" s="12"/>
      <c r="R95" s="30"/>
      <c r="S95" s="12"/>
      <c r="T95" s="12"/>
      <c r="U95" s="12"/>
      <c r="V95" s="12"/>
      <c r="W95"/>
      <c r="X95" s="12"/>
      <c r="Y95" s="12"/>
      <c r="Z95" s="12"/>
      <c r="AA95" s="12"/>
      <c r="AB95" s="12"/>
      <c r="AC95" s="12"/>
      <c r="AD95" s="12"/>
      <c r="AE95" s="12"/>
      <c r="AF95" s="12"/>
      <c r="AG95" s="12"/>
      <c r="AH95" s="14"/>
      <c r="AI95" s="14"/>
    </row>
    <row r="96" spans="3:35">
      <c r="C96" s="11"/>
      <c r="D96" s="12"/>
      <c r="E96" s="11"/>
      <c r="F96" s="12"/>
      <c r="G96" s="12"/>
      <c r="H96" s="12"/>
      <c r="I96" s="34"/>
      <c r="J96" s="34"/>
      <c r="K96" s="16" t="s">
        <v>584</v>
      </c>
      <c r="L96" s="541" t="s">
        <v>8</v>
      </c>
      <c r="M96" s="556">
        <f>N93</f>
        <v>4.2000000000000011</v>
      </c>
      <c r="N96" s="556"/>
      <c r="O96" s="16" t="s">
        <v>215</v>
      </c>
      <c r="P96" s="866">
        <v>1000</v>
      </c>
      <c r="Q96" s="866"/>
      <c r="R96" s="866"/>
      <c r="S96" s="12"/>
      <c r="T96" s="541" t="s">
        <v>8</v>
      </c>
      <c r="U96" s="594">
        <f>M96*P96/M97/P97</f>
        <v>55.925432756324916</v>
      </c>
      <c r="V96" s="595"/>
      <c r="W96"/>
      <c r="X96" s="12"/>
      <c r="Y96" s="12"/>
      <c r="Z96" s="12"/>
      <c r="AA96" s="12"/>
      <c r="AB96" s="12"/>
      <c r="AC96" s="12"/>
      <c r="AD96" s="12"/>
      <c r="AE96" s="12"/>
      <c r="AF96" s="12"/>
      <c r="AG96" s="12"/>
      <c r="AH96" s="14"/>
      <c r="AI96" s="14"/>
    </row>
    <row r="97" spans="3:35">
      <c r="C97" s="11"/>
      <c r="D97" s="12"/>
      <c r="E97" s="11"/>
      <c r="F97" s="12"/>
      <c r="G97" s="12"/>
      <c r="H97" s="12"/>
      <c r="I97" s="34"/>
      <c r="J97" s="34"/>
      <c r="K97" s="33" t="s">
        <v>122</v>
      </c>
      <c r="L97" s="541"/>
      <c r="M97" s="887">
        <f>'1.設計条件'!Q101</f>
        <v>7.51</v>
      </c>
      <c r="N97" s="887"/>
      <c r="O97" s="12" t="s">
        <v>215</v>
      </c>
      <c r="P97" s="858">
        <v>10</v>
      </c>
      <c r="Q97" s="858"/>
      <c r="R97" s="858"/>
      <c r="S97" s="12"/>
      <c r="T97" s="541"/>
      <c r="U97" s="596"/>
      <c r="V97" s="597"/>
      <c r="W97"/>
      <c r="X97" s="12"/>
      <c r="Y97" s="12"/>
      <c r="Z97" s="12"/>
      <c r="AA97" s="12"/>
      <c r="AB97" s="12"/>
      <c r="AC97" s="12"/>
      <c r="AD97" s="12"/>
      <c r="AE97" s="12"/>
      <c r="AF97" s="12"/>
      <c r="AG97" s="12"/>
      <c r="AH97" s="14"/>
      <c r="AI97" s="14"/>
    </row>
    <row r="98" spans="3:35">
      <c r="C98" s="11"/>
      <c r="D98" s="12"/>
      <c r="E98" s="11"/>
      <c r="F98" s="12"/>
      <c r="G98" s="12"/>
      <c r="H98" s="12"/>
      <c r="I98" s="34"/>
      <c r="J98" s="34"/>
      <c r="K98" s="33"/>
      <c r="L98" s="27"/>
      <c r="M98" s="135"/>
      <c r="N98" s="135"/>
      <c r="O98" s="12"/>
      <c r="P98" s="145"/>
      <c r="Q98" s="145"/>
      <c r="S98" s="12"/>
      <c r="T98" s="31"/>
      <c r="U98" s="31"/>
      <c r="W98"/>
      <c r="Y98" s="12"/>
      <c r="Z98" s="12"/>
      <c r="AA98" s="12"/>
      <c r="AB98" s="12"/>
      <c r="AC98" s="12"/>
      <c r="AD98" s="12"/>
      <c r="AE98" s="12"/>
      <c r="AF98" s="12"/>
      <c r="AG98" s="12"/>
      <c r="AH98" s="14"/>
      <c r="AI98" s="14"/>
    </row>
    <row r="99" spans="3:35" s="205" customFormat="1">
      <c r="C99" s="239"/>
      <c r="D99" s="113"/>
      <c r="E99" s="239"/>
      <c r="F99" s="113"/>
      <c r="G99" s="113"/>
      <c r="H99" s="908" t="s">
        <v>587</v>
      </c>
      <c r="I99" s="908"/>
      <c r="J99" s="908"/>
      <c r="K99" s="908"/>
      <c r="L99" s="908"/>
      <c r="M99" s="908"/>
      <c r="N99" s="908"/>
      <c r="O99" s="908"/>
      <c r="P99" s="908"/>
      <c r="Q99" s="908"/>
      <c r="R99" s="256">
        <v>18</v>
      </c>
      <c r="S99" s="113" t="s">
        <v>329</v>
      </c>
      <c r="T99" s="754" t="s">
        <v>588</v>
      </c>
      <c r="U99" s="754"/>
      <c r="V99" s="205" t="s">
        <v>563</v>
      </c>
      <c r="W99" s="246">
        <v>92</v>
      </c>
      <c r="X99" s="257" t="s">
        <v>589</v>
      </c>
      <c r="Y99" s="113"/>
      <c r="Z99" s="113" t="s">
        <v>590</v>
      </c>
      <c r="AA99" s="113"/>
      <c r="AB99" s="113"/>
      <c r="AC99" s="113"/>
      <c r="AD99" s="113"/>
      <c r="AE99" s="113"/>
      <c r="AF99" s="113"/>
      <c r="AG99" s="113"/>
      <c r="AH99" s="240"/>
      <c r="AI99" s="240"/>
    </row>
    <row r="100" spans="3:35" ht="20.25">
      <c r="C100" s="11"/>
      <c r="D100" s="12"/>
      <c r="E100" s="11"/>
      <c r="F100" s="12"/>
      <c r="G100" s="557" t="s">
        <v>591</v>
      </c>
      <c r="H100" s="557"/>
      <c r="I100" s="31" t="s">
        <v>8</v>
      </c>
      <c r="J100" s="136" t="s">
        <v>592</v>
      </c>
      <c r="K100" s="867">
        <v>140</v>
      </c>
      <c r="L100" s="867"/>
      <c r="M100" s="136" t="s">
        <v>438</v>
      </c>
      <c r="N100" s="762">
        <v>0.82</v>
      </c>
      <c r="O100" s="762"/>
      <c r="P100" s="136" t="s">
        <v>216</v>
      </c>
      <c r="Q100" s="539" t="s">
        <v>350</v>
      </c>
      <c r="R100" s="539"/>
      <c r="S100" s="135" t="s">
        <v>236</v>
      </c>
      <c r="T100" s="33" t="s">
        <v>122</v>
      </c>
      <c r="U100" s="12" t="s">
        <v>438</v>
      </c>
      <c r="V100" s="752">
        <v>18</v>
      </c>
      <c r="W100" s="752"/>
      <c r="X100" s="26" t="s">
        <v>593</v>
      </c>
      <c r="Y100" s="26" t="s">
        <v>215</v>
      </c>
      <c r="Z100" s="541">
        <v>1.5</v>
      </c>
      <c r="AA100" s="541"/>
      <c r="AB100" s="12"/>
      <c r="AC100" s="12"/>
      <c r="AD100" s="12"/>
      <c r="AE100" s="12"/>
      <c r="AF100" s="26"/>
      <c r="AG100" s="26"/>
      <c r="AH100" s="165"/>
      <c r="AI100" s="14"/>
    </row>
    <row r="101" spans="3:35">
      <c r="C101" s="11"/>
      <c r="D101" s="12"/>
      <c r="E101" s="11"/>
      <c r="F101" s="12"/>
      <c r="G101" s="152"/>
      <c r="H101" s="152"/>
      <c r="I101" s="31" t="s">
        <v>8</v>
      </c>
      <c r="J101" s="136" t="s">
        <v>592</v>
      </c>
      <c r="K101" s="867">
        <v>140</v>
      </c>
      <c r="L101" s="867"/>
      <c r="M101" s="136" t="s">
        <v>438</v>
      </c>
      <c r="N101" s="762">
        <v>0.82</v>
      </c>
      <c r="O101" s="762"/>
      <c r="P101" s="136" t="s">
        <v>216</v>
      </c>
      <c r="Q101" s="539">
        <f>U96</f>
        <v>55.925432756324916</v>
      </c>
      <c r="R101" s="539"/>
      <c r="S101" s="539"/>
      <c r="T101" s="539"/>
      <c r="U101" s="12" t="s">
        <v>438</v>
      </c>
      <c r="V101" s="752">
        <v>18</v>
      </c>
      <c r="W101" s="752"/>
      <c r="X101" s="26" t="s">
        <v>593</v>
      </c>
      <c r="Y101" s="26" t="s">
        <v>215</v>
      </c>
      <c r="Z101" s="541">
        <v>1.5</v>
      </c>
      <c r="AA101" s="541"/>
      <c r="AB101" s="12"/>
      <c r="AC101" s="12"/>
      <c r="AD101" s="12"/>
      <c r="AE101" s="12"/>
      <c r="AF101" s="26"/>
      <c r="AG101" s="26"/>
      <c r="AH101" s="165"/>
      <c r="AI101" s="14"/>
    </row>
    <row r="102" spans="3:35" ht="20.25">
      <c r="C102" s="11"/>
      <c r="D102" s="12"/>
      <c r="E102" s="11"/>
      <c r="F102" s="12"/>
      <c r="G102" s="12"/>
      <c r="H102" s="12"/>
      <c r="I102" s="34" t="s">
        <v>8</v>
      </c>
      <c r="J102" s="909">
        <f>(K101-N101*(Q101-V101))*Z101</f>
        <v>163.35171770972033</v>
      </c>
      <c r="K102" s="910"/>
      <c r="L102" s="911"/>
      <c r="M102" s="151" t="s">
        <v>82</v>
      </c>
      <c r="N102" s="135"/>
      <c r="O102" s="12"/>
      <c r="P102" s="145"/>
      <c r="Q102" s="145"/>
      <c r="R102" s="145"/>
      <c r="S102" s="12"/>
      <c r="T102" s="27"/>
      <c r="U102" s="27"/>
      <c r="V102" s="27"/>
      <c r="W102"/>
      <c r="X102" s="12"/>
      <c r="Y102" s="12"/>
      <c r="Z102" s="12"/>
      <c r="AA102" s="12"/>
      <c r="AB102" s="12"/>
      <c r="AC102" s="12"/>
      <c r="AD102" s="12"/>
      <c r="AE102" s="12"/>
      <c r="AF102" s="12"/>
      <c r="AG102" s="12"/>
      <c r="AH102" s="14"/>
      <c r="AI102" s="14"/>
    </row>
    <row r="103" spans="3:35">
      <c r="C103" s="11"/>
      <c r="D103" s="12"/>
      <c r="E103" s="15"/>
      <c r="F103" s="16"/>
      <c r="G103" s="16"/>
      <c r="H103" s="16"/>
      <c r="I103" s="139"/>
      <c r="J103" s="150"/>
      <c r="K103" s="150"/>
      <c r="L103" s="150"/>
      <c r="M103" s="164"/>
      <c r="N103" s="150"/>
      <c r="O103" s="16"/>
      <c r="P103" s="221"/>
      <c r="Q103" s="221"/>
      <c r="R103" s="221"/>
      <c r="S103" s="16"/>
      <c r="T103" s="157"/>
      <c r="U103" s="157"/>
      <c r="V103" s="157"/>
      <c r="W103" s="24"/>
      <c r="X103" s="16"/>
      <c r="Y103" s="16"/>
      <c r="Z103" s="16"/>
      <c r="AA103" s="16"/>
      <c r="AB103" s="16"/>
      <c r="AC103" s="16"/>
      <c r="AD103" s="16"/>
      <c r="AE103" s="16"/>
      <c r="AF103" s="16"/>
      <c r="AG103" s="16"/>
      <c r="AH103" s="18"/>
      <c r="AI103" s="14"/>
    </row>
    <row r="104" spans="3:35">
      <c r="C104" s="11"/>
      <c r="D104" s="12"/>
      <c r="E104" s="12"/>
      <c r="F104" s="12"/>
      <c r="G104" s="12"/>
      <c r="H104" s="12"/>
      <c r="I104" s="34"/>
      <c r="J104" s="135"/>
      <c r="K104" s="135"/>
      <c r="L104" s="135"/>
      <c r="M104" s="151"/>
      <c r="N104" s="135"/>
      <c r="O104" s="12"/>
      <c r="P104" s="145"/>
      <c r="Q104" s="145"/>
      <c r="R104" s="145"/>
      <c r="S104" s="12"/>
      <c r="T104" s="27"/>
      <c r="U104" s="27"/>
      <c r="V104" s="27"/>
      <c r="W104"/>
      <c r="X104" s="12"/>
      <c r="Y104" s="12"/>
      <c r="Z104" s="12"/>
      <c r="AA104" s="12"/>
      <c r="AB104" s="12"/>
      <c r="AC104" s="12"/>
      <c r="AD104" s="12"/>
      <c r="AE104" s="12"/>
      <c r="AF104" s="12"/>
      <c r="AG104" s="12"/>
      <c r="AH104" s="12"/>
      <c r="AI104" s="14"/>
    </row>
    <row r="105" spans="3:35">
      <c r="C105" s="11"/>
      <c r="D105" s="12"/>
      <c r="E105" s="12"/>
      <c r="F105" s="12"/>
      <c r="G105" s="12"/>
      <c r="H105" s="12"/>
      <c r="I105" s="12"/>
      <c r="J105" s="12"/>
      <c r="K105" s="12"/>
      <c r="L105" s="12"/>
      <c r="M105" s="12"/>
      <c r="N105" s="12"/>
      <c r="O105" s="12"/>
      <c r="P105" s="12"/>
      <c r="Q105" s="12"/>
      <c r="R105" s="12"/>
      <c r="S105" s="12"/>
      <c r="T105" s="12"/>
      <c r="U105" s="12"/>
      <c r="V105" s="12"/>
      <c r="W105"/>
      <c r="X105" s="12"/>
      <c r="Y105" s="12"/>
      <c r="Z105" s="12"/>
      <c r="AA105" s="12"/>
      <c r="AB105" s="12"/>
      <c r="AC105" s="12"/>
      <c r="AD105" s="12"/>
      <c r="AE105" s="12"/>
      <c r="AF105" s="12"/>
      <c r="AG105" s="12"/>
      <c r="AH105" s="12"/>
      <c r="AI105" s="14"/>
    </row>
    <row r="106" spans="3:35" ht="20.25">
      <c r="C106" s="11"/>
      <c r="D106" s="12"/>
      <c r="E106" s="8"/>
      <c r="F106" s="9"/>
      <c r="G106" s="610" t="s">
        <v>565</v>
      </c>
      <c r="H106" s="610"/>
      <c r="I106" s="9" t="s">
        <v>594</v>
      </c>
      <c r="J106" s="9"/>
      <c r="K106" s="9"/>
      <c r="L106" s="9"/>
      <c r="M106" s="9"/>
      <c r="N106" s="9"/>
      <c r="O106" s="9"/>
      <c r="P106" s="9"/>
      <c r="Q106" s="9"/>
      <c r="R106" s="9"/>
      <c r="S106" s="9"/>
      <c r="T106" s="9"/>
      <c r="U106" s="9"/>
      <c r="V106" s="9"/>
      <c r="W106" s="3"/>
      <c r="X106" s="9"/>
      <c r="Y106" s="9"/>
      <c r="Z106" s="9"/>
      <c r="AA106" s="9"/>
      <c r="AB106" s="9"/>
      <c r="AC106" s="9"/>
      <c r="AD106" s="9"/>
      <c r="AE106" s="9"/>
      <c r="AF106" s="9"/>
      <c r="AG106" s="9"/>
      <c r="AH106" s="10"/>
      <c r="AI106" s="14"/>
    </row>
    <row r="107" spans="3:35">
      <c r="C107" s="11"/>
      <c r="D107" s="12"/>
      <c r="E107" s="11"/>
      <c r="F107" s="12"/>
      <c r="G107" s="12"/>
      <c r="H107" s="12"/>
      <c r="I107" s="12"/>
      <c r="J107" s="12" t="s">
        <v>578</v>
      </c>
      <c r="K107" s="12"/>
      <c r="L107" s="12"/>
      <c r="M107" s="30">
        <v>2</v>
      </c>
      <c r="N107" s="859" t="s">
        <v>595</v>
      </c>
      <c r="O107" s="859"/>
      <c r="P107" s="12" t="s">
        <v>596</v>
      </c>
      <c r="Q107" s="513" t="s">
        <v>597</v>
      </c>
      <c r="R107" s="513"/>
      <c r="S107" s="12"/>
      <c r="T107" s="12"/>
      <c r="U107" s="12"/>
      <c r="V107" s="12"/>
      <c r="W107" s="12"/>
      <c r="X107" s="12"/>
      <c r="Y107" s="12"/>
      <c r="Z107" s="12"/>
      <c r="AA107" s="12"/>
      <c r="AB107" s="12"/>
      <c r="AC107" s="12"/>
      <c r="AD107" s="12"/>
      <c r="AE107" s="12"/>
      <c r="AF107" s="12"/>
      <c r="AG107" s="12"/>
      <c r="AH107" s="14"/>
      <c r="AI107" s="14"/>
    </row>
    <row r="108" spans="3:35">
      <c r="C108" s="11"/>
      <c r="D108" s="12"/>
      <c r="E108" s="11"/>
      <c r="F108" s="12"/>
      <c r="G108" s="12"/>
      <c r="H108" s="12"/>
      <c r="I108" s="12"/>
      <c r="J108" s="860" t="s">
        <v>595</v>
      </c>
      <c r="K108" s="860"/>
      <c r="L108" s="12" t="s">
        <v>598</v>
      </c>
      <c r="M108" s="12"/>
      <c r="N108" s="12"/>
      <c r="O108" s="12"/>
      <c r="P108" s="12"/>
      <c r="Q108" s="12"/>
      <c r="R108" s="12"/>
      <c r="S108" s="12"/>
      <c r="T108" s="12"/>
      <c r="U108" s="860" t="s">
        <v>595</v>
      </c>
      <c r="V108" s="860"/>
      <c r="W108" s="12" t="s">
        <v>8</v>
      </c>
      <c r="X108" s="576">
        <f>'1.設計条件'!Q96</f>
        <v>300</v>
      </c>
      <c r="Y108" s="576"/>
      <c r="Z108" s="12" t="s">
        <v>215</v>
      </c>
      <c r="AA108" s="576">
        <f>'1.設計条件'!Q98</f>
        <v>15</v>
      </c>
      <c r="AB108" s="576"/>
      <c r="AC108" s="12" t="s">
        <v>8</v>
      </c>
      <c r="AD108" s="415">
        <f>X108*AA108</f>
        <v>4500</v>
      </c>
      <c r="AE108" s="416"/>
      <c r="AF108" s="865"/>
      <c r="AG108" s="12"/>
      <c r="AH108" s="14"/>
      <c r="AI108" s="14"/>
    </row>
    <row r="109" spans="3:35">
      <c r="C109" s="11"/>
      <c r="D109" s="12"/>
      <c r="E109" s="11"/>
      <c r="F109" s="12"/>
      <c r="G109" s="12"/>
      <c r="H109" s="12"/>
      <c r="I109" s="12"/>
      <c r="J109" s="860" t="s">
        <v>597</v>
      </c>
      <c r="K109" s="860"/>
      <c r="L109" s="701" t="s">
        <v>599</v>
      </c>
      <c r="M109" s="701"/>
      <c r="N109" s="701"/>
      <c r="O109" s="701"/>
      <c r="P109" s="701"/>
      <c r="Q109" s="701"/>
      <c r="R109" s="860" t="s">
        <v>597</v>
      </c>
      <c r="S109" s="860"/>
      <c r="T109" s="12" t="s">
        <v>8</v>
      </c>
      <c r="U109" s="12" t="s">
        <v>216</v>
      </c>
      <c r="V109" s="576">
        <f>'1.設計条件'!Q95</f>
        <v>300</v>
      </c>
      <c r="W109" s="576"/>
      <c r="X109" s="12" t="s">
        <v>438</v>
      </c>
      <c r="Y109" s="30">
        <v>2</v>
      </c>
      <c r="Z109" s="12" t="s">
        <v>215</v>
      </c>
      <c r="AA109" s="30">
        <f>'1.設計条件'!Q98</f>
        <v>15</v>
      </c>
      <c r="AB109" s="12" t="s">
        <v>218</v>
      </c>
      <c r="AC109" s="12" t="s">
        <v>215</v>
      </c>
      <c r="AD109" s="30">
        <f>'1.設計条件'!Q97</f>
        <v>10</v>
      </c>
      <c r="AE109" s="30" t="s">
        <v>8</v>
      </c>
      <c r="AF109" s="415">
        <f>(V109-Y109*AA109)*AD109</f>
        <v>2700</v>
      </c>
      <c r="AG109" s="416"/>
      <c r="AH109" s="417"/>
      <c r="AI109" s="14"/>
    </row>
    <row r="110" spans="3:35">
      <c r="C110" s="11"/>
      <c r="D110" s="12"/>
      <c r="E110" s="11"/>
      <c r="F110" s="12"/>
      <c r="G110" s="12"/>
      <c r="H110" s="12"/>
      <c r="I110" s="12"/>
      <c r="J110" s="144"/>
      <c r="K110" s="144"/>
      <c r="L110" s="55"/>
      <c r="M110" s="55"/>
      <c r="N110" s="55"/>
      <c r="O110" s="55"/>
      <c r="P110" s="55"/>
      <c r="Q110" s="55"/>
      <c r="R110" s="144"/>
      <c r="S110" s="144"/>
      <c r="T110" s="12"/>
      <c r="U110" s="12"/>
      <c r="V110" s="26"/>
      <c r="W110" s="26"/>
      <c r="X110" s="12"/>
      <c r="Y110" s="30"/>
      <c r="Z110" s="12"/>
      <c r="AA110" s="30"/>
      <c r="AB110" s="12"/>
      <c r="AC110" s="12"/>
      <c r="AD110" s="30"/>
      <c r="AE110" s="30"/>
      <c r="AF110" s="26"/>
      <c r="AG110" s="26"/>
      <c r="AH110" s="165"/>
      <c r="AI110" s="14"/>
    </row>
    <row r="111" spans="3:35">
      <c r="C111" s="11"/>
      <c r="D111" s="12"/>
      <c r="E111" s="11"/>
      <c r="F111" s="12"/>
      <c r="G111" s="12"/>
      <c r="H111" s="12"/>
      <c r="I111" s="34"/>
      <c r="J111" s="539" t="s">
        <v>600</v>
      </c>
      <c r="K111" s="539"/>
      <c r="L111" s="12" t="s">
        <v>601</v>
      </c>
      <c r="M111" s="12"/>
      <c r="N111" s="12"/>
      <c r="O111" s="12"/>
      <c r="P111" s="12"/>
      <c r="Q111" s="26"/>
      <c r="R111" s="26"/>
      <c r="S111" s="12"/>
      <c r="T111" s="12"/>
      <c r="U111" s="12"/>
      <c r="V111" s="12"/>
      <c r="W111" s="12"/>
      <c r="X111" s="12"/>
      <c r="Y111" s="12"/>
      <c r="Z111" s="12"/>
      <c r="AA111" s="12"/>
      <c r="AB111" s="12"/>
      <c r="AC111" s="12"/>
      <c r="AD111" s="30"/>
      <c r="AE111" s="30"/>
      <c r="AF111" s="26"/>
      <c r="AG111" s="26"/>
      <c r="AH111" s="165"/>
      <c r="AI111" s="14"/>
    </row>
    <row r="112" spans="3:35">
      <c r="C112" s="11"/>
      <c r="D112" s="12"/>
      <c r="E112" s="11"/>
      <c r="F112" s="12"/>
      <c r="G112" s="12"/>
      <c r="H112" s="12"/>
      <c r="I112" s="34"/>
      <c r="J112" s="34"/>
      <c r="K112" s="539" t="s">
        <v>600</v>
      </c>
      <c r="L112" s="539"/>
      <c r="M112" s="12" t="s">
        <v>8</v>
      </c>
      <c r="N112" s="551">
        <f>T22</f>
        <v>8.6000000000000014</v>
      </c>
      <c r="O112" s="547"/>
      <c r="P112" s="36" t="s">
        <v>9</v>
      </c>
      <c r="Q112" s="12"/>
      <c r="R112" s="30" t="s">
        <v>602</v>
      </c>
      <c r="S112" s="12"/>
      <c r="T112" s="12"/>
      <c r="U112" s="12"/>
      <c r="V112" s="12"/>
      <c r="W112"/>
      <c r="X112" s="12"/>
      <c r="Y112" s="12"/>
      <c r="Z112" s="12"/>
      <c r="AA112" s="12"/>
      <c r="AB112" s="12"/>
      <c r="AC112" s="12"/>
      <c r="AD112" s="30"/>
      <c r="AE112" s="30"/>
      <c r="AF112" s="26"/>
      <c r="AG112" s="26"/>
      <c r="AH112" s="165"/>
      <c r="AI112" s="14"/>
    </row>
    <row r="113" spans="3:35">
      <c r="C113" s="11"/>
      <c r="D113" s="12"/>
      <c r="E113" s="11"/>
      <c r="F113" s="12"/>
      <c r="G113" s="12"/>
      <c r="H113" s="12"/>
      <c r="I113" s="34"/>
      <c r="J113" s="34"/>
      <c r="K113" s="13"/>
      <c r="L113" s="13"/>
      <c r="M113" s="12"/>
      <c r="N113" s="13"/>
      <c r="O113" s="13"/>
      <c r="P113" s="36"/>
      <c r="Q113" s="12"/>
      <c r="R113" s="30"/>
      <c r="S113" s="12"/>
      <c r="T113" s="12"/>
      <c r="U113" s="12"/>
      <c r="V113" s="12"/>
      <c r="W113"/>
      <c r="X113" s="12"/>
      <c r="Y113" s="12"/>
      <c r="Z113" s="12"/>
      <c r="AA113" s="12"/>
      <c r="AB113" s="12"/>
      <c r="AC113" s="12"/>
      <c r="AD113" s="30"/>
      <c r="AE113" s="30"/>
      <c r="AF113" s="26"/>
      <c r="AG113" s="26"/>
      <c r="AH113" s="165"/>
      <c r="AI113" s="14"/>
    </row>
    <row r="114" spans="3:35">
      <c r="C114" s="11"/>
      <c r="D114" s="12"/>
      <c r="E114" s="11"/>
      <c r="F114" s="12"/>
      <c r="G114" s="12"/>
      <c r="H114" s="12"/>
      <c r="I114" s="34"/>
      <c r="J114" s="12" t="s">
        <v>603</v>
      </c>
      <c r="K114" s="12"/>
      <c r="L114" s="12"/>
      <c r="M114" s="12"/>
      <c r="N114" s="12"/>
      <c r="O114" s="12"/>
      <c r="P114" s="33"/>
      <c r="Q114" s="12"/>
      <c r="R114" s="30"/>
      <c r="S114" s="12"/>
      <c r="T114" s="12"/>
      <c r="U114" s="12"/>
      <c r="V114" s="12"/>
      <c r="W114"/>
      <c r="X114" s="12"/>
      <c r="Y114" s="12"/>
      <c r="Z114" s="12"/>
      <c r="AA114" s="12"/>
      <c r="AB114" s="12"/>
      <c r="AC114" s="12"/>
      <c r="AD114" s="30"/>
      <c r="AE114" s="30"/>
      <c r="AF114" s="26"/>
      <c r="AG114" s="26"/>
      <c r="AH114" s="165"/>
      <c r="AI114" s="14"/>
    </row>
    <row r="115" spans="3:35" ht="20.25">
      <c r="C115" s="11"/>
      <c r="D115" s="12"/>
      <c r="E115" s="11"/>
      <c r="F115" s="12"/>
      <c r="G115" s="12"/>
      <c r="H115" s="12"/>
      <c r="I115" s="34"/>
      <c r="J115" s="529" t="s">
        <v>604</v>
      </c>
      <c r="K115" s="529"/>
      <c r="L115" s="541" t="s">
        <v>8</v>
      </c>
      <c r="M115" s="556">
        <f>N112</f>
        <v>8.6000000000000014</v>
      </c>
      <c r="N115" s="556"/>
      <c r="O115" s="16" t="s">
        <v>215</v>
      </c>
      <c r="P115" s="866">
        <v>1000</v>
      </c>
      <c r="Q115" s="866"/>
      <c r="R115" s="866"/>
      <c r="S115" s="12"/>
      <c r="T115" s="541" t="s">
        <v>8</v>
      </c>
      <c r="U115" s="594">
        <f>M115*P115/O116</f>
        <v>28.666666666666671</v>
      </c>
      <c r="V115" s="595"/>
      <c r="W115"/>
      <c r="X115" s="12"/>
      <c r="Y115" s="12"/>
      <c r="Z115" s="12"/>
      <c r="AA115" s="12"/>
      <c r="AB115" s="12"/>
      <c r="AC115" s="12"/>
      <c r="AD115" s="30"/>
      <c r="AE115" s="30"/>
      <c r="AF115" s="26"/>
      <c r="AG115" s="26"/>
      <c r="AH115" s="165"/>
      <c r="AI115" s="14"/>
    </row>
    <row r="116" spans="3:35">
      <c r="C116" s="11"/>
      <c r="D116" s="12"/>
      <c r="E116" s="11"/>
      <c r="F116" s="12"/>
      <c r="G116" s="12"/>
      <c r="H116" s="12"/>
      <c r="I116" s="34"/>
      <c r="J116" s="610" t="s">
        <v>184</v>
      </c>
      <c r="K116" s="610"/>
      <c r="L116" s="541"/>
      <c r="M116" s="12"/>
      <c r="N116" s="12"/>
      <c r="O116" s="858">
        <f>'1.設計条件'!Q96</f>
        <v>300</v>
      </c>
      <c r="P116" s="858"/>
      <c r="Q116" s="133"/>
      <c r="R116" s="133"/>
      <c r="S116" s="12"/>
      <c r="T116" s="541"/>
      <c r="U116" s="596"/>
      <c r="V116" s="597"/>
      <c r="W116"/>
      <c r="X116" s="12"/>
      <c r="Y116" s="12"/>
      <c r="Z116" s="12"/>
      <c r="AA116" s="12"/>
      <c r="AB116" s="12"/>
      <c r="AC116" s="12"/>
      <c r="AD116" s="30"/>
      <c r="AE116" s="30"/>
      <c r="AF116" s="26"/>
      <c r="AG116" s="26"/>
      <c r="AH116" s="165"/>
      <c r="AI116" s="14"/>
    </row>
    <row r="117" spans="3:35">
      <c r="C117" s="11"/>
      <c r="D117" s="12"/>
      <c r="E117" s="11"/>
      <c r="F117" s="12"/>
      <c r="G117" s="12"/>
      <c r="H117" s="12"/>
      <c r="I117" s="34"/>
      <c r="J117" s="34"/>
      <c r="K117" s="33"/>
      <c r="L117" s="27"/>
      <c r="M117" s="135"/>
      <c r="N117" s="135"/>
      <c r="O117" s="12"/>
      <c r="P117" s="145"/>
      <c r="Q117" s="145"/>
      <c r="R117" s="145"/>
      <c r="S117" s="12"/>
      <c r="T117" s="27"/>
      <c r="U117" s="27"/>
      <c r="V117" s="27"/>
      <c r="W117"/>
      <c r="X117" s="12"/>
      <c r="Y117" s="12"/>
      <c r="Z117" s="12"/>
      <c r="AA117" s="12"/>
      <c r="AB117" s="12"/>
      <c r="AC117" s="12"/>
      <c r="AD117" s="30"/>
      <c r="AE117" s="30"/>
      <c r="AF117" s="26"/>
      <c r="AG117" s="26"/>
      <c r="AH117" s="165"/>
      <c r="AI117" s="14"/>
    </row>
    <row r="118" spans="3:35">
      <c r="C118" s="11"/>
      <c r="D118" s="12"/>
      <c r="E118" s="11"/>
      <c r="F118" s="12"/>
      <c r="G118" s="12"/>
      <c r="H118" s="459" t="s">
        <v>605</v>
      </c>
      <c r="I118" s="459"/>
      <c r="J118" s="459"/>
      <c r="K118" s="459"/>
      <c r="L118" s="459"/>
      <c r="M118" s="459"/>
      <c r="N118" s="459"/>
      <c r="O118" s="459"/>
      <c r="P118" s="459"/>
      <c r="Q118" s="459"/>
      <c r="R118" s="436">
        <v>4.5</v>
      </c>
      <c r="S118" s="436"/>
      <c r="T118" s="12" t="s">
        <v>329</v>
      </c>
      <c r="U118" s="541" t="s">
        <v>606</v>
      </c>
      <c r="V118" s="541"/>
      <c r="W118" s="12" t="s">
        <v>563</v>
      </c>
      <c r="X118" s="576">
        <v>30</v>
      </c>
      <c r="Y118" s="576"/>
      <c r="Z118" s="32" t="s">
        <v>589</v>
      </c>
      <c r="AA118"/>
      <c r="AB118" s="12" t="s">
        <v>590</v>
      </c>
      <c r="AC118" s="12"/>
      <c r="AD118" s="12"/>
      <c r="AE118" s="12"/>
      <c r="AF118" s="26"/>
      <c r="AG118" s="26"/>
      <c r="AH118" s="165"/>
      <c r="AI118" s="14"/>
    </row>
    <row r="119" spans="3:35">
      <c r="C119" s="11"/>
      <c r="D119" s="12"/>
      <c r="E119" s="11"/>
      <c r="F119" s="12"/>
      <c r="G119" s="557" t="s">
        <v>565</v>
      </c>
      <c r="H119" s="557"/>
      <c r="I119" s="31" t="s">
        <v>8</v>
      </c>
      <c r="J119" s="136" t="s">
        <v>592</v>
      </c>
      <c r="K119" s="867">
        <v>140</v>
      </c>
      <c r="L119" s="867"/>
      <c r="M119" s="136" t="s">
        <v>438</v>
      </c>
      <c r="N119" s="459">
        <v>2.4</v>
      </c>
      <c r="O119" s="459"/>
      <c r="P119" s="136" t="s">
        <v>216</v>
      </c>
      <c r="Q119" s="539" t="s">
        <v>600</v>
      </c>
      <c r="R119" s="539"/>
      <c r="S119" s="135" t="s">
        <v>236</v>
      </c>
      <c r="T119" s="33" t="s">
        <v>184</v>
      </c>
      <c r="U119" s="12" t="s">
        <v>438</v>
      </c>
      <c r="V119" s="541">
        <v>4.5</v>
      </c>
      <c r="W119" s="541"/>
      <c r="X119" s="26" t="s">
        <v>593</v>
      </c>
      <c r="Y119" s="26" t="s">
        <v>215</v>
      </c>
      <c r="Z119" s="541">
        <v>1.5</v>
      </c>
      <c r="AA119" s="541"/>
      <c r="AB119" s="12"/>
      <c r="AC119" s="12"/>
      <c r="AD119" s="12"/>
      <c r="AE119" s="12"/>
      <c r="AF119" s="26"/>
      <c r="AG119" s="26"/>
      <c r="AH119" s="165"/>
      <c r="AI119" s="14"/>
    </row>
    <row r="120" spans="3:35">
      <c r="C120" s="11"/>
      <c r="D120" s="12"/>
      <c r="E120" s="11"/>
      <c r="F120" s="12"/>
      <c r="G120" s="152"/>
      <c r="H120" s="152"/>
      <c r="I120" s="31" t="s">
        <v>8</v>
      </c>
      <c r="J120" s="136" t="s">
        <v>592</v>
      </c>
      <c r="K120" s="867">
        <v>140</v>
      </c>
      <c r="L120" s="867"/>
      <c r="M120" s="136" t="s">
        <v>438</v>
      </c>
      <c r="N120" s="459">
        <v>2.4</v>
      </c>
      <c r="O120" s="459"/>
      <c r="P120" s="136" t="s">
        <v>216</v>
      </c>
      <c r="Q120" s="539">
        <f>U115</f>
        <v>28.666666666666671</v>
      </c>
      <c r="R120" s="539"/>
      <c r="S120" s="539"/>
      <c r="T120" s="539"/>
      <c r="U120" s="12" t="s">
        <v>438</v>
      </c>
      <c r="V120" s="541">
        <v>4.5</v>
      </c>
      <c r="W120" s="541"/>
      <c r="X120" s="26" t="s">
        <v>593</v>
      </c>
      <c r="Y120" s="26" t="s">
        <v>215</v>
      </c>
      <c r="Z120" s="541">
        <v>1.5</v>
      </c>
      <c r="AA120" s="541"/>
      <c r="AB120" s="12"/>
      <c r="AC120" s="12"/>
      <c r="AD120" s="12"/>
      <c r="AE120" s="12"/>
      <c r="AF120" s="26"/>
      <c r="AG120" s="26"/>
      <c r="AH120" s="165"/>
      <c r="AI120" s="14"/>
    </row>
    <row r="121" spans="3:35" ht="20.25">
      <c r="C121" s="11"/>
      <c r="D121" s="12"/>
      <c r="E121" s="11"/>
      <c r="F121" s="12"/>
      <c r="G121" s="12"/>
      <c r="H121" s="136"/>
      <c r="I121" s="31" t="s">
        <v>8</v>
      </c>
      <c r="J121" s="861">
        <f>(K120-N120*(Q120-V120))*Z120</f>
        <v>123</v>
      </c>
      <c r="K121" s="862"/>
      <c r="L121" s="863"/>
      <c r="M121" s="151" t="s">
        <v>82</v>
      </c>
      <c r="N121" s="136"/>
      <c r="O121" s="136"/>
      <c r="P121" s="136"/>
      <c r="Q121" s="136"/>
      <c r="R121" s="135"/>
      <c r="S121" s="135"/>
      <c r="T121" s="12"/>
      <c r="U121" s="27"/>
      <c r="V121" s="27"/>
      <c r="W121" s="12"/>
      <c r="X121" s="26"/>
      <c r="Y121" s="26"/>
      <c r="Z121" s="32"/>
      <c r="AA121"/>
      <c r="AB121" s="12"/>
      <c r="AC121" s="12"/>
      <c r="AD121" s="12"/>
      <c r="AE121" s="12"/>
      <c r="AF121" s="26"/>
      <c r="AG121" s="26"/>
      <c r="AH121" s="165"/>
      <c r="AI121" s="14"/>
    </row>
    <row r="122" spans="3:35">
      <c r="C122" s="11"/>
      <c r="D122" s="12"/>
      <c r="E122" s="15"/>
      <c r="F122" s="16"/>
      <c r="G122" s="16"/>
      <c r="H122" s="166"/>
      <c r="I122" s="167"/>
      <c r="J122" s="166"/>
      <c r="K122" s="166"/>
      <c r="L122" s="166"/>
      <c r="M122" s="164"/>
      <c r="N122" s="166"/>
      <c r="O122" s="166"/>
      <c r="P122" s="166"/>
      <c r="Q122" s="166"/>
      <c r="R122" s="150"/>
      <c r="S122" s="150"/>
      <c r="T122" s="16"/>
      <c r="U122" s="157"/>
      <c r="V122" s="157"/>
      <c r="W122" s="16"/>
      <c r="X122" s="140"/>
      <c r="Y122" s="140"/>
      <c r="Z122" s="168"/>
      <c r="AA122" s="24"/>
      <c r="AB122" s="16"/>
      <c r="AC122" s="16"/>
      <c r="AD122" s="16"/>
      <c r="AE122" s="16"/>
      <c r="AF122" s="140"/>
      <c r="AG122" s="140"/>
      <c r="AH122" s="169"/>
      <c r="AI122" s="14"/>
    </row>
    <row r="123" spans="3:35">
      <c r="C123" s="11"/>
      <c r="D123" s="12"/>
      <c r="E123" s="12"/>
      <c r="F123" s="12"/>
      <c r="G123" s="12"/>
      <c r="H123" s="136"/>
      <c r="I123" s="31"/>
      <c r="J123" s="136"/>
      <c r="K123" s="136"/>
      <c r="L123" s="136"/>
      <c r="M123" s="151"/>
      <c r="N123" s="136"/>
      <c r="O123" s="136"/>
      <c r="P123" s="136"/>
      <c r="Q123" s="136"/>
      <c r="R123" s="135"/>
      <c r="S123" s="135"/>
      <c r="T123" s="12"/>
      <c r="U123" s="27"/>
      <c r="V123" s="27"/>
      <c r="W123" s="12"/>
      <c r="X123" s="26"/>
      <c r="Y123" s="26"/>
      <c r="Z123" s="32"/>
      <c r="AA123"/>
      <c r="AB123" s="12"/>
      <c r="AC123" s="12"/>
      <c r="AD123" s="12"/>
      <c r="AE123" s="12"/>
      <c r="AF123" s="26"/>
      <c r="AG123" s="26"/>
      <c r="AH123" s="26"/>
      <c r="AI123" s="14"/>
    </row>
    <row r="124" spans="3:35">
      <c r="C124" s="11"/>
      <c r="D124" s="12"/>
      <c r="E124" s="12"/>
      <c r="F124" s="12"/>
      <c r="G124" s="12"/>
      <c r="H124" s="136"/>
      <c r="I124" s="136"/>
      <c r="J124" s="136"/>
      <c r="K124" s="136"/>
      <c r="L124" s="136"/>
      <c r="M124" s="136"/>
      <c r="N124" s="136"/>
      <c r="O124" s="136"/>
      <c r="P124" s="136"/>
      <c r="Q124" s="136"/>
      <c r="R124" s="135"/>
      <c r="S124" s="135"/>
      <c r="T124" s="12"/>
      <c r="U124" s="27"/>
      <c r="V124" s="27"/>
      <c r="W124" s="12"/>
      <c r="X124" s="26"/>
      <c r="Y124" s="26"/>
      <c r="Z124" s="32"/>
      <c r="AA124"/>
      <c r="AB124" s="12"/>
      <c r="AC124" s="12"/>
      <c r="AD124" s="12"/>
      <c r="AE124" s="12"/>
      <c r="AF124" s="26"/>
      <c r="AG124" s="26"/>
      <c r="AH124" s="26"/>
      <c r="AI124" s="14"/>
    </row>
    <row r="125" spans="3:35">
      <c r="C125" s="11"/>
      <c r="D125" s="12"/>
      <c r="E125" s="8"/>
      <c r="F125" s="9"/>
      <c r="G125" s="610" t="s">
        <v>568</v>
      </c>
      <c r="H125" s="610"/>
      <c r="I125" s="9" t="s">
        <v>607</v>
      </c>
      <c r="J125" s="9"/>
      <c r="K125" s="9"/>
      <c r="L125" s="9"/>
      <c r="M125" s="9"/>
      <c r="N125" s="9"/>
      <c r="O125" s="9"/>
      <c r="P125" s="9"/>
      <c r="Q125" s="9"/>
      <c r="R125" s="9"/>
      <c r="S125" s="9"/>
      <c r="T125" s="9"/>
      <c r="U125" s="9"/>
      <c r="V125" s="9"/>
      <c r="W125" s="3"/>
      <c r="X125" s="9"/>
      <c r="Y125" s="9"/>
      <c r="Z125" s="9"/>
      <c r="AA125" s="9"/>
      <c r="AB125" s="9"/>
      <c r="AC125" s="9"/>
      <c r="AD125" s="9"/>
      <c r="AE125" s="9"/>
      <c r="AF125" s="9"/>
      <c r="AG125" s="9"/>
      <c r="AH125" s="10"/>
      <c r="AI125" s="14"/>
    </row>
    <row r="126" spans="3:35" ht="20.25">
      <c r="C126" s="11"/>
      <c r="D126" s="12"/>
      <c r="E126" s="11"/>
      <c r="F126" s="12"/>
      <c r="G126" s="12"/>
      <c r="H126" s="12"/>
      <c r="I126" s="371" t="s">
        <v>568</v>
      </c>
      <c r="J126" s="371"/>
      <c r="K126" s="12" t="s">
        <v>8</v>
      </c>
      <c r="L126" s="407">
        <v>210</v>
      </c>
      <c r="M126" s="471"/>
      <c r="N126" s="12" t="s">
        <v>82</v>
      </c>
      <c r="O126" s="12"/>
      <c r="P126" s="12"/>
      <c r="Q126" s="12" t="s">
        <v>608</v>
      </c>
      <c r="R126" s="12"/>
      <c r="S126" s="12"/>
      <c r="T126" s="12"/>
      <c r="U126" s="12"/>
      <c r="V126" s="12"/>
      <c r="W126"/>
      <c r="X126" s="12"/>
      <c r="Y126" s="12"/>
      <c r="Z126" s="12"/>
      <c r="AA126" s="12"/>
      <c r="AB126" s="12"/>
      <c r="AC126" s="12"/>
      <c r="AD126" s="12"/>
      <c r="AE126" s="12"/>
      <c r="AF126" s="12"/>
      <c r="AG126" s="12"/>
      <c r="AH126" s="14"/>
      <c r="AI126" s="14"/>
    </row>
    <row r="127" spans="3:35">
      <c r="C127" s="11"/>
      <c r="D127" s="12"/>
      <c r="E127" s="15"/>
      <c r="F127" s="16"/>
      <c r="G127" s="16"/>
      <c r="H127" s="16"/>
      <c r="I127" s="139"/>
      <c r="J127" s="139"/>
      <c r="K127" s="16"/>
      <c r="L127" s="170"/>
      <c r="M127" s="170"/>
      <c r="N127" s="16"/>
      <c r="O127" s="16"/>
      <c r="P127" s="16"/>
      <c r="Q127" s="16"/>
      <c r="R127" s="16"/>
      <c r="S127" s="16"/>
      <c r="T127" s="16"/>
      <c r="U127" s="16"/>
      <c r="V127" s="16"/>
      <c r="W127" s="24"/>
      <c r="X127" s="16"/>
      <c r="Y127" s="16"/>
      <c r="Z127" s="16"/>
      <c r="AA127" s="16"/>
      <c r="AB127" s="16"/>
      <c r="AC127" s="16"/>
      <c r="AD127" s="16"/>
      <c r="AE127" s="16"/>
      <c r="AF127" s="16"/>
      <c r="AG127" s="16"/>
      <c r="AH127" s="18"/>
      <c r="AI127" s="14"/>
    </row>
    <row r="128" spans="3:35">
      <c r="C128" s="11"/>
      <c r="D128" s="12"/>
      <c r="E128" s="12"/>
      <c r="F128" s="12"/>
      <c r="G128" s="12"/>
      <c r="H128" s="12"/>
      <c r="I128" s="34"/>
      <c r="J128" s="34"/>
      <c r="K128" s="12"/>
      <c r="L128" s="134"/>
      <c r="M128" s="134"/>
      <c r="N128" s="12"/>
      <c r="O128" s="12"/>
      <c r="P128" s="12"/>
      <c r="Q128" s="12"/>
      <c r="R128" s="12"/>
      <c r="S128" s="12"/>
      <c r="T128" s="12"/>
      <c r="U128" s="12"/>
      <c r="V128" s="12"/>
      <c r="W128"/>
      <c r="X128" s="12"/>
      <c r="Y128" s="12"/>
      <c r="Z128" s="12"/>
      <c r="AA128" s="12"/>
      <c r="AB128" s="12"/>
      <c r="AC128" s="12"/>
      <c r="AD128" s="12"/>
      <c r="AE128" s="12"/>
      <c r="AF128" s="12"/>
      <c r="AG128" s="12"/>
      <c r="AH128" s="12"/>
      <c r="AI128" s="14"/>
    </row>
    <row r="129" spans="3:35">
      <c r="C129" s="11"/>
      <c r="D129" s="12"/>
      <c r="E129" s="12"/>
      <c r="F129" s="12"/>
      <c r="G129" s="12"/>
      <c r="H129" s="12"/>
      <c r="I129" s="12"/>
      <c r="J129" s="12"/>
      <c r="K129" s="12"/>
      <c r="L129" s="12"/>
      <c r="M129" s="12"/>
      <c r="N129" s="12"/>
      <c r="O129" s="12"/>
      <c r="P129" s="12"/>
      <c r="Q129" s="12"/>
      <c r="R129" s="12"/>
      <c r="S129" s="12"/>
      <c r="T129" s="12"/>
      <c r="U129" s="12"/>
      <c r="V129" s="12"/>
      <c r="W129"/>
      <c r="X129" s="12"/>
      <c r="Y129" s="12"/>
      <c r="Z129" s="12"/>
      <c r="AA129" s="12"/>
      <c r="AB129" s="12"/>
      <c r="AC129" s="12"/>
      <c r="AD129" s="12"/>
      <c r="AE129" s="12"/>
      <c r="AF129" s="12"/>
      <c r="AG129" s="12"/>
      <c r="AH129" s="12"/>
      <c r="AI129" s="14"/>
    </row>
    <row r="130" spans="3:35">
      <c r="C130" s="11"/>
      <c r="D130" s="12"/>
      <c r="E130" s="8"/>
      <c r="F130" s="9"/>
      <c r="G130" s="610" t="s">
        <v>609</v>
      </c>
      <c r="H130" s="610"/>
      <c r="I130" s="9" t="s">
        <v>610</v>
      </c>
      <c r="J130" s="9"/>
      <c r="K130" s="9"/>
      <c r="L130" s="9"/>
      <c r="M130" s="9"/>
      <c r="N130" s="9"/>
      <c r="O130" s="9"/>
      <c r="P130" s="9"/>
      <c r="Q130" s="9"/>
      <c r="R130" s="9"/>
      <c r="S130" s="9"/>
      <c r="T130" s="9"/>
      <c r="U130" s="9"/>
      <c r="V130" s="9"/>
      <c r="W130" s="3"/>
      <c r="X130" s="9"/>
      <c r="Y130" s="9"/>
      <c r="Z130" s="9"/>
      <c r="AA130" s="9"/>
      <c r="AB130" s="9"/>
      <c r="AC130" s="9"/>
      <c r="AD130" s="9"/>
      <c r="AE130" s="9"/>
      <c r="AF130" s="9"/>
      <c r="AG130" s="9"/>
      <c r="AH130" s="10"/>
      <c r="AI130" s="14"/>
    </row>
    <row r="131" spans="3:35" ht="20.25">
      <c r="C131" s="11"/>
      <c r="D131" s="12"/>
      <c r="E131" s="11"/>
      <c r="F131" s="12"/>
      <c r="G131" s="12"/>
      <c r="H131" s="12"/>
      <c r="I131" s="371" t="s">
        <v>609</v>
      </c>
      <c r="J131" s="371"/>
      <c r="K131" s="12" t="s">
        <v>8</v>
      </c>
      <c r="L131" s="407">
        <v>210</v>
      </c>
      <c r="M131" s="471"/>
      <c r="N131" s="12" t="s">
        <v>82</v>
      </c>
      <c r="O131" s="12"/>
      <c r="P131" s="12"/>
      <c r="Q131" s="12" t="s">
        <v>608</v>
      </c>
      <c r="R131" s="12"/>
      <c r="S131" s="12"/>
      <c r="T131" s="12"/>
      <c r="U131" s="12"/>
      <c r="V131" s="12"/>
      <c r="W131"/>
      <c r="X131" s="12"/>
      <c r="Y131" s="12"/>
      <c r="Z131" s="12"/>
      <c r="AA131" s="12"/>
      <c r="AB131" s="12"/>
      <c r="AC131" s="12"/>
      <c r="AD131" s="12"/>
      <c r="AE131" s="12"/>
      <c r="AF131" s="12"/>
      <c r="AG131" s="12"/>
      <c r="AH131" s="14"/>
      <c r="AI131" s="14"/>
    </row>
    <row r="132" spans="3:35">
      <c r="C132" s="11"/>
      <c r="D132" s="12"/>
      <c r="E132" s="11"/>
      <c r="F132" s="12"/>
      <c r="G132" s="12"/>
      <c r="H132" s="12"/>
      <c r="I132" s="34"/>
      <c r="J132" s="12" t="s">
        <v>578</v>
      </c>
      <c r="K132" s="12"/>
      <c r="L132" s="12"/>
      <c r="M132" s="33" t="s">
        <v>579</v>
      </c>
      <c r="N132" s="12" t="s">
        <v>563</v>
      </c>
      <c r="O132" s="539">
        <v>13.1</v>
      </c>
      <c r="P132" s="539"/>
      <c r="Q132" s="33" t="s">
        <v>580</v>
      </c>
      <c r="R132" s="12" t="s">
        <v>537</v>
      </c>
      <c r="S132" s="12"/>
      <c r="T132" s="12"/>
      <c r="U132" s="12"/>
      <c r="V132" s="12"/>
      <c r="W132"/>
      <c r="X132" s="12"/>
      <c r="Y132" s="12"/>
      <c r="Z132" s="12"/>
      <c r="AA132" s="12"/>
      <c r="AB132" s="12"/>
      <c r="AC132" s="12"/>
      <c r="AD132" s="12"/>
      <c r="AE132" s="12"/>
      <c r="AF132" s="12"/>
      <c r="AG132" s="12"/>
      <c r="AH132" s="14"/>
      <c r="AI132" s="14"/>
    </row>
    <row r="133" spans="3:35">
      <c r="C133" s="11"/>
      <c r="D133" s="12"/>
      <c r="E133" s="15"/>
      <c r="F133" s="16"/>
      <c r="G133" s="16"/>
      <c r="H133" s="16"/>
      <c r="I133" s="16"/>
      <c r="J133" s="16"/>
      <c r="K133" s="16"/>
      <c r="L133" s="16"/>
      <c r="M133" s="16"/>
      <c r="N133" s="16"/>
      <c r="O133" s="16"/>
      <c r="P133" s="16"/>
      <c r="Q133" s="16"/>
      <c r="R133" s="16"/>
      <c r="S133" s="16"/>
      <c r="T133" s="16"/>
      <c r="U133" s="16"/>
      <c r="V133" s="16"/>
      <c r="W133" s="24"/>
      <c r="X133" s="16"/>
      <c r="Y133" s="16"/>
      <c r="Z133" s="16"/>
      <c r="AA133" s="16"/>
      <c r="AB133" s="16"/>
      <c r="AC133" s="16"/>
      <c r="AD133" s="16"/>
      <c r="AE133" s="16"/>
      <c r="AF133" s="16"/>
      <c r="AG133" s="16"/>
      <c r="AH133" s="18"/>
      <c r="AI133" s="14"/>
    </row>
    <row r="134" spans="3:35">
      <c r="C134" s="11"/>
      <c r="D134" s="12"/>
      <c r="E134" s="12"/>
      <c r="F134" s="12"/>
      <c r="G134" s="12"/>
      <c r="H134" s="12"/>
      <c r="I134" s="12"/>
      <c r="J134" s="12"/>
      <c r="K134" s="12"/>
      <c r="L134" s="12"/>
      <c r="M134" s="33"/>
      <c r="N134" s="12"/>
      <c r="O134" s="13"/>
      <c r="P134" s="13"/>
      <c r="Q134" s="33"/>
      <c r="R134" s="12"/>
      <c r="S134" s="12"/>
      <c r="T134" s="12"/>
      <c r="U134" s="12"/>
      <c r="V134" s="12"/>
      <c r="W134"/>
      <c r="X134" s="12"/>
      <c r="Y134" s="12"/>
      <c r="Z134" s="12"/>
      <c r="AA134" s="12"/>
      <c r="AB134" s="12"/>
      <c r="AC134" s="12"/>
      <c r="AD134" s="12"/>
      <c r="AE134" s="12"/>
      <c r="AF134" s="12"/>
      <c r="AG134" s="12"/>
      <c r="AH134" s="12"/>
      <c r="AI134" s="14"/>
    </row>
    <row r="135" spans="3:35">
      <c r="C135" s="11"/>
      <c r="D135" s="12"/>
      <c r="E135" s="12"/>
      <c r="F135" s="12"/>
      <c r="G135" s="12"/>
      <c r="H135" s="12"/>
      <c r="I135" s="12"/>
      <c r="J135" s="12"/>
      <c r="K135" s="12"/>
      <c r="L135" s="12"/>
      <c r="M135" s="33"/>
      <c r="N135" s="12"/>
      <c r="O135" s="13"/>
      <c r="P135" s="13"/>
      <c r="Q135" s="33"/>
      <c r="R135" s="12"/>
      <c r="S135" s="12"/>
      <c r="T135" s="12"/>
      <c r="U135" s="12"/>
      <c r="V135" s="12"/>
      <c r="W135"/>
      <c r="X135" s="12"/>
      <c r="Y135" s="12"/>
      <c r="Z135" s="12"/>
      <c r="AA135" s="12"/>
      <c r="AB135" s="12"/>
      <c r="AC135" s="12"/>
      <c r="AD135" s="12"/>
      <c r="AE135" s="12"/>
      <c r="AF135" s="12"/>
      <c r="AG135" s="12"/>
      <c r="AH135" s="12"/>
      <c r="AI135" s="14"/>
    </row>
    <row r="136" spans="3:35" ht="20.25">
      <c r="C136" s="11"/>
      <c r="D136" s="12"/>
      <c r="E136" s="902" t="s">
        <v>567</v>
      </c>
      <c r="F136" s="903"/>
      <c r="G136" s="901" t="s">
        <v>611</v>
      </c>
      <c r="H136" s="901"/>
      <c r="I136" s="9" t="s">
        <v>612</v>
      </c>
      <c r="J136" s="9"/>
      <c r="K136" s="9"/>
      <c r="L136" s="9"/>
      <c r="M136" s="9"/>
      <c r="N136" s="9"/>
      <c r="O136" s="9"/>
      <c r="P136" s="9"/>
      <c r="Q136" s="9"/>
      <c r="R136" s="9"/>
      <c r="S136" s="9"/>
      <c r="T136" s="9"/>
      <c r="U136" s="9"/>
      <c r="V136" s="9"/>
      <c r="W136" s="3"/>
      <c r="X136" s="9"/>
      <c r="Y136" s="9"/>
      <c r="Z136" s="9"/>
      <c r="AA136" s="9"/>
      <c r="AB136" s="9"/>
      <c r="AC136" s="9"/>
      <c r="AD136" s="9"/>
      <c r="AE136" s="9"/>
      <c r="AF136" s="9"/>
      <c r="AG136" s="9"/>
      <c r="AH136" s="10"/>
      <c r="AI136" s="14"/>
    </row>
    <row r="137" spans="3:35">
      <c r="C137" s="11"/>
      <c r="D137" s="12"/>
      <c r="E137" s="11"/>
      <c r="F137" s="12"/>
      <c r="G137" s="12"/>
      <c r="H137" s="12"/>
      <c r="I137" s="557" t="s">
        <v>567</v>
      </c>
      <c r="J137" s="557"/>
      <c r="K137" s="541" t="s">
        <v>8</v>
      </c>
      <c r="L137" s="857">
        <v>1200000</v>
      </c>
      <c r="M137" s="857"/>
      <c r="N137" s="857"/>
      <c r="O137" s="857"/>
      <c r="P137" s="857"/>
      <c r="Q137" s="12"/>
      <c r="R137" s="541" t="s">
        <v>8</v>
      </c>
      <c r="S137" s="857">
        <v>1200000</v>
      </c>
      <c r="T137" s="857"/>
      <c r="U137" s="857"/>
      <c r="V137" s="857"/>
      <c r="W137" s="857"/>
      <c r="X137" s="16"/>
      <c r="Y137" s="16"/>
      <c r="Z137" s="16"/>
      <c r="AA137" s="16"/>
      <c r="AB137" s="12"/>
      <c r="AC137" s="541" t="s">
        <v>8</v>
      </c>
      <c r="AD137" s="656">
        <f>S137</f>
        <v>1200000</v>
      </c>
      <c r="AE137" s="656"/>
      <c r="AF137" s="656"/>
      <c r="AG137" s="656"/>
      <c r="AH137" s="14"/>
      <c r="AI137" s="14"/>
    </row>
    <row r="138" spans="3:35" ht="21">
      <c r="C138" s="11"/>
      <c r="D138" s="12"/>
      <c r="E138" s="11"/>
      <c r="F138" s="12"/>
      <c r="G138" s="12"/>
      <c r="H138" s="12"/>
      <c r="I138" s="557"/>
      <c r="J138" s="557"/>
      <c r="K138" s="541"/>
      <c r="L138" s="923" t="s">
        <v>652</v>
      </c>
      <c r="M138" s="923"/>
      <c r="N138" s="12" t="s">
        <v>236</v>
      </c>
      <c r="O138" s="33" t="s">
        <v>121</v>
      </c>
      <c r="P138" s="12" t="s">
        <v>614</v>
      </c>
      <c r="Q138" s="12"/>
      <c r="R138" s="541"/>
      <c r="S138" s="12" t="s">
        <v>216</v>
      </c>
      <c r="T138" s="576">
        <f>U148</f>
        <v>8600.0000000000018</v>
      </c>
      <c r="U138" s="576"/>
      <c r="V138" s="576"/>
      <c r="W138" s="12" t="s">
        <v>236</v>
      </c>
      <c r="X138" s="539">
        <f>U152</f>
        <v>129</v>
      </c>
      <c r="Y138" s="539"/>
      <c r="Z138" s="12"/>
      <c r="AA138" s="12" t="s">
        <v>614</v>
      </c>
      <c r="AB138" s="12"/>
      <c r="AC138" s="541"/>
      <c r="AD138" s="539">
        <f>(T138/X138)^2</f>
        <v>4444.4444444444471</v>
      </c>
      <c r="AE138" s="539"/>
      <c r="AF138" s="539"/>
      <c r="AG138" s="539"/>
      <c r="AH138" s="14"/>
      <c r="AI138" s="14"/>
    </row>
    <row r="139" spans="3:35">
      <c r="C139" s="11"/>
      <c r="D139" s="12"/>
      <c r="E139" s="11"/>
      <c r="F139" s="12"/>
      <c r="G139" s="12"/>
      <c r="H139" s="12"/>
      <c r="I139" s="35"/>
      <c r="J139" s="35"/>
      <c r="K139" s="27"/>
      <c r="L139" s="12"/>
      <c r="M139" s="12"/>
      <c r="N139" s="12"/>
      <c r="O139" s="33"/>
      <c r="P139" s="12"/>
      <c r="Q139" s="12"/>
      <c r="R139" s="27"/>
      <c r="S139" s="12"/>
      <c r="T139" s="26"/>
      <c r="U139" s="26"/>
      <c r="V139" s="26"/>
      <c r="W139" s="12"/>
      <c r="X139" s="13"/>
      <c r="Y139" s="13"/>
      <c r="Z139" s="12"/>
      <c r="AA139" s="12"/>
      <c r="AB139" s="12"/>
      <c r="AC139" s="27"/>
      <c r="AD139" s="13"/>
      <c r="AE139" s="13"/>
      <c r="AF139" s="13"/>
      <c r="AG139" s="13"/>
      <c r="AH139" s="14"/>
      <c r="AI139" s="14"/>
    </row>
    <row r="140" spans="3:35">
      <c r="C140" s="11"/>
      <c r="D140" s="12"/>
      <c r="E140" s="11"/>
      <c r="F140" s="12"/>
      <c r="G140" s="12"/>
      <c r="H140" s="12"/>
      <c r="I140" s="35"/>
      <c r="J140" s="35"/>
      <c r="K140" s="27" t="s">
        <v>8</v>
      </c>
      <c r="L140" s="525">
        <f>AD137/AD138</f>
        <v>269.99999999999983</v>
      </c>
      <c r="M140" s="526"/>
      <c r="N140" s="527"/>
      <c r="O140" s="33"/>
      <c r="P140" s="12"/>
      <c r="Q140" s="12"/>
      <c r="R140" s="12"/>
      <c r="S140" s="27"/>
      <c r="T140" s="12"/>
      <c r="U140" s="26"/>
      <c r="V140" s="26"/>
      <c r="W140" s="26"/>
      <c r="X140" s="12"/>
      <c r="Y140" s="13"/>
      <c r="Z140" s="13"/>
      <c r="AA140" s="12"/>
      <c r="AB140" s="30"/>
      <c r="AC140" s="12"/>
      <c r="AD140" s="12"/>
      <c r="AE140" s="12"/>
      <c r="AF140" s="12"/>
      <c r="AG140" s="12"/>
      <c r="AH140" s="14"/>
      <c r="AI140" s="14"/>
    </row>
    <row r="141" spans="3:35">
      <c r="C141" s="11"/>
      <c r="D141" s="12"/>
      <c r="E141" s="11"/>
      <c r="F141" s="12"/>
      <c r="G141" s="12"/>
      <c r="H141" s="12"/>
      <c r="I141" s="12"/>
      <c r="J141" s="12"/>
      <c r="K141" s="12"/>
      <c r="L141" s="12"/>
      <c r="M141" s="12"/>
      <c r="N141" s="12"/>
      <c r="O141" s="12"/>
      <c r="P141" s="12"/>
      <c r="Q141" s="12"/>
      <c r="R141" s="12"/>
      <c r="S141" s="12"/>
      <c r="T141" s="12"/>
      <c r="U141" s="12"/>
      <c r="V141" s="12"/>
      <c r="W141"/>
      <c r="X141" s="12"/>
      <c r="Y141" s="12"/>
      <c r="Z141" s="12"/>
      <c r="AA141" s="12"/>
      <c r="AB141" s="12"/>
      <c r="AC141" s="12"/>
      <c r="AD141" s="12"/>
      <c r="AE141" s="12"/>
      <c r="AF141" s="12"/>
      <c r="AG141" s="12"/>
      <c r="AH141" s="14"/>
      <c r="AI141" s="14"/>
    </row>
    <row r="142" spans="3:35">
      <c r="C142" s="11"/>
      <c r="D142" s="12"/>
      <c r="E142" s="11"/>
      <c r="F142" s="12"/>
      <c r="G142" s="12"/>
      <c r="H142" s="12"/>
      <c r="I142" s="557" t="s">
        <v>569</v>
      </c>
      <c r="J142" s="557"/>
      <c r="K142" s="541" t="s">
        <v>8</v>
      </c>
      <c r="L142" s="857">
        <v>1200000</v>
      </c>
      <c r="M142" s="857"/>
      <c r="N142" s="857"/>
      <c r="O142" s="857"/>
      <c r="P142" s="857"/>
      <c r="Q142" s="12"/>
      <c r="R142" s="541" t="s">
        <v>8</v>
      </c>
      <c r="S142" s="857">
        <v>1200000</v>
      </c>
      <c r="T142" s="857"/>
      <c r="U142" s="857"/>
      <c r="V142" s="857"/>
      <c r="W142" s="857"/>
      <c r="X142" s="16"/>
      <c r="Y142" s="16"/>
      <c r="Z142" s="16"/>
      <c r="AA142" s="16"/>
      <c r="AB142" s="12"/>
      <c r="AC142" s="541" t="s">
        <v>8</v>
      </c>
      <c r="AD142" s="656">
        <f>S142</f>
        <v>1200000</v>
      </c>
      <c r="AE142" s="656"/>
      <c r="AF142" s="656"/>
      <c r="AG142" s="656"/>
      <c r="AH142" s="14"/>
      <c r="AI142" s="14"/>
    </row>
    <row r="143" spans="3:35" ht="21">
      <c r="C143" s="11"/>
      <c r="D143" s="12"/>
      <c r="E143" s="11"/>
      <c r="F143" s="12"/>
      <c r="G143" s="12"/>
      <c r="H143" s="12"/>
      <c r="I143" s="557"/>
      <c r="J143" s="557"/>
      <c r="K143" s="541"/>
      <c r="L143" s="923" t="s">
        <v>653</v>
      </c>
      <c r="M143" s="923"/>
      <c r="N143" s="12" t="s">
        <v>236</v>
      </c>
      <c r="O143" s="33" t="s">
        <v>122</v>
      </c>
      <c r="P143" s="12" t="s">
        <v>614</v>
      </c>
      <c r="Q143" s="12"/>
      <c r="R143" s="541"/>
      <c r="S143" s="12" t="s">
        <v>216</v>
      </c>
      <c r="T143" s="576">
        <f>U149</f>
        <v>4200.0000000000009</v>
      </c>
      <c r="U143" s="576"/>
      <c r="V143" s="576"/>
      <c r="W143" s="12" t="s">
        <v>236</v>
      </c>
      <c r="X143" s="539">
        <f>U153</f>
        <v>75.099999999999994</v>
      </c>
      <c r="Y143" s="539"/>
      <c r="Z143" s="12"/>
      <c r="AA143" s="12" t="s">
        <v>614</v>
      </c>
      <c r="AB143" s="12"/>
      <c r="AC143" s="541"/>
      <c r="AD143" s="539">
        <f>(T143/X143)^2</f>
        <v>3127.6540289822201</v>
      </c>
      <c r="AE143" s="539"/>
      <c r="AF143" s="539"/>
      <c r="AG143" s="539"/>
      <c r="AH143" s="14"/>
      <c r="AI143" s="14"/>
    </row>
    <row r="144" spans="3:35">
      <c r="C144" s="11"/>
      <c r="D144" s="12"/>
      <c r="E144" s="11"/>
      <c r="F144" s="12"/>
      <c r="G144" s="12"/>
      <c r="H144" s="12"/>
      <c r="I144" s="35"/>
      <c r="J144" s="35"/>
      <c r="K144" s="27"/>
      <c r="L144" s="12"/>
      <c r="M144" s="12"/>
      <c r="N144" s="12"/>
      <c r="O144" s="33"/>
      <c r="P144" s="12"/>
      <c r="Q144" s="12"/>
      <c r="R144" s="27"/>
      <c r="S144" s="12"/>
      <c r="T144" s="26"/>
      <c r="U144" s="26"/>
      <c r="V144" s="26"/>
      <c r="W144" s="12"/>
      <c r="X144" s="13"/>
      <c r="Y144" s="13"/>
      <c r="Z144" s="12"/>
      <c r="AA144" s="12"/>
      <c r="AB144" s="12"/>
      <c r="AC144" s="27"/>
      <c r="AD144" s="13"/>
      <c r="AE144" s="13"/>
      <c r="AF144" s="13"/>
      <c r="AG144" s="13"/>
      <c r="AH144" s="14"/>
      <c r="AI144" s="14"/>
    </row>
    <row r="145" spans="3:35">
      <c r="C145" s="11"/>
      <c r="D145" s="12"/>
      <c r="E145" s="11"/>
      <c r="F145" s="12"/>
      <c r="G145" s="12"/>
      <c r="H145" s="12"/>
      <c r="I145" s="35"/>
      <c r="J145" s="35"/>
      <c r="K145" s="27" t="s">
        <v>8</v>
      </c>
      <c r="L145" s="525">
        <f>AD142/AD143</f>
        <v>383.6741496598637</v>
      </c>
      <c r="M145" s="526"/>
      <c r="N145" s="527"/>
      <c r="O145" s="33"/>
      <c r="P145" s="12"/>
      <c r="Q145" s="12"/>
      <c r="R145" s="12"/>
      <c r="S145" s="27"/>
      <c r="T145" s="12"/>
      <c r="U145" s="26"/>
      <c r="V145" s="26"/>
      <c r="W145" s="26"/>
      <c r="X145" s="12"/>
      <c r="Y145" s="13"/>
      <c r="Z145" s="13"/>
      <c r="AA145" s="12"/>
      <c r="AB145" s="30"/>
      <c r="AC145" s="12"/>
      <c r="AD145" s="12"/>
      <c r="AE145" s="12"/>
      <c r="AF145" s="12"/>
      <c r="AG145" s="12"/>
      <c r="AH145" s="14"/>
      <c r="AI145" s="14"/>
    </row>
    <row r="146" spans="3:35">
      <c r="C146" s="11"/>
      <c r="D146" s="12"/>
      <c r="E146" s="11"/>
      <c r="F146" s="12"/>
      <c r="G146" s="12"/>
      <c r="H146" s="12"/>
      <c r="I146" s="12"/>
      <c r="J146" s="12"/>
      <c r="K146" s="12"/>
      <c r="L146" s="12"/>
      <c r="M146" s="12"/>
      <c r="N146" s="12"/>
      <c r="O146" s="12"/>
      <c r="P146" s="12"/>
      <c r="Q146" s="12"/>
      <c r="R146" s="12"/>
      <c r="S146" s="12"/>
      <c r="T146" s="12"/>
      <c r="U146" s="12"/>
      <c r="V146" s="12"/>
      <c r="W146"/>
      <c r="X146" s="12"/>
      <c r="Y146" s="12"/>
      <c r="Z146" s="12"/>
      <c r="AA146" s="12"/>
      <c r="AB146" s="12"/>
      <c r="AC146" s="12"/>
      <c r="AD146" s="12"/>
      <c r="AE146" s="12"/>
      <c r="AF146" s="12"/>
      <c r="AG146" s="12"/>
      <c r="AH146" s="14"/>
      <c r="AI146" s="14"/>
    </row>
    <row r="147" spans="3:35">
      <c r="C147" s="11"/>
      <c r="D147" s="12"/>
      <c r="E147" s="11"/>
      <c r="F147" s="12"/>
      <c r="G147" s="12"/>
      <c r="H147" s="12"/>
      <c r="I147" s="12"/>
      <c r="J147" s="12"/>
      <c r="K147" s="12" t="s">
        <v>613</v>
      </c>
      <c r="L147" s="12" t="s">
        <v>615</v>
      </c>
      <c r="M147" s="12"/>
      <c r="N147" s="12"/>
      <c r="O147" s="12"/>
      <c r="P147" s="12"/>
      <c r="Q147" s="12"/>
      <c r="R147" s="12"/>
      <c r="S147" s="12"/>
      <c r="T147" s="12"/>
      <c r="U147" s="12"/>
      <c r="V147" s="12"/>
      <c r="W147"/>
      <c r="X147" s="12"/>
      <c r="Y147" s="12"/>
      <c r="Z147" s="12"/>
      <c r="AA147" s="12"/>
      <c r="AB147" s="12"/>
      <c r="AC147" s="12"/>
      <c r="AD147" s="12"/>
      <c r="AE147" s="12"/>
      <c r="AF147" s="12"/>
      <c r="AG147" s="12"/>
      <c r="AH147" s="14"/>
      <c r="AI147" s="14"/>
    </row>
    <row r="148" spans="3:35" ht="20.25">
      <c r="C148" s="11"/>
      <c r="D148" s="12"/>
      <c r="E148" s="11"/>
      <c r="F148" s="12"/>
      <c r="G148" s="12"/>
      <c r="H148" s="12"/>
      <c r="I148" s="12"/>
      <c r="J148" s="12"/>
      <c r="K148" s="923" t="s">
        <v>654</v>
      </c>
      <c r="L148" s="923"/>
      <c r="M148" s="12" t="s">
        <v>8</v>
      </c>
      <c r="N148" s="555">
        <f>T22</f>
        <v>8.6000000000000014</v>
      </c>
      <c r="O148" s="555"/>
      <c r="P148" s="12" t="s">
        <v>215</v>
      </c>
      <c r="Q148" s="856">
        <v>1000</v>
      </c>
      <c r="R148" s="856"/>
      <c r="S148" s="12"/>
      <c r="T148" s="12" t="s">
        <v>8</v>
      </c>
      <c r="U148" s="415">
        <f>N148*Q148</f>
        <v>8600.0000000000018</v>
      </c>
      <c r="V148" s="416"/>
      <c r="W148" s="417"/>
      <c r="X148" s="12"/>
      <c r="Y148" s="12"/>
      <c r="Z148" s="12"/>
      <c r="AA148" s="12"/>
      <c r="AB148" s="12"/>
      <c r="AC148" s="12"/>
      <c r="AD148" s="12"/>
      <c r="AE148" s="12"/>
      <c r="AF148" s="12"/>
      <c r="AG148" s="12"/>
      <c r="AH148" s="14"/>
      <c r="AI148" s="14"/>
    </row>
    <row r="149" spans="3:35" ht="20.25">
      <c r="C149" s="11"/>
      <c r="D149" s="12"/>
      <c r="E149" s="11"/>
      <c r="F149" s="12"/>
      <c r="G149" s="12"/>
      <c r="H149" s="12"/>
      <c r="I149" s="12"/>
      <c r="J149" s="12"/>
      <c r="K149" s="923" t="s">
        <v>655</v>
      </c>
      <c r="L149" s="923"/>
      <c r="M149" s="12" t="s">
        <v>8</v>
      </c>
      <c r="N149" s="555">
        <f>T25</f>
        <v>4.2000000000000011</v>
      </c>
      <c r="O149" s="555"/>
      <c r="P149" s="12" t="s">
        <v>215</v>
      </c>
      <c r="Q149" s="856">
        <v>1000</v>
      </c>
      <c r="R149" s="856"/>
      <c r="S149" s="12"/>
      <c r="T149" s="12" t="s">
        <v>8</v>
      </c>
      <c r="U149" s="415">
        <f>N149*Q149</f>
        <v>4200.0000000000009</v>
      </c>
      <c r="V149" s="416"/>
      <c r="W149" s="417"/>
      <c r="X149" s="12"/>
      <c r="Y149" s="12"/>
      <c r="Z149" s="12"/>
      <c r="AA149" s="12"/>
      <c r="AB149" s="12"/>
      <c r="AC149" s="12"/>
      <c r="AD149" s="12"/>
      <c r="AE149" s="12"/>
      <c r="AF149" s="12"/>
      <c r="AG149" s="12"/>
      <c r="AH149" s="14"/>
      <c r="AI149" s="14"/>
    </row>
    <row r="150" spans="3:35">
      <c r="C150" s="11"/>
      <c r="D150" s="12"/>
      <c r="E150" s="11"/>
      <c r="F150" s="12"/>
      <c r="G150" s="12"/>
      <c r="H150" s="12"/>
      <c r="I150" s="12"/>
      <c r="J150" s="12"/>
      <c r="K150" s="12"/>
      <c r="L150" s="12"/>
      <c r="M150" s="12"/>
      <c r="N150" s="13"/>
      <c r="O150" s="13"/>
      <c r="P150" s="12"/>
      <c r="Q150" s="146"/>
      <c r="R150" s="146"/>
      <c r="S150" s="12"/>
      <c r="T150" s="12"/>
      <c r="U150" s="26"/>
      <c r="V150" s="26"/>
      <c r="W150" s="26"/>
      <c r="X150" s="12"/>
      <c r="Y150" s="12"/>
      <c r="Z150" s="12"/>
      <c r="AA150" s="12"/>
      <c r="AB150" s="12"/>
      <c r="AC150" s="12"/>
      <c r="AD150" s="12"/>
      <c r="AE150" s="12"/>
      <c r="AF150" s="12"/>
      <c r="AG150" s="12"/>
      <c r="AH150" s="14"/>
      <c r="AI150" s="14"/>
    </row>
    <row r="151" spans="3:35">
      <c r="C151" s="11"/>
      <c r="D151" s="12"/>
      <c r="E151" s="11"/>
      <c r="F151" s="12"/>
      <c r="G151" s="12"/>
      <c r="H151" s="12"/>
      <c r="I151" s="12"/>
      <c r="J151" s="33" t="s">
        <v>121</v>
      </c>
      <c r="K151" s="33" t="s">
        <v>122</v>
      </c>
      <c r="L151" s="12" t="s">
        <v>616</v>
      </c>
      <c r="M151" s="12"/>
      <c r="N151" s="12"/>
      <c r="O151" s="12"/>
      <c r="P151" s="12"/>
      <c r="Q151" s="12"/>
      <c r="R151" s="12"/>
      <c r="S151" s="12"/>
      <c r="T151" s="12"/>
      <c r="U151" s="12"/>
      <c r="V151" s="12"/>
      <c r="W151"/>
      <c r="X151" s="12"/>
      <c r="Y151" s="12"/>
      <c r="Z151" s="12"/>
      <c r="AA151" s="12"/>
      <c r="AB151" s="12"/>
      <c r="AC151" s="12"/>
      <c r="AD151" s="12"/>
      <c r="AE151" s="12"/>
      <c r="AF151" s="12"/>
      <c r="AG151" s="12"/>
      <c r="AH151" s="14"/>
      <c r="AI151" s="14"/>
    </row>
    <row r="152" spans="3:35">
      <c r="C152" s="11"/>
      <c r="D152" s="12"/>
      <c r="E152" s="11"/>
      <c r="F152" s="12"/>
      <c r="G152" s="12"/>
      <c r="H152" s="12"/>
      <c r="I152" s="12"/>
      <c r="J152" s="12"/>
      <c r="K152" s="12"/>
      <c r="L152" s="33" t="s">
        <v>121</v>
      </c>
      <c r="M152" s="12" t="s">
        <v>8</v>
      </c>
      <c r="N152" s="555">
        <f>'1.設計条件'!Q100</f>
        <v>12.9</v>
      </c>
      <c r="O152" s="555"/>
      <c r="P152" s="12" t="s">
        <v>215</v>
      </c>
      <c r="Q152" s="856">
        <v>10</v>
      </c>
      <c r="R152" s="856"/>
      <c r="S152" s="12"/>
      <c r="T152" s="12" t="s">
        <v>8</v>
      </c>
      <c r="U152" s="525">
        <f>N152*Q152</f>
        <v>129</v>
      </c>
      <c r="V152" s="526"/>
      <c r="W152" s="527"/>
      <c r="X152" s="12"/>
      <c r="Y152" s="12"/>
      <c r="Z152" s="12"/>
      <c r="AA152" s="12"/>
      <c r="AB152" s="12"/>
      <c r="AC152" s="12"/>
      <c r="AD152" s="12"/>
      <c r="AE152" s="12"/>
      <c r="AF152" s="12"/>
      <c r="AG152" s="12"/>
      <c r="AH152" s="14"/>
      <c r="AI152" s="14"/>
    </row>
    <row r="153" spans="3:35">
      <c r="C153" s="11"/>
      <c r="D153" s="12"/>
      <c r="E153" s="11"/>
      <c r="F153" s="12"/>
      <c r="G153" s="12"/>
      <c r="H153" s="12"/>
      <c r="I153" s="12"/>
      <c r="J153" s="12"/>
      <c r="K153" s="12"/>
      <c r="L153" s="33" t="s">
        <v>122</v>
      </c>
      <c r="M153" s="12" t="s">
        <v>8</v>
      </c>
      <c r="N153" s="555">
        <f>'1.設計条件'!Q101</f>
        <v>7.51</v>
      </c>
      <c r="O153" s="555"/>
      <c r="P153" s="12" t="s">
        <v>215</v>
      </c>
      <c r="Q153" s="856">
        <v>10</v>
      </c>
      <c r="R153" s="856"/>
      <c r="S153" s="12"/>
      <c r="T153" s="12" t="s">
        <v>8</v>
      </c>
      <c r="U153" s="525">
        <f>N153*Q153</f>
        <v>75.099999999999994</v>
      </c>
      <c r="V153" s="526"/>
      <c r="W153" s="527"/>
      <c r="X153" s="12"/>
      <c r="Y153" s="12"/>
      <c r="Z153" s="12"/>
      <c r="AA153" s="12"/>
      <c r="AB153" s="12"/>
      <c r="AC153" s="12"/>
      <c r="AD153" s="12"/>
      <c r="AE153" s="12"/>
      <c r="AF153" s="12"/>
      <c r="AG153" s="12"/>
      <c r="AH153" s="14"/>
      <c r="AI153" s="14"/>
    </row>
    <row r="154" spans="3:35">
      <c r="C154" s="11"/>
      <c r="D154" s="12"/>
      <c r="E154" s="15"/>
      <c r="F154" s="16"/>
      <c r="G154" s="16"/>
      <c r="H154" s="16"/>
      <c r="I154" s="16"/>
      <c r="J154" s="16"/>
      <c r="K154" s="16"/>
      <c r="L154" s="119"/>
      <c r="M154" s="16"/>
      <c r="N154" s="138"/>
      <c r="O154" s="138"/>
      <c r="P154" s="16"/>
      <c r="Q154" s="147"/>
      <c r="R154" s="147"/>
      <c r="S154" s="16"/>
      <c r="T154" s="16"/>
      <c r="U154" s="17"/>
      <c r="V154" s="17"/>
      <c r="W154" s="17"/>
      <c r="X154" s="16"/>
      <c r="Y154" s="16"/>
      <c r="Z154" s="16"/>
      <c r="AA154" s="16"/>
      <c r="AB154" s="16"/>
      <c r="AC154" s="16"/>
      <c r="AD154" s="16"/>
      <c r="AE154" s="16"/>
      <c r="AF154" s="16"/>
      <c r="AG154" s="16"/>
      <c r="AH154" s="18"/>
      <c r="AI154" s="14"/>
    </row>
    <row r="155" spans="3:35">
      <c r="C155" s="11"/>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4"/>
    </row>
    <row r="156" spans="3:35">
      <c r="C156" s="11" t="s">
        <v>262</v>
      </c>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4"/>
    </row>
    <row r="157" spans="3:35">
      <c r="C157" s="11"/>
      <c r="D157" s="12" t="s">
        <v>559</v>
      </c>
      <c r="F157" s="12"/>
      <c r="G157" s="12"/>
      <c r="H157" s="12"/>
      <c r="I157" s="12"/>
      <c r="J157" s="12"/>
      <c r="K157" s="12"/>
      <c r="L157" s="12"/>
      <c r="M157" s="12"/>
      <c r="N157" s="12"/>
      <c r="O157" s="12"/>
      <c r="P157" s="12"/>
      <c r="Q157" s="12"/>
      <c r="R157" s="12"/>
      <c r="S157" s="12"/>
      <c r="T157" s="12"/>
      <c r="U157" s="12"/>
      <c r="V157" s="12"/>
      <c r="W157"/>
      <c r="X157" s="12"/>
      <c r="Y157" s="12"/>
      <c r="Z157" s="12"/>
      <c r="AA157" s="12"/>
      <c r="AB157" s="12"/>
      <c r="AC157" s="12"/>
      <c r="AD157" s="12"/>
      <c r="AE157" s="12"/>
      <c r="AF157" s="12"/>
      <c r="AG157" s="12"/>
      <c r="AH157" s="12"/>
      <c r="AI157" s="14"/>
    </row>
    <row r="158" spans="3:35">
      <c r="C158" s="11"/>
      <c r="D158" s="12"/>
      <c r="E158" s="12"/>
      <c r="F158" s="777" t="s">
        <v>560</v>
      </c>
      <c r="G158" s="777"/>
      <c r="H158" s="541" t="s">
        <v>213</v>
      </c>
      <c r="I158" s="16"/>
      <c r="J158" s="16"/>
      <c r="K158" s="16"/>
      <c r="L158" s="16"/>
      <c r="M158" s="777" t="s">
        <v>561</v>
      </c>
      <c r="N158" s="777"/>
      <c r="O158" s="16"/>
      <c r="P158" s="16"/>
      <c r="Q158" s="16"/>
      <c r="R158" s="16"/>
      <c r="S158" s="541" t="s">
        <v>213</v>
      </c>
      <c r="T158" s="16"/>
      <c r="U158" s="16"/>
      <c r="V158" s="16"/>
      <c r="W158" s="16"/>
      <c r="X158" s="777" t="s">
        <v>562</v>
      </c>
      <c r="Y158" s="777"/>
      <c r="Z158" s="16"/>
      <c r="AA158" s="16"/>
      <c r="AB158" s="16"/>
      <c r="AC158" s="16"/>
      <c r="AD158" s="31"/>
      <c r="AE158" s="238"/>
      <c r="AF158" s="12"/>
      <c r="AG158" s="12"/>
      <c r="AH158" s="12"/>
      <c r="AI158" s="14"/>
    </row>
    <row r="159" spans="3:35">
      <c r="C159" s="11"/>
      <c r="D159" s="12"/>
      <c r="E159" s="12"/>
      <c r="F159" s="371" t="s">
        <v>564</v>
      </c>
      <c r="G159" s="371"/>
      <c r="H159" s="541"/>
      <c r="I159" s="371" t="s">
        <v>565</v>
      </c>
      <c r="J159" s="371"/>
      <c r="K159" s="40" t="s">
        <v>566</v>
      </c>
      <c r="L159" s="12" t="s">
        <v>438</v>
      </c>
      <c r="M159" s="371" t="s">
        <v>560</v>
      </c>
      <c r="N159" s="371"/>
      <c r="O159" s="12" t="s">
        <v>236</v>
      </c>
      <c r="P159" s="371" t="s">
        <v>567</v>
      </c>
      <c r="Q159" s="371"/>
      <c r="R159" s="12" t="s">
        <v>218</v>
      </c>
      <c r="S159" s="541"/>
      <c r="T159" s="371" t="s">
        <v>568</v>
      </c>
      <c r="U159" s="371"/>
      <c r="V159" s="40" t="s">
        <v>566</v>
      </c>
      <c r="W159" s="12" t="s">
        <v>438</v>
      </c>
      <c r="X159" s="371" t="s">
        <v>560</v>
      </c>
      <c r="Y159" s="371"/>
      <c r="Z159" s="12" t="s">
        <v>236</v>
      </c>
      <c r="AA159" s="371" t="s">
        <v>569</v>
      </c>
      <c r="AB159" s="371"/>
      <c r="AC159" s="12" t="s">
        <v>218</v>
      </c>
      <c r="AD159" s="31"/>
      <c r="AE159" s="238"/>
      <c r="AF159" s="12"/>
      <c r="AG159" s="12"/>
      <c r="AH159" s="12"/>
      <c r="AI159" s="14"/>
    </row>
    <row r="160" spans="3:35">
      <c r="C160" s="11"/>
      <c r="D160" s="12"/>
      <c r="E160" s="12"/>
      <c r="F160" s="34"/>
      <c r="G160" s="34"/>
      <c r="H160" s="27"/>
      <c r="I160" s="34"/>
      <c r="J160" s="34"/>
      <c r="K160" s="40"/>
      <c r="L160" s="12"/>
      <c r="M160" s="34"/>
      <c r="N160" s="34"/>
      <c r="O160" s="12"/>
      <c r="P160" s="34"/>
      <c r="Q160" s="34"/>
      <c r="R160" s="12"/>
      <c r="S160" s="27"/>
      <c r="T160" s="34"/>
      <c r="U160" s="34"/>
      <c r="V160" s="40"/>
      <c r="W160" s="12"/>
      <c r="X160" s="34"/>
      <c r="Y160" s="34"/>
      <c r="Z160" s="12"/>
      <c r="AA160" s="34"/>
      <c r="AB160" s="34"/>
      <c r="AC160" s="12"/>
      <c r="AD160" s="27"/>
      <c r="AE160" s="137"/>
      <c r="AF160" s="12"/>
      <c r="AG160" s="12"/>
      <c r="AH160" s="12"/>
      <c r="AI160" s="14"/>
    </row>
    <row r="161" spans="3:35">
      <c r="C161" s="11"/>
      <c r="D161" s="12"/>
      <c r="E161" s="541" t="s">
        <v>8</v>
      </c>
      <c r="F161" s="558">
        <f>V69</f>
        <v>82.203869439326141</v>
      </c>
      <c r="G161" s="558"/>
      <c r="H161" s="541" t="s">
        <v>213</v>
      </c>
      <c r="I161" s="16"/>
      <c r="J161" s="16"/>
      <c r="K161" s="16"/>
      <c r="L161" s="16"/>
      <c r="M161" s="558">
        <f>J78</f>
        <v>40.195652173913054</v>
      </c>
      <c r="N161" s="558"/>
      <c r="O161" s="16"/>
      <c r="P161" s="16"/>
      <c r="Q161" s="16"/>
      <c r="R161" s="16"/>
      <c r="S161" s="541" t="s">
        <v>213</v>
      </c>
      <c r="T161" s="16"/>
      <c r="U161" s="16"/>
      <c r="V161" s="16"/>
      <c r="W161" s="16"/>
      <c r="X161" s="558">
        <f>J81</f>
        <v>0</v>
      </c>
      <c r="Y161" s="558"/>
      <c r="Z161" s="16"/>
      <c r="AA161" s="16"/>
      <c r="AB161" s="16"/>
      <c r="AC161" s="16"/>
      <c r="AD161" s="27"/>
      <c r="AE161" s="137"/>
      <c r="AF161" s="12"/>
      <c r="AG161" s="12"/>
      <c r="AH161" s="12"/>
      <c r="AI161" s="14"/>
    </row>
    <row r="162" spans="3:35">
      <c r="C162" s="11"/>
      <c r="D162" s="12"/>
      <c r="E162" s="541"/>
      <c r="F162" s="436">
        <f>J102</f>
        <v>163.35171770972033</v>
      </c>
      <c r="G162" s="436"/>
      <c r="H162" s="541"/>
      <c r="I162" s="459">
        <f>J121</f>
        <v>123</v>
      </c>
      <c r="J162" s="459"/>
      <c r="K162" s="40" t="s">
        <v>566</v>
      </c>
      <c r="L162" s="12" t="s">
        <v>438</v>
      </c>
      <c r="M162" s="436">
        <f>V69</f>
        <v>82.203869439326141</v>
      </c>
      <c r="N162" s="436"/>
      <c r="O162" s="12" t="s">
        <v>236</v>
      </c>
      <c r="P162" s="436">
        <f>L140</f>
        <v>269.99999999999983</v>
      </c>
      <c r="Q162" s="436"/>
      <c r="R162" s="12" t="s">
        <v>218</v>
      </c>
      <c r="S162" s="541"/>
      <c r="T162" s="459">
        <f>L126</f>
        <v>210</v>
      </c>
      <c r="U162" s="459"/>
      <c r="V162" s="40" t="s">
        <v>566</v>
      </c>
      <c r="W162" s="12" t="s">
        <v>438</v>
      </c>
      <c r="X162" s="436">
        <f>V69</f>
        <v>82.203869439326141</v>
      </c>
      <c r="Y162" s="436"/>
      <c r="Z162" s="12" t="s">
        <v>236</v>
      </c>
      <c r="AA162" s="436">
        <f>L145</f>
        <v>383.6741496598637</v>
      </c>
      <c r="AB162" s="436"/>
      <c r="AC162" s="12" t="s">
        <v>218</v>
      </c>
      <c r="AD162" s="27"/>
      <c r="AE162" s="137"/>
      <c r="AF162" s="12"/>
      <c r="AG162" s="12"/>
      <c r="AH162" s="12"/>
      <c r="AI162" s="14"/>
    </row>
    <row r="163" spans="3:35">
      <c r="C163" s="11"/>
      <c r="D163" s="12"/>
      <c r="E163" s="27"/>
      <c r="F163" s="34"/>
      <c r="G163" s="34"/>
      <c r="H163" s="27"/>
      <c r="I163" s="34"/>
      <c r="J163" s="34"/>
      <c r="K163" s="40"/>
      <c r="L163" s="12"/>
      <c r="M163" s="34"/>
      <c r="N163" s="34"/>
      <c r="O163" s="12"/>
      <c r="P163" s="34"/>
      <c r="Q163" s="34"/>
      <c r="R163" s="12"/>
      <c r="S163" s="27"/>
      <c r="T163" s="34"/>
      <c r="U163" s="34"/>
      <c r="V163" s="40"/>
      <c r="W163" s="12"/>
      <c r="X163" s="34"/>
      <c r="Y163" s="34"/>
      <c r="Z163" s="12"/>
      <c r="AA163" s="34"/>
      <c r="AB163" s="34"/>
      <c r="AC163" s="12"/>
      <c r="AD163" s="27"/>
      <c r="AE163" s="137"/>
      <c r="AF163" s="12"/>
      <c r="AG163" s="12"/>
      <c r="AH163" s="12"/>
      <c r="AI163" s="14"/>
    </row>
    <row r="164" spans="3:35">
      <c r="C164" s="11"/>
      <c r="D164" s="12"/>
      <c r="E164" s="12" t="s">
        <v>8</v>
      </c>
      <c r="F164" s="887">
        <f>F161/F162</f>
        <v>0.50323235403869004</v>
      </c>
      <c r="G164" s="887"/>
      <c r="H164" s="27" t="s">
        <v>213</v>
      </c>
      <c r="I164" s="887">
        <f>M161/(I162*(1-M162/P162))</f>
        <v>0.4698411951679366</v>
      </c>
      <c r="J164" s="887"/>
      <c r="K164" s="887"/>
      <c r="L164" s="887"/>
      <c r="M164" s="887"/>
      <c r="N164" s="887"/>
      <c r="O164" s="887"/>
      <c r="P164" s="887"/>
      <c r="Q164" s="887"/>
      <c r="R164" s="887"/>
      <c r="S164" s="27" t="s">
        <v>213</v>
      </c>
      <c r="T164" s="887">
        <f>X161/(T162*(1-X162/AA162))</f>
        <v>0</v>
      </c>
      <c r="U164" s="887"/>
      <c r="V164" s="887"/>
      <c r="W164" s="887"/>
      <c r="X164" s="887"/>
      <c r="Y164" s="887"/>
      <c r="Z164" s="887"/>
      <c r="AA164" s="887"/>
      <c r="AB164" s="887"/>
      <c r="AC164" s="887"/>
      <c r="AD164" s="27"/>
      <c r="AE164" s="137"/>
      <c r="AF164" s="12"/>
      <c r="AG164" s="12"/>
      <c r="AH164" s="12"/>
      <c r="AI164" s="14"/>
    </row>
    <row r="165" spans="3:35">
      <c r="C165" s="11"/>
      <c r="D165" s="12"/>
      <c r="E165" s="12"/>
      <c r="F165" s="153"/>
      <c r="G165" s="153"/>
      <c r="H165" s="27"/>
      <c r="I165" s="153"/>
      <c r="J165" s="153"/>
      <c r="K165" s="153"/>
      <c r="L165" s="153"/>
      <c r="M165" s="153"/>
      <c r="N165" s="153"/>
      <c r="O165" s="153"/>
      <c r="P165" s="153"/>
      <c r="Q165" s="153"/>
      <c r="R165" s="153"/>
      <c r="S165" s="27"/>
      <c r="T165" s="153"/>
      <c r="U165" s="153"/>
      <c r="V165" s="153"/>
      <c r="W165" s="153"/>
      <c r="X165" s="153"/>
      <c r="Y165" s="153"/>
      <c r="Z165" s="153"/>
      <c r="AA165" s="153"/>
      <c r="AB165" s="153"/>
      <c r="AC165" s="153"/>
      <c r="AD165" s="27"/>
      <c r="AE165" s="137"/>
      <c r="AF165" s="12"/>
      <c r="AG165" s="12"/>
      <c r="AH165" s="12"/>
      <c r="AI165" s="14"/>
    </row>
    <row r="166" spans="3:35">
      <c r="C166" s="11"/>
      <c r="D166" s="12"/>
      <c r="E166" s="12" t="s">
        <v>8</v>
      </c>
      <c r="F166" s="912">
        <f>F164+I164+T164</f>
        <v>0.9730735492066267</v>
      </c>
      <c r="G166" s="913"/>
      <c r="H166" s="27"/>
      <c r="I166" s="12" t="str">
        <f>IF(F166&lt;=J166, "≦","&gt;")</f>
        <v>≦</v>
      </c>
      <c r="J166" s="30">
        <v>1</v>
      </c>
      <c r="K166" s="153"/>
      <c r="L166" s="525" t="str">
        <f>IF(I166="≦","OK","NG")</f>
        <v>OK</v>
      </c>
      <c r="M166" s="526"/>
      <c r="N166" s="527"/>
      <c r="O166" s="33"/>
      <c r="P166" s="12"/>
      <c r="Q166" s="12"/>
      <c r="R166" s="12"/>
      <c r="S166" s="30"/>
      <c r="T166" s="12"/>
      <c r="U166" s="12"/>
      <c r="V166" s="12"/>
      <c r="W166" s="12"/>
      <c r="X166" s="12"/>
      <c r="Y166" s="12"/>
      <c r="Z166" s="12"/>
      <c r="AA166" s="153"/>
      <c r="AB166" s="153"/>
      <c r="AC166" s="153"/>
      <c r="AD166" s="27"/>
      <c r="AE166" s="137"/>
      <c r="AF166" s="12"/>
      <c r="AG166" s="12"/>
      <c r="AH166" s="12"/>
      <c r="AI166" s="14"/>
    </row>
    <row r="167" spans="3:35">
      <c r="C167" s="11"/>
      <c r="D167" s="12"/>
      <c r="E167" s="12"/>
      <c r="F167" s="12"/>
      <c r="G167" s="12"/>
      <c r="H167" s="12"/>
      <c r="I167" s="12"/>
      <c r="J167" s="12"/>
      <c r="K167" s="12"/>
      <c r="L167" s="12"/>
      <c r="M167" s="12"/>
      <c r="N167" s="12"/>
      <c r="O167" s="12"/>
      <c r="P167" s="12"/>
      <c r="Q167" s="12"/>
      <c r="R167" s="12"/>
      <c r="S167" s="12"/>
      <c r="T167" s="12"/>
      <c r="U167" s="12"/>
      <c r="V167" s="12"/>
      <c r="W167"/>
      <c r="X167" s="12"/>
      <c r="Y167" s="12"/>
      <c r="Z167" s="12"/>
      <c r="AA167" s="12"/>
      <c r="AB167" s="12"/>
      <c r="AC167" s="12"/>
      <c r="AD167" s="12"/>
      <c r="AE167" s="12"/>
      <c r="AF167" s="12"/>
      <c r="AG167" s="12"/>
      <c r="AH167" s="12"/>
      <c r="AI167" s="14"/>
    </row>
    <row r="168" spans="3:35">
      <c r="C168" s="11"/>
      <c r="D168" s="12" t="s">
        <v>570</v>
      </c>
      <c r="E168" s="12"/>
      <c r="F168" s="12"/>
      <c r="G168" s="12"/>
      <c r="H168" s="12"/>
      <c r="I168" s="12"/>
      <c r="J168" s="12"/>
      <c r="K168" s="12"/>
      <c r="L168" s="12"/>
      <c r="M168" s="12"/>
      <c r="N168" s="12"/>
      <c r="O168" s="12"/>
      <c r="P168" s="12"/>
      <c r="Q168" s="12"/>
      <c r="R168" s="12"/>
      <c r="S168" s="12"/>
      <c r="T168" s="12"/>
      <c r="U168" s="12"/>
      <c r="V168" s="12"/>
      <c r="W168"/>
      <c r="X168" s="12"/>
      <c r="Y168" s="12"/>
      <c r="Z168" s="12"/>
      <c r="AA168" s="12"/>
      <c r="AB168" s="12"/>
      <c r="AC168" s="12"/>
      <c r="AD168" s="12"/>
      <c r="AE168" s="12"/>
      <c r="AF168" s="12"/>
      <c r="AG168" s="12"/>
      <c r="AH168" s="12"/>
      <c r="AI168" s="14"/>
    </row>
    <row r="169" spans="3:35">
      <c r="C169" s="11"/>
      <c r="D169" s="12"/>
      <c r="E169" s="12"/>
      <c r="F169" s="557" t="s">
        <v>560</v>
      </c>
      <c r="G169" s="557"/>
      <c r="H169" s="541" t="s">
        <v>213</v>
      </c>
      <c r="I169" s="16"/>
      <c r="J169" s="16"/>
      <c r="K169" s="16"/>
      <c r="L169" s="777" t="s">
        <v>561</v>
      </c>
      <c r="M169" s="777"/>
      <c r="N169" s="16"/>
      <c r="O169" s="16"/>
      <c r="P169" s="16"/>
      <c r="Q169" s="541" t="s">
        <v>213</v>
      </c>
      <c r="R169" s="16"/>
      <c r="S169" s="16"/>
      <c r="T169" s="16"/>
      <c r="U169" s="777" t="s">
        <v>562</v>
      </c>
      <c r="V169" s="777"/>
      <c r="W169" s="16"/>
      <c r="X169" s="16"/>
      <c r="Y169" s="16"/>
      <c r="Z169" s="31"/>
      <c r="AA169" s="12"/>
      <c r="AB169" s="12"/>
      <c r="AC169" s="12"/>
      <c r="AD169" s="12"/>
      <c r="AE169" s="12"/>
      <c r="AF169" s="12"/>
      <c r="AG169" s="12"/>
      <c r="AH169" s="12"/>
      <c r="AI169" s="14"/>
    </row>
    <row r="170" spans="3:35">
      <c r="C170" s="11"/>
      <c r="D170" s="12"/>
      <c r="E170" s="12"/>
      <c r="F170" s="557"/>
      <c r="G170" s="557"/>
      <c r="H170" s="541"/>
      <c r="I170" s="12" t="s">
        <v>566</v>
      </c>
      <c r="J170" s="12" t="s">
        <v>438</v>
      </c>
      <c r="K170" s="371" t="s">
        <v>560</v>
      </c>
      <c r="L170" s="371"/>
      <c r="M170" s="12" t="s">
        <v>236</v>
      </c>
      <c r="N170" s="371" t="s">
        <v>567</v>
      </c>
      <c r="O170" s="371"/>
      <c r="P170" s="12" t="s">
        <v>218</v>
      </c>
      <c r="Q170" s="541"/>
      <c r="R170" s="12" t="s">
        <v>566</v>
      </c>
      <c r="S170" s="12" t="s">
        <v>438</v>
      </c>
      <c r="T170" s="371" t="s">
        <v>560</v>
      </c>
      <c r="U170" s="371"/>
      <c r="V170" s="12" t="s">
        <v>236</v>
      </c>
      <c r="W170" s="371" t="s">
        <v>569</v>
      </c>
      <c r="X170" s="371"/>
      <c r="Y170" s="12" t="s">
        <v>218</v>
      </c>
      <c r="Z170" s="31"/>
      <c r="AA170" s="152"/>
      <c r="AB170" s="152"/>
      <c r="AC170" s="12"/>
      <c r="AD170" s="12"/>
      <c r="AE170" s="12"/>
      <c r="AF170" s="12"/>
      <c r="AG170" s="12"/>
      <c r="AH170" s="12"/>
      <c r="AI170" s="14"/>
    </row>
    <row r="171" spans="3:35">
      <c r="C171" s="11"/>
      <c r="D171" s="12"/>
      <c r="E171" s="12"/>
      <c r="F171" s="12"/>
      <c r="G171" s="12"/>
      <c r="H171" s="12"/>
      <c r="I171" s="12"/>
      <c r="J171" s="12"/>
      <c r="K171" s="12"/>
      <c r="L171" s="12"/>
      <c r="M171" s="12"/>
      <c r="N171" s="12"/>
      <c r="O171" s="12"/>
      <c r="P171" s="12"/>
      <c r="Q171" s="12"/>
      <c r="R171" s="12"/>
      <c r="S171" s="12"/>
      <c r="T171" s="12"/>
      <c r="U171" s="12"/>
      <c r="V171" s="12"/>
      <c r="W171"/>
      <c r="X171" s="12"/>
      <c r="Y171" s="12"/>
      <c r="Z171" s="12"/>
      <c r="AA171" s="12"/>
      <c r="AB171" s="12"/>
      <c r="AC171" s="12"/>
      <c r="AD171" s="12"/>
      <c r="AE171" s="12"/>
      <c r="AF171" s="12"/>
      <c r="AG171" s="12"/>
      <c r="AH171" s="12"/>
      <c r="AI171" s="14"/>
    </row>
    <row r="172" spans="3:35">
      <c r="C172" s="11"/>
      <c r="D172" s="12"/>
      <c r="E172" s="541" t="s">
        <v>8</v>
      </c>
      <c r="F172" s="737">
        <f>V69</f>
        <v>82.203869439326141</v>
      </c>
      <c r="G172" s="737"/>
      <c r="H172" s="541" t="s">
        <v>213</v>
      </c>
      <c r="I172" s="16"/>
      <c r="J172" s="16"/>
      <c r="K172" s="16"/>
      <c r="L172" s="558">
        <f>J78</f>
        <v>40.195652173913054</v>
      </c>
      <c r="M172" s="558"/>
      <c r="N172" s="16"/>
      <c r="O172" s="16"/>
      <c r="P172" s="16"/>
      <c r="Q172" s="541" t="s">
        <v>213</v>
      </c>
      <c r="R172" s="16"/>
      <c r="S172" s="16"/>
      <c r="T172" s="16"/>
      <c r="U172" s="558">
        <f>J81</f>
        <v>0</v>
      </c>
      <c r="V172" s="558"/>
      <c r="W172" s="16"/>
      <c r="X172" s="16"/>
      <c r="Y172" s="16"/>
      <c r="Z172" s="31"/>
      <c r="AA172" s="238"/>
      <c r="AB172" s="238"/>
      <c r="AC172" s="12"/>
      <c r="AD172" s="12"/>
      <c r="AE172" s="12"/>
      <c r="AF172" s="12"/>
      <c r="AG172" s="12"/>
      <c r="AH172" s="12"/>
      <c r="AI172" s="14"/>
    </row>
    <row r="173" spans="3:35">
      <c r="C173" s="11"/>
      <c r="D173" s="12"/>
      <c r="E173" s="541"/>
      <c r="F173" s="737"/>
      <c r="G173" s="737"/>
      <c r="H173" s="541"/>
      <c r="I173" s="12" t="s">
        <v>566</v>
      </c>
      <c r="J173" s="12" t="s">
        <v>438</v>
      </c>
      <c r="K173" s="436">
        <f>V69</f>
        <v>82.203869439326141</v>
      </c>
      <c r="L173" s="436"/>
      <c r="M173" s="12" t="s">
        <v>236</v>
      </c>
      <c r="N173" s="436">
        <f>L140</f>
        <v>269.99999999999983</v>
      </c>
      <c r="O173" s="436"/>
      <c r="P173" s="12" t="s">
        <v>218</v>
      </c>
      <c r="Q173" s="541"/>
      <c r="R173" s="12" t="s">
        <v>566</v>
      </c>
      <c r="S173" s="12" t="s">
        <v>438</v>
      </c>
      <c r="T173" s="436">
        <f>V69</f>
        <v>82.203869439326141</v>
      </c>
      <c r="U173" s="436"/>
      <c r="V173" s="12" t="s">
        <v>236</v>
      </c>
      <c r="W173" s="436">
        <f>L145</f>
        <v>383.6741496598637</v>
      </c>
      <c r="X173" s="436"/>
      <c r="Y173" s="12" t="s">
        <v>218</v>
      </c>
      <c r="Z173" s="31"/>
      <c r="AA173" s="238"/>
      <c r="AB173" s="238"/>
      <c r="AC173" s="12"/>
      <c r="AD173" s="12"/>
      <c r="AE173" s="12"/>
      <c r="AF173" s="12"/>
      <c r="AG173" s="12"/>
      <c r="AH173" s="12"/>
      <c r="AI173" s="14"/>
    </row>
    <row r="174" spans="3:35">
      <c r="C174" s="11"/>
      <c r="D174" s="12"/>
      <c r="E174" s="12"/>
      <c r="F174" s="12"/>
      <c r="G174" s="12"/>
      <c r="H174" s="12"/>
      <c r="I174" s="12"/>
      <c r="J174" s="12"/>
      <c r="K174" s="12"/>
      <c r="L174" s="12"/>
      <c r="M174" s="12"/>
      <c r="N174" s="12"/>
      <c r="O174" s="12"/>
      <c r="P174" s="12"/>
      <c r="Q174" s="12"/>
      <c r="R174" s="12"/>
      <c r="S174" s="12"/>
      <c r="T174" s="12"/>
      <c r="U174" s="12"/>
      <c r="V174" s="12"/>
      <c r="W174"/>
      <c r="X174" s="12"/>
      <c r="Y174" s="12"/>
      <c r="Z174" s="12"/>
      <c r="AA174" s="12"/>
      <c r="AB174" s="12"/>
      <c r="AC174" s="12"/>
      <c r="AD174" s="12"/>
      <c r="AE174" s="12"/>
      <c r="AF174" s="12"/>
      <c r="AG174" s="12"/>
      <c r="AH174" s="12"/>
      <c r="AI174" s="14"/>
    </row>
    <row r="175" spans="3:35">
      <c r="C175" s="11"/>
      <c r="D175" s="12"/>
      <c r="E175" s="12" t="s">
        <v>8</v>
      </c>
      <c r="F175" s="539">
        <f>F172</f>
        <v>82.203869439326141</v>
      </c>
      <c r="G175" s="539"/>
      <c r="H175" s="12" t="s">
        <v>213</v>
      </c>
      <c r="I175" s="539">
        <f>L172/(1-K173/N173)</f>
        <v>57.790467005656197</v>
      </c>
      <c r="J175" s="539"/>
      <c r="K175" s="539"/>
      <c r="L175" s="539"/>
      <c r="M175" s="539"/>
      <c r="N175" s="539"/>
      <c r="O175" s="539"/>
      <c r="P175" s="539"/>
      <c r="Q175" s="12" t="s">
        <v>213</v>
      </c>
      <c r="R175" s="539">
        <f>U172/(1-T173/W173)</f>
        <v>0</v>
      </c>
      <c r="S175" s="539"/>
      <c r="T175" s="539"/>
      <c r="U175" s="539"/>
      <c r="V175" s="539"/>
      <c r="W175" s="539"/>
      <c r="X175" s="539"/>
      <c r="Y175" s="539"/>
      <c r="Z175" s="12"/>
      <c r="AA175" s="12"/>
      <c r="AB175" s="12"/>
      <c r="AC175" s="12"/>
      <c r="AD175" s="12"/>
      <c r="AE175" s="12"/>
      <c r="AF175" s="12"/>
      <c r="AG175" s="12"/>
      <c r="AH175" s="12"/>
      <c r="AI175" s="14"/>
    </row>
    <row r="176" spans="3:35">
      <c r="C176" s="11"/>
      <c r="D176" s="12"/>
      <c r="E176" s="12"/>
      <c r="F176" s="12"/>
      <c r="G176" s="12"/>
      <c r="H176" s="12"/>
      <c r="I176" s="12"/>
      <c r="J176" s="12"/>
      <c r="K176" s="12"/>
      <c r="L176" s="12"/>
      <c r="M176" s="12"/>
      <c r="N176" s="12"/>
      <c r="O176" s="12"/>
      <c r="P176" s="12"/>
      <c r="Q176" s="12"/>
      <c r="R176" s="12"/>
      <c r="S176" s="12"/>
      <c r="T176" s="12"/>
      <c r="U176" s="12"/>
      <c r="V176" s="12"/>
      <c r="W176"/>
      <c r="X176" s="12"/>
      <c r="Y176" s="12"/>
      <c r="Z176" s="12"/>
      <c r="AA176" s="12"/>
      <c r="AB176" s="12"/>
      <c r="AC176" s="12"/>
      <c r="AD176" s="12"/>
      <c r="AE176" s="12"/>
      <c r="AF176" s="12"/>
      <c r="AG176" s="12"/>
      <c r="AH176" s="12"/>
      <c r="AI176" s="14"/>
    </row>
    <row r="177" spans="2:35" ht="20.25">
      <c r="C177" s="11"/>
      <c r="D177" s="12"/>
      <c r="E177" s="12" t="s">
        <v>8</v>
      </c>
      <c r="F177" s="909">
        <f>F175+I175+R175</f>
        <v>139.99433644498234</v>
      </c>
      <c r="G177" s="910"/>
      <c r="H177" s="911"/>
      <c r="I177" s="12"/>
      <c r="J177" s="12" t="str">
        <f>IF(F177&lt;=N177, "≦","&gt;")</f>
        <v>≦</v>
      </c>
      <c r="K177" s="557" t="s">
        <v>571</v>
      </c>
      <c r="L177" s="557"/>
      <c r="M177" s="12" t="s">
        <v>8</v>
      </c>
      <c r="N177" s="539">
        <f>L131</f>
        <v>210</v>
      </c>
      <c r="O177" s="539"/>
      <c r="P177" s="539"/>
      <c r="Q177" s="525" t="str">
        <f>IF(J177="≦","OK","NG")</f>
        <v>OK</v>
      </c>
      <c r="R177" s="526"/>
      <c r="S177" s="527"/>
      <c r="T177" s="12"/>
      <c r="U177" s="12"/>
      <c r="V177" s="12"/>
      <c r="W177" s="12"/>
      <c r="X177" s="12"/>
      <c r="Y177" s="12"/>
      <c r="Z177" s="12"/>
      <c r="AA177" s="12"/>
      <c r="AB177" s="12"/>
      <c r="AC177" s="12"/>
      <c r="AD177" s="12"/>
      <c r="AE177" s="12"/>
      <c r="AF177" s="12"/>
      <c r="AG177" s="12"/>
      <c r="AH177" s="12"/>
      <c r="AI177" s="14"/>
    </row>
    <row r="178" spans="2:35">
      <c r="C178" s="15"/>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8"/>
    </row>
    <row r="180" spans="2:35">
      <c r="B180" s="1" t="s">
        <v>656</v>
      </c>
      <c r="C180" s="12"/>
      <c r="D180" s="12"/>
      <c r="E180" s="12"/>
      <c r="F180" s="12"/>
      <c r="G180" s="12"/>
      <c r="H180" s="12"/>
      <c r="I180" s="13"/>
      <c r="J180" s="13"/>
      <c r="K180" s="13"/>
      <c r="L180" s="12"/>
      <c r="M180" s="12"/>
      <c r="N180" s="12"/>
      <c r="O180" s="12"/>
      <c r="P180" s="12"/>
      <c r="Q180" s="12"/>
      <c r="R180" s="12"/>
      <c r="S180" s="12"/>
      <c r="T180" s="12"/>
      <c r="U180" s="31"/>
      <c r="V180" s="13"/>
      <c r="W180" s="13"/>
      <c r="X180" s="13"/>
      <c r="Y180" s="12"/>
      <c r="Z180" s="12"/>
      <c r="AA180" s="12"/>
      <c r="AB180" s="12"/>
      <c r="AC180" s="12"/>
      <c r="AD180" s="12"/>
      <c r="AE180" s="12"/>
      <c r="AF180" s="12"/>
      <c r="AG180" s="12"/>
      <c r="AH180" s="12"/>
      <c r="AI180" s="12"/>
    </row>
    <row r="181" spans="2:35">
      <c r="C181" s="8"/>
      <c r="D181" s="9"/>
      <c r="E181" s="9"/>
      <c r="F181" s="9"/>
      <c r="G181" s="9"/>
      <c r="H181" s="9"/>
      <c r="I181" s="9"/>
      <c r="J181" s="9"/>
      <c r="K181" s="9"/>
      <c r="L181" s="9"/>
      <c r="M181" s="9"/>
      <c r="N181" s="9"/>
      <c r="O181" s="9"/>
      <c r="P181" s="9"/>
      <c r="Q181" s="9"/>
      <c r="R181" s="9"/>
      <c r="S181" s="9"/>
      <c r="T181" s="9"/>
      <c r="U181" s="9"/>
      <c r="V181" s="9"/>
      <c r="W181" s="3" t="s">
        <v>557</v>
      </c>
      <c r="X181" s="9"/>
      <c r="Y181" s="9"/>
      <c r="Z181" s="9"/>
      <c r="AA181" s="9"/>
      <c r="AB181" s="9"/>
      <c r="AC181" s="9"/>
      <c r="AD181" s="9"/>
      <c r="AE181" s="9"/>
      <c r="AF181" s="9"/>
      <c r="AG181" s="9"/>
      <c r="AH181" s="9"/>
      <c r="AI181" s="10"/>
    </row>
    <row r="182" spans="2:35">
      <c r="C182" s="11"/>
      <c r="D182" s="12" t="s">
        <v>657</v>
      </c>
      <c r="E182" s="12"/>
      <c r="F182" s="12"/>
      <c r="G182" s="12"/>
      <c r="H182" s="12"/>
      <c r="I182" s="12"/>
      <c r="J182" s="12"/>
      <c r="K182" s="12"/>
      <c r="L182" s="12"/>
      <c r="M182" s="12"/>
      <c r="N182" s="12"/>
      <c r="O182" s="12"/>
      <c r="P182" s="12"/>
      <c r="Q182" s="12"/>
      <c r="R182" s="12"/>
      <c r="S182" s="12"/>
      <c r="T182" s="12"/>
      <c r="U182" s="12"/>
      <c r="V182" s="12"/>
      <c r="W182"/>
      <c r="X182" s="12"/>
      <c r="Y182" s="12"/>
      <c r="Z182" s="12"/>
      <c r="AA182" s="12"/>
      <c r="AB182" s="12"/>
      <c r="AC182" s="12"/>
      <c r="AD182" s="12"/>
      <c r="AE182" s="12"/>
      <c r="AF182" s="12"/>
      <c r="AG182" s="12"/>
      <c r="AH182" s="12"/>
      <c r="AI182" s="14"/>
    </row>
    <row r="183" spans="2:35">
      <c r="C183" s="15"/>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8"/>
    </row>
  </sheetData>
  <sheetProtection sheet="1" objects="1" scenarios="1"/>
  <mergeCells count="301">
    <mergeCell ref="R48:S48"/>
    <mergeCell ref="I49:L49"/>
    <mergeCell ref="O49:T49"/>
    <mergeCell ref="R28:S29"/>
    <mergeCell ref="F166:G166"/>
    <mergeCell ref="F159:G159"/>
    <mergeCell ref="I159:J159"/>
    <mergeCell ref="I142:J143"/>
    <mergeCell ref="G125:H125"/>
    <mergeCell ref="G130:H130"/>
    <mergeCell ref="L131:M131"/>
    <mergeCell ref="P115:R115"/>
    <mergeCell ref="T115:T116"/>
    <mergeCell ref="J116:K116"/>
    <mergeCell ref="F158:G158"/>
    <mergeCell ref="H158:H159"/>
    <mergeCell ref="M158:N158"/>
    <mergeCell ref="S158:S159"/>
    <mergeCell ref="N148:O148"/>
    <mergeCell ref="Q148:R148"/>
    <mergeCell ref="L140:N140"/>
    <mergeCell ref="K142:K143"/>
    <mergeCell ref="L142:P142"/>
    <mergeCell ref="R142:R143"/>
    <mergeCell ref="F175:G175"/>
    <mergeCell ref="I175:P175"/>
    <mergeCell ref="R175:Y175"/>
    <mergeCell ref="F177:H177"/>
    <mergeCell ref="K177:L177"/>
    <mergeCell ref="N177:P177"/>
    <mergeCell ref="Q177:S177"/>
    <mergeCell ref="K173:L173"/>
    <mergeCell ref="N173:O173"/>
    <mergeCell ref="H5:I5"/>
    <mergeCell ref="K5:M5"/>
    <mergeCell ref="H6:I6"/>
    <mergeCell ref="K6:M6"/>
    <mergeCell ref="H28:H29"/>
    <mergeCell ref="F28:G29"/>
    <mergeCell ref="I28:J29"/>
    <mergeCell ref="K28:K29"/>
    <mergeCell ref="Q28:Q29"/>
    <mergeCell ref="L28:M28"/>
    <mergeCell ref="O28:P28"/>
    <mergeCell ref="L29:P29"/>
    <mergeCell ref="H11:I11"/>
    <mergeCell ref="K11:M11"/>
    <mergeCell ref="O10:P10"/>
    <mergeCell ref="Q21:R21"/>
    <mergeCell ref="T21:U21"/>
    <mergeCell ref="W21:Y21"/>
    <mergeCell ref="Q22:R22"/>
    <mergeCell ref="T22:V22"/>
    <mergeCell ref="M15:N15"/>
    <mergeCell ref="P15:Q15"/>
    <mergeCell ref="Q23:R23"/>
    <mergeCell ref="T173:U173"/>
    <mergeCell ref="W173:X173"/>
    <mergeCell ref="W170:X170"/>
    <mergeCell ref="L166:N166"/>
    <mergeCell ref="T162:U162"/>
    <mergeCell ref="X162:Y162"/>
    <mergeCell ref="X158:Y158"/>
    <mergeCell ref="M159:N159"/>
    <mergeCell ref="P159:Q159"/>
    <mergeCell ref="T159:U159"/>
    <mergeCell ref="X159:Y159"/>
    <mergeCell ref="R137:R138"/>
    <mergeCell ref="S137:W137"/>
    <mergeCell ref="J121:L121"/>
    <mergeCell ref="I126:J126"/>
    <mergeCell ref="L126:M126"/>
    <mergeCell ref="I131:J131"/>
    <mergeCell ref="E172:E173"/>
    <mergeCell ref="F172:G173"/>
    <mergeCell ref="H172:H173"/>
    <mergeCell ref="L172:M172"/>
    <mergeCell ref="Q172:Q173"/>
    <mergeCell ref="U172:V172"/>
    <mergeCell ref="U169:V169"/>
    <mergeCell ref="K170:L170"/>
    <mergeCell ref="N170:O170"/>
    <mergeCell ref="T170:U170"/>
    <mergeCell ref="F169:G170"/>
    <mergeCell ref="H169:H170"/>
    <mergeCell ref="L169:M169"/>
    <mergeCell ref="Q169:Q170"/>
    <mergeCell ref="AA162:AB162"/>
    <mergeCell ref="F164:G164"/>
    <mergeCell ref="I164:R164"/>
    <mergeCell ref="T164:AC164"/>
    <mergeCell ref="E161:E162"/>
    <mergeCell ref="F161:G161"/>
    <mergeCell ref="H161:H162"/>
    <mergeCell ref="M161:N161"/>
    <mergeCell ref="S161:S162"/>
    <mergeCell ref="X161:Y161"/>
    <mergeCell ref="F162:G162"/>
    <mergeCell ref="I162:J162"/>
    <mergeCell ref="M162:N162"/>
    <mergeCell ref="P162:Q162"/>
    <mergeCell ref="AA159:AB159"/>
    <mergeCell ref="N153:O153"/>
    <mergeCell ref="Q153:R153"/>
    <mergeCell ref="U153:W153"/>
    <mergeCell ref="AC137:AC138"/>
    <mergeCell ref="L143:M143"/>
    <mergeCell ref="AD137:AG137"/>
    <mergeCell ref="T138:V138"/>
    <mergeCell ref="X138:Y138"/>
    <mergeCell ref="AD138:AG138"/>
    <mergeCell ref="U148:W148"/>
    <mergeCell ref="N152:O152"/>
    <mergeCell ref="Q152:R152"/>
    <mergeCell ref="U152:W152"/>
    <mergeCell ref="N149:O149"/>
    <mergeCell ref="Q149:R149"/>
    <mergeCell ref="U149:W149"/>
    <mergeCell ref="L145:N145"/>
    <mergeCell ref="K148:L148"/>
    <mergeCell ref="K149:L149"/>
    <mergeCell ref="O132:P132"/>
    <mergeCell ref="E136:F136"/>
    <mergeCell ref="G136:H136"/>
    <mergeCell ref="I137:J138"/>
    <mergeCell ref="K137:K138"/>
    <mergeCell ref="L137:P137"/>
    <mergeCell ref="L138:M138"/>
    <mergeCell ref="AC142:AC143"/>
    <mergeCell ref="AD142:AG142"/>
    <mergeCell ref="T143:V143"/>
    <mergeCell ref="X143:Y143"/>
    <mergeCell ref="AD143:AG143"/>
    <mergeCell ref="S142:W142"/>
    <mergeCell ref="Z119:AA119"/>
    <mergeCell ref="K120:L120"/>
    <mergeCell ref="N120:O120"/>
    <mergeCell ref="Q120:T120"/>
    <mergeCell ref="V120:W120"/>
    <mergeCell ref="Z120:AA120"/>
    <mergeCell ref="X118:Y118"/>
    <mergeCell ref="G119:H119"/>
    <mergeCell ref="K119:L119"/>
    <mergeCell ref="N119:O119"/>
    <mergeCell ref="Q119:R119"/>
    <mergeCell ref="V119:W119"/>
    <mergeCell ref="O116:P116"/>
    <mergeCell ref="H118:Q118"/>
    <mergeCell ref="R118:S118"/>
    <mergeCell ref="U118:V118"/>
    <mergeCell ref="J111:K111"/>
    <mergeCell ref="K112:L112"/>
    <mergeCell ref="N112:O112"/>
    <mergeCell ref="J115:K115"/>
    <mergeCell ref="L115:L116"/>
    <mergeCell ref="M115:N115"/>
    <mergeCell ref="U115:V116"/>
    <mergeCell ref="X108:Y108"/>
    <mergeCell ref="AA108:AB108"/>
    <mergeCell ref="AD108:AF108"/>
    <mergeCell ref="J109:K109"/>
    <mergeCell ref="L109:Q109"/>
    <mergeCell ref="R109:S109"/>
    <mergeCell ref="V109:W109"/>
    <mergeCell ref="AF109:AH109"/>
    <mergeCell ref="J102:L102"/>
    <mergeCell ref="G106:H106"/>
    <mergeCell ref="N107:O107"/>
    <mergeCell ref="Q107:R107"/>
    <mergeCell ref="J108:K108"/>
    <mergeCell ref="U108:V108"/>
    <mergeCell ref="U96:V97"/>
    <mergeCell ref="M97:N97"/>
    <mergeCell ref="P97:R97"/>
    <mergeCell ref="H99:Q99"/>
    <mergeCell ref="T99:U99"/>
    <mergeCell ref="G100:H100"/>
    <mergeCell ref="K100:L100"/>
    <mergeCell ref="N100:O100"/>
    <mergeCell ref="Q100:R100"/>
    <mergeCell ref="V100:W100"/>
    <mergeCell ref="K101:L101"/>
    <mergeCell ref="N101:O101"/>
    <mergeCell ref="Q101:T101"/>
    <mergeCell ref="V101:W101"/>
    <mergeCell ref="Z100:AA100"/>
    <mergeCell ref="Z101:AA101"/>
    <mergeCell ref="K93:L93"/>
    <mergeCell ref="N93:O93"/>
    <mergeCell ref="L96:L97"/>
    <mergeCell ref="M96:N96"/>
    <mergeCell ref="P96:R96"/>
    <mergeCell ref="T96:T97"/>
    <mergeCell ref="K87:R87"/>
    <mergeCell ref="N88:O88"/>
    <mergeCell ref="Q88:R88"/>
    <mergeCell ref="W88:X88"/>
    <mergeCell ref="M90:N90"/>
    <mergeCell ref="J92:K92"/>
    <mergeCell ref="I78:I79"/>
    <mergeCell ref="J78:K79"/>
    <mergeCell ref="G81:H81"/>
    <mergeCell ref="J81:K81"/>
    <mergeCell ref="G85:H85"/>
    <mergeCell ref="O86:P86"/>
    <mergeCell ref="I75:AH75"/>
    <mergeCell ref="G76:H77"/>
    <mergeCell ref="I76:I77"/>
    <mergeCell ref="J76:K76"/>
    <mergeCell ref="M76:M77"/>
    <mergeCell ref="N76:P76"/>
    <mergeCell ref="R76:T76"/>
    <mergeCell ref="J77:K77"/>
    <mergeCell ref="N77:P77"/>
    <mergeCell ref="R77:S77"/>
    <mergeCell ref="V69:W70"/>
    <mergeCell ref="N70:P70"/>
    <mergeCell ref="R70:S70"/>
    <mergeCell ref="E74:F74"/>
    <mergeCell ref="G74:H74"/>
    <mergeCell ref="I74:AH74"/>
    <mergeCell ref="G69:H70"/>
    <mergeCell ref="I69:I70"/>
    <mergeCell ref="M69:M70"/>
    <mergeCell ref="N69:P69"/>
    <mergeCell ref="R69:S69"/>
    <mergeCell ref="U69:U70"/>
    <mergeCell ref="AC64:AD65"/>
    <mergeCell ref="K65:L65"/>
    <mergeCell ref="N65:O65"/>
    <mergeCell ref="T65:U65"/>
    <mergeCell ref="W65:X65"/>
    <mergeCell ref="G68:H68"/>
    <mergeCell ref="F64:G65"/>
    <mergeCell ref="H64:H65"/>
    <mergeCell ref="L64:M64"/>
    <mergeCell ref="Q64:Q65"/>
    <mergeCell ref="U64:V64"/>
    <mergeCell ref="AB64:AB65"/>
    <mergeCell ref="H30:H31"/>
    <mergeCell ref="I30:K31"/>
    <mergeCell ref="L30:L31"/>
    <mergeCell ref="M30:N30"/>
    <mergeCell ref="P30:Q30"/>
    <mergeCell ref="M31:Q31"/>
    <mergeCell ref="AE59:AE60"/>
    <mergeCell ref="AF59:AF60"/>
    <mergeCell ref="F60:G60"/>
    <mergeCell ref="I60:J60"/>
    <mergeCell ref="M60:N60"/>
    <mergeCell ref="P60:Q60"/>
    <mergeCell ref="T60:U60"/>
    <mergeCell ref="X60:Y60"/>
    <mergeCell ref="AA60:AB60"/>
    <mergeCell ref="I50:K50"/>
    <mergeCell ref="S43:U44"/>
    <mergeCell ref="M44:Q44"/>
    <mergeCell ref="I45:K45"/>
    <mergeCell ref="F48:G49"/>
    <mergeCell ref="H48:H49"/>
    <mergeCell ref="I48:L48"/>
    <mergeCell ref="N48:N49"/>
    <mergeCell ref="O48:P48"/>
    <mergeCell ref="F59:G59"/>
    <mergeCell ref="H59:H60"/>
    <mergeCell ref="M59:N59"/>
    <mergeCell ref="S59:S60"/>
    <mergeCell ref="I32:K32"/>
    <mergeCell ref="X59:Y59"/>
    <mergeCell ref="F41:G42"/>
    <mergeCell ref="H41:H42"/>
    <mergeCell ref="I41:J42"/>
    <mergeCell ref="K41:K42"/>
    <mergeCell ref="L41:M41"/>
    <mergeCell ref="O41:P41"/>
    <mergeCell ref="Q41:Q42"/>
    <mergeCell ref="R41:S42"/>
    <mergeCell ref="L42:P42"/>
    <mergeCell ref="H43:H44"/>
    <mergeCell ref="I43:K44"/>
    <mergeCell ref="L43:L44"/>
    <mergeCell ref="F35:G36"/>
    <mergeCell ref="H35:H36"/>
    <mergeCell ref="I35:L35"/>
    <mergeCell ref="N35:N36"/>
    <mergeCell ref="O35:P35"/>
    <mergeCell ref="R35:S35"/>
    <mergeCell ref="M43:N43"/>
    <mergeCell ref="P43:Q43"/>
    <mergeCell ref="R43:R44"/>
    <mergeCell ref="T25:V25"/>
    <mergeCell ref="X24:Y24"/>
    <mergeCell ref="AA23:AH23"/>
    <mergeCell ref="AC24:AD24"/>
    <mergeCell ref="O36:T36"/>
    <mergeCell ref="I37:K37"/>
    <mergeCell ref="I36:L36"/>
    <mergeCell ref="S30:U31"/>
    <mergeCell ref="R30:R31"/>
    <mergeCell ref="T24:U24"/>
    <mergeCell ref="T23:U23"/>
  </mergeCells>
  <phoneticPr fontId="3"/>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141E-EA3B-4088-A162-DCFAE54325E8}">
  <dimension ref="A1:AI70"/>
  <sheetViews>
    <sheetView showGridLines="0" view="pageBreakPreview" topLeftCell="A45" zoomScale="80" zoomScaleNormal="100" zoomScaleSheetLayoutView="80" workbookViewId="0">
      <selection activeCell="B1" sqref="B1"/>
    </sheetView>
  </sheetViews>
  <sheetFormatPr defaultRowHeight="18.75"/>
  <cols>
    <col min="1" max="35" width="3" style="1" customWidth="1"/>
    <col min="36" max="36" width="1.625" style="1" customWidth="1"/>
    <col min="37" max="16384" width="9" style="1"/>
  </cols>
  <sheetData>
    <row r="1" spans="1:35">
      <c r="A1" s="205"/>
      <c r="B1" s="205"/>
      <c r="C1" s="205"/>
      <c r="D1" s="205"/>
    </row>
    <row r="2" spans="1:35">
      <c r="A2" s="1" t="s">
        <v>658</v>
      </c>
      <c r="W2" t="s">
        <v>659</v>
      </c>
    </row>
    <row r="3" spans="1:35">
      <c r="B3" s="1" t="s">
        <v>660</v>
      </c>
      <c r="W3"/>
    </row>
    <row r="4" spans="1:35">
      <c r="C4" s="8"/>
      <c r="D4" s="9" t="s">
        <v>625</v>
      </c>
      <c r="E4" s="9"/>
      <c r="F4" s="9"/>
      <c r="G4" s="9"/>
      <c r="H4" s="9"/>
      <c r="I4" s="9"/>
      <c r="J4" s="9"/>
      <c r="K4" s="9"/>
      <c r="L4" s="9"/>
      <c r="M4" s="244"/>
      <c r="N4" s="244"/>
      <c r="O4" s="9"/>
      <c r="P4" s="252"/>
      <c r="Q4" s="252"/>
      <c r="R4" s="9"/>
      <c r="S4" s="9"/>
      <c r="T4" s="9"/>
      <c r="U4" s="251"/>
      <c r="V4" s="9"/>
      <c r="W4" s="9"/>
      <c r="X4" s="9"/>
      <c r="Y4" s="9"/>
      <c r="Z4" s="9"/>
      <c r="AA4" s="9"/>
      <c r="AB4" s="9"/>
      <c r="AC4" s="9"/>
      <c r="AD4" s="9"/>
      <c r="AE4" s="9"/>
      <c r="AF4" s="9"/>
      <c r="AG4" s="9"/>
      <c r="AH4" s="9"/>
      <c r="AI4" s="10"/>
    </row>
    <row r="5" spans="1:35">
      <c r="C5" s="11"/>
      <c r="D5" s="12"/>
      <c r="E5" s="12" t="s">
        <v>108</v>
      </c>
      <c r="F5" s="12"/>
      <c r="G5" s="12"/>
      <c r="H5" s="371" t="s">
        <v>626</v>
      </c>
      <c r="I5" s="371"/>
      <c r="J5" s="12" t="s">
        <v>8</v>
      </c>
      <c r="K5" s="551">
        <f>'5.腹起'!J21</f>
        <v>158.1103448275862</v>
      </c>
      <c r="L5" s="546"/>
      <c r="M5" s="547"/>
      <c r="N5" s="12" t="s">
        <v>517</v>
      </c>
      <c r="O5" s="12"/>
      <c r="P5" s="245"/>
      <c r="Q5" s="245"/>
      <c r="R5" s="12"/>
      <c r="S5" s="12"/>
      <c r="T5" s="12"/>
      <c r="U5" s="31"/>
      <c r="V5" s="12"/>
      <c r="W5" s="12"/>
      <c r="X5" s="12"/>
      <c r="Y5" s="12"/>
      <c r="Z5" s="12"/>
      <c r="AA5" s="12"/>
      <c r="AB5" s="12"/>
      <c r="AC5" s="12"/>
      <c r="AD5" s="12"/>
      <c r="AE5" s="12"/>
      <c r="AF5" s="12"/>
      <c r="AG5" s="12"/>
      <c r="AH5" s="12"/>
      <c r="AI5" s="14"/>
    </row>
    <row r="6" spans="1:35">
      <c r="C6" s="11"/>
      <c r="D6" s="12"/>
      <c r="E6" s="12" t="s">
        <v>109</v>
      </c>
      <c r="F6" s="12"/>
      <c r="G6" s="12"/>
      <c r="H6" s="371" t="s">
        <v>627</v>
      </c>
      <c r="I6" s="371"/>
      <c r="J6" s="12" t="s">
        <v>8</v>
      </c>
      <c r="K6" s="551">
        <f>'5.腹起'!J31</f>
        <v>98.131034482758622</v>
      </c>
      <c r="L6" s="546"/>
      <c r="M6" s="547"/>
      <c r="N6" s="12" t="s">
        <v>517</v>
      </c>
      <c r="O6" s="12"/>
      <c r="P6" s="245"/>
      <c r="Q6" s="245"/>
      <c r="R6" s="12"/>
      <c r="S6" s="12"/>
      <c r="T6" s="12"/>
      <c r="U6" s="31"/>
      <c r="V6" s="12"/>
      <c r="W6" s="12"/>
      <c r="X6" s="12"/>
      <c r="Y6" s="12"/>
      <c r="Z6" s="12"/>
      <c r="AA6" s="12"/>
      <c r="AB6" s="12"/>
      <c r="AC6" s="12"/>
      <c r="AD6" s="12"/>
      <c r="AE6" s="12"/>
      <c r="AF6" s="12"/>
      <c r="AG6" s="12"/>
      <c r="AH6" s="12"/>
      <c r="AI6" s="14"/>
    </row>
    <row r="7" spans="1:35">
      <c r="C7" s="11"/>
      <c r="D7" s="12"/>
      <c r="E7" s="12"/>
      <c r="F7" s="12"/>
      <c r="G7" s="12"/>
      <c r="H7" s="12"/>
      <c r="I7" s="12"/>
      <c r="J7" s="12"/>
      <c r="K7" s="12"/>
      <c r="L7" s="12"/>
      <c r="M7" s="34"/>
      <c r="N7" s="34"/>
      <c r="O7" s="12"/>
      <c r="P7" s="134"/>
      <c r="Q7" s="134"/>
      <c r="R7" s="12"/>
      <c r="S7" s="12"/>
      <c r="T7" s="12"/>
      <c r="U7" s="31"/>
      <c r="V7" s="12"/>
      <c r="W7" s="12"/>
      <c r="X7" s="12"/>
      <c r="Y7" s="12"/>
      <c r="Z7" s="12"/>
      <c r="AA7" s="12"/>
      <c r="AB7" s="12"/>
      <c r="AC7" s="12"/>
      <c r="AD7" s="12"/>
      <c r="AE7" s="12"/>
      <c r="AF7" s="12"/>
      <c r="AG7" s="12"/>
      <c r="AH7" s="12"/>
      <c r="AI7" s="14"/>
    </row>
    <row r="8" spans="1:35">
      <c r="C8" s="11"/>
      <c r="D8" s="12" t="s">
        <v>661</v>
      </c>
      <c r="E8" s="12"/>
      <c r="F8" s="12"/>
      <c r="G8" s="12"/>
      <c r="H8" s="12"/>
      <c r="I8" s="12"/>
      <c r="J8" s="12"/>
      <c r="K8" s="12"/>
      <c r="L8" s="12"/>
      <c r="M8" s="12"/>
      <c r="N8" s="12"/>
      <c r="O8" s="134"/>
      <c r="P8" s="134"/>
      <c r="Q8" s="12"/>
      <c r="R8" s="12"/>
      <c r="S8" s="12"/>
      <c r="T8" s="12"/>
      <c r="U8" s="31"/>
      <c r="V8" s="13"/>
      <c r="W8" s="13"/>
      <c r="X8" s="13"/>
      <c r="Y8" s="12"/>
      <c r="Z8" s="12"/>
      <c r="AA8" s="12"/>
      <c r="AB8" s="12"/>
      <c r="AC8" s="12"/>
      <c r="AD8" s="12"/>
      <c r="AE8" s="12"/>
      <c r="AF8" s="12"/>
      <c r="AG8" s="12"/>
      <c r="AH8" s="12"/>
      <c r="AI8" s="14"/>
    </row>
    <row r="9" spans="1:35">
      <c r="C9" s="11"/>
      <c r="D9" s="12"/>
      <c r="E9" s="12"/>
      <c r="F9" s="12"/>
      <c r="G9" s="12"/>
      <c r="H9" s="34"/>
      <c r="I9" s="34"/>
      <c r="J9" s="12"/>
      <c r="K9" s="23"/>
      <c r="L9" s="23"/>
      <c r="M9" s="23"/>
      <c r="N9" s="12"/>
      <c r="O9" s="245"/>
      <c r="P9" s="245"/>
      <c r="Q9" s="12"/>
      <c r="R9" s="12"/>
      <c r="S9" s="12"/>
      <c r="T9" s="12"/>
      <c r="U9" s="31"/>
      <c r="V9" s="13"/>
      <c r="W9" s="13"/>
      <c r="X9" s="13"/>
      <c r="Y9" s="12"/>
      <c r="Z9" s="12"/>
      <c r="AA9" s="12"/>
      <c r="AB9" s="12"/>
      <c r="AC9" s="12"/>
      <c r="AD9" s="12"/>
      <c r="AE9" s="12"/>
      <c r="AF9" s="12"/>
      <c r="AG9" s="12"/>
      <c r="AH9" s="12"/>
      <c r="AI9" s="14"/>
    </row>
    <row r="10" spans="1:35">
      <c r="C10" s="131"/>
      <c r="D10" s="12" t="s">
        <v>632</v>
      </c>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233"/>
    </row>
    <row r="11" spans="1:35">
      <c r="C11" s="11"/>
      <c r="D11" s="12" t="s">
        <v>633</v>
      </c>
      <c r="E11" s="12"/>
      <c r="F11" s="12"/>
      <c r="G11" s="12"/>
      <c r="H11" s="12"/>
      <c r="I11" s="12"/>
      <c r="J11" s="12"/>
      <c r="K11" s="12"/>
      <c r="L11" s="12"/>
      <c r="M11" s="371" t="s">
        <v>536</v>
      </c>
      <c r="N11" s="371"/>
      <c r="O11" s="12" t="s">
        <v>8</v>
      </c>
      <c r="P11" s="407">
        <v>150</v>
      </c>
      <c r="Q11" s="471"/>
      <c r="R11" s="12" t="s">
        <v>426</v>
      </c>
      <c r="S11" s="12"/>
      <c r="T11" s="12"/>
      <c r="U11" s="31" t="s">
        <v>537</v>
      </c>
      <c r="V11" s="12"/>
      <c r="W11" s="12"/>
      <c r="X11" s="12"/>
      <c r="Y11" s="12"/>
      <c r="Z11" s="12"/>
      <c r="AA11" s="12"/>
      <c r="AB11" s="12"/>
      <c r="AC11" s="12"/>
      <c r="AD11" s="12"/>
      <c r="AE11" s="12"/>
      <c r="AF11" s="12"/>
      <c r="AG11" s="12"/>
      <c r="AH11" s="12"/>
      <c r="AI11" s="14"/>
    </row>
    <row r="12" spans="1:35">
      <c r="C12" s="15"/>
      <c r="D12" s="16"/>
      <c r="E12" s="16"/>
      <c r="F12" s="16"/>
      <c r="G12" s="16"/>
      <c r="H12" s="16"/>
      <c r="I12" s="16"/>
      <c r="J12" s="16"/>
      <c r="K12" s="16"/>
      <c r="L12" s="16"/>
      <c r="M12" s="139"/>
      <c r="N12" s="139"/>
      <c r="O12" s="16"/>
      <c r="P12" s="253"/>
      <c r="Q12" s="253"/>
      <c r="R12" s="16"/>
      <c r="S12" s="16"/>
      <c r="T12" s="16"/>
      <c r="U12" s="167"/>
      <c r="V12" s="16"/>
      <c r="W12" s="16"/>
      <c r="X12" s="16"/>
      <c r="Y12" s="16"/>
      <c r="Z12" s="16"/>
      <c r="AA12" s="16"/>
      <c r="AB12" s="16"/>
      <c r="AC12" s="16"/>
      <c r="AD12" s="16"/>
      <c r="AE12" s="16"/>
      <c r="AF12" s="16"/>
      <c r="AG12" s="16"/>
      <c r="AH12" s="16"/>
      <c r="AI12" s="18"/>
    </row>
    <row r="13" spans="1:35">
      <c r="W13"/>
    </row>
    <row r="14" spans="1:35">
      <c r="B14" s="1" t="s">
        <v>662</v>
      </c>
      <c r="W14"/>
    </row>
    <row r="15" spans="1:35" ht="18.75" customHeight="1">
      <c r="C15" s="8"/>
      <c r="D15" s="9"/>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5"/>
    </row>
    <row r="16" spans="1:35">
      <c r="C16" s="258"/>
      <c r="D16" s="12" t="s">
        <v>524</v>
      </c>
      <c r="E16" s="106"/>
      <c r="F16" s="106"/>
      <c r="G16" s="106"/>
      <c r="H16" s="106"/>
      <c r="I16" s="106"/>
      <c r="J16" s="106"/>
      <c r="K16" s="371" t="s">
        <v>59</v>
      </c>
      <c r="L16" s="371"/>
      <c r="M16" s="106" t="s">
        <v>8</v>
      </c>
      <c r="N16" s="883">
        <f>'1.設計条件'!Q91</f>
        <v>4.5</v>
      </c>
      <c r="O16" s="906"/>
      <c r="P16" s="884"/>
      <c r="Q16" s="106" t="s">
        <v>9</v>
      </c>
      <c r="R16" s="106"/>
      <c r="S16" s="106"/>
      <c r="T16" s="106"/>
      <c r="U16" s="106"/>
      <c r="V16" s="106"/>
      <c r="W16" s="106"/>
      <c r="X16" s="106"/>
      <c r="Y16" s="106"/>
      <c r="Z16" s="106"/>
      <c r="AA16" s="106"/>
      <c r="AB16" s="106"/>
      <c r="AC16" s="106"/>
      <c r="AD16" s="106"/>
      <c r="AE16" s="106"/>
      <c r="AF16" s="106"/>
      <c r="AG16" s="106"/>
      <c r="AH16" s="106"/>
      <c r="AI16" s="107"/>
    </row>
    <row r="17" spans="3:35">
      <c r="C17" s="258"/>
      <c r="D17" s="701" t="s">
        <v>525</v>
      </c>
      <c r="E17" s="701"/>
      <c r="F17" s="701"/>
      <c r="G17" s="701"/>
      <c r="H17" s="701"/>
      <c r="I17" s="701"/>
      <c r="J17" s="701"/>
      <c r="K17" s="436" t="s">
        <v>139</v>
      </c>
      <c r="L17" s="436"/>
      <c r="M17" s="106" t="s">
        <v>8</v>
      </c>
      <c r="N17" s="883">
        <f>'1.設計条件'!T107</f>
        <v>1.5</v>
      </c>
      <c r="O17" s="906"/>
      <c r="P17" s="884"/>
      <c r="Q17" s="106" t="s">
        <v>9</v>
      </c>
      <c r="R17" s="106"/>
      <c r="S17" s="106"/>
      <c r="T17" s="106"/>
      <c r="U17" s="106"/>
      <c r="V17" s="106"/>
      <c r="W17" s="106"/>
      <c r="X17" s="106"/>
      <c r="Y17" s="106"/>
      <c r="Z17" s="106"/>
      <c r="AA17" s="106"/>
      <c r="AB17" s="106"/>
      <c r="AC17" s="106"/>
      <c r="AD17" s="106"/>
      <c r="AE17" s="106"/>
      <c r="AF17" s="106"/>
      <c r="AG17" s="106"/>
      <c r="AH17" s="106"/>
      <c r="AI17" s="107"/>
    </row>
    <row r="18" spans="3:35">
      <c r="C18" s="258"/>
      <c r="D18" s="701" t="s">
        <v>526</v>
      </c>
      <c r="E18" s="701"/>
      <c r="F18" s="701"/>
      <c r="G18" s="701"/>
      <c r="H18" s="701"/>
      <c r="I18" s="701"/>
      <c r="J18" s="701"/>
      <c r="K18" s="436" t="s">
        <v>527</v>
      </c>
      <c r="L18" s="436"/>
      <c r="M18" s="106" t="s">
        <v>8</v>
      </c>
      <c r="N18" s="371" t="s">
        <v>59</v>
      </c>
      <c r="O18" s="371"/>
      <c r="P18" s="228" t="s">
        <v>391</v>
      </c>
      <c r="Q18" s="230">
        <v>2</v>
      </c>
      <c r="R18" s="436" t="s">
        <v>139</v>
      </c>
      <c r="S18" s="436"/>
      <c r="T18" s="106"/>
      <c r="U18" s="106" t="s">
        <v>8</v>
      </c>
      <c r="V18" s="887">
        <f>N16</f>
        <v>4.5</v>
      </c>
      <c r="W18" s="887"/>
      <c r="X18" s="228" t="s">
        <v>391</v>
      </c>
      <c r="Y18" s="230">
        <v>2</v>
      </c>
      <c r="Z18" s="1" t="s">
        <v>215</v>
      </c>
      <c r="AA18" s="887">
        <f>N17</f>
        <v>1.5</v>
      </c>
      <c r="AB18" s="887"/>
      <c r="AC18" s="887"/>
      <c r="AD18" s="106"/>
      <c r="AE18" s="106"/>
      <c r="AF18" s="106"/>
      <c r="AG18" s="106"/>
      <c r="AH18" s="106"/>
      <c r="AI18" s="107"/>
    </row>
    <row r="19" spans="3:35">
      <c r="C19" s="258"/>
      <c r="D19" s="55"/>
      <c r="E19" s="55"/>
      <c r="F19" s="55"/>
      <c r="G19" s="55"/>
      <c r="H19" s="55"/>
      <c r="I19" s="55"/>
      <c r="J19" s="55"/>
      <c r="K19" s="135"/>
      <c r="L19" s="135"/>
      <c r="M19" s="106" t="s">
        <v>8</v>
      </c>
      <c r="N19" s="883">
        <f>V18-Y18*AA18</f>
        <v>1.5</v>
      </c>
      <c r="O19" s="906"/>
      <c r="P19" s="884"/>
      <c r="Q19" s="106" t="s">
        <v>9</v>
      </c>
      <c r="R19" s="106"/>
      <c r="S19" s="106"/>
      <c r="T19" s="106"/>
      <c r="U19" s="106"/>
      <c r="V19" s="106"/>
      <c r="W19" s="106"/>
      <c r="X19" s="106"/>
      <c r="Y19" s="106"/>
      <c r="Z19" s="106"/>
      <c r="AA19" s="106"/>
      <c r="AB19" s="106"/>
      <c r="AC19" s="106"/>
      <c r="AD19" s="106"/>
      <c r="AE19" s="106"/>
      <c r="AF19" s="106"/>
      <c r="AG19" s="106"/>
      <c r="AH19" s="106"/>
      <c r="AI19" s="107"/>
    </row>
    <row r="20" spans="3:35">
      <c r="C20" s="258"/>
      <c r="D20" s="701" t="s">
        <v>528</v>
      </c>
      <c r="E20" s="701"/>
      <c r="F20" s="701"/>
      <c r="G20" s="701"/>
      <c r="H20" s="701"/>
      <c r="I20" s="701"/>
      <c r="J20" s="701"/>
      <c r="K20" s="436" t="s">
        <v>141</v>
      </c>
      <c r="L20" s="436"/>
      <c r="M20" s="106" t="s">
        <v>8</v>
      </c>
      <c r="N20" s="928">
        <f>'1.設計条件'!T108</f>
        <v>45</v>
      </c>
      <c r="O20" s="929"/>
      <c r="P20" s="930"/>
      <c r="Q20" s="106" t="s">
        <v>142</v>
      </c>
      <c r="R20" s="106"/>
      <c r="S20" s="106"/>
      <c r="T20" s="106"/>
      <c r="U20" s="106"/>
      <c r="V20" s="106"/>
      <c r="W20" s="106"/>
      <c r="X20" s="106"/>
      <c r="Y20" s="106"/>
      <c r="Z20" s="106"/>
      <c r="AA20" s="106"/>
      <c r="AB20" s="106"/>
      <c r="AC20" s="106"/>
      <c r="AD20" s="106"/>
      <c r="AE20" s="106"/>
      <c r="AF20" s="106"/>
      <c r="AG20" s="106"/>
      <c r="AH20" s="106"/>
      <c r="AI20" s="107"/>
    </row>
    <row r="21" spans="3:35">
      <c r="C21" s="258"/>
      <c r="D21" s="55"/>
      <c r="E21" s="55"/>
      <c r="F21" s="55"/>
      <c r="G21" s="55"/>
      <c r="H21" s="55"/>
      <c r="I21" s="55"/>
      <c r="J21" s="55"/>
      <c r="K21" s="135"/>
      <c r="L21" s="135"/>
      <c r="M21" s="106"/>
      <c r="N21" s="227"/>
      <c r="O21" s="227"/>
      <c r="P21" s="227"/>
      <c r="Q21" s="106"/>
      <c r="R21" s="106"/>
      <c r="S21" s="106"/>
      <c r="T21" s="106"/>
      <c r="U21" s="106"/>
      <c r="V21" s="106"/>
      <c r="W21" s="106"/>
      <c r="X21" s="106"/>
      <c r="Y21" s="106"/>
      <c r="Z21" s="106"/>
      <c r="AA21" s="106"/>
      <c r="AB21" s="106"/>
      <c r="AC21" s="106"/>
      <c r="AD21" s="106"/>
      <c r="AE21" s="106"/>
      <c r="AF21" s="106"/>
      <c r="AG21" s="106"/>
      <c r="AH21" s="106"/>
      <c r="AI21" s="107"/>
    </row>
    <row r="22" spans="3:35">
      <c r="C22" s="11" t="s">
        <v>642</v>
      </c>
      <c r="D22" s="12"/>
      <c r="E22" s="12"/>
      <c r="F22" s="12"/>
      <c r="G22" s="12"/>
      <c r="H22" s="12"/>
      <c r="I22" s="12"/>
      <c r="J22" s="12"/>
      <c r="K22" s="12"/>
      <c r="L22" s="12"/>
      <c r="M22" s="12"/>
      <c r="N22" s="12"/>
      <c r="O22" s="134"/>
      <c r="P22" s="134"/>
      <c r="Q22" s="12"/>
      <c r="R22" s="12"/>
      <c r="S22" s="12"/>
      <c r="T22" s="12"/>
      <c r="U22" s="31"/>
      <c r="V22" s="13"/>
      <c r="W22" s="13"/>
      <c r="X22" s="13"/>
      <c r="Y22" s="12"/>
      <c r="Z22" s="12"/>
      <c r="AA22" s="12"/>
      <c r="AB22" s="12"/>
      <c r="AC22" s="12"/>
      <c r="AD22" s="12"/>
      <c r="AE22" s="12"/>
      <c r="AF22" s="12"/>
      <c r="AG22" s="12"/>
      <c r="AH22" s="12"/>
      <c r="AI22" s="14"/>
    </row>
    <row r="23" spans="3:35">
      <c r="C23" s="11"/>
      <c r="D23" s="12" t="s">
        <v>539</v>
      </c>
      <c r="E23" s="12"/>
      <c r="F23" s="12"/>
      <c r="G23" s="12"/>
      <c r="H23" s="12"/>
      <c r="I23" s="12"/>
      <c r="J23" s="12"/>
      <c r="K23" s="12"/>
      <c r="L23" s="12"/>
      <c r="M23" s="12"/>
      <c r="N23" s="12"/>
      <c r="O23" s="12"/>
      <c r="P23" s="12"/>
      <c r="Q23" s="12"/>
      <c r="R23" s="12"/>
      <c r="S23" s="12"/>
      <c r="T23" s="12"/>
      <c r="U23" s="31"/>
      <c r="V23" s="13"/>
      <c r="W23" s="13"/>
      <c r="X23" s="13"/>
      <c r="Y23" s="12"/>
      <c r="Z23" s="12"/>
      <c r="AA23" s="12"/>
      <c r="AB23" s="12"/>
      <c r="AC23" s="12"/>
      <c r="AD23" s="12"/>
      <c r="AE23" s="12"/>
      <c r="AF23" s="12"/>
      <c r="AG23" s="12"/>
      <c r="AH23" s="12"/>
      <c r="AI23" s="14"/>
    </row>
    <row r="24" spans="3:35">
      <c r="C24" s="11"/>
      <c r="D24" s="12"/>
      <c r="E24" s="12"/>
      <c r="F24" s="557" t="s">
        <v>643</v>
      </c>
      <c r="G24" s="557"/>
      <c r="H24" s="541" t="s">
        <v>8</v>
      </c>
      <c r="I24" s="917" t="s">
        <v>626</v>
      </c>
      <c r="J24" s="917"/>
      <c r="K24" s="918" t="s">
        <v>344</v>
      </c>
      <c r="L24" s="920" t="s">
        <v>527</v>
      </c>
      <c r="M24" s="920"/>
      <c r="N24" s="16" t="s">
        <v>213</v>
      </c>
      <c r="O24" s="920" t="s">
        <v>139</v>
      </c>
      <c r="P24" s="920"/>
      <c r="Q24" s="918" t="s">
        <v>344</v>
      </c>
      <c r="R24" s="656">
        <v>1</v>
      </c>
      <c r="S24" s="656"/>
      <c r="T24" s="541" t="s">
        <v>213</v>
      </c>
      <c r="U24" s="557" t="s">
        <v>536</v>
      </c>
      <c r="V24" s="557"/>
      <c r="W24" s="12"/>
      <c r="X24" s="12"/>
      <c r="Y24" s="12"/>
      <c r="Z24" s="12"/>
      <c r="AA24" s="12"/>
      <c r="AE24" s="12"/>
      <c r="AF24" s="12"/>
      <c r="AG24" s="12"/>
      <c r="AH24" s="12"/>
      <c r="AI24" s="14"/>
    </row>
    <row r="25" spans="3:35">
      <c r="C25" s="11"/>
      <c r="D25" s="12"/>
      <c r="E25" s="12"/>
      <c r="F25" s="557"/>
      <c r="G25" s="557"/>
      <c r="H25" s="541"/>
      <c r="I25" s="917"/>
      <c r="J25" s="917"/>
      <c r="K25" s="919"/>
      <c r="L25" s="921">
        <v>2</v>
      </c>
      <c r="M25" s="921"/>
      <c r="N25" s="921"/>
      <c r="O25" s="921"/>
      <c r="P25" s="921"/>
      <c r="Q25" s="919"/>
      <c r="R25" s="925" t="s">
        <v>663</v>
      </c>
      <c r="S25" s="925"/>
      <c r="T25" s="541"/>
      <c r="U25" s="557"/>
      <c r="V25" s="557"/>
      <c r="W25" s="12"/>
      <c r="X25" s="12"/>
      <c r="Y25" s="12"/>
      <c r="Z25" s="12"/>
      <c r="AA25" s="12"/>
      <c r="AE25" s="12"/>
      <c r="AF25" s="12"/>
      <c r="AG25" s="12"/>
      <c r="AH25" s="12"/>
      <c r="AI25" s="14"/>
    </row>
    <row r="26" spans="3:35">
      <c r="C26" s="11"/>
      <c r="D26" s="12"/>
      <c r="E26" s="12"/>
      <c r="F26" s="113"/>
      <c r="G26" s="113"/>
      <c r="H26" s="541" t="s">
        <v>8</v>
      </c>
      <c r="I26" s="609">
        <f>K5</f>
        <v>158.1103448275862</v>
      </c>
      <c r="J26" s="609"/>
      <c r="K26" s="609"/>
      <c r="L26" s="541" t="s">
        <v>215</v>
      </c>
      <c r="M26" s="822">
        <f>N19</f>
        <v>1.5</v>
      </c>
      <c r="N26" s="822"/>
      <c r="O26" s="16" t="s">
        <v>213</v>
      </c>
      <c r="P26" s="822">
        <f>N17</f>
        <v>1.5</v>
      </c>
      <c r="Q26" s="822"/>
      <c r="R26" s="541" t="s">
        <v>215</v>
      </c>
      <c r="S26" s="656">
        <v>1</v>
      </c>
      <c r="T26" s="656"/>
      <c r="U26" s="541" t="s">
        <v>213</v>
      </c>
      <c r="V26" s="752">
        <f>P11</f>
        <v>150</v>
      </c>
      <c r="W26" s="752"/>
      <c r="X26" s="752"/>
      <c r="AA26" s="12"/>
      <c r="AH26" s="12"/>
      <c r="AI26" s="14"/>
    </row>
    <row r="27" spans="3:35">
      <c r="C27" s="11"/>
      <c r="D27" s="12"/>
      <c r="E27" s="12"/>
      <c r="F27" s="113"/>
      <c r="G27" s="113"/>
      <c r="H27" s="541"/>
      <c r="I27" s="767"/>
      <c r="J27" s="767"/>
      <c r="K27" s="767"/>
      <c r="L27" s="541"/>
      <c r="M27" s="921">
        <v>2</v>
      </c>
      <c r="N27" s="921"/>
      <c r="O27" s="921"/>
      <c r="P27" s="921"/>
      <c r="Q27" s="921"/>
      <c r="R27" s="541"/>
      <c r="S27" s="657">
        <f>COS(N20/180*PI())</f>
        <v>0.70710678118654757</v>
      </c>
      <c r="T27" s="657"/>
      <c r="U27" s="541"/>
      <c r="V27" s="752"/>
      <c r="W27" s="752"/>
      <c r="X27" s="752"/>
      <c r="AA27" s="12"/>
      <c r="AH27" s="12"/>
      <c r="AI27" s="14"/>
    </row>
    <row r="28" spans="3:35">
      <c r="C28" s="11"/>
      <c r="D28" s="12"/>
      <c r="E28" s="12"/>
      <c r="F28" s="12"/>
      <c r="G28" s="12"/>
      <c r="H28" s="12" t="s">
        <v>8</v>
      </c>
      <c r="I28" s="525">
        <f>I26*(M26+P26)/M27*S26/S27+V26</f>
        <v>485.4026910099887</v>
      </c>
      <c r="J28" s="526"/>
      <c r="K28" s="527"/>
      <c r="L28" s="12" t="s">
        <v>426</v>
      </c>
      <c r="M28" s="12"/>
      <c r="N28" s="12"/>
      <c r="O28" s="134"/>
      <c r="P28" s="134"/>
      <c r="Q28" s="12"/>
      <c r="R28" s="12"/>
      <c r="S28" s="12"/>
      <c r="T28" s="12"/>
      <c r="U28" s="31"/>
      <c r="V28" s="13"/>
      <c r="W28" s="13"/>
      <c r="X28" s="13"/>
      <c r="Y28" s="12"/>
      <c r="Z28" s="12"/>
      <c r="AA28" s="12"/>
      <c r="AB28" s="12"/>
      <c r="AC28" s="12"/>
      <c r="AD28" s="12"/>
      <c r="AE28" s="12"/>
      <c r="AF28" s="12"/>
      <c r="AG28" s="12"/>
      <c r="AH28" s="12"/>
      <c r="AI28" s="14"/>
    </row>
    <row r="29" spans="3:35">
      <c r="C29" s="11"/>
      <c r="D29" s="12"/>
      <c r="E29" s="12"/>
      <c r="F29" s="12"/>
      <c r="G29" s="12"/>
      <c r="H29" s="12"/>
      <c r="I29" s="13"/>
      <c r="J29" s="13"/>
      <c r="K29" s="13"/>
      <c r="L29" s="12"/>
      <c r="M29" s="12"/>
      <c r="N29" s="12"/>
      <c r="O29" s="134"/>
      <c r="P29" s="134"/>
      <c r="Q29" s="12"/>
      <c r="R29" s="12"/>
      <c r="S29" s="12"/>
      <c r="T29" s="12"/>
      <c r="U29" s="31"/>
      <c r="V29" s="13"/>
      <c r="W29" s="13"/>
      <c r="X29" s="13"/>
      <c r="Y29" s="12"/>
      <c r="Z29" s="12"/>
      <c r="AA29" s="12"/>
      <c r="AB29" s="12"/>
      <c r="AC29" s="12"/>
      <c r="AD29" s="12"/>
      <c r="AE29" s="12"/>
      <c r="AF29" s="12"/>
      <c r="AG29" s="12"/>
      <c r="AH29" s="12"/>
      <c r="AI29" s="14"/>
    </row>
    <row r="30" spans="3:35">
      <c r="C30" s="11" t="s">
        <v>646</v>
      </c>
      <c r="D30" s="12"/>
      <c r="E30" s="12"/>
      <c r="F30" s="12"/>
      <c r="G30" s="12"/>
      <c r="H30" s="12"/>
      <c r="I30" s="12"/>
      <c r="J30" s="12"/>
      <c r="K30" s="12"/>
      <c r="L30" s="12"/>
      <c r="M30" s="12"/>
      <c r="N30" s="12"/>
      <c r="O30" s="134"/>
      <c r="P30" s="134"/>
      <c r="Q30" s="12"/>
      <c r="R30" s="12"/>
      <c r="S30" s="12"/>
      <c r="T30" s="12"/>
      <c r="U30" s="31"/>
      <c r="V30" s="13"/>
      <c r="W30" s="13"/>
      <c r="X30" s="13"/>
      <c r="Y30" s="12"/>
      <c r="Z30" s="12"/>
      <c r="AA30" s="12"/>
      <c r="AB30" s="12"/>
      <c r="AC30" s="12"/>
      <c r="AD30" s="12"/>
      <c r="AE30" s="12"/>
      <c r="AF30" s="12"/>
      <c r="AG30" s="12"/>
      <c r="AH30" s="12"/>
      <c r="AI30" s="14"/>
    </row>
    <row r="31" spans="3:35">
      <c r="C31" s="11"/>
      <c r="D31" s="12" t="s">
        <v>539</v>
      </c>
      <c r="E31" s="12"/>
      <c r="F31" s="12"/>
      <c r="G31" s="12"/>
      <c r="H31" s="12"/>
      <c r="I31" s="12"/>
      <c r="J31" s="12"/>
      <c r="K31" s="12"/>
      <c r="L31" s="12"/>
      <c r="M31" s="12"/>
      <c r="N31" s="12"/>
      <c r="O31" s="12"/>
      <c r="P31" s="12"/>
      <c r="Q31" s="12"/>
      <c r="R31" s="12"/>
      <c r="S31" s="12"/>
      <c r="T31" s="12"/>
      <c r="U31" s="31"/>
      <c r="V31" s="13"/>
      <c r="W31" s="13"/>
      <c r="X31" s="13"/>
      <c r="Y31" s="12"/>
      <c r="Z31" s="12"/>
      <c r="AA31" s="12"/>
      <c r="AB31" s="12"/>
      <c r="AC31" s="12"/>
      <c r="AD31" s="12"/>
      <c r="AE31" s="12"/>
      <c r="AF31" s="12"/>
      <c r="AG31" s="12"/>
      <c r="AH31" s="12"/>
      <c r="AI31" s="14"/>
    </row>
    <row r="32" spans="3:35">
      <c r="C32" s="11"/>
      <c r="D32" s="12"/>
      <c r="E32" s="12"/>
      <c r="F32" s="557" t="s">
        <v>647</v>
      </c>
      <c r="G32" s="557"/>
      <c r="H32" s="541" t="s">
        <v>8</v>
      </c>
      <c r="I32" s="917" t="s">
        <v>627</v>
      </c>
      <c r="J32" s="917"/>
      <c r="K32" s="918" t="s">
        <v>344</v>
      </c>
      <c r="L32" s="920" t="s">
        <v>527</v>
      </c>
      <c r="M32" s="920"/>
      <c r="N32" s="16" t="s">
        <v>213</v>
      </c>
      <c r="O32" s="920" t="s">
        <v>139</v>
      </c>
      <c r="P32" s="920"/>
      <c r="Q32" s="918" t="s">
        <v>344</v>
      </c>
      <c r="R32" s="656">
        <v>1</v>
      </c>
      <c r="S32" s="656"/>
      <c r="T32" s="541" t="s">
        <v>213</v>
      </c>
      <c r="U32" s="557" t="s">
        <v>536</v>
      </c>
      <c r="V32" s="557"/>
      <c r="W32" s="12"/>
      <c r="X32" s="12"/>
      <c r="Y32" s="12"/>
      <c r="Z32" s="12"/>
      <c r="AA32" s="12"/>
      <c r="AE32" s="12"/>
      <c r="AF32" s="12"/>
      <c r="AG32" s="12"/>
      <c r="AH32" s="12"/>
      <c r="AI32" s="14"/>
    </row>
    <row r="33" spans="2:35">
      <c r="C33" s="11"/>
      <c r="D33" s="12"/>
      <c r="E33" s="12"/>
      <c r="F33" s="557"/>
      <c r="G33" s="557"/>
      <c r="H33" s="541"/>
      <c r="I33" s="917"/>
      <c r="J33" s="917"/>
      <c r="K33" s="919"/>
      <c r="L33" s="921">
        <v>2</v>
      </c>
      <c r="M33" s="921"/>
      <c r="N33" s="921"/>
      <c r="O33" s="921"/>
      <c r="P33" s="921"/>
      <c r="Q33" s="919"/>
      <c r="R33" s="925" t="s">
        <v>663</v>
      </c>
      <c r="S33" s="925"/>
      <c r="T33" s="541"/>
      <c r="U33" s="557"/>
      <c r="V33" s="557"/>
      <c r="W33" s="12"/>
      <c r="X33" s="12"/>
      <c r="Y33" s="12"/>
      <c r="Z33" s="12"/>
      <c r="AA33" s="12"/>
      <c r="AE33" s="12"/>
      <c r="AF33" s="12"/>
      <c r="AG33" s="12"/>
      <c r="AH33" s="12"/>
      <c r="AI33" s="14"/>
    </row>
    <row r="34" spans="2:35">
      <c r="C34" s="11"/>
      <c r="D34" s="12"/>
      <c r="E34" s="12"/>
      <c r="F34" s="12"/>
      <c r="G34" s="12"/>
      <c r="H34" s="541" t="s">
        <v>8</v>
      </c>
      <c r="I34" s="609">
        <f>K6</f>
        <v>98.131034482758622</v>
      </c>
      <c r="J34" s="609"/>
      <c r="K34" s="609"/>
      <c r="L34" s="541" t="s">
        <v>215</v>
      </c>
      <c r="M34" s="822">
        <f>N19</f>
        <v>1.5</v>
      </c>
      <c r="N34" s="822"/>
      <c r="O34" s="16" t="s">
        <v>213</v>
      </c>
      <c r="P34" s="822">
        <f>N17</f>
        <v>1.5</v>
      </c>
      <c r="Q34" s="822"/>
      <c r="R34" s="541" t="s">
        <v>215</v>
      </c>
      <c r="S34" s="656">
        <v>1</v>
      </c>
      <c r="T34" s="656"/>
      <c r="U34" s="541" t="s">
        <v>213</v>
      </c>
      <c r="V34" s="752">
        <f>P11</f>
        <v>150</v>
      </c>
      <c r="W34" s="752"/>
      <c r="X34" s="752"/>
      <c r="Y34" s="12"/>
      <c r="Z34" s="12"/>
      <c r="AA34" s="12"/>
      <c r="AB34" s="12"/>
      <c r="AC34" s="12"/>
      <c r="AH34" s="12"/>
      <c r="AI34" s="14"/>
    </row>
    <row r="35" spans="2:35">
      <c r="C35" s="11"/>
      <c r="D35" s="12"/>
      <c r="E35" s="12"/>
      <c r="F35" s="12"/>
      <c r="G35" s="12"/>
      <c r="H35" s="541"/>
      <c r="I35" s="767"/>
      <c r="J35" s="767"/>
      <c r="K35" s="767"/>
      <c r="L35" s="541"/>
      <c r="M35" s="921">
        <v>2</v>
      </c>
      <c r="N35" s="921"/>
      <c r="O35" s="921"/>
      <c r="P35" s="921"/>
      <c r="Q35" s="921"/>
      <c r="R35" s="541"/>
      <c r="S35" s="657">
        <f>COS(N20/180*PI())</f>
        <v>0.70710678118654757</v>
      </c>
      <c r="T35" s="657"/>
      <c r="U35" s="541"/>
      <c r="V35" s="752"/>
      <c r="W35" s="752"/>
      <c r="X35" s="752"/>
      <c r="Y35" s="12"/>
      <c r="Z35" s="12"/>
      <c r="AA35" s="12"/>
      <c r="AB35" s="12"/>
      <c r="AC35" s="12"/>
      <c r="AH35" s="12"/>
      <c r="AI35" s="14"/>
    </row>
    <row r="36" spans="2:35">
      <c r="C36" s="11"/>
      <c r="D36" s="12"/>
      <c r="E36" s="12"/>
      <c r="F36" s="12"/>
      <c r="G36" s="12"/>
      <c r="H36" s="12" t="s">
        <v>8</v>
      </c>
      <c r="I36" s="525">
        <f>I34*(M34+P34)/M35*S34/S35+V34</f>
        <v>358.16735978282861</v>
      </c>
      <c r="J36" s="526"/>
      <c r="K36" s="527"/>
      <c r="L36" s="12" t="s">
        <v>426</v>
      </c>
      <c r="M36" s="12"/>
      <c r="N36" s="12"/>
      <c r="O36" s="134"/>
      <c r="P36" s="134"/>
      <c r="Q36" s="12"/>
      <c r="R36" s="12"/>
      <c r="S36" s="12"/>
      <c r="T36" s="12"/>
      <c r="U36" s="31"/>
      <c r="V36" s="13"/>
      <c r="W36" s="13"/>
      <c r="X36" s="13"/>
      <c r="Y36" s="12"/>
      <c r="Z36" s="12"/>
      <c r="AA36" s="12"/>
      <c r="AB36" s="12"/>
      <c r="AC36" s="12"/>
      <c r="AD36" s="12"/>
      <c r="AE36" s="12"/>
      <c r="AF36" s="12"/>
      <c r="AG36" s="12"/>
      <c r="AH36" s="12"/>
      <c r="AI36" s="14"/>
    </row>
    <row r="37" spans="2:35">
      <c r="C37" s="15"/>
      <c r="D37" s="16"/>
      <c r="E37" s="16"/>
      <c r="F37" s="16"/>
      <c r="G37" s="16"/>
      <c r="H37" s="16"/>
      <c r="I37" s="17"/>
      <c r="J37" s="17"/>
      <c r="K37" s="17"/>
      <c r="L37" s="16"/>
      <c r="M37" s="16"/>
      <c r="N37" s="16"/>
      <c r="O37" s="16"/>
      <c r="P37" s="16"/>
      <c r="Q37" s="16"/>
      <c r="R37" s="16"/>
      <c r="S37" s="16"/>
      <c r="T37" s="16"/>
      <c r="U37" s="167"/>
      <c r="V37" s="17"/>
      <c r="W37" s="17"/>
      <c r="X37" s="17"/>
      <c r="Y37" s="16"/>
      <c r="Z37" s="16"/>
      <c r="AA37" s="16"/>
      <c r="AB37" s="16"/>
      <c r="AC37" s="16"/>
      <c r="AD37" s="16"/>
      <c r="AE37" s="16"/>
      <c r="AF37" s="16"/>
      <c r="AG37" s="16"/>
      <c r="AH37" s="16"/>
      <c r="AI37" s="18"/>
    </row>
    <row r="38" spans="2:35">
      <c r="C38" s="12"/>
      <c r="D38" s="12"/>
      <c r="E38" s="12"/>
      <c r="F38" s="12"/>
      <c r="G38" s="12"/>
      <c r="H38" s="12"/>
      <c r="I38" s="13"/>
      <c r="J38" s="13"/>
      <c r="K38" s="13"/>
      <c r="L38" s="12"/>
      <c r="M38" s="12"/>
      <c r="N38" s="12"/>
      <c r="O38" s="12"/>
      <c r="P38" s="12"/>
      <c r="Q38" s="12"/>
      <c r="R38" s="12"/>
      <c r="S38" s="12"/>
      <c r="T38" s="12"/>
      <c r="U38" s="31"/>
      <c r="V38" s="13"/>
      <c r="W38" s="13"/>
      <c r="X38" s="13"/>
      <c r="Y38" s="12"/>
      <c r="Z38" s="12"/>
      <c r="AA38" s="12"/>
      <c r="AB38" s="12"/>
      <c r="AC38" s="12"/>
      <c r="AD38" s="12"/>
      <c r="AE38" s="12"/>
      <c r="AF38" s="12"/>
      <c r="AG38" s="12"/>
      <c r="AH38" s="12"/>
      <c r="AI38" s="12"/>
    </row>
    <row r="39" spans="2:35">
      <c r="B39" s="1" t="s">
        <v>664</v>
      </c>
      <c r="C39" s="12"/>
      <c r="D39" s="12"/>
      <c r="E39" s="12"/>
      <c r="F39" s="12"/>
      <c r="G39" s="12"/>
      <c r="H39" s="12"/>
      <c r="I39" s="13"/>
      <c r="J39" s="13"/>
      <c r="K39" s="13"/>
      <c r="L39" s="12"/>
      <c r="M39" s="12"/>
      <c r="N39" s="12"/>
      <c r="O39" s="12"/>
      <c r="P39" s="12"/>
      <c r="Q39" s="12"/>
      <c r="R39" s="12"/>
      <c r="S39" s="12"/>
      <c r="T39" s="12"/>
      <c r="U39" s="31"/>
      <c r="V39" s="13"/>
      <c r="W39" s="13"/>
      <c r="X39" s="13"/>
      <c r="Y39" s="12"/>
      <c r="Z39" s="12"/>
      <c r="AA39" s="12"/>
      <c r="AB39" s="12"/>
      <c r="AC39" s="12"/>
      <c r="AD39" s="12"/>
      <c r="AE39" s="12"/>
      <c r="AF39" s="12"/>
      <c r="AG39" s="12"/>
      <c r="AH39" s="12"/>
      <c r="AI39" s="12"/>
    </row>
    <row r="40" spans="2:35">
      <c r="C40" s="8"/>
      <c r="D40" s="9"/>
      <c r="E40" s="9"/>
      <c r="F40" s="9"/>
      <c r="G40" s="9"/>
      <c r="H40" s="9"/>
      <c r="I40" s="9"/>
      <c r="J40" s="9"/>
      <c r="K40" s="9"/>
      <c r="L40" s="9"/>
      <c r="M40" s="9"/>
      <c r="N40" s="9"/>
      <c r="O40" s="9"/>
      <c r="P40" s="9"/>
      <c r="Q40" s="9"/>
      <c r="R40" s="9"/>
      <c r="S40" s="9"/>
      <c r="T40" s="9"/>
      <c r="U40" s="9"/>
      <c r="V40" s="9"/>
      <c r="W40" s="3"/>
      <c r="X40" s="9"/>
      <c r="Y40" s="9"/>
      <c r="Z40" s="9"/>
      <c r="AA40" s="9"/>
      <c r="AB40" s="9"/>
      <c r="AC40" s="9"/>
      <c r="AD40" s="9"/>
      <c r="AE40" s="9"/>
      <c r="AF40" s="9"/>
      <c r="AG40" s="9"/>
      <c r="AH40" s="9"/>
      <c r="AI40" s="10"/>
    </row>
    <row r="41" spans="2:35" ht="20.25">
      <c r="C41" s="11"/>
      <c r="D41" s="371" t="s">
        <v>560</v>
      </c>
      <c r="E41" s="371"/>
      <c r="F41" s="12" t="s">
        <v>572</v>
      </c>
      <c r="G41" s="12"/>
      <c r="H41" s="12"/>
      <c r="I41" s="12"/>
      <c r="J41" s="12"/>
      <c r="K41" s="12"/>
      <c r="L41" s="12"/>
      <c r="M41" s="12"/>
      <c r="N41" s="12"/>
      <c r="O41" s="12"/>
      <c r="P41" s="12"/>
      <c r="Q41" s="12"/>
      <c r="R41" s="12"/>
      <c r="S41" s="12"/>
      <c r="T41"/>
      <c r="U41" s="12"/>
      <c r="V41" s="12"/>
      <c r="W41" s="12"/>
      <c r="X41" s="12"/>
      <c r="Y41" s="12"/>
      <c r="Z41" s="12"/>
      <c r="AA41" s="12"/>
      <c r="AB41" s="12"/>
      <c r="AC41" s="12"/>
      <c r="AD41" s="12"/>
      <c r="AE41" s="12"/>
      <c r="AF41" s="12"/>
      <c r="AG41" s="12"/>
      <c r="AH41" s="12"/>
      <c r="AI41" s="14"/>
    </row>
    <row r="42" spans="2:35">
      <c r="C42" s="11"/>
      <c r="D42" s="821" t="s">
        <v>560</v>
      </c>
      <c r="E42" s="821"/>
      <c r="F42" s="541" t="s">
        <v>8</v>
      </c>
      <c r="G42" s="149" t="s">
        <v>573</v>
      </c>
      <c r="H42" s="33"/>
      <c r="I42" s="12"/>
      <c r="J42" s="541" t="s">
        <v>8</v>
      </c>
      <c r="K42" s="529">
        <f>I28</f>
        <v>485.4026910099887</v>
      </c>
      <c r="L42" s="529"/>
      <c r="M42" s="529"/>
      <c r="N42" s="16" t="s">
        <v>215</v>
      </c>
      <c r="O42" s="656">
        <v>1000</v>
      </c>
      <c r="P42" s="656"/>
      <c r="Q42" s="12"/>
      <c r="R42" s="541" t="s">
        <v>8</v>
      </c>
      <c r="S42" s="594">
        <f>K42*O42/K43/O43</f>
        <v>46.317050668892051</v>
      </c>
      <c r="T42" s="595"/>
      <c r="U42" s="12"/>
      <c r="V42" s="12"/>
      <c r="W42" s="12"/>
      <c r="X42" s="12"/>
      <c r="Y42" s="12"/>
      <c r="Z42" s="12"/>
      <c r="AA42" s="12"/>
      <c r="AB42" s="12"/>
      <c r="AC42" s="12"/>
      <c r="AD42" s="12"/>
      <c r="AE42" s="12"/>
      <c r="AF42" s="12"/>
      <c r="AG42" s="12"/>
      <c r="AH42" s="12"/>
      <c r="AI42" s="14"/>
    </row>
    <row r="43" spans="2:35">
      <c r="C43" s="11"/>
      <c r="D43" s="821"/>
      <c r="E43" s="821"/>
      <c r="F43" s="541"/>
      <c r="G43" s="34" t="s">
        <v>118</v>
      </c>
      <c r="H43" s="12"/>
      <c r="I43" s="12"/>
      <c r="J43" s="541"/>
      <c r="K43" s="745">
        <f>'1.設計条件'!T118</f>
        <v>104.8</v>
      </c>
      <c r="L43" s="745"/>
      <c r="M43" s="745"/>
      <c r="N43" s="12" t="s">
        <v>215</v>
      </c>
      <c r="O43" s="576">
        <v>100</v>
      </c>
      <c r="P43" s="576"/>
      <c r="Q43" s="12"/>
      <c r="R43" s="541"/>
      <c r="S43" s="596"/>
      <c r="T43" s="597"/>
      <c r="U43" s="12"/>
      <c r="V43" s="12"/>
      <c r="W43" s="12"/>
      <c r="X43" s="12"/>
      <c r="Y43" s="12"/>
      <c r="Z43" s="12"/>
      <c r="AA43" s="12"/>
      <c r="AB43" s="12"/>
      <c r="AC43" s="12"/>
      <c r="AD43" s="12"/>
      <c r="AE43" s="12"/>
      <c r="AF43" s="12"/>
      <c r="AG43" s="12"/>
      <c r="AH43" s="12"/>
      <c r="AI43" s="14"/>
    </row>
    <row r="44" spans="2:35">
      <c r="C44" s="11"/>
      <c r="D44" s="148"/>
      <c r="E44" s="148"/>
      <c r="F44" s="27"/>
      <c r="G44" s="34"/>
      <c r="H44" s="12"/>
      <c r="I44" s="12"/>
      <c r="J44" s="27"/>
      <c r="K44" s="23"/>
      <c r="L44" s="23"/>
      <c r="M44" s="23"/>
      <c r="N44" s="12"/>
      <c r="O44" s="26"/>
      <c r="P44" s="26"/>
      <c r="Q44" s="12"/>
      <c r="R44" s="27"/>
      <c r="S44" s="27"/>
      <c r="T44" s="27"/>
      <c r="U44" s="12"/>
      <c r="V44" s="12"/>
      <c r="W44" s="12"/>
      <c r="X44" s="12"/>
      <c r="Y44" s="12"/>
      <c r="Z44" s="12"/>
      <c r="AA44" s="12"/>
      <c r="AB44" s="12"/>
      <c r="AC44" s="12"/>
      <c r="AD44" s="12"/>
      <c r="AE44" s="12"/>
      <c r="AF44" s="12"/>
      <c r="AG44" s="12"/>
      <c r="AH44" s="12"/>
      <c r="AI44" s="14"/>
    </row>
    <row r="45" spans="2:35">
      <c r="C45" s="11"/>
      <c r="D45" s="148"/>
      <c r="E45" s="148"/>
      <c r="F45" s="27"/>
      <c r="G45" s="34"/>
      <c r="H45" s="12"/>
      <c r="I45" s="12"/>
      <c r="J45" s="27"/>
      <c r="K45" s="23"/>
      <c r="L45" s="23"/>
      <c r="M45" s="23"/>
      <c r="N45" s="12"/>
      <c r="O45" s="26"/>
      <c r="P45" s="26"/>
      <c r="Q45" s="12"/>
      <c r="R45" s="27"/>
      <c r="S45" s="27"/>
      <c r="T45" s="27"/>
      <c r="U45" s="12"/>
      <c r="V45" s="12"/>
      <c r="W45" s="12"/>
      <c r="X45" s="12"/>
      <c r="Y45" s="12"/>
      <c r="Z45" s="12"/>
      <c r="AA45" s="12"/>
      <c r="AB45" s="12"/>
      <c r="AC45" s="12"/>
      <c r="AD45" s="12"/>
      <c r="AE45" s="12"/>
      <c r="AF45" s="12"/>
      <c r="AG45" s="12"/>
      <c r="AH45" s="12"/>
      <c r="AI45" s="14"/>
    </row>
    <row r="46" spans="2:35" ht="20.25">
      <c r="C46" s="11"/>
      <c r="D46" s="371" t="s">
        <v>665</v>
      </c>
      <c r="E46" s="371"/>
      <c r="F46" s="12" t="s">
        <v>666</v>
      </c>
      <c r="G46" s="12"/>
      <c r="H46" s="12"/>
      <c r="I46" s="12"/>
      <c r="J46" s="12"/>
      <c r="K46" s="12"/>
      <c r="L46" s="12"/>
      <c r="M46" s="12"/>
      <c r="N46" s="12"/>
      <c r="O46" s="12"/>
      <c r="P46" s="12"/>
      <c r="Q46" s="12"/>
      <c r="R46" s="12"/>
      <c r="S46" s="12"/>
      <c r="T46"/>
      <c r="U46" s="12"/>
      <c r="V46" s="12"/>
      <c r="W46" s="12"/>
      <c r="X46" s="12"/>
      <c r="Y46" s="12"/>
      <c r="Z46" s="12"/>
      <c r="AA46" s="12"/>
      <c r="AB46" s="12"/>
      <c r="AC46" s="12"/>
      <c r="AD46" s="12"/>
      <c r="AE46" s="12"/>
      <c r="AF46" s="12"/>
      <c r="AG46" s="12"/>
      <c r="AH46" s="12"/>
      <c r="AI46" s="14"/>
    </row>
    <row r="47" spans="2:35">
      <c r="C47" s="11"/>
      <c r="D47" s="12"/>
      <c r="E47" s="12"/>
      <c r="F47" s="34"/>
      <c r="G47" s="539" t="s">
        <v>350</v>
      </c>
      <c r="H47" s="539"/>
      <c r="I47" s="113" t="s">
        <v>667</v>
      </c>
      <c r="J47" s="113"/>
      <c r="K47" s="113"/>
      <c r="L47" s="12"/>
      <c r="M47" s="12"/>
      <c r="N47" s="26"/>
      <c r="O47" s="26"/>
      <c r="P47" s="12"/>
      <c r="Q47" s="12"/>
      <c r="R47" s="12"/>
      <c r="U47" s="12"/>
      <c r="V47" s="12"/>
      <c r="W47" s="12"/>
      <c r="X47" s="12"/>
      <c r="Y47" s="12"/>
      <c r="Z47" s="12"/>
      <c r="AA47" s="12"/>
      <c r="AB47" s="12"/>
      <c r="AC47" s="12"/>
      <c r="AD47" s="12"/>
      <c r="AE47" s="12"/>
      <c r="AF47" s="12"/>
      <c r="AG47" s="12"/>
      <c r="AH47" s="12"/>
      <c r="AI47" s="14"/>
    </row>
    <row r="48" spans="2:35" ht="20.25">
      <c r="C48" s="11"/>
      <c r="D48" s="12"/>
      <c r="E48" s="12"/>
      <c r="F48" s="34"/>
      <c r="G48" s="34"/>
      <c r="H48" s="541" t="s">
        <v>350</v>
      </c>
      <c r="I48" s="541"/>
      <c r="J48" s="541" t="s">
        <v>8</v>
      </c>
      <c r="K48" s="558" t="s">
        <v>139</v>
      </c>
      <c r="L48" s="558"/>
      <c r="M48" s="16" t="s">
        <v>438</v>
      </c>
      <c r="N48" s="777" t="s">
        <v>668</v>
      </c>
      <c r="O48" s="777"/>
      <c r="P48" s="17" t="s">
        <v>236</v>
      </c>
      <c r="Q48" s="370">
        <v>2</v>
      </c>
      <c r="R48" s="541" t="s">
        <v>8</v>
      </c>
      <c r="S48" s="556">
        <f>N17</f>
        <v>1.5</v>
      </c>
      <c r="T48" s="556"/>
      <c r="U48" s="16" t="s">
        <v>438</v>
      </c>
      <c r="V48" s="556">
        <f>'1.設計条件'!N75/1000</f>
        <v>0.35</v>
      </c>
      <c r="W48" s="556"/>
      <c r="X48" s="17" t="s">
        <v>236</v>
      </c>
      <c r="Y48" s="370">
        <v>2</v>
      </c>
      <c r="Z48" s="12"/>
      <c r="AA48" s="12"/>
      <c r="AB48" s="12"/>
      <c r="AC48" s="12"/>
      <c r="AD48" s="12"/>
      <c r="AE48" s="12"/>
      <c r="AF48" s="12"/>
      <c r="AG48" s="12"/>
      <c r="AH48" s="12"/>
      <c r="AI48" s="14"/>
    </row>
    <row r="49" spans="3:35">
      <c r="C49" s="11"/>
      <c r="D49" s="12"/>
      <c r="E49" s="12"/>
      <c r="H49" s="541"/>
      <c r="I49" s="541"/>
      <c r="J49" s="541"/>
      <c r="K49" s="135"/>
      <c r="M49" s="539" t="s">
        <v>663</v>
      </c>
      <c r="N49" s="539"/>
      <c r="O49" s="539"/>
      <c r="P49" s="12"/>
      <c r="Q49" s="12"/>
      <c r="R49" s="541"/>
      <c r="U49" s="555">
        <f>COS(N20/180*PI())</f>
        <v>0.70710678118654757</v>
      </c>
      <c r="V49" s="555"/>
      <c r="W49" s="12"/>
      <c r="X49" s="12"/>
      <c r="Y49" s="12"/>
      <c r="Z49" s="12"/>
      <c r="AA49" s="12"/>
      <c r="AB49" s="12"/>
      <c r="AC49" s="12"/>
      <c r="AD49" s="12"/>
      <c r="AE49" s="12"/>
      <c r="AF49" s="12"/>
      <c r="AG49" s="12"/>
      <c r="AH49" s="12"/>
      <c r="AI49" s="14"/>
    </row>
    <row r="50" spans="3:35">
      <c r="C50" s="11"/>
      <c r="D50" s="12"/>
      <c r="E50" s="12"/>
      <c r="F50" s="34"/>
      <c r="G50" s="34"/>
      <c r="H50" s="13"/>
      <c r="I50" s="13"/>
      <c r="J50" s="12" t="s">
        <v>8</v>
      </c>
      <c r="K50" s="551">
        <f>(S48-V48/Y48)/U49</f>
        <v>1.8738329701443508</v>
      </c>
      <c r="L50" s="547"/>
      <c r="M50" s="36" t="s">
        <v>9</v>
      </c>
      <c r="N50" s="12"/>
      <c r="O50" s="30"/>
      <c r="P50" s="12"/>
      <c r="Q50" s="12"/>
      <c r="R50" s="12"/>
      <c r="S50" s="12"/>
      <c r="T50"/>
      <c r="U50" s="12"/>
      <c r="V50" s="12"/>
      <c r="W50" s="12"/>
      <c r="X50" s="12"/>
      <c r="Y50" s="12"/>
      <c r="Z50" s="12"/>
      <c r="AA50" s="12"/>
      <c r="AB50" s="12"/>
      <c r="AC50" s="12"/>
      <c r="AD50" s="12"/>
      <c r="AE50" s="12"/>
      <c r="AF50" s="12"/>
      <c r="AG50" s="12"/>
      <c r="AH50" s="12"/>
      <c r="AI50" s="14"/>
    </row>
    <row r="51" spans="3:35">
      <c r="C51" s="11"/>
      <c r="D51" s="12"/>
      <c r="E51" s="12"/>
      <c r="F51" s="34"/>
      <c r="G51" s="34"/>
      <c r="H51" s="13"/>
      <c r="I51" s="13"/>
      <c r="J51" s="12"/>
      <c r="K51" s="13"/>
      <c r="L51" s="13"/>
      <c r="M51" s="36"/>
      <c r="N51" s="12"/>
      <c r="O51" s="30"/>
      <c r="P51" s="12"/>
      <c r="Q51" s="12"/>
      <c r="R51" s="12"/>
      <c r="S51" s="12"/>
      <c r="T51"/>
      <c r="U51" s="12"/>
      <c r="V51" s="12"/>
      <c r="W51" s="12"/>
      <c r="X51" s="12"/>
      <c r="Y51" s="12"/>
      <c r="Z51" s="12"/>
      <c r="AA51" s="12"/>
      <c r="AB51" s="12"/>
      <c r="AC51" s="12"/>
      <c r="AD51" s="12"/>
      <c r="AE51" s="12"/>
      <c r="AF51" s="12"/>
      <c r="AG51" s="12"/>
      <c r="AH51" s="12"/>
      <c r="AI51" s="14"/>
    </row>
    <row r="52" spans="3:35">
      <c r="C52" s="11"/>
      <c r="D52" s="12"/>
      <c r="E52" s="12"/>
      <c r="F52" s="34"/>
      <c r="G52" s="12" t="s">
        <v>586</v>
      </c>
      <c r="H52" s="12"/>
      <c r="I52" s="12"/>
      <c r="J52" s="12"/>
      <c r="K52" s="12"/>
      <c r="L52" s="12"/>
      <c r="M52" s="33"/>
      <c r="N52" s="12"/>
      <c r="O52" s="30"/>
      <c r="P52" s="12"/>
      <c r="Q52" s="12"/>
      <c r="R52" s="12"/>
      <c r="S52" s="12"/>
      <c r="T52"/>
      <c r="U52" s="12"/>
      <c r="V52" s="12"/>
      <c r="W52" s="12"/>
      <c r="X52" s="12"/>
      <c r="Y52" s="12"/>
      <c r="Z52" s="12"/>
      <c r="AA52" s="12"/>
      <c r="AB52" s="12"/>
      <c r="AC52" s="12"/>
      <c r="AD52" s="12"/>
      <c r="AE52" s="12"/>
      <c r="AF52" s="12"/>
      <c r="AG52" s="12"/>
      <c r="AH52" s="12"/>
      <c r="AI52" s="14"/>
    </row>
    <row r="53" spans="3:35">
      <c r="C53" s="11"/>
      <c r="D53" s="12"/>
      <c r="E53" s="12"/>
      <c r="F53" s="34"/>
      <c r="G53" s="34"/>
      <c r="H53" s="16" t="s">
        <v>350</v>
      </c>
      <c r="I53" s="541" t="s">
        <v>8</v>
      </c>
      <c r="J53" s="556">
        <f>K50</f>
        <v>1.8738329701443508</v>
      </c>
      <c r="K53" s="556"/>
      <c r="L53" s="16" t="s">
        <v>215</v>
      </c>
      <c r="M53" s="866">
        <v>1000</v>
      </c>
      <c r="N53" s="866"/>
      <c r="O53" s="866"/>
      <c r="P53" s="12"/>
      <c r="Q53" s="541" t="s">
        <v>8</v>
      </c>
      <c r="R53" s="594">
        <f>J53*M53/J54/M54</f>
        <v>24.951171373426778</v>
      </c>
      <c r="S53" s="595"/>
      <c r="T53"/>
      <c r="U53" s="12"/>
      <c r="V53" s="12"/>
      <c r="W53" s="12"/>
      <c r="X53" s="12"/>
      <c r="Y53" s="12"/>
      <c r="Z53" s="12"/>
      <c r="AA53" s="12"/>
      <c r="AB53" s="12"/>
      <c r="AC53" s="12"/>
      <c r="AD53" s="12"/>
      <c r="AE53" s="12"/>
      <c r="AF53" s="12"/>
      <c r="AG53" s="12"/>
      <c r="AH53" s="12"/>
      <c r="AI53" s="14"/>
    </row>
    <row r="54" spans="3:35">
      <c r="C54" s="11"/>
      <c r="D54" s="12"/>
      <c r="E54" s="12"/>
      <c r="F54" s="34"/>
      <c r="G54" s="34"/>
      <c r="H54" s="33" t="s">
        <v>122</v>
      </c>
      <c r="I54" s="541"/>
      <c r="J54" s="887">
        <f>'1.設計条件'!T120</f>
        <v>7.51</v>
      </c>
      <c r="K54" s="887"/>
      <c r="L54" s="12" t="s">
        <v>215</v>
      </c>
      <c r="M54" s="858">
        <v>10</v>
      </c>
      <c r="N54" s="858"/>
      <c r="O54" s="858"/>
      <c r="P54" s="12"/>
      <c r="Q54" s="541"/>
      <c r="R54" s="596"/>
      <c r="S54" s="597"/>
      <c r="T54"/>
      <c r="U54" s="12"/>
      <c r="V54" s="12"/>
      <c r="W54" s="12"/>
      <c r="X54" s="12"/>
      <c r="Y54" s="12"/>
      <c r="Z54" s="12"/>
      <c r="AA54" s="12"/>
      <c r="AB54" s="12"/>
      <c r="AC54" s="12"/>
      <c r="AD54" s="12"/>
      <c r="AE54" s="12"/>
      <c r="AF54" s="12"/>
      <c r="AG54" s="12"/>
      <c r="AH54" s="12"/>
      <c r="AI54" s="14"/>
    </row>
    <row r="55" spans="3:35">
      <c r="C55" s="11"/>
      <c r="D55" s="12"/>
      <c r="E55" s="12"/>
      <c r="F55" s="34"/>
      <c r="G55" s="34"/>
      <c r="H55" s="33"/>
      <c r="I55" s="27"/>
      <c r="J55" s="135"/>
      <c r="K55" s="135"/>
      <c r="L55" s="12"/>
      <c r="M55" s="145"/>
      <c r="N55" s="145"/>
      <c r="O55" s="12"/>
      <c r="P55" s="12"/>
      <c r="Q55" s="31"/>
      <c r="R55" s="31"/>
      <c r="S55" s="12"/>
      <c r="T55"/>
      <c r="U55" s="12"/>
      <c r="V55" s="12"/>
      <c r="W55" s="12"/>
      <c r="X55" s="12"/>
      <c r="Y55" s="12"/>
      <c r="Z55" s="12"/>
      <c r="AA55" s="12"/>
      <c r="AB55" s="12"/>
      <c r="AC55" s="12"/>
      <c r="AD55" s="12"/>
      <c r="AE55" s="12"/>
      <c r="AF55" s="12"/>
      <c r="AG55" s="12"/>
      <c r="AH55" s="12"/>
      <c r="AI55" s="14"/>
    </row>
    <row r="56" spans="3:35" s="205" customFormat="1">
      <c r="C56" s="239"/>
      <c r="D56" s="113"/>
      <c r="E56" s="908" t="s">
        <v>587</v>
      </c>
      <c r="F56" s="908"/>
      <c r="G56" s="908"/>
      <c r="H56" s="908"/>
      <c r="I56" s="908"/>
      <c r="J56" s="908"/>
      <c r="K56" s="908"/>
      <c r="L56" s="908"/>
      <c r="M56" s="908"/>
      <c r="N56" s="908"/>
      <c r="O56" s="242">
        <v>18</v>
      </c>
      <c r="P56" s="113" t="s">
        <v>329</v>
      </c>
      <c r="Q56" s="754" t="s">
        <v>588</v>
      </c>
      <c r="R56" s="754"/>
      <c r="S56" s="113" t="s">
        <v>563</v>
      </c>
      <c r="T56" s="246">
        <v>92</v>
      </c>
      <c r="U56" s="257" t="s">
        <v>589</v>
      </c>
      <c r="V56" s="113"/>
      <c r="W56" s="113" t="s">
        <v>590</v>
      </c>
      <c r="X56" s="113"/>
      <c r="Y56" s="113"/>
      <c r="Z56" s="113"/>
      <c r="AA56" s="113"/>
      <c r="AB56" s="113"/>
      <c r="AC56" s="113"/>
      <c r="AD56" s="113"/>
      <c r="AE56" s="113"/>
      <c r="AF56" s="113"/>
      <c r="AG56" s="113"/>
      <c r="AH56" s="113"/>
      <c r="AI56" s="240"/>
    </row>
    <row r="57" spans="3:35">
      <c r="C57" s="11"/>
      <c r="D57" s="821" t="s">
        <v>669</v>
      </c>
      <c r="E57" s="821"/>
      <c r="F57" s="31" t="s">
        <v>8</v>
      </c>
      <c r="G57" s="136" t="s">
        <v>592</v>
      </c>
      <c r="H57" s="867">
        <v>140</v>
      </c>
      <c r="I57" s="867"/>
      <c r="J57" s="136" t="s">
        <v>438</v>
      </c>
      <c r="K57" s="762">
        <v>0.82</v>
      </c>
      <c r="L57" s="762"/>
      <c r="M57" s="136" t="s">
        <v>216</v>
      </c>
      <c r="N57" s="539" t="s">
        <v>350</v>
      </c>
      <c r="O57" s="539"/>
      <c r="P57" s="135" t="s">
        <v>236</v>
      </c>
      <c r="Q57" s="33" t="s">
        <v>122</v>
      </c>
      <c r="R57" s="12" t="s">
        <v>438</v>
      </c>
      <c r="S57" s="752">
        <v>18</v>
      </c>
      <c r="T57" s="752"/>
      <c r="U57" s="26" t="s">
        <v>593</v>
      </c>
      <c r="V57" s="26" t="s">
        <v>215</v>
      </c>
      <c r="W57" s="541">
        <v>1.5</v>
      </c>
      <c r="X57" s="541"/>
      <c r="Y57" s="12"/>
      <c r="Z57" s="12"/>
      <c r="AA57" s="12"/>
      <c r="AB57" s="12"/>
      <c r="AC57" s="12"/>
      <c r="AD57" s="12"/>
      <c r="AE57" s="12"/>
      <c r="AF57" s="26"/>
      <c r="AG57" s="26"/>
      <c r="AH57" s="26"/>
      <c r="AI57" s="14"/>
    </row>
    <row r="58" spans="3:35">
      <c r="C58" s="11"/>
      <c r="D58" s="152"/>
      <c r="E58" s="152"/>
      <c r="F58" s="31" t="s">
        <v>8</v>
      </c>
      <c r="G58" s="136" t="s">
        <v>592</v>
      </c>
      <c r="H58" s="867">
        <v>140</v>
      </c>
      <c r="I58" s="867"/>
      <c r="J58" s="136" t="s">
        <v>438</v>
      </c>
      <c r="K58" s="762">
        <v>0.82</v>
      </c>
      <c r="L58" s="762"/>
      <c r="M58" s="136" t="s">
        <v>216</v>
      </c>
      <c r="N58" s="539">
        <f>R53</f>
        <v>24.951171373426778</v>
      </c>
      <c r="O58" s="539"/>
      <c r="P58" s="539"/>
      <c r="Q58" s="539"/>
      <c r="R58" s="12" t="s">
        <v>438</v>
      </c>
      <c r="S58" s="752">
        <v>18</v>
      </c>
      <c r="T58" s="752"/>
      <c r="U58" s="26" t="s">
        <v>593</v>
      </c>
      <c r="V58" s="26" t="s">
        <v>215</v>
      </c>
      <c r="W58" s="541">
        <v>1.5</v>
      </c>
      <c r="X58" s="541"/>
      <c r="Y58" s="12"/>
      <c r="Z58" s="12"/>
      <c r="AA58" s="12"/>
      <c r="AB58" s="12"/>
      <c r="AC58" s="12"/>
      <c r="AD58" s="12"/>
      <c r="AE58" s="12"/>
      <c r="AF58" s="26"/>
      <c r="AG58" s="26"/>
      <c r="AH58" s="26"/>
      <c r="AI58" s="14"/>
    </row>
    <row r="59" spans="3:35" ht="20.25">
      <c r="C59" s="11"/>
      <c r="D59" s="12"/>
      <c r="E59" s="12"/>
      <c r="F59" s="34" t="s">
        <v>8</v>
      </c>
      <c r="G59" s="909">
        <f>(H58-K58*(N58-S58))*W58</f>
        <v>201.45005921068505</v>
      </c>
      <c r="H59" s="910"/>
      <c r="I59" s="911"/>
      <c r="J59" s="151" t="s">
        <v>82</v>
      </c>
      <c r="K59" s="135"/>
      <c r="L59" s="12"/>
      <c r="M59" s="145"/>
      <c r="N59" s="145"/>
      <c r="O59" s="145"/>
      <c r="P59" s="12"/>
      <c r="Q59" s="27"/>
      <c r="R59" s="27"/>
      <c r="S59" s="27"/>
      <c r="T59"/>
      <c r="U59" s="12"/>
      <c r="V59" s="12"/>
      <c r="W59" s="12"/>
      <c r="X59" s="12"/>
      <c r="Y59" s="12"/>
      <c r="Z59" s="12"/>
      <c r="AA59" s="12"/>
      <c r="AB59" s="12"/>
      <c r="AC59" s="12"/>
      <c r="AD59" s="12"/>
      <c r="AE59" s="12"/>
      <c r="AF59" s="12"/>
      <c r="AG59" s="12"/>
      <c r="AH59" s="12"/>
      <c r="AI59" s="14"/>
    </row>
    <row r="60" spans="3:35">
      <c r="C60" s="11"/>
      <c r="D60" s="12"/>
      <c r="E60" s="12"/>
      <c r="F60" s="12"/>
      <c r="G60" s="12"/>
      <c r="H60" s="12"/>
      <c r="I60" s="34"/>
      <c r="J60" s="135"/>
      <c r="K60" s="135"/>
      <c r="L60" s="135"/>
      <c r="M60" s="151"/>
      <c r="N60" s="135"/>
      <c r="O60" s="12"/>
      <c r="P60" s="145"/>
      <c r="Q60" s="145"/>
      <c r="R60" s="145"/>
      <c r="S60" s="12"/>
      <c r="T60" s="27"/>
      <c r="U60" s="27"/>
      <c r="V60" s="27"/>
      <c r="W60"/>
      <c r="X60" s="12"/>
      <c r="Y60" s="12"/>
      <c r="Z60" s="12"/>
      <c r="AA60" s="12"/>
      <c r="AB60" s="12"/>
      <c r="AC60" s="12"/>
      <c r="AD60" s="12"/>
      <c r="AE60" s="12"/>
      <c r="AF60" s="12"/>
      <c r="AG60" s="12"/>
      <c r="AH60" s="12"/>
      <c r="AI60" s="14"/>
    </row>
    <row r="61" spans="3:35">
      <c r="C61" s="11"/>
      <c r="D61" s="12"/>
      <c r="E61" s="12"/>
      <c r="F61" s="12"/>
      <c r="G61" s="12"/>
      <c r="H61" s="12"/>
      <c r="I61" s="34"/>
      <c r="J61" s="135"/>
      <c r="K61" s="135"/>
      <c r="L61" s="135"/>
      <c r="M61" s="151"/>
      <c r="N61" s="135"/>
      <c r="O61" s="12"/>
      <c r="P61" s="145"/>
      <c r="Q61" s="145"/>
      <c r="R61" s="145"/>
      <c r="S61" s="12"/>
      <c r="T61" s="27"/>
      <c r="U61" s="27"/>
      <c r="V61" s="27"/>
      <c r="W61"/>
      <c r="X61" s="12"/>
      <c r="Y61" s="12"/>
      <c r="Z61" s="12"/>
      <c r="AA61" s="12"/>
      <c r="AB61" s="12"/>
      <c r="AC61" s="12"/>
      <c r="AD61" s="12"/>
      <c r="AE61" s="12"/>
      <c r="AF61" s="12"/>
      <c r="AG61" s="12"/>
      <c r="AH61" s="12"/>
      <c r="AI61" s="14"/>
    </row>
    <row r="62" spans="3:35">
      <c r="C62" s="11"/>
      <c r="D62" s="12" t="s">
        <v>262</v>
      </c>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4"/>
    </row>
    <row r="63" spans="3:35">
      <c r="C63" s="11"/>
      <c r="D63" s="12"/>
      <c r="E63" s="926" t="s">
        <v>560</v>
      </c>
      <c r="F63" s="927"/>
      <c r="G63" s="29" t="s">
        <v>8</v>
      </c>
      <c r="H63" s="910">
        <f>S42</f>
        <v>46.317050668892051</v>
      </c>
      <c r="I63" s="910"/>
      <c r="J63" s="911"/>
      <c r="K63" s="12"/>
      <c r="L63" s="12" t="str">
        <f>IF(H63&lt;=Q63, "≦","&gt;")</f>
        <v>≦</v>
      </c>
      <c r="N63" s="931" t="s">
        <v>665</v>
      </c>
      <c r="O63" s="932"/>
      <c r="P63" s="29" t="s">
        <v>8</v>
      </c>
      <c r="Q63" s="526">
        <f>G59</f>
        <v>201.45005921068505</v>
      </c>
      <c r="R63" s="526"/>
      <c r="S63" s="527"/>
      <c r="V63" s="12"/>
      <c r="W63"/>
      <c r="X63" s="12"/>
      <c r="Y63" s="525" t="str">
        <f>IF(L63="≦","OK","NG")</f>
        <v>OK</v>
      </c>
      <c r="Z63" s="526"/>
      <c r="AA63" s="527"/>
      <c r="AB63" s="12"/>
      <c r="AC63" s="12"/>
      <c r="AD63" s="12"/>
      <c r="AE63" s="12"/>
      <c r="AF63" s="12"/>
      <c r="AG63" s="12"/>
      <c r="AH63" s="12"/>
      <c r="AI63" s="14"/>
    </row>
    <row r="64" spans="3:35">
      <c r="C64" s="11"/>
      <c r="D64" s="12"/>
      <c r="V64" s="12"/>
      <c r="W64" s="12"/>
      <c r="X64" s="12"/>
      <c r="Y64" s="12"/>
      <c r="Z64" s="12"/>
      <c r="AA64" s="12"/>
      <c r="AB64" s="12"/>
      <c r="AC64" s="12"/>
      <c r="AD64" s="12"/>
      <c r="AE64" s="12"/>
      <c r="AF64" s="12"/>
      <c r="AG64" s="12"/>
      <c r="AH64" s="12"/>
      <c r="AI64" s="14"/>
    </row>
    <row r="65" spans="2:35">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8"/>
    </row>
    <row r="67" spans="2:35">
      <c r="B67" s="1" t="s">
        <v>670</v>
      </c>
      <c r="C67" s="12"/>
      <c r="D67" s="12"/>
      <c r="E67" s="12"/>
      <c r="F67" s="12"/>
      <c r="G67" s="12"/>
      <c r="H67" s="12"/>
      <c r="I67" s="13"/>
      <c r="J67" s="13"/>
      <c r="K67" s="13"/>
      <c r="L67" s="12"/>
      <c r="M67" s="12"/>
      <c r="N67" s="12"/>
      <c r="O67" s="12"/>
      <c r="P67" s="12"/>
      <c r="Q67" s="12"/>
      <c r="R67" s="12"/>
      <c r="S67" s="12"/>
      <c r="T67" s="12"/>
      <c r="U67" s="31"/>
      <c r="V67" s="13"/>
      <c r="W67" s="13"/>
      <c r="X67" s="13"/>
      <c r="Y67" s="12"/>
      <c r="Z67" s="12"/>
      <c r="AA67" s="12"/>
      <c r="AB67" s="12"/>
      <c r="AC67" s="12"/>
      <c r="AD67" s="12"/>
      <c r="AE67" s="12"/>
      <c r="AF67" s="12"/>
      <c r="AG67" s="12"/>
      <c r="AH67" s="12"/>
      <c r="AI67" s="12"/>
    </row>
    <row r="68" spans="2:35">
      <c r="C68" s="8"/>
      <c r="D68" s="9"/>
      <c r="E68" s="9"/>
      <c r="F68" s="9"/>
      <c r="G68" s="9"/>
      <c r="H68" s="9"/>
      <c r="I68" s="9"/>
      <c r="J68" s="9"/>
      <c r="K68" s="9"/>
      <c r="L68" s="9"/>
      <c r="M68" s="9"/>
      <c r="N68" s="9"/>
      <c r="O68" s="9"/>
      <c r="P68" s="9"/>
      <c r="Q68" s="9"/>
      <c r="R68" s="9"/>
      <c r="S68" s="9"/>
      <c r="T68" s="9"/>
      <c r="U68" s="9"/>
      <c r="V68" s="9"/>
      <c r="W68" s="3"/>
      <c r="X68" s="9"/>
      <c r="Y68" s="9"/>
      <c r="Z68" s="9"/>
      <c r="AA68" s="9"/>
      <c r="AB68" s="9"/>
      <c r="AC68" s="9"/>
      <c r="AD68" s="9"/>
      <c r="AE68" s="9"/>
      <c r="AF68" s="9"/>
      <c r="AG68" s="9"/>
      <c r="AH68" s="9"/>
      <c r="AI68" s="10"/>
    </row>
    <row r="69" spans="2:35">
      <c r="C69" s="11"/>
      <c r="D69" s="12" t="s">
        <v>671</v>
      </c>
      <c r="V69" s="12"/>
      <c r="W69" s="12"/>
      <c r="X69" s="12"/>
      <c r="Y69" s="12"/>
      <c r="Z69" s="12"/>
      <c r="AA69" s="12"/>
      <c r="AB69" s="12"/>
      <c r="AC69" s="12"/>
      <c r="AD69" s="12"/>
      <c r="AE69" s="12"/>
      <c r="AF69" s="12"/>
      <c r="AG69" s="12"/>
      <c r="AH69" s="12"/>
      <c r="AI69" s="14"/>
    </row>
    <row r="70" spans="2:35">
      <c r="C70" s="15"/>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8"/>
    </row>
  </sheetData>
  <sheetProtection sheet="1" objects="1" scenarios="1"/>
  <mergeCells count="117">
    <mergeCell ref="Y63:AA63"/>
    <mergeCell ref="E63:F63"/>
    <mergeCell ref="V18:W18"/>
    <mergeCell ref="AA18:AC18"/>
    <mergeCell ref="N19:P19"/>
    <mergeCell ref="D20:J20"/>
    <mergeCell ref="K20:L20"/>
    <mergeCell ref="N20:P20"/>
    <mergeCell ref="D17:J17"/>
    <mergeCell ref="K17:L17"/>
    <mergeCell ref="D18:J18"/>
    <mergeCell ref="K18:L18"/>
    <mergeCell ref="N18:O18"/>
    <mergeCell ref="S35:T35"/>
    <mergeCell ref="H63:J63"/>
    <mergeCell ref="N63:O63"/>
    <mergeCell ref="Q63:S63"/>
    <mergeCell ref="G59:I59"/>
    <mergeCell ref="K48:L48"/>
    <mergeCell ref="K50:L50"/>
    <mergeCell ref="G47:H47"/>
    <mergeCell ref="S48:T48"/>
    <mergeCell ref="W57:X57"/>
    <mergeCell ref="H58:I58"/>
    <mergeCell ref="K58:L58"/>
    <mergeCell ref="N58:Q58"/>
    <mergeCell ref="S58:T58"/>
    <mergeCell ref="W58:X58"/>
    <mergeCell ref="R53:S54"/>
    <mergeCell ref="J54:K54"/>
    <mergeCell ref="M54:O54"/>
    <mergeCell ref="E56:N56"/>
    <mergeCell ref="Q56:R56"/>
    <mergeCell ref="D57:E57"/>
    <mergeCell ref="H57:I57"/>
    <mergeCell ref="K57:L57"/>
    <mergeCell ref="N57:O57"/>
    <mergeCell ref="S57:T57"/>
    <mergeCell ref="I53:I54"/>
    <mergeCell ref="J53:K53"/>
    <mergeCell ref="M53:O53"/>
    <mergeCell ref="Q53:Q54"/>
    <mergeCell ref="U49:V49"/>
    <mergeCell ref="D46:E46"/>
    <mergeCell ref="S42:T43"/>
    <mergeCell ref="K43:M43"/>
    <mergeCell ref="O43:P43"/>
    <mergeCell ref="D42:E43"/>
    <mergeCell ref="F42:F43"/>
    <mergeCell ref="J42:J43"/>
    <mergeCell ref="K42:M42"/>
    <mergeCell ref="O42:P42"/>
    <mergeCell ref="R42:R43"/>
    <mergeCell ref="M49:O49"/>
    <mergeCell ref="N48:O48"/>
    <mergeCell ref="J48:J49"/>
    <mergeCell ref="R48:R49"/>
    <mergeCell ref="V48:W48"/>
    <mergeCell ref="H48:I49"/>
    <mergeCell ref="D41:E41"/>
    <mergeCell ref="M35:Q35"/>
    <mergeCell ref="I36:K36"/>
    <mergeCell ref="T32:T33"/>
    <mergeCell ref="U32:V33"/>
    <mergeCell ref="L33:P33"/>
    <mergeCell ref="H34:H35"/>
    <mergeCell ref="I34:K35"/>
    <mergeCell ref="L34:L35"/>
    <mergeCell ref="M34:N34"/>
    <mergeCell ref="P34:Q34"/>
    <mergeCell ref="U34:U35"/>
    <mergeCell ref="V34:X35"/>
    <mergeCell ref="F32:G33"/>
    <mergeCell ref="H32:H33"/>
    <mergeCell ref="I32:J33"/>
    <mergeCell ref="K32:K33"/>
    <mergeCell ref="L32:M32"/>
    <mergeCell ref="O32:P32"/>
    <mergeCell ref="Q32:Q33"/>
    <mergeCell ref="R32:S32"/>
    <mergeCell ref="R33:S33"/>
    <mergeCell ref="R34:R35"/>
    <mergeCell ref="S34:T34"/>
    <mergeCell ref="M27:Q27"/>
    <mergeCell ref="I28:K28"/>
    <mergeCell ref="T24:T25"/>
    <mergeCell ref="U24:V25"/>
    <mergeCell ref="L25:P25"/>
    <mergeCell ref="H26:H27"/>
    <mergeCell ref="I26:K27"/>
    <mergeCell ref="L26:L27"/>
    <mergeCell ref="M26:N26"/>
    <mergeCell ref="P26:Q26"/>
    <mergeCell ref="U26:U27"/>
    <mergeCell ref="V26:X27"/>
    <mergeCell ref="R26:R27"/>
    <mergeCell ref="S26:T26"/>
    <mergeCell ref="S27:T27"/>
    <mergeCell ref="F24:G25"/>
    <mergeCell ref="H24:H25"/>
    <mergeCell ref="I24:J25"/>
    <mergeCell ref="K24:K25"/>
    <mergeCell ref="L24:M24"/>
    <mergeCell ref="O24:P24"/>
    <mergeCell ref="Q24:Q25"/>
    <mergeCell ref="R25:S25"/>
    <mergeCell ref="R24:S24"/>
    <mergeCell ref="M11:N11"/>
    <mergeCell ref="P11:Q11"/>
    <mergeCell ref="N17:P17"/>
    <mergeCell ref="K16:L16"/>
    <mergeCell ref="N16:P16"/>
    <mergeCell ref="R18:S18"/>
    <mergeCell ref="H5:I5"/>
    <mergeCell ref="K5:M5"/>
    <mergeCell ref="H6:I6"/>
    <mergeCell ref="K6:M6"/>
  </mergeCells>
  <phoneticPr fontId="3"/>
  <pageMargins left="0.70866141732283472" right="0.70866141732283472"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85EE-7343-4A74-AA82-1EB5C2575E85}">
  <dimension ref="A2:AH24"/>
  <sheetViews>
    <sheetView showGridLines="0" view="pageBreakPreview" zoomScale="80" zoomScaleNormal="100" zoomScaleSheetLayoutView="80" workbookViewId="0"/>
  </sheetViews>
  <sheetFormatPr defaultRowHeight="18.75"/>
  <cols>
    <col min="1" max="36" width="3" style="1" customWidth="1"/>
    <col min="37" max="16384" width="9" style="1"/>
  </cols>
  <sheetData>
    <row r="2" spans="1:34">
      <c r="A2" s="1" t="s">
        <v>672</v>
      </c>
    </row>
    <row r="3" spans="1:34">
      <c r="B3" s="12" t="s">
        <v>673</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12"/>
      <c r="B4" s="12"/>
      <c r="C4" s="8"/>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10"/>
    </row>
    <row r="5" spans="1:34">
      <c r="A5" s="12"/>
      <c r="B5" s="12"/>
      <c r="C5" s="11"/>
      <c r="D5" s="12" t="s">
        <v>674</v>
      </c>
      <c r="E5" s="12"/>
      <c r="F5" s="12"/>
      <c r="G5" s="534" t="str">
        <f>'1.設計条件'!T32</f>
        <v>H-300</v>
      </c>
      <c r="H5" s="534"/>
      <c r="I5" s="12"/>
      <c r="J5" s="12"/>
      <c r="K5" s="12"/>
      <c r="L5" s="12" t="s">
        <v>675</v>
      </c>
      <c r="M5" s="12"/>
      <c r="N5" s="12"/>
      <c r="O5" s="12"/>
      <c r="P5" s="534">
        <f>'2.根入れ長'!F390</f>
        <v>8</v>
      </c>
      <c r="Q5" s="534"/>
      <c r="R5" s="12" t="s">
        <v>9</v>
      </c>
      <c r="S5" s="12"/>
      <c r="T5" s="12"/>
      <c r="U5" s="12"/>
      <c r="V5" s="12" t="s">
        <v>676</v>
      </c>
      <c r="W5" s="12"/>
      <c r="X5" s="12"/>
      <c r="Y5" s="12"/>
      <c r="Z5" s="551">
        <f>'2.根入れ長'!U382</f>
        <v>1.5</v>
      </c>
      <c r="AA5" s="547"/>
      <c r="AB5" s="12" t="s">
        <v>9</v>
      </c>
      <c r="AC5" s="12"/>
      <c r="AD5" s="12"/>
      <c r="AE5" s="12"/>
      <c r="AF5" s="12"/>
      <c r="AG5" s="12"/>
      <c r="AH5" s="14"/>
    </row>
    <row r="6" spans="1:34">
      <c r="A6" s="12"/>
      <c r="B6" s="12"/>
      <c r="C6" s="11"/>
      <c r="D6" s="12" t="s">
        <v>677</v>
      </c>
      <c r="E6" s="12"/>
      <c r="F6" s="12"/>
      <c r="G6" s="12"/>
      <c r="H6" s="12"/>
      <c r="I6" s="12"/>
      <c r="J6" s="12"/>
      <c r="K6" s="12"/>
      <c r="L6" s="12"/>
      <c r="M6" s="12"/>
      <c r="N6" s="12"/>
      <c r="O6" s="12"/>
      <c r="P6" s="12"/>
      <c r="Q6" s="12" t="str">
        <f>'2.根入れ長'!N402</f>
        <v>OK</v>
      </c>
      <c r="R6" s="12"/>
      <c r="S6" s="12"/>
      <c r="W6" s="12"/>
      <c r="X6" s="12"/>
      <c r="Y6" s="12"/>
      <c r="Z6" s="12"/>
      <c r="AA6" s="12"/>
      <c r="AB6" s="12"/>
      <c r="AC6" s="113"/>
      <c r="AD6" s="113"/>
      <c r="AE6" s="113"/>
      <c r="AF6" s="113"/>
      <c r="AG6" s="113"/>
      <c r="AH6" s="14"/>
    </row>
    <row r="7" spans="1:34">
      <c r="A7" s="12"/>
      <c r="B7" s="12"/>
      <c r="C7" s="11"/>
      <c r="D7" s="12" t="s">
        <v>678</v>
      </c>
      <c r="E7" s="12"/>
      <c r="F7" s="12"/>
      <c r="G7" s="12"/>
      <c r="H7" s="12"/>
      <c r="I7" s="12"/>
      <c r="J7" s="12"/>
      <c r="K7" s="12"/>
      <c r="L7" s="12"/>
      <c r="M7" s="12"/>
      <c r="N7" s="12"/>
      <c r="O7" s="12"/>
      <c r="P7" s="12"/>
      <c r="Q7" s="12" t="str">
        <f>'2.根入れ長'!N404</f>
        <v>OK</v>
      </c>
      <c r="R7" s="12"/>
      <c r="S7" s="12"/>
      <c r="W7" s="12"/>
      <c r="X7" s="12"/>
      <c r="Y7" s="12"/>
      <c r="Z7" s="12"/>
      <c r="AA7" s="12"/>
      <c r="AB7" s="12"/>
      <c r="AC7" s="12"/>
      <c r="AD7" s="12"/>
      <c r="AE7" s="12"/>
      <c r="AF7" s="12"/>
      <c r="AG7" s="12"/>
      <c r="AH7" s="14"/>
    </row>
    <row r="8" spans="1:34">
      <c r="A8" s="12"/>
      <c r="B8" s="12"/>
      <c r="C8" s="11"/>
      <c r="D8" s="12" t="s">
        <v>679</v>
      </c>
      <c r="E8" s="12"/>
      <c r="F8" s="12"/>
      <c r="G8" s="12"/>
      <c r="H8" s="12"/>
      <c r="I8" s="12"/>
      <c r="J8" s="12"/>
      <c r="K8" s="12"/>
      <c r="L8" s="12"/>
      <c r="M8" s="12"/>
      <c r="N8" s="12"/>
      <c r="O8" s="12"/>
      <c r="P8" s="12"/>
      <c r="Q8" s="12" t="str">
        <f>'3.断面力1'!Y163</f>
        <v>OK</v>
      </c>
      <c r="R8" s="12"/>
      <c r="S8" s="12"/>
      <c r="U8" s="12"/>
      <c r="V8" s="12"/>
      <c r="W8" s="12"/>
      <c r="X8" s="12"/>
      <c r="Y8" s="12"/>
      <c r="Z8" s="12"/>
      <c r="AA8" s="12"/>
      <c r="AB8" s="12"/>
      <c r="AC8" s="12"/>
      <c r="AD8" s="12"/>
      <c r="AE8" s="12"/>
      <c r="AF8" s="12"/>
      <c r="AG8" s="12"/>
      <c r="AH8" s="14"/>
    </row>
    <row r="9" spans="1:34">
      <c r="A9" s="12"/>
      <c r="B9" s="12"/>
      <c r="C9" s="11"/>
      <c r="D9" s="12" t="s">
        <v>680</v>
      </c>
      <c r="E9" s="12"/>
      <c r="F9" s="12"/>
      <c r="G9" s="12"/>
      <c r="H9" s="12"/>
      <c r="I9" s="12"/>
      <c r="J9" s="12"/>
      <c r="K9" s="12"/>
      <c r="L9" s="12"/>
      <c r="M9" s="12"/>
      <c r="N9" s="12"/>
      <c r="O9" s="12"/>
      <c r="P9" s="12"/>
      <c r="Q9" s="12" t="str">
        <f>'3.断面力2'!Y155</f>
        <v>OK</v>
      </c>
      <c r="R9" s="12"/>
      <c r="S9" s="12"/>
      <c r="T9" s="12"/>
      <c r="W9" s="12"/>
      <c r="X9" s="12"/>
      <c r="Y9" s="12"/>
      <c r="Z9" s="12"/>
      <c r="AA9" s="12"/>
      <c r="AB9" s="12"/>
      <c r="AC9" s="12"/>
      <c r="AD9" s="12"/>
      <c r="AE9" s="12"/>
      <c r="AF9" s="12"/>
      <c r="AG9" s="12"/>
      <c r="AH9" s="14"/>
    </row>
    <row r="10" spans="1:34">
      <c r="A10" s="12"/>
      <c r="B10" s="12"/>
      <c r="C10" s="15"/>
      <c r="D10" s="16" t="s">
        <v>681</v>
      </c>
      <c r="E10" s="16"/>
      <c r="F10" s="16"/>
      <c r="G10" s="16"/>
      <c r="H10" s="16"/>
      <c r="I10" s="16"/>
      <c r="J10" s="16"/>
      <c r="K10" s="16"/>
      <c r="L10" s="16"/>
      <c r="M10" s="16"/>
      <c r="N10" s="16"/>
      <c r="O10" s="16"/>
      <c r="P10" s="261">
        <f>'2.根入れ長'!I367</f>
        <v>1.8951612903225807</v>
      </c>
      <c r="Q10" s="185" t="str">
        <f>IF(P10&lt;3.14,"OK","2.根入れ計算のヒービングを見直しのこと")</f>
        <v>OK</v>
      </c>
      <c r="R10" s="16"/>
      <c r="S10" s="16"/>
      <c r="T10" s="16"/>
      <c r="U10" s="16"/>
      <c r="V10" s="16"/>
      <c r="W10" s="16"/>
      <c r="X10" s="16"/>
      <c r="Y10" s="16"/>
      <c r="Z10" s="16"/>
      <c r="AA10" s="16"/>
      <c r="AB10" s="16"/>
      <c r="AC10" s="16"/>
      <c r="AD10" s="16"/>
      <c r="AE10" s="16"/>
      <c r="AF10" s="16"/>
      <c r="AG10" s="16"/>
      <c r="AH10" s="18"/>
    </row>
    <row r="11" spans="1:34">
      <c r="A11" s="12"/>
      <c r="B11" s="1" t="s">
        <v>682</v>
      </c>
      <c r="D11" s="12"/>
      <c r="E11" s="12"/>
      <c r="F11" s="12"/>
      <c r="G11" s="12"/>
      <c r="H11" s="12"/>
      <c r="L11" s="12"/>
      <c r="M11" s="12"/>
      <c r="N11" s="12"/>
      <c r="P11" s="12"/>
      <c r="Q11" s="12"/>
      <c r="R11" s="12"/>
      <c r="S11" s="12"/>
      <c r="T11" s="12"/>
      <c r="U11" s="12"/>
      <c r="V11" s="12"/>
      <c r="W11" s="12"/>
      <c r="X11" s="12"/>
      <c r="Y11" s="12"/>
      <c r="Z11" s="12"/>
      <c r="AA11" s="12"/>
      <c r="AB11" s="12"/>
      <c r="AC11" s="12"/>
      <c r="AD11" s="12"/>
      <c r="AE11" s="12"/>
      <c r="AF11" s="12"/>
      <c r="AG11" s="12"/>
      <c r="AH11" s="12"/>
    </row>
    <row r="12" spans="1:34">
      <c r="A12" s="12"/>
      <c r="B12" s="12"/>
      <c r="C12" s="8"/>
      <c r="D12" s="9"/>
      <c r="E12" s="9"/>
      <c r="F12" s="9"/>
      <c r="G12" s="9"/>
      <c r="H12" s="9"/>
      <c r="I12" s="9"/>
      <c r="J12" s="9"/>
      <c r="K12" s="9"/>
      <c r="L12" s="9"/>
      <c r="M12" s="9"/>
      <c r="N12" s="9"/>
      <c r="O12" s="9"/>
      <c r="P12" s="9"/>
      <c r="Q12" s="9"/>
      <c r="R12" s="10"/>
      <c r="S12" s="8"/>
      <c r="T12" s="9"/>
      <c r="U12" s="9"/>
      <c r="V12" s="9"/>
      <c r="W12" s="9"/>
      <c r="X12" s="9"/>
      <c r="Y12" s="9"/>
      <c r="Z12" s="9"/>
      <c r="AA12" s="9"/>
      <c r="AB12" s="9"/>
      <c r="AC12" s="9"/>
      <c r="AD12" s="9"/>
      <c r="AE12" s="9"/>
      <c r="AF12" s="9"/>
      <c r="AG12" s="9"/>
      <c r="AH12" s="10"/>
    </row>
    <row r="13" spans="1:34">
      <c r="A13" s="12"/>
      <c r="B13" s="12"/>
      <c r="C13" s="11"/>
      <c r="D13" s="933" t="s">
        <v>683</v>
      </c>
      <c r="E13" s="933"/>
      <c r="F13" s="933"/>
      <c r="G13" s="933"/>
      <c r="H13" s="933"/>
      <c r="I13" s="933"/>
      <c r="J13" s="539" t="s">
        <v>108</v>
      </c>
      <c r="K13" s="539"/>
      <c r="L13" s="12"/>
      <c r="M13" s="525" t="str">
        <f>'1.設計条件'!N74</f>
        <v>H-350</v>
      </c>
      <c r="N13" s="526"/>
      <c r="O13" s="527"/>
      <c r="P13" s="259">
        <f>'1.設計条件'!N73</f>
        <v>1</v>
      </c>
      <c r="Q13" s="77" t="s">
        <v>684</v>
      </c>
      <c r="R13" s="14"/>
      <c r="S13" s="11"/>
      <c r="T13" s="933" t="s">
        <v>685</v>
      </c>
      <c r="U13" s="933"/>
      <c r="V13" s="933"/>
      <c r="W13" s="933"/>
      <c r="X13" s="933"/>
      <c r="Y13" s="933"/>
      <c r="Z13" s="539" t="s">
        <v>108</v>
      </c>
      <c r="AA13" s="539"/>
      <c r="AB13" s="12"/>
      <c r="AC13" s="525" t="str">
        <f>'1.設計条件'!Q94</f>
        <v>H-300</v>
      </c>
      <c r="AD13" s="526"/>
      <c r="AE13" s="527"/>
      <c r="AF13" s="30"/>
      <c r="AG13" s="12"/>
      <c r="AH13" s="14"/>
    </row>
    <row r="14" spans="1:34">
      <c r="A14" s="12"/>
      <c r="B14" s="12"/>
      <c r="C14" s="11"/>
      <c r="D14" s="12"/>
      <c r="E14" s="12"/>
      <c r="F14" s="12"/>
      <c r="G14" s="12"/>
      <c r="H14" s="12"/>
      <c r="I14" s="12"/>
      <c r="J14" s="12"/>
      <c r="K14" s="12"/>
      <c r="L14" s="12"/>
      <c r="M14" s="12" t="s">
        <v>686</v>
      </c>
      <c r="N14" s="12"/>
      <c r="O14" s="12"/>
      <c r="P14" s="12"/>
      <c r="Q14" s="12" t="str">
        <f>'5.腹起'!L205</f>
        <v>OK</v>
      </c>
      <c r="R14" s="14"/>
      <c r="S14" s="11"/>
      <c r="T14" s="12"/>
      <c r="U14" s="12"/>
      <c r="V14" s="12"/>
      <c r="W14" s="12"/>
      <c r="X14" s="12"/>
      <c r="Y14" s="12"/>
      <c r="Z14" s="12"/>
      <c r="AA14" s="12"/>
      <c r="AB14" s="12"/>
      <c r="AC14" s="12" t="s">
        <v>686</v>
      </c>
      <c r="AD14" s="12"/>
      <c r="AE14" s="12"/>
      <c r="AF14" s="12"/>
      <c r="AG14" s="12" t="str">
        <f>'6.切ばり'!L166</f>
        <v>OK</v>
      </c>
      <c r="AH14" s="14"/>
    </row>
    <row r="15" spans="1:34">
      <c r="A15" s="12"/>
      <c r="B15" s="12"/>
      <c r="C15" s="11"/>
      <c r="D15" s="108"/>
      <c r="E15" s="108"/>
      <c r="F15" s="108"/>
      <c r="G15" s="108"/>
      <c r="H15" s="108"/>
      <c r="I15" s="108"/>
      <c r="J15" s="13"/>
      <c r="K15" s="13"/>
      <c r="L15" s="12"/>
      <c r="M15" s="12" t="s">
        <v>687</v>
      </c>
      <c r="N15" s="12"/>
      <c r="O15" s="12"/>
      <c r="P15" s="12"/>
      <c r="Q15" s="12" t="str">
        <f>'5.腹起'!Q216</f>
        <v>OK</v>
      </c>
      <c r="R15" s="14"/>
      <c r="S15" s="11"/>
      <c r="T15" s="108"/>
      <c r="U15" s="108"/>
      <c r="V15" s="108"/>
      <c r="W15" s="108"/>
      <c r="X15" s="108"/>
      <c r="Y15" s="108"/>
      <c r="Z15" s="13"/>
      <c r="AA15" s="13"/>
      <c r="AB15" s="12"/>
      <c r="AC15" s="12" t="s">
        <v>687</v>
      </c>
      <c r="AD15" s="12"/>
      <c r="AE15" s="12"/>
      <c r="AF15" s="12"/>
      <c r="AG15" s="12" t="str">
        <f>'6.切ばり'!Q177</f>
        <v>OK</v>
      </c>
      <c r="AH15" s="14"/>
    </row>
    <row r="16" spans="1:34">
      <c r="A16" s="12"/>
      <c r="B16" s="12"/>
      <c r="C16" s="11"/>
      <c r="D16" s="108"/>
      <c r="E16" s="108"/>
      <c r="F16" s="108"/>
      <c r="G16" s="108"/>
      <c r="H16" s="108"/>
      <c r="I16" s="108"/>
      <c r="J16" s="13"/>
      <c r="K16" s="13"/>
      <c r="L16" s="12"/>
      <c r="M16" s="12" t="s">
        <v>688</v>
      </c>
      <c r="N16" s="12"/>
      <c r="O16" s="12"/>
      <c r="P16" s="12"/>
      <c r="Q16" s="12" t="str">
        <f>'5.腹起'!AA224</f>
        <v>OK</v>
      </c>
      <c r="R16" s="12"/>
      <c r="S16" s="15"/>
      <c r="T16" s="16"/>
      <c r="U16" s="16"/>
      <c r="V16" s="16"/>
      <c r="W16" s="16"/>
      <c r="X16" s="16"/>
      <c r="Y16" s="16"/>
      <c r="Z16" s="529" t="s">
        <v>109</v>
      </c>
      <c r="AA16" s="529"/>
      <c r="AB16" s="16"/>
      <c r="AC16" s="16" t="s">
        <v>689</v>
      </c>
      <c r="AD16" s="16"/>
      <c r="AE16" s="16"/>
      <c r="AF16" s="16"/>
      <c r="AG16" s="16"/>
      <c r="AH16" s="18"/>
    </row>
    <row r="17" spans="1:34">
      <c r="A17" s="12"/>
      <c r="B17" s="12"/>
      <c r="C17" s="11"/>
      <c r="D17" s="108"/>
      <c r="E17" s="108"/>
      <c r="F17" s="108"/>
      <c r="G17" s="108"/>
      <c r="H17" s="108"/>
      <c r="I17" s="108"/>
      <c r="J17" s="539" t="s">
        <v>109</v>
      </c>
      <c r="K17" s="539"/>
      <c r="L17" s="12"/>
      <c r="M17" s="12" t="s">
        <v>689</v>
      </c>
      <c r="N17" s="12"/>
      <c r="O17" s="12"/>
      <c r="P17" s="30"/>
      <c r="Q17" s="12"/>
      <c r="R17" s="14"/>
      <c r="S17" s="8"/>
      <c r="T17" s="9"/>
      <c r="U17" s="9"/>
      <c r="V17" s="9"/>
      <c r="W17" s="9"/>
      <c r="X17" s="9"/>
      <c r="Y17" s="9"/>
      <c r="Z17" s="9"/>
      <c r="AA17" s="9"/>
      <c r="AB17" s="9"/>
      <c r="AC17" s="9"/>
      <c r="AD17" s="9"/>
      <c r="AE17" s="9"/>
      <c r="AF17" s="9"/>
      <c r="AG17" s="9"/>
      <c r="AH17" s="10"/>
    </row>
    <row r="18" spans="1:34">
      <c r="A18" s="12"/>
      <c r="B18" s="12"/>
      <c r="C18" s="11"/>
      <c r="D18" s="12"/>
      <c r="E18" s="12"/>
      <c r="F18" s="12"/>
      <c r="G18" s="12"/>
      <c r="H18" s="12"/>
      <c r="I18" s="12"/>
      <c r="J18" s="12"/>
      <c r="K18" s="12"/>
      <c r="L18" s="12"/>
      <c r="M18" s="12"/>
      <c r="N18" s="12"/>
      <c r="O18" s="12"/>
      <c r="P18" s="12"/>
      <c r="Q18" s="12"/>
      <c r="R18" s="14"/>
      <c r="S18" s="11"/>
      <c r="T18" s="933" t="s">
        <v>690</v>
      </c>
      <c r="U18" s="933"/>
      <c r="V18" s="933"/>
      <c r="W18" s="933"/>
      <c r="X18" s="933"/>
      <c r="Y18" s="933"/>
      <c r="Z18" s="539" t="s">
        <v>108</v>
      </c>
      <c r="AA18" s="539"/>
      <c r="AB18" s="12"/>
      <c r="AC18" s="525" t="str">
        <f>'1.設計条件'!T113</f>
        <v>H-300</v>
      </c>
      <c r="AD18" s="526"/>
      <c r="AE18" s="527"/>
      <c r="AF18" s="12"/>
      <c r="AG18" s="12"/>
      <c r="AH18" s="14"/>
    </row>
    <row r="19" spans="1:34">
      <c r="A19" s="12"/>
      <c r="B19" s="12"/>
      <c r="C19" s="11"/>
      <c r="D19" s="12"/>
      <c r="E19" s="12"/>
      <c r="F19" s="12"/>
      <c r="G19" s="12"/>
      <c r="H19" s="12"/>
      <c r="I19" s="12"/>
      <c r="J19" s="13"/>
      <c r="K19" s="13"/>
      <c r="L19" s="12"/>
      <c r="M19" s="12"/>
      <c r="N19" s="12"/>
      <c r="O19" s="12"/>
      <c r="P19" s="12"/>
      <c r="Q19" s="12"/>
      <c r="R19" s="14"/>
      <c r="S19" s="11"/>
      <c r="T19" s="12"/>
      <c r="U19" s="12"/>
      <c r="V19" s="12"/>
      <c r="W19" s="12"/>
      <c r="X19" s="12"/>
      <c r="Y19" s="12"/>
      <c r="Z19" s="12"/>
      <c r="AA19" s="12"/>
      <c r="AB19" s="12"/>
      <c r="AC19" s="12" t="s">
        <v>691</v>
      </c>
      <c r="AD19" s="12"/>
      <c r="AE19" s="12"/>
      <c r="AF19" s="12"/>
      <c r="AG19" s="12" t="str">
        <f>'7.火打ち'!Y63</f>
        <v>OK</v>
      </c>
      <c r="AH19" s="14"/>
    </row>
    <row r="20" spans="1:34">
      <c r="A20" s="12"/>
      <c r="B20" s="12"/>
      <c r="C20" s="15"/>
      <c r="D20" s="260"/>
      <c r="E20" s="260"/>
      <c r="F20" s="260"/>
      <c r="G20" s="260"/>
      <c r="H20" s="260"/>
      <c r="I20" s="260"/>
      <c r="J20" s="17"/>
      <c r="K20" s="17"/>
      <c r="L20" s="16"/>
      <c r="M20" s="12"/>
      <c r="N20" s="12"/>
      <c r="O20" s="12"/>
      <c r="P20" s="12"/>
      <c r="Q20" s="12"/>
      <c r="R20" s="18"/>
      <c r="S20" s="15"/>
      <c r="T20" s="16"/>
      <c r="U20" s="16"/>
      <c r="V20" s="16"/>
      <c r="W20" s="16"/>
      <c r="X20" s="16"/>
      <c r="Y20" s="16"/>
      <c r="Z20" s="529" t="s">
        <v>109</v>
      </c>
      <c r="AA20" s="529"/>
      <c r="AB20" s="16"/>
      <c r="AC20" s="16" t="s">
        <v>689</v>
      </c>
      <c r="AD20" s="16"/>
      <c r="AE20" s="16"/>
      <c r="AF20" s="16"/>
      <c r="AG20" s="16"/>
      <c r="AH20" s="18"/>
    </row>
    <row r="21" spans="1:3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1:34">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row>
    <row r="23" spans="1:34">
      <c r="A23" s="12"/>
      <c r="B23" s="12"/>
      <c r="C23" s="12"/>
      <c r="D23" s="12"/>
      <c r="E23" s="12"/>
      <c r="F23" s="12"/>
      <c r="G23" s="12"/>
      <c r="H23" s="12"/>
      <c r="I23" s="12"/>
      <c r="J23" s="12"/>
      <c r="K23" s="12"/>
      <c r="L23" s="12"/>
      <c r="M23" s="12"/>
      <c r="N23" s="12"/>
      <c r="O23" s="12"/>
      <c r="P23" s="12"/>
      <c r="Q23" s="12"/>
      <c r="R23" s="12"/>
      <c r="S23" s="12"/>
    </row>
    <row r="24" spans="1:34">
      <c r="A24" s="12"/>
      <c r="B24" s="12"/>
      <c r="C24" s="12"/>
      <c r="D24" s="12"/>
      <c r="E24" s="12"/>
      <c r="F24" s="12"/>
      <c r="G24" s="12"/>
      <c r="H24" s="12"/>
      <c r="I24" s="12"/>
      <c r="J24" s="12"/>
      <c r="K24" s="12"/>
      <c r="L24" s="12"/>
      <c r="M24" s="12"/>
      <c r="N24" s="12"/>
      <c r="O24" s="12"/>
      <c r="P24" s="12"/>
      <c r="Q24" s="12"/>
      <c r="R24" s="12"/>
      <c r="S24" s="12"/>
    </row>
  </sheetData>
  <sheetProtection sheet="1" objects="1" scenarios="1"/>
  <mergeCells count="15">
    <mergeCell ref="AC13:AE13"/>
    <mergeCell ref="T13:Y13"/>
    <mergeCell ref="J13:K13"/>
    <mergeCell ref="Z16:AA16"/>
    <mergeCell ref="Z20:AA20"/>
    <mergeCell ref="AC18:AE18"/>
    <mergeCell ref="T18:Y18"/>
    <mergeCell ref="Z18:AA18"/>
    <mergeCell ref="J17:K17"/>
    <mergeCell ref="G5:H5"/>
    <mergeCell ref="P5:Q5"/>
    <mergeCell ref="Z5:AA5"/>
    <mergeCell ref="D13:I13"/>
    <mergeCell ref="M13:O13"/>
    <mergeCell ref="Z13:AA13"/>
  </mergeCells>
  <phoneticPr fontId="3"/>
  <conditionalFormatting sqref="Q6:Q10 AG14:AG15 Q14:Q16 Q18:Q20 AG19">
    <cfRule type="cellIs" dxfId="0" priority="1" operator="equal">
      <formula>"NG"</formula>
    </cfRule>
  </conditionalFormatting>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1.設計条件</vt:lpstr>
      <vt:lpstr>2.根入れ長</vt:lpstr>
      <vt:lpstr>3.断面力1</vt:lpstr>
      <vt:lpstr>3.断面力2</vt:lpstr>
      <vt:lpstr>4.横矢板の計算</vt:lpstr>
      <vt:lpstr>5.腹起</vt:lpstr>
      <vt:lpstr>6.切ばり</vt:lpstr>
      <vt:lpstr>7.火打ち</vt:lpstr>
      <vt:lpstr>8.まとめ</vt:lpstr>
      <vt:lpstr>各種数値</vt:lpstr>
      <vt:lpstr>'1.設計条件'!Print_Area</vt:lpstr>
      <vt:lpstr>'4.横矢板の計算'!Print_Area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2023-10-05T14:56:07Z</dcterms:created>
  <dcterms:modified xsi:type="dcterms:W3CDTF">2023-10-14T04:29:10Z</dcterms:modified>
  <cp:category/>
  <cp:contentStatus/>
</cp:coreProperties>
</file>