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8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6.xml" ContentType="application/vnd.ms-excel.person+xml"/>
  <Override PartName="/xl/persons/person23.xml" ContentType="application/vnd.ms-excel.person+xml"/>
  <Override PartName="/xl/persons/person10.xml" ContentType="application/vnd.ms-excel.person+xml"/>
  <Override PartName="/xl/persons/person24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18.xml" ContentType="application/vnd.ms-excel.person+xml"/>
  <Override PartName="/xl/persons/person26.xml" ContentType="application/vnd.ms-excel.person+xml"/>
  <Override PartName="/xl/persons/person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3.xml" ContentType="application/vnd.ms-excel.person+xml"/>
  <Override PartName="/xl/persons/person11.xml" ContentType="application/vnd.ms-excel.person+xml"/>
  <Override PartName="/xl/persons/person2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5.xml" ContentType="application/vnd.ms-excel.person+xml"/>
  <Override PartName="/xl/persons/person12.xml" ContentType="application/vnd.ms-excel.person+xml"/>
  <Override PartName="/xl/persons/person7.xml" ContentType="application/vnd.ms-excel.person+xml"/>
  <Override PartName="/xl/persons/person27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19.xml" ContentType="application/vnd.ms-excel.person+xml"/>
  <Override PartName="/xl/persons/person1.xml" ContentType="application/vnd.ms-excel.person+xml"/>
  <Override PartName="/xl/persons/person2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66925"/>
  <xr:revisionPtr revIDLastSave="0" documentId="13_ncr:1_{96A730E2-3887-4111-83D6-4E0873A6FA69}" xr6:coauthVersionLast="47" xr6:coauthVersionMax="47" xr10:uidLastSave="{00000000-0000-0000-0000-000000000000}"/>
  <bookViews>
    <workbookView xWindow="-108" yWindow="-108" windowWidth="23256" windowHeight="12576" tabRatio="845" xr2:uid="{CF0D8F96-5D99-47CC-B822-9D88223D702C}"/>
  </bookViews>
  <sheets>
    <sheet name="1.条件" sheetId="1" r:id="rId1"/>
    <sheet name="2.自と衝" sheetId="2" r:id="rId2"/>
    <sheet name="2.土-常" sheetId="3" r:id="rId3"/>
    <sheet name="2.土-衝" sheetId="5" r:id="rId4"/>
    <sheet name="3.擁照-常" sheetId="4" r:id="rId5"/>
    <sheet name="3.擁照-衝" sheetId="7" r:id="rId6"/>
    <sheet name="4.部照-常1" sheetId="8" r:id="rId7"/>
    <sheet name="4.部照-常2" sheetId="9" r:id="rId8"/>
    <sheet name="4.部照-常3" sheetId="10" r:id="rId9"/>
    <sheet name="4.部照-衝1" sheetId="11" r:id="rId10"/>
    <sheet name="4.部照-衝2" sheetId="12" r:id="rId11"/>
    <sheet name="4.部照-衝3" sheetId="13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13" i="8" l="1"/>
  <c r="AO13" i="8"/>
  <c r="AS12" i="8"/>
  <c r="AO12" i="8"/>
  <c r="BD11" i="8"/>
  <c r="BH11" i="8"/>
  <c r="BL10" i="8"/>
  <c r="BH10" i="8"/>
  <c r="BD10" i="8"/>
  <c r="AZ10" i="8"/>
  <c r="AT11" i="8"/>
  <c r="AP11" i="8"/>
  <c r="AW10" i="8"/>
  <c r="AS10" i="8"/>
  <c r="AO10" i="8"/>
  <c r="BI9" i="8"/>
  <c r="BE9" i="8"/>
  <c r="BC9" i="8"/>
  <c r="BO8" i="8"/>
  <c r="AO9" i="8"/>
  <c r="AO8" i="8"/>
  <c r="BK8" i="8"/>
  <c r="BH8" i="8"/>
  <c r="BD8" i="8"/>
  <c r="AZ6" i="8"/>
  <c r="BD6" i="8"/>
  <c r="AU9" i="8"/>
  <c r="AQ9" i="8"/>
  <c r="AY8" i="8"/>
  <c r="AU8" i="8"/>
  <c r="AQ8" i="8"/>
  <c r="BB7" i="8"/>
  <c r="AS7" i="8"/>
  <c r="AO7" i="8"/>
  <c r="AW6" i="8"/>
  <c r="AS6" i="8"/>
  <c r="AO6" i="8"/>
  <c r="M38" i="11"/>
  <c r="M37" i="11"/>
  <c r="M36" i="11"/>
  <c r="M35" i="11"/>
  <c r="M34" i="11"/>
  <c r="M33" i="11"/>
  <c r="AB25" i="11"/>
  <c r="U25" i="11"/>
  <c r="BA5" i="12"/>
  <c r="BA5" i="9"/>
  <c r="BC26" i="11"/>
  <c r="CL19" i="4"/>
  <c r="CQ23" i="4"/>
  <c r="BO34" i="4"/>
  <c r="BM11" i="5"/>
  <c r="BM9" i="5"/>
  <c r="BM7" i="5"/>
  <c r="BM5" i="5"/>
  <c r="AL5" i="5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3" i="3"/>
  <c r="BM11" i="3" s="1"/>
  <c r="O21" i="3"/>
  <c r="BM5" i="3" l="1"/>
  <c r="BM7" i="3"/>
  <c r="BM9" i="3"/>
  <c r="T10" i="1"/>
  <c r="R25" i="11"/>
  <c r="V26" i="13"/>
  <c r="S20" i="13" s="1"/>
  <c r="W24" i="13"/>
  <c r="N20" i="13" s="1"/>
  <c r="S19" i="13"/>
  <c r="K4" i="13"/>
  <c r="K5" i="13" s="1"/>
  <c r="G4" i="13"/>
  <c r="AJ34" i="12"/>
  <c r="BU11" i="12" s="1"/>
  <c r="BU33" i="12" s="1"/>
  <c r="AJ35" i="12"/>
  <c r="AJ36" i="12"/>
  <c r="BU13" i="12" s="1"/>
  <c r="D14" i="13" s="1"/>
  <c r="D36" i="13" s="1"/>
  <c r="AN17" i="13" s="1"/>
  <c r="AJ37" i="12"/>
  <c r="BU14" i="12" s="1"/>
  <c r="D15" i="13" s="1"/>
  <c r="D37" i="13" s="1"/>
  <c r="AN18" i="13" s="1"/>
  <c r="AJ33" i="12"/>
  <c r="BU10" i="12" s="1"/>
  <c r="D11" i="13" s="1"/>
  <c r="D33" i="13" s="1"/>
  <c r="AN14" i="13" s="1"/>
  <c r="AJ32" i="12"/>
  <c r="BU9" i="12" s="1"/>
  <c r="D10" i="13" s="1"/>
  <c r="D32" i="13" s="1"/>
  <c r="AN13" i="13" s="1"/>
  <c r="S21" i="11"/>
  <c r="M18" i="11" s="1"/>
  <c r="P14" i="11"/>
  <c r="M11" i="11" s="1"/>
  <c r="D35" i="11"/>
  <c r="D36" i="11"/>
  <c r="D37" i="11"/>
  <c r="D38" i="11"/>
  <c r="D34" i="11"/>
  <c r="D33" i="11"/>
  <c r="Y27" i="11"/>
  <c r="O24" i="11" s="1"/>
  <c r="BE38" i="11"/>
  <c r="BE37" i="11"/>
  <c r="BE36" i="11"/>
  <c r="BE35" i="11"/>
  <c r="BE34" i="11"/>
  <c r="BE33" i="11"/>
  <c r="BC9" i="11"/>
  <c r="AZ6" i="11"/>
  <c r="AW6" i="11"/>
  <c r="AX23" i="7" l="1"/>
  <c r="BA23" i="7" s="1"/>
  <c r="CR15" i="7" s="1"/>
  <c r="AX23" i="4"/>
  <c r="BA23" i="4" s="1"/>
  <c r="CB10" i="4" s="1"/>
  <c r="D12" i="13"/>
  <c r="D34" i="13" s="1"/>
  <c r="AN15" i="13" s="1"/>
  <c r="N4" i="13"/>
  <c r="G5" i="13" s="1"/>
  <c r="G11" i="13" s="1"/>
  <c r="AX27" i="11"/>
  <c r="AW4" i="13"/>
  <c r="BU25" i="12"/>
  <c r="BU36" i="12"/>
  <c r="BU31" i="12"/>
  <c r="BU20" i="12"/>
  <c r="BU21" i="12"/>
  <c r="BU32" i="12"/>
  <c r="BU35" i="12"/>
  <c r="BU24" i="12"/>
  <c r="BU12" i="12"/>
  <c r="D13" i="13" s="1"/>
  <c r="D35" i="13" s="1"/>
  <c r="AN16" i="13" s="1"/>
  <c r="AV6" i="12"/>
  <c r="BU22" i="12"/>
  <c r="P35" i="11"/>
  <c r="G37" i="11"/>
  <c r="CB13" i="12" s="1"/>
  <c r="G36" i="11"/>
  <c r="CB12" i="12" s="1"/>
  <c r="J36" i="11"/>
  <c r="CB23" i="12" s="1"/>
  <c r="J37" i="11"/>
  <c r="CB24" i="12" s="1"/>
  <c r="J38" i="11"/>
  <c r="CB25" i="12" s="1"/>
  <c r="J33" i="11"/>
  <c r="CB20" i="12" s="1"/>
  <c r="J34" i="11"/>
  <c r="J35" i="11"/>
  <c r="G35" i="11"/>
  <c r="CB11" i="12" s="1"/>
  <c r="P33" i="11"/>
  <c r="G34" i="11"/>
  <c r="CB10" i="12" s="1"/>
  <c r="G38" i="11"/>
  <c r="CB14" i="12" s="1"/>
  <c r="G33" i="11"/>
  <c r="CB9" i="12" s="1"/>
  <c r="P38" i="11"/>
  <c r="P34" i="11"/>
  <c r="P37" i="11"/>
  <c r="P36" i="11"/>
  <c r="V26" i="10"/>
  <c r="S20" i="10" s="1"/>
  <c r="W24" i="10"/>
  <c r="N20" i="10" s="1"/>
  <c r="AW4" i="10" s="1"/>
  <c r="S19" i="10"/>
  <c r="N4" i="10"/>
  <c r="K4" i="10"/>
  <c r="K5" i="10" s="1"/>
  <c r="G4" i="10"/>
  <c r="N9" i="8"/>
  <c r="N8" i="8"/>
  <c r="N7" i="8"/>
  <c r="AJ34" i="9"/>
  <c r="BU11" i="9" s="1"/>
  <c r="D12" i="10" s="1"/>
  <c r="AJ35" i="9"/>
  <c r="BU12" i="9" s="1"/>
  <c r="BU34" i="9" s="1"/>
  <c r="AJ36" i="9"/>
  <c r="BU13" i="9" s="1"/>
  <c r="D14" i="10" s="1"/>
  <c r="AJ37" i="9"/>
  <c r="BU14" i="9" s="1"/>
  <c r="D15" i="10" s="1"/>
  <c r="AJ33" i="9"/>
  <c r="BU10" i="9" s="1"/>
  <c r="D11" i="10" s="1"/>
  <c r="AJ32" i="9"/>
  <c r="BU9" i="9" s="1"/>
  <c r="D10" i="10" s="1"/>
  <c r="AV6" i="9"/>
  <c r="S33" i="11" l="1"/>
  <c r="CD31" i="12" s="1"/>
  <c r="D22" i="8"/>
  <c r="F35" i="8"/>
  <c r="D23" i="8"/>
  <c r="L23" i="8" s="1"/>
  <c r="M35" i="8"/>
  <c r="H21" i="8"/>
  <c r="W23" i="8" s="1"/>
  <c r="J35" i="8"/>
  <c r="J36" i="8" s="1"/>
  <c r="CR15" i="4"/>
  <c r="S34" i="11"/>
  <c r="CD32" i="12" s="1"/>
  <c r="S35" i="11"/>
  <c r="CD33" i="12" s="1"/>
  <c r="S38" i="11"/>
  <c r="CD36" i="12" s="1"/>
  <c r="CR17" i="4"/>
  <c r="Q7" i="9"/>
  <c r="CR17" i="7"/>
  <c r="CB10" i="7"/>
  <c r="Q7" i="12"/>
  <c r="S37" i="11"/>
  <c r="CD35" i="12" s="1"/>
  <c r="G12" i="13"/>
  <c r="G34" i="13" s="1"/>
  <c r="W35" i="11"/>
  <c r="CG33" i="12" s="1"/>
  <c r="CB22" i="12"/>
  <c r="W34" i="11"/>
  <c r="CG32" i="12" s="1"/>
  <c r="CB21" i="12"/>
  <c r="G10" i="13"/>
  <c r="G32" i="13" s="1"/>
  <c r="G5" i="10"/>
  <c r="G10" i="10" s="1"/>
  <c r="G14" i="13"/>
  <c r="G36" i="13" s="1"/>
  <c r="G13" i="13"/>
  <c r="G35" i="13" s="1"/>
  <c r="G15" i="13"/>
  <c r="G37" i="13" s="1"/>
  <c r="G33" i="13"/>
  <c r="BU34" i="12"/>
  <c r="BU23" i="12"/>
  <c r="S36" i="11"/>
  <c r="CD34" i="12" s="1"/>
  <c r="W33" i="11"/>
  <c r="CG31" i="12" s="1"/>
  <c r="W38" i="11"/>
  <c r="CG36" i="12" s="1"/>
  <c r="W37" i="11"/>
  <c r="CG35" i="12" s="1"/>
  <c r="W36" i="11"/>
  <c r="CG34" i="12" s="1"/>
  <c r="D13" i="10"/>
  <c r="D35" i="10" s="1"/>
  <c r="AN16" i="10" s="1"/>
  <c r="D32" i="10"/>
  <c r="AN13" i="10" s="1"/>
  <c r="D36" i="10"/>
  <c r="AN17" i="10" s="1"/>
  <c r="D34" i="10"/>
  <c r="AN15" i="10" s="1"/>
  <c r="D33" i="10"/>
  <c r="AN14" i="10" s="1"/>
  <c r="D37" i="10"/>
  <c r="AN18" i="10" s="1"/>
  <c r="S23" i="8"/>
  <c r="D21" i="8"/>
  <c r="L21" i="8" s="1"/>
  <c r="BU20" i="9"/>
  <c r="BU31" i="9"/>
  <c r="BU24" i="9"/>
  <c r="BU35" i="9"/>
  <c r="BU33" i="9"/>
  <c r="BU22" i="9"/>
  <c r="BU25" i="9"/>
  <c r="BU36" i="9"/>
  <c r="BU23" i="9"/>
  <c r="BU32" i="9"/>
  <c r="BU21" i="9"/>
  <c r="AT5" i="12" l="1"/>
  <c r="AS6" i="12" s="1"/>
  <c r="CE26" i="8"/>
  <c r="CD27" i="8" s="1"/>
  <c r="AV26" i="11"/>
  <c r="AU27" i="11" s="1"/>
  <c r="AT5" i="9"/>
  <c r="AS6" i="9" s="1"/>
  <c r="AC23" i="8"/>
  <c r="F36" i="8"/>
  <c r="Y23" i="8"/>
  <c r="L36" i="12"/>
  <c r="G37" i="12" s="1"/>
  <c r="L31" i="12"/>
  <c r="N11" i="12"/>
  <c r="AX21" i="9"/>
  <c r="BE11" i="9"/>
  <c r="L36" i="9"/>
  <c r="G37" i="9" s="1"/>
  <c r="L31" i="9"/>
  <c r="N11" i="9"/>
  <c r="AQ17" i="13"/>
  <c r="AQ14" i="13"/>
  <c r="AQ15" i="13"/>
  <c r="AQ18" i="13"/>
  <c r="AQ13" i="13"/>
  <c r="AQ16" i="13"/>
  <c r="G13" i="10"/>
  <c r="G35" i="10" s="1"/>
  <c r="G32" i="10"/>
  <c r="G11" i="10"/>
  <c r="G14" i="10"/>
  <c r="G12" i="10"/>
  <c r="G15" i="10"/>
  <c r="T20" i="1"/>
  <c r="T18" i="1"/>
  <c r="T19" i="1" s="1"/>
  <c r="AH31" i="13" s="1"/>
  <c r="T16" i="1"/>
  <c r="T17" i="1" s="1"/>
  <c r="AE31" i="13" s="1"/>
  <c r="AR26" i="11" l="1"/>
  <c r="AQ27" i="11" s="1"/>
  <c r="AP5" i="12"/>
  <c r="AO6" i="12" s="1"/>
  <c r="CA26" i="8"/>
  <c r="BZ27" i="8" s="1"/>
  <c r="AP5" i="9"/>
  <c r="AO6" i="9" s="1"/>
  <c r="AQ16" i="10"/>
  <c r="AQ13" i="10"/>
  <c r="AE31" i="10"/>
  <c r="BH12" i="13"/>
  <c r="BH12" i="10"/>
  <c r="AH31" i="10"/>
  <c r="G34" i="10"/>
  <c r="G37" i="10"/>
  <c r="G36" i="10"/>
  <c r="G33" i="10"/>
  <c r="BB36" i="11" l="1"/>
  <c r="BB34" i="11"/>
  <c r="BB37" i="11"/>
  <c r="BB33" i="11"/>
  <c r="BB35" i="11"/>
  <c r="BB38" i="11"/>
  <c r="AQ15" i="10"/>
  <c r="AQ14" i="10"/>
  <c r="AQ17" i="10"/>
  <c r="AQ18" i="10"/>
  <c r="CC9" i="4"/>
  <c r="CF10" i="4"/>
  <c r="CE13" i="4" s="1"/>
  <c r="CN35" i="8" l="1"/>
  <c r="CN36" i="8"/>
  <c r="CN37" i="8"/>
  <c r="CN38" i="8"/>
  <c r="CN34" i="8"/>
  <c r="CN33" i="8"/>
  <c r="AR21" i="8"/>
  <c r="CL26" i="8" l="1"/>
  <c r="CG27" i="8" s="1"/>
  <c r="CL9" i="8"/>
  <c r="CI6" i="8"/>
  <c r="CF6" i="8"/>
  <c r="S22" i="8" l="1"/>
  <c r="L22" i="8"/>
  <c r="CK35" i="8"/>
  <c r="P21" i="8"/>
  <c r="W21" i="8"/>
  <c r="S21" i="8"/>
  <c r="CK38" i="8" l="1"/>
  <c r="CK36" i="8"/>
  <c r="CK34" i="8"/>
  <c r="CK37" i="8"/>
  <c r="CK33" i="8"/>
  <c r="Y22" i="8"/>
  <c r="Y21" i="8"/>
  <c r="AC21" i="8"/>
  <c r="AC24" i="8" s="1"/>
  <c r="J29" i="8" s="1"/>
  <c r="J31" i="8" s="1"/>
  <c r="P24" i="8"/>
  <c r="J30" i="8" s="1"/>
  <c r="J32" i="8" s="1"/>
  <c r="AG21" i="8"/>
  <c r="AG24" i="8" s="1"/>
  <c r="N29" i="8" s="1"/>
  <c r="N31" i="8" s="1"/>
  <c r="L24" i="8"/>
  <c r="AO21" i="8" l="1"/>
  <c r="AU21" i="8" s="1"/>
  <c r="AO25" i="8"/>
  <c r="AU25" i="8" s="1"/>
  <c r="BX13" i="12" s="1"/>
  <c r="AO26" i="8"/>
  <c r="AU26" i="8" s="1"/>
  <c r="BX14" i="12" s="1"/>
  <c r="AO22" i="8"/>
  <c r="AU22" i="8" s="1"/>
  <c r="BX10" i="12" s="1"/>
  <c r="AO23" i="8"/>
  <c r="AU23" i="8" s="1"/>
  <c r="BX11" i="12" s="1"/>
  <c r="AO24" i="8"/>
  <c r="AU24" i="8" s="1"/>
  <c r="BX12" i="12" s="1"/>
  <c r="F30" i="8"/>
  <c r="F32" i="8" s="1"/>
  <c r="Y24" i="8"/>
  <c r="F29" i="8" s="1"/>
  <c r="F31" i="8" s="1"/>
  <c r="CF10" i="7"/>
  <c r="CE13" i="7" s="1"/>
  <c r="CC9" i="7"/>
  <c r="O37" i="7"/>
  <c r="D21" i="7"/>
  <c r="H21" i="7" s="1"/>
  <c r="BO34" i="7"/>
  <c r="Q33" i="7"/>
  <c r="BE21" i="7"/>
  <c r="AX21" i="7"/>
  <c r="CO30" i="7"/>
  <c r="CQ26" i="7"/>
  <c r="CA3" i="7"/>
  <c r="CO30" i="4"/>
  <c r="CQ26" i="4"/>
  <c r="CA3" i="4"/>
  <c r="BE21" i="4"/>
  <c r="AX21" i="4"/>
  <c r="G6" i="9"/>
  <c r="G18" i="9" s="1"/>
  <c r="T8" i="1"/>
  <c r="BX9" i="12" l="1"/>
  <c r="CE24" i="7"/>
  <c r="CE19" i="7"/>
  <c r="CE19" i="4"/>
  <c r="CE24" i="4"/>
  <c r="CN10" i="7"/>
  <c r="CM13" i="7" s="1"/>
  <c r="G6" i="12"/>
  <c r="BX12" i="9"/>
  <c r="BX9" i="9"/>
  <c r="BX14" i="9"/>
  <c r="BX10" i="9"/>
  <c r="BX13" i="9"/>
  <c r="BX11" i="9"/>
  <c r="H20" i="4"/>
  <c r="CF9" i="4"/>
  <c r="BY10" i="4"/>
  <c r="BY13" i="4" s="1"/>
  <c r="CN10" i="4"/>
  <c r="CM13" i="4" s="1"/>
  <c r="CD3" i="7"/>
  <c r="CH3" i="7" s="1"/>
  <c r="CM27" i="7"/>
  <c r="CV27" i="7" s="1"/>
  <c r="CM31" i="7"/>
  <c r="CV31" i="7" s="1"/>
  <c r="H20" i="7"/>
  <c r="M20" i="7" s="1"/>
  <c r="O24" i="7" s="1"/>
  <c r="BY10" i="7"/>
  <c r="BY13" i="7" s="1"/>
  <c r="CF9" i="7"/>
  <c r="BI21" i="7"/>
  <c r="CM27" i="4"/>
  <c r="CV27" i="4" s="1"/>
  <c r="CD3" i="4"/>
  <c r="CH3" i="4" s="1"/>
  <c r="CM31" i="4"/>
  <c r="CV31" i="4" s="1"/>
  <c r="BI21" i="4"/>
  <c r="G5" i="9" s="1"/>
  <c r="J18" i="9" s="1"/>
  <c r="K19" i="9" s="1"/>
  <c r="AZ37" i="1"/>
  <c r="AY25" i="8" l="1"/>
  <c r="BB25" i="8" s="1"/>
  <c r="BX35" i="12" s="1"/>
  <c r="AY21" i="8"/>
  <c r="BB21" i="8" s="1"/>
  <c r="BX31" i="12" s="1"/>
  <c r="AY22" i="8"/>
  <c r="BB22" i="8" s="1"/>
  <c r="BX32" i="12" s="1"/>
  <c r="AY26" i="8"/>
  <c r="BB26" i="8" s="1"/>
  <c r="BX36" i="12" s="1"/>
  <c r="AY23" i="8"/>
  <c r="BB23" i="8" s="1"/>
  <c r="BX33" i="12" s="1"/>
  <c r="AY24" i="8"/>
  <c r="BB24" i="8" s="1"/>
  <c r="BX34" i="12" s="1"/>
  <c r="CE21" i="7"/>
  <c r="CH19" i="7"/>
  <c r="CH24" i="7"/>
  <c r="H19" i="12"/>
  <c r="G18" i="12"/>
  <c r="CL19" i="7"/>
  <c r="CL24" i="7"/>
  <c r="CH24" i="4"/>
  <c r="CL24" i="4" s="1"/>
  <c r="CE21" i="4"/>
  <c r="CH19" i="4"/>
  <c r="H19" i="9"/>
  <c r="CI10" i="7"/>
  <c r="CI13" i="7" s="1"/>
  <c r="G5" i="12"/>
  <c r="CI10" i="4"/>
  <c r="CI13" i="4" s="1"/>
  <c r="CH37" i="7"/>
  <c r="CH35" i="7"/>
  <c r="AU36" i="2"/>
  <c r="BX33" i="9" l="1"/>
  <c r="BX35" i="9"/>
  <c r="BX36" i="9"/>
  <c r="BX32" i="9"/>
  <c r="BX34" i="9"/>
  <c r="BX31" i="9"/>
  <c r="CH21" i="4"/>
  <c r="CL21" i="4" s="1"/>
  <c r="G7" i="9"/>
  <c r="J18" i="12"/>
  <c r="K19" i="12"/>
  <c r="G7" i="12"/>
  <c r="CH21" i="7"/>
  <c r="CL21" i="7"/>
  <c r="W29" i="5"/>
  <c r="AF7" i="5"/>
  <c r="AX34" i="5" s="1"/>
  <c r="AF6" i="5"/>
  <c r="AF4" i="5"/>
  <c r="AF3" i="5"/>
  <c r="AF32" i="5" s="1"/>
  <c r="Q34" i="5" s="1"/>
  <c r="T29" i="5" l="1"/>
  <c r="AD29" i="5" s="1"/>
  <c r="AP30" i="5"/>
  <c r="AP31" i="5" s="1"/>
  <c r="P10" i="7" s="1"/>
  <c r="AU26" i="2" l="1"/>
  <c r="AU25" i="2"/>
  <c r="AU19" i="2"/>
  <c r="AQ19" i="2"/>
  <c r="AU9" i="2"/>
  <c r="AU8" i="2"/>
  <c r="AQ27" i="2" l="1"/>
  <c r="G9" i="7" s="1"/>
  <c r="AQ20" i="2"/>
  <c r="P9" i="7" s="1"/>
  <c r="AQ10" i="2"/>
  <c r="J9" i="7" s="1"/>
  <c r="W9" i="7" l="1"/>
  <c r="CH37" i="4"/>
  <c r="CH35" i="4"/>
  <c r="O37" i="4"/>
  <c r="Q33" i="4"/>
  <c r="D21" i="4"/>
  <c r="H21" i="4" s="1"/>
  <c r="Y29" i="3"/>
  <c r="W29" i="3"/>
  <c r="S19" i="3"/>
  <c r="AF7" i="3"/>
  <c r="R21" i="3" s="1"/>
  <c r="AF6" i="3"/>
  <c r="AF4" i="3"/>
  <c r="AF3" i="3"/>
  <c r="T29" i="3" s="1"/>
  <c r="CB13" i="4" l="1"/>
  <c r="CR13" i="4" s="1"/>
  <c r="AV17" i="11"/>
  <c r="R10" i="12"/>
  <c r="R10" i="9"/>
  <c r="CE17" i="8"/>
  <c r="CE21" i="8" s="1"/>
  <c r="CB13" i="7"/>
  <c r="CR13" i="7" s="1"/>
  <c r="AD29" i="3"/>
  <c r="M23" i="3"/>
  <c r="P23" i="3" s="1"/>
  <c r="AY17" i="11" s="1"/>
  <c r="AY21" i="11" s="1"/>
  <c r="S27" i="5"/>
  <c r="AH26" i="5"/>
  <c r="U26" i="5"/>
  <c r="AV20" i="5"/>
  <c r="AV25" i="5"/>
  <c r="AA32" i="5"/>
  <c r="L34" i="5" s="1"/>
  <c r="U27" i="5"/>
  <c r="AF5" i="5"/>
  <c r="AP34" i="5" s="1"/>
  <c r="AX34" i="3"/>
  <c r="U26" i="3"/>
  <c r="S27" i="3"/>
  <c r="AH26" i="3"/>
  <c r="AV20" i="3"/>
  <c r="AV25" i="3"/>
  <c r="AA32" i="3"/>
  <c r="L34" i="3" s="1"/>
  <c r="U27" i="3"/>
  <c r="AF32" i="3"/>
  <c r="Q34" i="3" s="1"/>
  <c r="AP30" i="3"/>
  <c r="AP31" i="3" s="1"/>
  <c r="G32" i="9" l="1"/>
  <c r="AV21" i="11"/>
  <c r="AQ22" i="11" s="1"/>
  <c r="AQ18" i="11"/>
  <c r="AM37" i="9"/>
  <c r="AP37" i="9" s="1"/>
  <c r="AM36" i="9"/>
  <c r="AP36" i="9" s="1"/>
  <c r="AM33" i="9"/>
  <c r="AP33" i="9" s="1"/>
  <c r="AM35" i="9"/>
  <c r="AP35" i="9" s="1"/>
  <c r="AM34" i="9"/>
  <c r="AP34" i="9" s="1"/>
  <c r="AS34" i="9" s="1"/>
  <c r="AM32" i="9"/>
  <c r="AP32" i="9" s="1"/>
  <c r="AM35" i="12"/>
  <c r="AP35" i="12" s="1"/>
  <c r="AM36" i="12"/>
  <c r="AP36" i="12" s="1"/>
  <c r="AM37" i="12"/>
  <c r="AP37" i="12" s="1"/>
  <c r="AM34" i="12"/>
  <c r="AP34" i="12" s="1"/>
  <c r="AM33" i="12"/>
  <c r="AP33" i="12" s="1"/>
  <c r="AM32" i="12"/>
  <c r="AP32" i="12" s="1"/>
  <c r="G32" i="12"/>
  <c r="BE11" i="12"/>
  <c r="AZ25" i="3"/>
  <c r="CH17" i="8"/>
  <c r="X27" i="3"/>
  <c r="AF27" i="3" s="1"/>
  <c r="AZ20" i="3"/>
  <c r="AZ25" i="5"/>
  <c r="AZ20" i="5"/>
  <c r="X27" i="5"/>
  <c r="AF27" i="5" s="1"/>
  <c r="AS33" i="9" l="1"/>
  <c r="AS34" i="12"/>
  <c r="AS37" i="9"/>
  <c r="AS36" i="12"/>
  <c r="AY13" i="12"/>
  <c r="AX21" i="12"/>
  <c r="AV23" i="12" s="1"/>
  <c r="AR25" i="12" s="1"/>
  <c r="AS35" i="12"/>
  <c r="AS37" i="12"/>
  <c r="AS32" i="9"/>
  <c r="AS33" i="12"/>
  <c r="AS36" i="9"/>
  <c r="AV23" i="9"/>
  <c r="AR25" i="9" s="1"/>
  <c r="AY13" i="9"/>
  <c r="AS32" i="12"/>
  <c r="AS35" i="9"/>
  <c r="CH21" i="8"/>
  <c r="BZ22" i="8" s="1"/>
  <c r="BZ18" i="8"/>
  <c r="AF5" i="3"/>
  <c r="AP34" i="3" s="1"/>
  <c r="M20" i="4"/>
  <c r="O24" i="4" s="1"/>
  <c r="R36" i="2"/>
  <c r="BH36" i="12" l="1"/>
  <c r="BE36" i="12" s="1"/>
  <c r="BH37" i="12"/>
  <c r="BE37" i="12" s="1"/>
  <c r="BH37" i="9"/>
  <c r="BE37" i="9" s="1"/>
  <c r="BH36" i="9"/>
  <c r="BE36" i="9" s="1"/>
  <c r="AF8" i="2"/>
  <c r="AF9" i="2"/>
  <c r="AF10" i="2"/>
  <c r="AF7" i="2"/>
  <c r="I26" i="2" s="1"/>
  <c r="AF11" i="2"/>
  <c r="AF15" i="2" l="1"/>
  <c r="F28" i="2" s="1"/>
  <c r="I27" i="2"/>
  <c r="I28" i="2"/>
  <c r="AF13" i="2"/>
  <c r="AF14" i="2" l="1"/>
  <c r="F26" i="2" s="1"/>
  <c r="O28" i="2"/>
  <c r="F27" i="2"/>
  <c r="L27" i="2" s="1"/>
  <c r="AQ36" i="2"/>
  <c r="AQ37" i="2" s="1"/>
  <c r="M9" i="7" s="1"/>
  <c r="S9" i="7" s="1"/>
  <c r="L28" i="2"/>
  <c r="O27" i="2"/>
  <c r="G36" i="5" l="1"/>
  <c r="K36" i="5"/>
  <c r="O26" i="2"/>
  <c r="U28" i="2"/>
  <c r="L26" i="2"/>
  <c r="L29" i="2" s="1"/>
  <c r="U27" i="2"/>
  <c r="AT34" i="5" l="1"/>
  <c r="AP4" i="5"/>
  <c r="AS4" i="5" s="1"/>
  <c r="AV4" i="5" s="1"/>
  <c r="AP15" i="5"/>
  <c r="AS15" i="5" s="1"/>
  <c r="AV15" i="5" s="1"/>
  <c r="AP16" i="5"/>
  <c r="AS16" i="5" s="1"/>
  <c r="AV16" i="5" s="1"/>
  <c r="AP12" i="5"/>
  <c r="AS12" i="5" s="1"/>
  <c r="AV12" i="5" s="1"/>
  <c r="AP11" i="5"/>
  <c r="AS11" i="5" s="1"/>
  <c r="AV11" i="5" s="1"/>
  <c r="AP3" i="5"/>
  <c r="AS3" i="5" s="1"/>
  <c r="AV3" i="5" s="1"/>
  <c r="AP10" i="5"/>
  <c r="AS10" i="5" s="1"/>
  <c r="AV10" i="5" s="1"/>
  <c r="AP13" i="5"/>
  <c r="AS13" i="5" s="1"/>
  <c r="AV13" i="5" s="1"/>
  <c r="AP8" i="5"/>
  <c r="AS8" i="5" s="1"/>
  <c r="AV8" i="5" s="1"/>
  <c r="AP9" i="5"/>
  <c r="AS9" i="5" s="1"/>
  <c r="AV9" i="5" s="1"/>
  <c r="AP6" i="5"/>
  <c r="AS6" i="5" s="1"/>
  <c r="AV6" i="5" s="1"/>
  <c r="AP5" i="5"/>
  <c r="AS5" i="5" s="1"/>
  <c r="AV5" i="5" s="1"/>
  <c r="AP14" i="5"/>
  <c r="AS14" i="5" s="1"/>
  <c r="AV14" i="5" s="1"/>
  <c r="AP7" i="5"/>
  <c r="AS7" i="5" s="1"/>
  <c r="AV7" i="5" s="1"/>
  <c r="P9" i="4"/>
  <c r="N36" i="2"/>
  <c r="V36" i="2" s="1"/>
  <c r="G8" i="7" s="1"/>
  <c r="G36" i="3"/>
  <c r="K36" i="3"/>
  <c r="U26" i="2"/>
  <c r="AT37" i="1"/>
  <c r="AP35" i="5" l="1"/>
  <c r="M10" i="7" s="1"/>
  <c r="AP10" i="3"/>
  <c r="AS10" i="3" s="1"/>
  <c r="AV10" i="3" s="1"/>
  <c r="AP9" i="3"/>
  <c r="AS9" i="3" s="1"/>
  <c r="AV9" i="3" s="1"/>
  <c r="AP3" i="3"/>
  <c r="AS3" i="3" s="1"/>
  <c r="AV3" i="3" s="1"/>
  <c r="AP11" i="3"/>
  <c r="AS11" i="3" s="1"/>
  <c r="AV11" i="3" s="1"/>
  <c r="AP4" i="3"/>
  <c r="AS4" i="3" s="1"/>
  <c r="AV4" i="3" s="1"/>
  <c r="AP12" i="3"/>
  <c r="AS12" i="3" s="1"/>
  <c r="AV12" i="3" s="1"/>
  <c r="AP5" i="3"/>
  <c r="AS5" i="3" s="1"/>
  <c r="AV5" i="3" s="1"/>
  <c r="AP13" i="3"/>
  <c r="AS13" i="3" s="1"/>
  <c r="AV13" i="3" s="1"/>
  <c r="AP6" i="3"/>
  <c r="AS6" i="3" s="1"/>
  <c r="AV6" i="3" s="1"/>
  <c r="AP14" i="3"/>
  <c r="AS14" i="3" s="1"/>
  <c r="AV14" i="3" s="1"/>
  <c r="AP7" i="3"/>
  <c r="AS7" i="3" s="1"/>
  <c r="AV7" i="3" s="1"/>
  <c r="AP15" i="3"/>
  <c r="AS15" i="3" s="1"/>
  <c r="AV15" i="3" s="1"/>
  <c r="AP8" i="3"/>
  <c r="AS8" i="3" s="1"/>
  <c r="AV8" i="3" s="1"/>
  <c r="AP16" i="3"/>
  <c r="AS16" i="3" s="1"/>
  <c r="AV16" i="3" s="1"/>
  <c r="G8" i="4"/>
  <c r="AL13" i="5"/>
  <c r="AL15" i="5"/>
  <c r="AL6" i="5"/>
  <c r="AL14" i="5"/>
  <c r="AL11" i="5"/>
  <c r="AL7" i="5"/>
  <c r="AL12" i="5"/>
  <c r="AL16" i="5"/>
  <c r="AL4" i="5"/>
  <c r="AL8" i="5"/>
  <c r="AL10" i="5"/>
  <c r="AL9" i="5"/>
  <c r="AL3" i="5"/>
  <c r="AT34" i="3"/>
  <c r="U29" i="2"/>
  <c r="K32" i="2" s="1"/>
  <c r="K33" i="2"/>
  <c r="AP35" i="3" l="1"/>
  <c r="M9" i="4" s="1"/>
  <c r="AP4" i="11"/>
  <c r="AZ5" i="11" s="1"/>
  <c r="BE5" i="11" s="1"/>
  <c r="AZ9" i="11" s="1"/>
  <c r="BJ9" i="11" s="1"/>
  <c r="P32" i="2"/>
  <c r="M8" i="7" s="1"/>
  <c r="S8" i="7" s="1"/>
  <c r="AP37" i="11" l="1"/>
  <c r="AS37" i="11" s="1"/>
  <c r="AP34" i="11"/>
  <c r="AS34" i="11" s="1"/>
  <c r="AP38" i="11"/>
  <c r="AS38" i="11" s="1"/>
  <c r="AP36" i="11"/>
  <c r="AS36" i="11" s="1"/>
  <c r="AP33" i="11"/>
  <c r="AS33" i="11" s="1"/>
  <c r="AP35" i="11"/>
  <c r="AS35" i="11" s="1"/>
  <c r="M8" i="4"/>
  <c r="S8" i="4" s="1"/>
  <c r="AP25" i="5"/>
  <c r="AP26" i="5" s="1"/>
  <c r="G10" i="7" s="1"/>
  <c r="AP20" i="5"/>
  <c r="AP21" i="5" s="1"/>
  <c r="J10" i="7" s="1"/>
  <c r="J11" i="7" s="1"/>
  <c r="S10" i="7" l="1"/>
  <c r="S11" i="7" s="1"/>
  <c r="G11" i="7"/>
  <c r="AY35" i="11"/>
  <c r="AV35" i="11"/>
  <c r="AV33" i="11"/>
  <c r="AY33" i="11"/>
  <c r="AY36" i="11"/>
  <c r="AV36" i="11"/>
  <c r="AY38" i="11"/>
  <c r="AV38" i="11"/>
  <c r="AY34" i="11"/>
  <c r="AV34" i="11"/>
  <c r="AY37" i="11"/>
  <c r="AV37" i="11"/>
  <c r="AP20" i="3"/>
  <c r="AP21" i="3" s="1"/>
  <c r="J9" i="4" s="1"/>
  <c r="J11" i="4" s="1"/>
  <c r="BY4" i="8"/>
  <c r="CI5" i="8" s="1"/>
  <c r="CN5" i="8" s="1"/>
  <c r="CI9" i="8" s="1"/>
  <c r="CS9" i="8" s="1"/>
  <c r="W10" i="7"/>
  <c r="W11" i="7" s="1"/>
  <c r="AP25" i="3"/>
  <c r="AP26" i="3" s="1"/>
  <c r="G9" i="4" s="1"/>
  <c r="S9" i="4" l="1"/>
  <c r="S11" i="4" s="1"/>
  <c r="G11" i="4"/>
  <c r="BL36" i="11"/>
  <c r="CM34" i="12" s="1"/>
  <c r="CF23" i="12"/>
  <c r="BL33" i="11"/>
  <c r="CM31" i="12" s="1"/>
  <c r="CF20" i="12"/>
  <c r="CF13" i="12"/>
  <c r="BH37" i="11"/>
  <c r="CJ35" i="12" s="1"/>
  <c r="BH35" i="11"/>
  <c r="CJ33" i="12" s="1"/>
  <c r="CF11" i="12"/>
  <c r="CF14" i="12"/>
  <c r="BH38" i="11"/>
  <c r="CJ36" i="12" s="1"/>
  <c r="BL38" i="11"/>
  <c r="CM36" i="12" s="1"/>
  <c r="CF25" i="12"/>
  <c r="BH36" i="11"/>
  <c r="CJ34" i="12" s="1"/>
  <c r="CF12" i="12"/>
  <c r="BL37" i="11"/>
  <c r="CM35" i="12" s="1"/>
  <c r="CF24" i="12"/>
  <c r="BH33" i="11"/>
  <c r="CJ31" i="12" s="1"/>
  <c r="CF9" i="12"/>
  <c r="CF10" i="12"/>
  <c r="BH34" i="11"/>
  <c r="CJ32" i="12" s="1"/>
  <c r="BL34" i="11"/>
  <c r="CM32" i="12" s="1"/>
  <c r="CF21" i="12"/>
  <c r="BL35" i="11"/>
  <c r="CM33" i="12" s="1"/>
  <c r="CF22" i="12"/>
  <c r="BY38" i="8"/>
  <c r="CB38" i="8" s="1"/>
  <c r="BY37" i="8"/>
  <c r="CB37" i="8" s="1"/>
  <c r="BY35" i="8"/>
  <c r="CB35" i="8" s="1"/>
  <c r="BY34" i="8"/>
  <c r="CB34" i="8" s="1"/>
  <c r="BY33" i="8"/>
  <c r="BY36" i="8"/>
  <c r="CB36" i="8" s="1"/>
  <c r="W9" i="4"/>
  <c r="W11" i="4" l="1"/>
  <c r="BB19" i="4" s="1"/>
  <c r="CI17" i="4"/>
  <c r="O34" i="4"/>
  <c r="CB33" i="8"/>
  <c r="CE33" i="8" s="1"/>
  <c r="CB9" i="9" s="1"/>
  <c r="CI15" i="4"/>
  <c r="CI9" i="4"/>
  <c r="CC12" i="4" s="1"/>
  <c r="CH34" i="8"/>
  <c r="CB21" i="9" s="1"/>
  <c r="CE34" i="8"/>
  <c r="CB10" i="9" s="1"/>
  <c r="CE36" i="8"/>
  <c r="CB12" i="9" s="1"/>
  <c r="CH36" i="8"/>
  <c r="CB23" i="9" s="1"/>
  <c r="CH38" i="8"/>
  <c r="CB25" i="9" s="1"/>
  <c r="CE38" i="8"/>
  <c r="CB14" i="9" s="1"/>
  <c r="CE35" i="8"/>
  <c r="CB11" i="9" s="1"/>
  <c r="CH35" i="8"/>
  <c r="CB22" i="9" s="1"/>
  <c r="CE37" i="8"/>
  <c r="CB13" i="9" s="1"/>
  <c r="CH37" i="8"/>
  <c r="CB24" i="9" s="1"/>
  <c r="N15" i="4"/>
  <c r="AX19" i="4"/>
  <c r="M33" i="4"/>
  <c r="P16" i="4"/>
  <c r="R15" i="4" l="1"/>
  <c r="BG19" i="4"/>
  <c r="BY9" i="4" s="1"/>
  <c r="BY12" i="4" s="1"/>
  <c r="CR12" i="4" s="1"/>
  <c r="CW12" i="4" s="1"/>
  <c r="Q5" i="9" s="1"/>
  <c r="CH33" i="8"/>
  <c r="CB20" i="9" s="1"/>
  <c r="CQ33" i="8"/>
  <c r="CD31" i="9" s="1"/>
  <c r="CU37" i="8"/>
  <c r="CG35" i="9" s="1"/>
  <c r="CQ37" i="8"/>
  <c r="CD35" i="9" s="1"/>
  <c r="CU35" i="8"/>
  <c r="CG33" i="9" s="1"/>
  <c r="CQ34" i="8"/>
  <c r="CD32" i="9" s="1"/>
  <c r="CQ35" i="8"/>
  <c r="CD33" i="9" s="1"/>
  <c r="CQ38" i="8"/>
  <c r="CD36" i="9" s="1"/>
  <c r="CU38" i="8"/>
  <c r="CG36" i="9" s="1"/>
  <c r="CU36" i="8"/>
  <c r="CG34" i="9" s="1"/>
  <c r="CQ36" i="8"/>
  <c r="CD34" i="9" s="1"/>
  <c r="CU34" i="8"/>
  <c r="CG32" i="9" s="1"/>
  <c r="G37" i="4"/>
  <c r="J37" i="4" s="1"/>
  <c r="S37" i="4" s="1"/>
  <c r="U33" i="4"/>
  <c r="G17" i="4"/>
  <c r="BY2" i="4" s="1"/>
  <c r="CU33" i="8" l="1"/>
  <c r="CG31" i="9" s="1"/>
  <c r="CG23" i="4"/>
  <c r="CL23" i="4" s="1"/>
  <c r="Q6" i="9" s="1"/>
  <c r="N18" i="9" s="1"/>
  <c r="CM17" i="4"/>
  <c r="CU17" i="4" s="1"/>
  <c r="CM15" i="4"/>
  <c r="CU15" i="4" s="1"/>
  <c r="G24" i="4"/>
  <c r="J24" i="4" s="1"/>
  <c r="S24" i="4" s="1"/>
  <c r="AQ12" i="9" l="1"/>
  <c r="AQ11" i="9"/>
  <c r="H25" i="9"/>
  <c r="CK26" i="4"/>
  <c r="CV26" i="4" s="1"/>
  <c r="BY28" i="4" s="1"/>
  <c r="BY35" i="4" s="1"/>
  <c r="CB35" i="4" s="1"/>
  <c r="CK35" i="4" s="1"/>
  <c r="CK30" i="4"/>
  <c r="CV30" i="4" s="1"/>
  <c r="BY32" i="4" s="1"/>
  <c r="BY37" i="4" s="1"/>
  <c r="CB37" i="4" s="1"/>
  <c r="CK37" i="4" s="1"/>
  <c r="G20" i="9"/>
  <c r="J20" i="9"/>
  <c r="AW12" i="9" l="1"/>
  <c r="AS14" i="9" s="1"/>
  <c r="AS16" i="9" s="1"/>
  <c r="N25" i="9"/>
  <c r="K27" i="9" s="1"/>
  <c r="AW11" i="9"/>
  <c r="AS13" i="9" s="1"/>
  <c r="AS15" i="9" s="1"/>
  <c r="K25" i="9"/>
  <c r="G27" i="9" s="1"/>
  <c r="AT11" i="9"/>
  <c r="AO13" i="9" s="1"/>
  <c r="AO15" i="9" s="1"/>
  <c r="BH35" i="9" s="1"/>
  <c r="BE35" i="9" s="1"/>
  <c r="AT12" i="9"/>
  <c r="AO14" i="9" s="1"/>
  <c r="AO16" i="9" s="1"/>
  <c r="BH34" i="9" l="1"/>
  <c r="BE34" i="9" s="1"/>
  <c r="AV35" i="9"/>
  <c r="AY35" i="9" s="1"/>
  <c r="AV37" i="9"/>
  <c r="AY37" i="9" s="1"/>
  <c r="AV34" i="9"/>
  <c r="AY34" i="9" s="1"/>
  <c r="AV33" i="9"/>
  <c r="AY33" i="9" s="1"/>
  <c r="AV32" i="9"/>
  <c r="AY32" i="9" s="1"/>
  <c r="BH32" i="9"/>
  <c r="BE32" i="9" s="1"/>
  <c r="BH33" i="9"/>
  <c r="BE33" i="9" s="1"/>
  <c r="AV36" i="9"/>
  <c r="AY36" i="9" s="1"/>
  <c r="CE10" i="9" l="1"/>
  <c r="CJ10" i="9" s="1"/>
  <c r="J11" i="10" s="1"/>
  <c r="J33" i="10" s="1"/>
  <c r="BB33" i="9"/>
  <c r="BB34" i="9"/>
  <c r="BB36" i="9"/>
  <c r="BB37" i="9"/>
  <c r="BB32" i="9"/>
  <c r="CE9" i="9"/>
  <c r="CJ9" i="9" s="1"/>
  <c r="J10" i="10" s="1"/>
  <c r="J32" i="10" s="1"/>
  <c r="BB35" i="9"/>
  <c r="BK33" i="9" l="1"/>
  <c r="CJ32" i="9" s="1"/>
  <c r="CP32" i="9" s="1"/>
  <c r="P11" i="10" s="1"/>
  <c r="CE22" i="9"/>
  <c r="CJ22" i="9" s="1"/>
  <c r="M12" i="10" s="1"/>
  <c r="AT15" i="10" s="1"/>
  <c r="AW15" i="10" s="1"/>
  <c r="BB15" i="10" s="1"/>
  <c r="BG15" i="10" s="1"/>
  <c r="BO34" i="9"/>
  <c r="CM33" i="9" s="1"/>
  <c r="CS33" i="9" s="1"/>
  <c r="S12" i="10" s="1"/>
  <c r="CE24" i="9"/>
  <c r="CJ24" i="9" s="1"/>
  <c r="M14" i="10" s="1"/>
  <c r="AT17" i="10" s="1"/>
  <c r="AW17" i="10" s="1"/>
  <c r="BB17" i="10" s="1"/>
  <c r="BG17" i="10" s="1"/>
  <c r="BO36" i="9"/>
  <c r="CM35" i="9" s="1"/>
  <c r="CS35" i="9" s="1"/>
  <c r="S14" i="10" s="1"/>
  <c r="CE11" i="9"/>
  <c r="CJ11" i="9" s="1"/>
  <c r="J12" i="10" s="1"/>
  <c r="J34" i="10" s="1"/>
  <c r="BK34" i="9"/>
  <c r="CJ33" i="9" s="1"/>
  <c r="CP33" i="9" s="1"/>
  <c r="P12" i="10" s="1"/>
  <c r="CE23" i="9"/>
  <c r="CJ23" i="9" s="1"/>
  <c r="M13" i="10" s="1"/>
  <c r="AT16" i="10" s="1"/>
  <c r="AW16" i="10" s="1"/>
  <c r="BB16" i="10" s="1"/>
  <c r="BG16" i="10" s="1"/>
  <c r="BO35" i="9"/>
  <c r="CM34" i="9" s="1"/>
  <c r="CS34" i="9" s="1"/>
  <c r="S13" i="10" s="1"/>
  <c r="CE25" i="9"/>
  <c r="CJ25" i="9" s="1"/>
  <c r="M15" i="10" s="1"/>
  <c r="AT18" i="10" s="1"/>
  <c r="AW18" i="10" s="1"/>
  <c r="BB18" i="10" s="1"/>
  <c r="BG18" i="10" s="1"/>
  <c r="BO37" i="9"/>
  <c r="CM36" i="9" s="1"/>
  <c r="CS36" i="9" s="1"/>
  <c r="S15" i="10" s="1"/>
  <c r="CE21" i="9"/>
  <c r="CJ21" i="9" s="1"/>
  <c r="M11" i="10" s="1"/>
  <c r="AT14" i="10" s="1"/>
  <c r="AW14" i="10" s="1"/>
  <c r="BB14" i="10" s="1"/>
  <c r="BG14" i="10" s="1"/>
  <c r="BO33" i="9"/>
  <c r="CM32" i="9" s="1"/>
  <c r="CS32" i="9" s="1"/>
  <c r="S11" i="10" s="1"/>
  <c r="CE12" i="9"/>
  <c r="CJ12" i="9" s="1"/>
  <c r="J13" i="10" s="1"/>
  <c r="J35" i="10" s="1"/>
  <c r="BK35" i="9"/>
  <c r="CJ34" i="9" s="1"/>
  <c r="CP34" i="9" s="1"/>
  <c r="P13" i="10" s="1"/>
  <c r="CE20" i="9"/>
  <c r="CJ20" i="9" s="1"/>
  <c r="M10" i="10" s="1"/>
  <c r="AT13" i="10" s="1"/>
  <c r="AW13" i="10" s="1"/>
  <c r="BB13" i="10" s="1"/>
  <c r="BG13" i="10" s="1"/>
  <c r="BO32" i="9"/>
  <c r="CM31" i="9" s="1"/>
  <c r="CS31" i="9" s="1"/>
  <c r="S10" i="10" s="1"/>
  <c r="CE14" i="9"/>
  <c r="CJ14" i="9" s="1"/>
  <c r="J15" i="10" s="1"/>
  <c r="J37" i="10" s="1"/>
  <c r="BK37" i="9"/>
  <c r="CJ36" i="9" s="1"/>
  <c r="CP36" i="9" s="1"/>
  <c r="P15" i="10" s="1"/>
  <c r="CE13" i="9"/>
  <c r="CJ13" i="9" s="1"/>
  <c r="J14" i="10" s="1"/>
  <c r="J36" i="10" s="1"/>
  <c r="BK36" i="9"/>
  <c r="CJ35" i="9" s="1"/>
  <c r="CP35" i="9" s="1"/>
  <c r="P14" i="10" s="1"/>
  <c r="BK32" i="9"/>
  <c r="CJ31" i="9" s="1"/>
  <c r="CP31" i="9" s="1"/>
  <c r="P10" i="10" s="1"/>
  <c r="V11" i="10" l="1"/>
  <c r="M33" i="10" s="1"/>
  <c r="V15" i="10"/>
  <c r="M37" i="10" s="1"/>
  <c r="V12" i="10"/>
  <c r="M34" i="10" s="1"/>
  <c r="V14" i="10"/>
  <c r="M36" i="10" s="1"/>
  <c r="V10" i="10"/>
  <c r="M32" i="10" s="1"/>
  <c r="V13" i="10"/>
  <c r="M35" i="10" s="1"/>
  <c r="S34" i="10" l="1"/>
  <c r="Z34" i="10" s="1"/>
  <c r="P34" i="10"/>
  <c r="W34" i="10" s="1"/>
  <c r="P35" i="10"/>
  <c r="W35" i="10" s="1"/>
  <c r="S35" i="10"/>
  <c r="Z35" i="10" s="1"/>
  <c r="S33" i="10"/>
  <c r="Z33" i="10" s="1"/>
  <c r="P33" i="10"/>
  <c r="W33" i="10" s="1"/>
  <c r="S32" i="10"/>
  <c r="Z32" i="10" s="1"/>
  <c r="P32" i="10"/>
  <c r="W32" i="10" s="1"/>
  <c r="P37" i="10"/>
  <c r="W37" i="10" s="1"/>
  <c r="S37" i="10"/>
  <c r="Z37" i="10" s="1"/>
  <c r="P36" i="10"/>
  <c r="W36" i="10" s="1"/>
  <c r="S36" i="10"/>
  <c r="Z36" i="10" s="1"/>
  <c r="CI9" i="7"/>
  <c r="CC12" i="7" s="1"/>
  <c r="CI15" i="7"/>
  <c r="M33" i="7"/>
  <c r="P16" i="7"/>
  <c r="CI17" i="7"/>
  <c r="O34" i="7"/>
  <c r="AD37" i="10" l="1"/>
  <c r="AG32" i="10"/>
  <c r="AD34" i="10"/>
  <c r="AD33" i="10"/>
  <c r="AD32" i="10"/>
  <c r="AG33" i="10"/>
  <c r="AG34" i="10"/>
  <c r="AG35" i="10"/>
  <c r="AD35" i="10"/>
  <c r="AG37" i="10"/>
  <c r="AD36" i="10"/>
  <c r="AG36" i="10"/>
  <c r="U33" i="7"/>
  <c r="G37" i="7"/>
  <c r="J37" i="7" s="1"/>
  <c r="S37" i="7" s="1"/>
  <c r="N15" i="7"/>
  <c r="AX19" i="7"/>
  <c r="R15" i="7"/>
  <c r="BB19" i="7"/>
  <c r="G17" i="7" l="1"/>
  <c r="G24" i="7" s="1"/>
  <c r="J24" i="7" s="1"/>
  <c r="S24" i="7" s="1"/>
  <c r="BG19" i="7"/>
  <c r="BY9" i="7" s="1"/>
  <c r="BY12" i="7" s="1"/>
  <c r="CR12" i="7" s="1"/>
  <c r="CW12" i="7" s="1"/>
  <c r="CM15" i="7" l="1"/>
  <c r="CU15" i="7" s="1"/>
  <c r="CK26" i="7" s="1"/>
  <c r="CV26" i="7" s="1"/>
  <c r="BY28" i="7" s="1"/>
  <c r="BY35" i="7" s="1"/>
  <c r="CB35" i="7" s="1"/>
  <c r="CK35" i="7" s="1"/>
  <c r="CG23" i="7"/>
  <c r="CL23" i="7" s="1"/>
  <c r="CQ23" i="7" s="1"/>
  <c r="Q6" i="12" s="1"/>
  <c r="BY2" i="7"/>
  <c r="Q5" i="12"/>
  <c r="CM17" i="7"/>
  <c r="CU17" i="7" s="1"/>
  <c r="CK30" i="7" l="1"/>
  <c r="CV30" i="7" s="1"/>
  <c r="BY32" i="7" s="1"/>
  <c r="BY37" i="7" s="1"/>
  <c r="CB37" i="7" s="1"/>
  <c r="CK37" i="7" s="1"/>
  <c r="H25" i="12"/>
  <c r="AQ12" i="12"/>
  <c r="N18" i="12"/>
  <c r="G20" i="12" s="1"/>
  <c r="AQ11" i="12"/>
  <c r="J20" i="12" l="1"/>
  <c r="AW11" i="12" s="1"/>
  <c r="AS13" i="12" s="1"/>
  <c r="AS15" i="12" s="1"/>
  <c r="AT12" i="12"/>
  <c r="AO14" i="12" s="1"/>
  <c r="AO16" i="12" s="1"/>
  <c r="K25" i="12"/>
  <c r="G27" i="12" s="1"/>
  <c r="AT11" i="12"/>
  <c r="AO13" i="12" s="1"/>
  <c r="AO15" i="12" s="1"/>
  <c r="AW12" i="12" l="1"/>
  <c r="AS14" i="12" s="1"/>
  <c r="AS16" i="12" s="1"/>
  <c r="BH34" i="12" s="1"/>
  <c r="BE34" i="12" s="1"/>
  <c r="N25" i="12"/>
  <c r="K27" i="12" s="1"/>
  <c r="AV35" i="12" s="1"/>
  <c r="BH35" i="12" l="1"/>
  <c r="BE35" i="12" s="1"/>
  <c r="AV34" i="12"/>
  <c r="AY34" i="12" s="1"/>
  <c r="AV32" i="12"/>
  <c r="BB32" i="12" s="1"/>
  <c r="AV36" i="12"/>
  <c r="BB36" i="12" s="1"/>
  <c r="BH33" i="12"/>
  <c r="BE33" i="12" s="1"/>
  <c r="BH32" i="12"/>
  <c r="BE32" i="12" s="1"/>
  <c r="AV37" i="12"/>
  <c r="AY37" i="12" s="1"/>
  <c r="AV33" i="12"/>
  <c r="AY33" i="12" s="1"/>
  <c r="BB35" i="12"/>
  <c r="AY35" i="12"/>
  <c r="BB34" i="12" l="1"/>
  <c r="CI22" i="12" s="1"/>
  <c r="CN22" i="12" s="1"/>
  <c r="M12" i="13" s="1"/>
  <c r="AT15" i="13" s="1"/>
  <c r="AW15" i="13" s="1"/>
  <c r="BB15" i="13" s="1"/>
  <c r="BG15" i="13" s="1"/>
  <c r="AY32" i="12"/>
  <c r="BK32" i="12" s="1"/>
  <c r="CP31" i="12" s="1"/>
  <c r="CV31" i="12" s="1"/>
  <c r="P10" i="13" s="1"/>
  <c r="AY36" i="12"/>
  <c r="BK36" i="12" s="1"/>
  <c r="CP35" i="12" s="1"/>
  <c r="CV35" i="12" s="1"/>
  <c r="P14" i="13" s="1"/>
  <c r="BB37" i="12"/>
  <c r="CI25" i="12" s="1"/>
  <c r="CN25" i="12" s="1"/>
  <c r="M15" i="13" s="1"/>
  <c r="AT18" i="13" s="1"/>
  <c r="AW18" i="13" s="1"/>
  <c r="BB18" i="13" s="1"/>
  <c r="BG18" i="13" s="1"/>
  <c r="BB33" i="12"/>
  <c r="CI21" i="12" s="1"/>
  <c r="CN21" i="12" s="1"/>
  <c r="M11" i="13" s="1"/>
  <c r="AT14" i="13" s="1"/>
  <c r="AW14" i="13" s="1"/>
  <c r="BB14" i="13" s="1"/>
  <c r="BG14" i="13" s="1"/>
  <c r="CI11" i="12"/>
  <c r="CN11" i="12" s="1"/>
  <c r="J12" i="13" s="1"/>
  <c r="J34" i="13" s="1"/>
  <c r="BK34" i="12"/>
  <c r="CP33" i="12" s="1"/>
  <c r="CV33" i="12" s="1"/>
  <c r="P12" i="13" s="1"/>
  <c r="BK33" i="12"/>
  <c r="CP32" i="12" s="1"/>
  <c r="CV32" i="12" s="1"/>
  <c r="P11" i="13" s="1"/>
  <c r="CI10" i="12"/>
  <c r="CN10" i="12" s="1"/>
  <c r="J11" i="13" s="1"/>
  <c r="J33" i="13" s="1"/>
  <c r="BO32" i="12"/>
  <c r="CS31" i="12" s="1"/>
  <c r="CY31" i="12" s="1"/>
  <c r="S10" i="13" s="1"/>
  <c r="CI20" i="12"/>
  <c r="CN20" i="12" s="1"/>
  <c r="M10" i="13" s="1"/>
  <c r="AT13" i="13" s="1"/>
  <c r="AW13" i="13" s="1"/>
  <c r="BB13" i="13" s="1"/>
  <c r="BG13" i="13" s="1"/>
  <c r="BK37" i="12"/>
  <c r="CP36" i="12" s="1"/>
  <c r="CV36" i="12" s="1"/>
  <c r="P15" i="13" s="1"/>
  <c r="CI14" i="12"/>
  <c r="CN14" i="12" s="1"/>
  <c r="J15" i="13" s="1"/>
  <c r="J37" i="13" s="1"/>
  <c r="BO36" i="12"/>
  <c r="CS35" i="12" s="1"/>
  <c r="CY35" i="12" s="1"/>
  <c r="S14" i="13" s="1"/>
  <c r="CI24" i="12"/>
  <c r="CN24" i="12" s="1"/>
  <c r="M14" i="13" s="1"/>
  <c r="AT17" i="13" s="1"/>
  <c r="AW17" i="13" s="1"/>
  <c r="BB17" i="13" s="1"/>
  <c r="BG17" i="13" s="1"/>
  <c r="BK35" i="12"/>
  <c r="CP34" i="12" s="1"/>
  <c r="CV34" i="12" s="1"/>
  <c r="P13" i="13" s="1"/>
  <c r="CI12" i="12"/>
  <c r="CN12" i="12" s="1"/>
  <c r="J13" i="13" s="1"/>
  <c r="J35" i="13" s="1"/>
  <c r="CI23" i="12"/>
  <c r="CN23" i="12" s="1"/>
  <c r="M13" i="13" s="1"/>
  <c r="AT16" i="13" s="1"/>
  <c r="AW16" i="13" s="1"/>
  <c r="BB16" i="13" s="1"/>
  <c r="BG16" i="13" s="1"/>
  <c r="BO35" i="12"/>
  <c r="CS34" i="12" s="1"/>
  <c r="CY34" i="12" s="1"/>
  <c r="S13" i="13" s="1"/>
  <c r="V14" i="13" l="1"/>
  <c r="M36" i="13" s="1"/>
  <c r="V10" i="13"/>
  <c r="M32" i="13" s="1"/>
  <c r="V13" i="13"/>
  <c r="M35" i="13" s="1"/>
  <c r="S35" i="13" s="1"/>
  <c r="Z35" i="13" s="1"/>
  <c r="BO37" i="12"/>
  <c r="CS36" i="12" s="1"/>
  <c r="CY36" i="12" s="1"/>
  <c r="S15" i="13" s="1"/>
  <c r="BO33" i="12"/>
  <c r="CS32" i="12" s="1"/>
  <c r="CY32" i="12" s="1"/>
  <c r="S11" i="13" s="1"/>
  <c r="BO34" i="12"/>
  <c r="CS33" i="12" s="1"/>
  <c r="CY33" i="12" s="1"/>
  <c r="S12" i="13" s="1"/>
  <c r="CI9" i="12"/>
  <c r="CN9" i="12" s="1"/>
  <c r="J10" i="13" s="1"/>
  <c r="J32" i="13" s="1"/>
  <c r="CI13" i="12"/>
  <c r="CN13" i="12" s="1"/>
  <c r="J14" i="13" s="1"/>
  <c r="J36" i="13" s="1"/>
  <c r="P35" i="13" l="1"/>
  <c r="W35" i="13" s="1"/>
  <c r="S36" i="13"/>
  <c r="P36" i="13"/>
  <c r="W36" i="13" s="1"/>
  <c r="V11" i="13"/>
  <c r="M33" i="13" s="1"/>
  <c r="S32" i="13"/>
  <c r="P32" i="13"/>
  <c r="W32" i="13" s="1"/>
  <c r="V12" i="13"/>
  <c r="M34" i="13" s="1"/>
  <c r="V15" i="13"/>
  <c r="M37" i="13" s="1"/>
  <c r="P34" i="13" l="1"/>
  <c r="W34" i="13" s="1"/>
  <c r="S34" i="13"/>
  <c r="Z34" i="13" s="1"/>
  <c r="P33" i="13"/>
  <c r="W33" i="13" s="1"/>
  <c r="S33" i="13"/>
  <c r="Z33" i="13" s="1"/>
  <c r="S37" i="13"/>
  <c r="Z37" i="13" s="1"/>
  <c r="P37" i="13"/>
  <c r="W37" i="13" s="1"/>
  <c r="Z36" i="13"/>
  <c r="AD36" i="13" s="1"/>
  <c r="Z32" i="13"/>
  <c r="AD32" i="13" s="1"/>
  <c r="AD35" i="13"/>
  <c r="AG35" i="13"/>
  <c r="AD37" i="13" l="1"/>
  <c r="AD33" i="13"/>
  <c r="AG34" i="13"/>
  <c r="AD34" i="13"/>
  <c r="AG33" i="13"/>
  <c r="AG37" i="13"/>
  <c r="AG36" i="13"/>
  <c r="AG32" i="13"/>
</calcChain>
</file>

<file path=xl/sharedStrings.xml><?xml version="1.0" encoding="utf-8"?>
<sst xmlns="http://schemas.openxmlformats.org/spreadsheetml/2006/main" count="2702" uniqueCount="543">
  <si>
    <t>1. 設計条件</t>
    <rPh sb="3" eb="5">
      <t>セッケイ</t>
    </rPh>
    <rPh sb="5" eb="7">
      <t>ジョウケン</t>
    </rPh>
    <phoneticPr fontId="1"/>
  </si>
  <si>
    <t>1-1. 形状寸法</t>
    <rPh sb="5" eb="7">
      <t>ケイジョウ</t>
    </rPh>
    <rPh sb="7" eb="9">
      <t>スンポウ</t>
    </rPh>
    <phoneticPr fontId="1"/>
  </si>
  <si>
    <t>擁壁高</t>
    <rPh sb="0" eb="2">
      <t>ヨウヘキ</t>
    </rPh>
    <rPh sb="2" eb="3">
      <t>タカ</t>
    </rPh>
    <phoneticPr fontId="1"/>
  </si>
  <si>
    <t>=</t>
    <phoneticPr fontId="1"/>
  </si>
  <si>
    <t>m</t>
    <phoneticPr fontId="1"/>
  </si>
  <si>
    <t>底面幅</t>
    <rPh sb="0" eb="2">
      <t>ソコメン</t>
    </rPh>
    <rPh sb="2" eb="3">
      <t>ハバ</t>
    </rPh>
    <phoneticPr fontId="1"/>
  </si>
  <si>
    <t>天端幅</t>
    <rPh sb="0" eb="1">
      <t>テン</t>
    </rPh>
    <rPh sb="1" eb="2">
      <t>ハシ</t>
    </rPh>
    <rPh sb="2" eb="3">
      <t>ハバ</t>
    </rPh>
    <phoneticPr fontId="1"/>
  </si>
  <si>
    <t>躯体前面勾配</t>
    <phoneticPr fontId="1"/>
  </si>
  <si>
    <t>c</t>
    <phoneticPr fontId="1"/>
  </si>
  <si>
    <t>：</t>
    <phoneticPr fontId="1"/>
  </si>
  <si>
    <t>躯体背面勾配</t>
    <rPh sb="2" eb="4">
      <t>ハイメン</t>
    </rPh>
    <phoneticPr fontId="1"/>
  </si>
  <si>
    <t>1-2. コンクリート規格</t>
    <rPh sb="11" eb="13">
      <t>キカク</t>
    </rPh>
    <phoneticPr fontId="1"/>
  </si>
  <si>
    <t>設計基準強度</t>
    <rPh sb="0" eb="2">
      <t>セッケイ</t>
    </rPh>
    <rPh sb="2" eb="4">
      <t>キジュン</t>
    </rPh>
    <rPh sb="4" eb="6">
      <t>キョウド</t>
    </rPh>
    <phoneticPr fontId="1"/>
  </si>
  <si>
    <r>
      <t>σ</t>
    </r>
    <r>
      <rPr>
        <vertAlign val="subscript"/>
        <sz val="11"/>
        <color theme="1"/>
        <rFont val="Times New Roman"/>
        <family val="1"/>
      </rPr>
      <t>ck</t>
    </r>
    <phoneticPr fontId="1"/>
  </si>
  <si>
    <t>kN/m²</t>
    <phoneticPr fontId="1"/>
  </si>
  <si>
    <r>
      <rPr>
        <i/>
        <sz val="11"/>
        <color theme="1"/>
        <rFont val="Times New Roman"/>
        <family val="1"/>
      </rPr>
      <t>n</t>
    </r>
    <r>
      <rPr>
        <sz val="11"/>
        <color theme="1"/>
        <rFont val="Times New Roman"/>
        <family val="1"/>
      </rPr>
      <t>₂</t>
    </r>
    <phoneticPr fontId="1"/>
  </si>
  <si>
    <t>単位体積重量</t>
    <rPh sb="0" eb="2">
      <t>タンイ</t>
    </rPh>
    <rPh sb="2" eb="4">
      <t>タイセキ</t>
    </rPh>
    <rPh sb="4" eb="6">
      <t>ジュウリョウ</t>
    </rPh>
    <phoneticPr fontId="1"/>
  </si>
  <si>
    <t>kN/m³</t>
    <phoneticPr fontId="1"/>
  </si>
  <si>
    <t>1-3. 裏込め材料</t>
    <rPh sb="5" eb="7">
      <t>ウラコ</t>
    </rPh>
    <rPh sb="8" eb="10">
      <t>ザイリョウ</t>
    </rPh>
    <phoneticPr fontId="1"/>
  </si>
  <si>
    <t>裏込め土</t>
    <rPh sb="0" eb="2">
      <t>ウラコ</t>
    </rPh>
    <rPh sb="3" eb="4">
      <t>ツチ</t>
    </rPh>
    <phoneticPr fontId="1"/>
  </si>
  <si>
    <t>砂質土</t>
    <rPh sb="0" eb="2">
      <t>サシツ</t>
    </rPh>
    <rPh sb="2" eb="3">
      <t>ツチ</t>
    </rPh>
    <phoneticPr fontId="1"/>
  </si>
  <si>
    <t>せん断抵抗角</t>
    <rPh sb="2" eb="3">
      <t>ダン</t>
    </rPh>
    <rPh sb="3" eb="5">
      <t>テイコウ</t>
    </rPh>
    <rPh sb="5" eb="6">
      <t>カク</t>
    </rPh>
    <phoneticPr fontId="1"/>
  </si>
  <si>
    <t>φ</t>
    <phoneticPr fontId="1"/>
  </si>
  <si>
    <r>
      <t>γ</t>
    </r>
    <r>
      <rPr>
        <vertAlign val="subscript"/>
        <sz val="11"/>
        <color theme="1"/>
        <rFont val="Times New Roman"/>
        <family val="1"/>
      </rPr>
      <t>s</t>
    </r>
    <phoneticPr fontId="1"/>
  </si>
  <si>
    <t>°</t>
    <phoneticPr fontId="1"/>
  </si>
  <si>
    <t>粘着力</t>
    <rPh sb="0" eb="2">
      <t>ネンチャク</t>
    </rPh>
    <rPh sb="2" eb="3">
      <t>チカラ</t>
    </rPh>
    <phoneticPr fontId="1"/>
  </si>
  <si>
    <t>底面と地盤の摩擦係数</t>
    <rPh sb="0" eb="2">
      <t>テイメン</t>
    </rPh>
    <rPh sb="3" eb="5">
      <t>ジバン</t>
    </rPh>
    <rPh sb="6" eb="8">
      <t>マサツ</t>
    </rPh>
    <rPh sb="8" eb="10">
      <t>ケイスウ</t>
    </rPh>
    <phoneticPr fontId="5"/>
  </si>
  <si>
    <t>許容鉛直支持力度（常時）</t>
    <rPh sb="0" eb="2">
      <t>キョヨウ</t>
    </rPh>
    <rPh sb="2" eb="4">
      <t>エンチョク</t>
    </rPh>
    <rPh sb="4" eb="8">
      <t>シジリョクド</t>
    </rPh>
    <rPh sb="9" eb="11">
      <t>ジョウジ</t>
    </rPh>
    <phoneticPr fontId="5"/>
  </si>
  <si>
    <t>μ</t>
    <phoneticPr fontId="1"/>
  </si>
  <si>
    <r>
      <rPr>
        <i/>
        <sz val="11"/>
        <color theme="1"/>
        <rFont val="Times New Roman"/>
        <family val="1"/>
      </rPr>
      <t>q</t>
    </r>
    <r>
      <rPr>
        <vertAlign val="subscript"/>
        <sz val="11"/>
        <color theme="1"/>
        <rFont val="Times New Roman"/>
        <family val="1"/>
      </rPr>
      <t>a</t>
    </r>
    <phoneticPr fontId="1"/>
  </si>
  <si>
    <t>1-5. 上載荷重と地下水位</t>
    <rPh sb="10" eb="14">
      <t>チカスイイ</t>
    </rPh>
    <phoneticPr fontId="5"/>
  </si>
  <si>
    <t>上載荷重</t>
    <phoneticPr fontId="5"/>
  </si>
  <si>
    <t>地下水位</t>
    <rPh sb="0" eb="4">
      <t>チカスイイ</t>
    </rPh>
    <phoneticPr fontId="5"/>
  </si>
  <si>
    <t>q</t>
    <phoneticPr fontId="1"/>
  </si>
  <si>
    <t>なし</t>
    <phoneticPr fontId="1"/>
  </si>
  <si>
    <t>常時</t>
    <rPh sb="0" eb="2">
      <t>ジョウジ</t>
    </rPh>
    <phoneticPr fontId="1"/>
  </si>
  <si>
    <t>転倒に対する安定条件</t>
    <rPh sb="0" eb="2">
      <t>テントウ</t>
    </rPh>
    <rPh sb="3" eb="4">
      <t>タイ</t>
    </rPh>
    <rPh sb="6" eb="8">
      <t>アンテイ</t>
    </rPh>
    <rPh sb="8" eb="10">
      <t>ジョウケン</t>
    </rPh>
    <phoneticPr fontId="1"/>
  </si>
  <si>
    <t>滑動に対する安全率</t>
    <rPh sb="0" eb="2">
      <t>カツドウ</t>
    </rPh>
    <rPh sb="3" eb="4">
      <t>タイ</t>
    </rPh>
    <rPh sb="6" eb="9">
      <t>アンゼンリツ</t>
    </rPh>
    <phoneticPr fontId="1"/>
  </si>
  <si>
    <t>許容鉛直支持力度</t>
    <rPh sb="0" eb="2">
      <t>キョヨウ</t>
    </rPh>
    <rPh sb="2" eb="4">
      <t>エンチョク</t>
    </rPh>
    <rPh sb="4" eb="7">
      <t>シジリョク</t>
    </rPh>
    <rPh sb="7" eb="8">
      <t>ド</t>
    </rPh>
    <phoneticPr fontId="1"/>
  </si>
  <si>
    <t>kN/m²</t>
    <phoneticPr fontId="5"/>
  </si>
  <si>
    <t>H</t>
    <phoneticPr fontId="1"/>
  </si>
  <si>
    <t>B</t>
    <phoneticPr fontId="1"/>
  </si>
  <si>
    <t>b</t>
    <phoneticPr fontId="1"/>
  </si>
  <si>
    <t>区分</t>
    <rPh sb="0" eb="2">
      <t>クブン</t>
    </rPh>
    <phoneticPr fontId="1"/>
  </si>
  <si>
    <t>①</t>
    <phoneticPr fontId="1"/>
  </si>
  <si>
    <t>②</t>
    <phoneticPr fontId="1"/>
  </si>
  <si>
    <t>Σ</t>
    <phoneticPr fontId="1"/>
  </si>
  <si>
    <t>幅</t>
    <rPh sb="0" eb="1">
      <t>ハバ</t>
    </rPh>
    <phoneticPr fontId="1"/>
  </si>
  <si>
    <t>高さ</t>
    <rPh sb="0" eb="1">
      <t>タカ</t>
    </rPh>
    <phoneticPr fontId="1"/>
  </si>
  <si>
    <t>面積</t>
    <rPh sb="0" eb="2">
      <t>メンセキ</t>
    </rPh>
    <phoneticPr fontId="1"/>
  </si>
  <si>
    <t>擁壁を図のとおりの断面に区分し、面積と重心を求める。</t>
    <rPh sb="0" eb="2">
      <t>ヨウヘキ</t>
    </rPh>
    <rPh sb="3" eb="4">
      <t>ズ</t>
    </rPh>
    <rPh sb="9" eb="11">
      <t>ダンメン</t>
    </rPh>
    <rPh sb="12" eb="14">
      <t>クブン</t>
    </rPh>
    <rPh sb="16" eb="18">
      <t>メンセキ</t>
    </rPh>
    <rPh sb="19" eb="21">
      <t>ジュウシン</t>
    </rPh>
    <rPh sb="22" eb="23">
      <t>モト</t>
    </rPh>
    <phoneticPr fontId="1"/>
  </si>
  <si>
    <t>A</t>
    <phoneticPr fontId="1"/>
  </si>
  <si>
    <t>(m²)</t>
    <phoneticPr fontId="1"/>
  </si>
  <si>
    <t>(m)</t>
    <phoneticPr fontId="1"/>
  </si>
  <si>
    <t>x</t>
    <phoneticPr fontId="1"/>
  </si>
  <si>
    <t>③</t>
    <phoneticPr fontId="1"/>
  </si>
  <si>
    <r>
      <t>B</t>
    </r>
    <r>
      <rPr>
        <sz val="11"/>
        <color theme="1"/>
        <rFont val="Times New Roman"/>
        <family val="1"/>
      </rPr>
      <t>₀</t>
    </r>
    <phoneticPr fontId="1"/>
  </si>
  <si>
    <t>Ax</t>
    <phoneticPr fontId="1"/>
  </si>
  <si>
    <t>(m³)</t>
    <phoneticPr fontId="1"/>
  </si>
  <si>
    <r>
      <t>x</t>
    </r>
    <r>
      <rPr>
        <vertAlign val="subscript"/>
        <sz val="11"/>
        <color theme="1"/>
        <rFont val="Times New Roman"/>
        <family val="1"/>
      </rPr>
      <t>G</t>
    </r>
    <phoneticPr fontId="1"/>
  </si>
  <si>
    <t>(</t>
    <phoneticPr fontId="1"/>
  </si>
  <si>
    <t>)</t>
    <phoneticPr fontId="1"/>
  </si>
  <si>
    <t>×</t>
    <phoneticPr fontId="1"/>
  </si>
  <si>
    <t>kN/m</t>
    <phoneticPr fontId="1"/>
  </si>
  <si>
    <t>主働土圧は、試行くさび法によって算出する。（H24道擁p100）</t>
    <rPh sb="0" eb="2">
      <t>シュドウ</t>
    </rPh>
    <rPh sb="2" eb="4">
      <t>ドアツ</t>
    </rPh>
    <rPh sb="6" eb="8">
      <t>シコウ</t>
    </rPh>
    <rPh sb="11" eb="12">
      <t>ホウ</t>
    </rPh>
    <rPh sb="16" eb="18">
      <t>サンシュツ</t>
    </rPh>
    <rPh sb="25" eb="26">
      <t>ミチ</t>
    </rPh>
    <rPh sb="26" eb="27">
      <t>ヨウ</t>
    </rPh>
    <phoneticPr fontId="1"/>
  </si>
  <si>
    <t>P</t>
    <phoneticPr fontId="1"/>
  </si>
  <si>
    <t>W</t>
    <phoneticPr fontId="1"/>
  </si>
  <si>
    <t>・</t>
    <phoneticPr fontId="1"/>
  </si>
  <si>
    <t>+</t>
    <phoneticPr fontId="1"/>
  </si>
  <si>
    <t>ー</t>
    <phoneticPr fontId="1"/>
  </si>
  <si>
    <t>tan α</t>
    <phoneticPr fontId="1"/>
  </si>
  <si>
    <t>ここに</t>
    <phoneticPr fontId="1"/>
  </si>
  <si>
    <t>α</t>
    <phoneticPr fontId="1"/>
  </si>
  <si>
    <t>仮定したすべり面と水平面のなす角</t>
    <rPh sb="0" eb="2">
      <t>カテイ</t>
    </rPh>
    <rPh sb="7" eb="8">
      <t>メン</t>
    </rPh>
    <rPh sb="9" eb="11">
      <t>スイヘイ</t>
    </rPh>
    <rPh sb="11" eb="12">
      <t>メン</t>
    </rPh>
    <rPh sb="15" eb="16">
      <t>カク</t>
    </rPh>
    <phoneticPr fontId="1"/>
  </si>
  <si>
    <t>裏込め土のせん断抵抗角</t>
    <rPh sb="0" eb="2">
      <t>ウラコ</t>
    </rPh>
    <rPh sb="3" eb="4">
      <t>ツチ</t>
    </rPh>
    <rPh sb="7" eb="8">
      <t>ダン</t>
    </rPh>
    <rPh sb="8" eb="11">
      <t>テイコウカク</t>
    </rPh>
    <phoneticPr fontId="1"/>
  </si>
  <si>
    <t>δ</t>
    <phoneticPr fontId="1"/>
  </si>
  <si>
    <t>壁面摩擦角</t>
    <rPh sb="0" eb="2">
      <t>ヘキメン</t>
    </rPh>
    <rPh sb="2" eb="5">
      <t>マサツカク</t>
    </rPh>
    <phoneticPr fontId="1"/>
  </si>
  <si>
    <t>tan ω</t>
    <phoneticPr fontId="1"/>
  </si>
  <si>
    <t>よって、</t>
    <phoneticPr fontId="1"/>
  </si>
  <si>
    <t>sin(</t>
    <phoneticPr fontId="1"/>
  </si>
  <si>
    <t>cos(</t>
    <phoneticPr fontId="1"/>
  </si>
  <si>
    <t>tan</t>
    <phoneticPr fontId="1"/>
  </si>
  <si>
    <t>）×</t>
    <phoneticPr fontId="1"/>
  </si>
  <si>
    <t>ω</t>
    <phoneticPr fontId="1"/>
  </si>
  <si>
    <t>kN</t>
    <phoneticPr fontId="1"/>
  </si>
  <si>
    <t>最大の主導土圧合力</t>
    <rPh sb="0" eb="2">
      <t>サイダイ</t>
    </rPh>
    <rPh sb="3" eb="5">
      <t>シュドウ</t>
    </rPh>
    <rPh sb="5" eb="7">
      <t>ドアツ</t>
    </rPh>
    <rPh sb="7" eb="9">
      <t>ゴウリョク</t>
    </rPh>
    <phoneticPr fontId="1"/>
  </si>
  <si>
    <t>水平成分</t>
  </si>
  <si>
    <r>
      <t>P</t>
    </r>
    <r>
      <rPr>
        <i/>
        <vertAlign val="subscript"/>
        <sz val="11"/>
        <color rgb="FF000000"/>
        <rFont val="Times New Roman"/>
        <family val="1"/>
      </rPr>
      <t>H</t>
    </r>
    <phoneticPr fontId="1"/>
  </si>
  <si>
    <t>× cos(</t>
  </si>
  <si>
    <t>+</t>
  </si>
  <si>
    <t>)</t>
  </si>
  <si>
    <t>kN/m</t>
    <phoneticPr fontId="5"/>
  </si>
  <si>
    <t>鉛直成分</t>
  </si>
  <si>
    <r>
      <t>P</t>
    </r>
    <r>
      <rPr>
        <i/>
        <vertAlign val="subscript"/>
        <sz val="11"/>
        <color rgb="FF000000"/>
        <rFont val="Times New Roman"/>
        <family val="1"/>
      </rPr>
      <t>V</t>
    </r>
    <phoneticPr fontId="1"/>
  </si>
  <si>
    <t>× sin(</t>
  </si>
  <si>
    <t>cos(α+δ)</t>
    <phoneticPr fontId="1"/>
  </si>
  <si>
    <t>sin(α+δ)</t>
    <phoneticPr fontId="1"/>
  </si>
  <si>
    <t>sin(ω－φ)</t>
    <phoneticPr fontId="1"/>
  </si>
  <si>
    <t>cos(ω－φ－α－δ)</t>
    <phoneticPr fontId="1"/>
  </si>
  <si>
    <t>－</t>
    <phoneticPr fontId="1"/>
  </si>
  <si>
    <r>
      <t>γ</t>
    </r>
    <r>
      <rPr>
        <vertAlign val="subscript"/>
        <sz val="11"/>
        <color theme="1"/>
        <rFont val="HGP明朝B"/>
        <family val="1"/>
        <charset val="128"/>
      </rPr>
      <t>s</t>
    </r>
    <phoneticPr fontId="1"/>
  </si>
  <si>
    <r>
      <t>γ</t>
    </r>
    <r>
      <rPr>
        <vertAlign val="subscript"/>
        <sz val="11"/>
        <color theme="1"/>
        <rFont val="HGP明朝B"/>
        <family val="1"/>
        <charset val="128"/>
      </rPr>
      <t>c</t>
    </r>
    <phoneticPr fontId="1"/>
  </si>
  <si>
    <r>
      <t>W</t>
    </r>
    <r>
      <rPr>
        <vertAlign val="subscript"/>
        <sz val="11"/>
        <color theme="1"/>
        <rFont val="Times New Roman"/>
        <family val="1"/>
      </rPr>
      <t>c</t>
    </r>
    <phoneticPr fontId="1"/>
  </si>
  <si>
    <r>
      <t>自重</t>
    </r>
    <r>
      <rPr>
        <i/>
        <sz val="11"/>
        <color theme="1"/>
        <rFont val="Times New Roman"/>
        <family val="1"/>
      </rPr>
      <t>W</t>
    </r>
    <r>
      <rPr>
        <vertAlign val="subscript"/>
        <sz val="11"/>
        <color theme="1"/>
        <rFont val="Times New Roman"/>
        <family val="1"/>
      </rPr>
      <t>c</t>
    </r>
    <r>
      <rPr>
        <sz val="11"/>
        <color theme="1"/>
        <rFont val="游ゴシック"/>
        <family val="2"/>
        <charset val="128"/>
        <scheme val="minor"/>
      </rPr>
      <t>は、擁壁の断面積</t>
    </r>
    <r>
      <rPr>
        <i/>
        <sz val="11"/>
        <color theme="1"/>
        <rFont val="Times New Roman"/>
        <family val="1"/>
      </rPr>
      <t>A</t>
    </r>
    <r>
      <rPr>
        <sz val="11"/>
        <color theme="1"/>
        <rFont val="游ゴシック"/>
        <family val="2"/>
        <charset val="128"/>
        <scheme val="minor"/>
      </rPr>
      <t>に、コンクリートの単位体積重量</t>
    </r>
    <r>
      <rPr>
        <sz val="11"/>
        <color theme="1"/>
        <rFont val="HGP明朝B"/>
        <family val="1"/>
        <charset val="128"/>
      </rPr>
      <t>γ</t>
    </r>
    <r>
      <rPr>
        <i/>
        <vertAlign val="subscript"/>
        <sz val="11"/>
        <color theme="1"/>
        <rFont val="HGP明朝B"/>
        <family val="1"/>
        <charset val="128"/>
      </rPr>
      <t>c</t>
    </r>
    <r>
      <rPr>
        <sz val="11"/>
        <color theme="1"/>
        <rFont val="游ゴシック"/>
        <family val="2"/>
        <charset val="128"/>
        <scheme val="minor"/>
      </rPr>
      <t>を乗じて算出する。</t>
    </r>
    <rPh sb="0" eb="2">
      <t>ジジュウ</t>
    </rPh>
    <rPh sb="6" eb="8">
      <t>ヨウヘキ</t>
    </rPh>
    <rPh sb="9" eb="12">
      <t>ダンメンセキ</t>
    </rPh>
    <rPh sb="22" eb="24">
      <t>タンイ</t>
    </rPh>
    <rPh sb="24" eb="26">
      <t>タイセキ</t>
    </rPh>
    <rPh sb="26" eb="28">
      <t>ジュウリョウ</t>
    </rPh>
    <rPh sb="31" eb="32">
      <t>ジョウ</t>
    </rPh>
    <rPh sb="34" eb="36">
      <t>サンシュツ</t>
    </rPh>
    <phoneticPr fontId="1"/>
  </si>
  <si>
    <r>
      <t>tan</t>
    </r>
    <r>
      <rPr>
        <vertAlign val="superscript"/>
        <sz val="11"/>
        <color theme="1"/>
        <rFont val="HGP明朝B"/>
        <family val="1"/>
        <charset val="128"/>
      </rPr>
      <t>-1</t>
    </r>
    <phoneticPr fontId="1"/>
  </si>
  <si>
    <r>
      <rPr>
        <sz val="11"/>
        <color theme="1"/>
        <rFont val="游ゴシック"/>
        <family val="2"/>
        <charset val="128"/>
      </rPr>
      <t>ー</t>
    </r>
    <phoneticPr fontId="1"/>
  </si>
  <si>
    <r>
      <rPr>
        <sz val="11"/>
        <color theme="1"/>
        <rFont val="游ゴシック"/>
        <family val="2"/>
        <charset val="128"/>
      </rPr>
      <t>・</t>
    </r>
    <phoneticPr fontId="1"/>
  </si>
  <si>
    <t>作用位置</t>
  </si>
  <si>
    <r>
      <rPr>
        <i/>
        <sz val="11"/>
        <color rgb="FF000000"/>
        <rFont val="Times New Roman"/>
        <family val="1"/>
      </rPr>
      <t>y</t>
    </r>
    <r>
      <rPr>
        <i/>
        <vertAlign val="subscript"/>
        <sz val="11"/>
        <color rgb="FF000000"/>
        <rFont val="Times New Roman"/>
        <family val="1"/>
      </rPr>
      <t>A</t>
    </r>
  </si>
  <si>
    <t>H</t>
  </si>
  <si>
    <t>/</t>
  </si>
  <si>
    <t>m</t>
    <phoneticPr fontId="5"/>
  </si>
  <si>
    <r>
      <t>x</t>
    </r>
    <r>
      <rPr>
        <i/>
        <vertAlign val="subscript"/>
        <sz val="11"/>
        <color rgb="FF000000"/>
        <rFont val="Times New Roman"/>
        <family val="1"/>
      </rPr>
      <t>A</t>
    </r>
    <phoneticPr fontId="1"/>
  </si>
  <si>
    <r>
      <t>y</t>
    </r>
    <r>
      <rPr>
        <i/>
        <vertAlign val="subscript"/>
        <sz val="11"/>
        <color theme="1"/>
        <rFont val="Times New Roman"/>
        <family val="1"/>
      </rPr>
      <t>A</t>
    </r>
    <phoneticPr fontId="1"/>
  </si>
  <si>
    <t>鉛直力</t>
  </si>
  <si>
    <t>水平力</t>
  </si>
  <si>
    <t>作用位置(アーム長)</t>
    <rPh sb="8" eb="9">
      <t>チョウ</t>
    </rPh>
    <phoneticPr fontId="5"/>
  </si>
  <si>
    <t>モーメント</t>
  </si>
  <si>
    <t>V</t>
    <phoneticPr fontId="5"/>
  </si>
  <si>
    <t>x</t>
  </si>
  <si>
    <t>y</t>
  </si>
  <si>
    <t>(kN/m)</t>
    <phoneticPr fontId="5"/>
  </si>
  <si>
    <t>(m)</t>
  </si>
  <si>
    <t>自重</t>
  </si>
  <si>
    <t>土圧</t>
  </si>
  <si>
    <t>合計</t>
  </si>
  <si>
    <r>
      <rPr>
        <sz val="11"/>
        <color theme="1"/>
        <rFont val="游ゴシック"/>
        <family val="2"/>
        <charset val="128"/>
      </rPr>
      <t>ー</t>
    </r>
  </si>
  <si>
    <t>=</t>
  </si>
  <si>
    <t>m</t>
  </si>
  <si>
    <t>d</t>
  </si>
  <si>
    <t>ー</t>
  </si>
  <si>
    <t>よって、</t>
    <phoneticPr fontId="5"/>
  </si>
  <si>
    <r>
      <rPr>
        <i/>
        <sz val="11"/>
        <color rgb="FF000000"/>
        <rFont val="Times New Roman"/>
        <family val="1"/>
      </rPr>
      <t>F</t>
    </r>
    <r>
      <rPr>
        <i/>
        <vertAlign val="subscript"/>
        <sz val="11"/>
        <color rgb="FF000000"/>
        <rFont val="Times New Roman"/>
        <family val="1"/>
      </rPr>
      <t>s</t>
    </r>
  </si>
  <si>
    <t>・</t>
    <phoneticPr fontId="5"/>
  </si>
  <si>
    <t>μ</t>
  </si>
  <si>
    <t>滑動安全率</t>
  </si>
  <si>
    <t>許容支持力度</t>
    <rPh sb="0" eb="2">
      <t>キョヨウ</t>
    </rPh>
    <rPh sb="2" eb="6">
      <t>シジリョクド</t>
    </rPh>
    <phoneticPr fontId="5"/>
  </si>
  <si>
    <t>主働土圧合力が最大となる角度</t>
    <rPh sb="0" eb="2">
      <t>シュドウ</t>
    </rPh>
    <rPh sb="2" eb="4">
      <t>ドアツ</t>
    </rPh>
    <rPh sb="4" eb="6">
      <t>ゴウリョク</t>
    </rPh>
    <rPh sb="7" eb="9">
      <t>サイダイ</t>
    </rPh>
    <rPh sb="12" eb="14">
      <t>カクド</t>
    </rPh>
    <phoneticPr fontId="1"/>
  </si>
  <si>
    <t>© 2023 ce-note.com</t>
    <phoneticPr fontId="1"/>
  </si>
  <si>
    <t>H24道擁p66</t>
    <rPh sb="3" eb="4">
      <t>ミチ</t>
    </rPh>
    <rPh sb="4" eb="5">
      <t>ヨウ</t>
    </rPh>
    <phoneticPr fontId="5"/>
  </si>
  <si>
    <t>H24道擁p70</t>
    <rPh sb="3" eb="4">
      <t>ミチ</t>
    </rPh>
    <rPh sb="4" eb="5">
      <t>ヨウ</t>
    </rPh>
    <phoneticPr fontId="5"/>
  </si>
  <si>
    <t>H24道擁p68,69</t>
    <rPh sb="3" eb="4">
      <t>ミチ</t>
    </rPh>
    <rPh sb="4" eb="5">
      <t>ヨウ</t>
    </rPh>
    <phoneticPr fontId="5"/>
  </si>
  <si>
    <t>H24道擁p53</t>
    <rPh sb="3" eb="4">
      <t>ミチ</t>
    </rPh>
    <rPh sb="4" eb="5">
      <t>ヨウ</t>
    </rPh>
    <phoneticPr fontId="5"/>
  </si>
  <si>
    <t>1-6. 付属施設</t>
    <rPh sb="5" eb="7">
      <t>フゾク</t>
    </rPh>
    <rPh sb="7" eb="9">
      <t>シセツ</t>
    </rPh>
    <phoneticPr fontId="5"/>
  </si>
  <si>
    <t>1-7. 重要度区分と要求性能</t>
    <rPh sb="11" eb="13">
      <t>ヨウキュウ</t>
    </rPh>
    <rPh sb="13" eb="15">
      <t>セイノウ</t>
    </rPh>
    <phoneticPr fontId="5"/>
  </si>
  <si>
    <t>重要度</t>
    <rPh sb="0" eb="3">
      <t>ジュウヨウド</t>
    </rPh>
    <phoneticPr fontId="5"/>
  </si>
  <si>
    <t>重要度２</t>
    <phoneticPr fontId="5"/>
  </si>
  <si>
    <t>H24道擁p42</t>
    <rPh sb="3" eb="4">
      <t>ミチ</t>
    </rPh>
    <rPh sb="4" eb="5">
      <t>ヨウ</t>
    </rPh>
    <phoneticPr fontId="5"/>
  </si>
  <si>
    <t>常時の作用</t>
  </si>
  <si>
    <t>性能１</t>
  </si>
  <si>
    <t>H24道擁p44</t>
    <rPh sb="3" eb="4">
      <t>ミチ</t>
    </rPh>
    <rPh sb="4" eb="5">
      <t>ヨウ</t>
    </rPh>
    <phoneticPr fontId="5"/>
  </si>
  <si>
    <t>降雨の作用</t>
    <rPh sb="0" eb="2">
      <t>コウウ</t>
    </rPh>
    <phoneticPr fontId="5"/>
  </si>
  <si>
    <t>レベル１地震動の作用</t>
  </si>
  <si>
    <t>性能２</t>
  </si>
  <si>
    <t>レベル２地震動の作用</t>
  </si>
  <si>
    <t>性能３</t>
  </si>
  <si>
    <t>1-8. 設計方法と照査方法</t>
    <rPh sb="5" eb="7">
      <t>セッケイ</t>
    </rPh>
    <rPh sb="7" eb="9">
      <t>ホウホウ</t>
    </rPh>
    <rPh sb="10" eb="12">
      <t>ショウサ</t>
    </rPh>
    <rPh sb="12" eb="14">
      <t>ホウホウ</t>
    </rPh>
    <phoneticPr fontId="5"/>
  </si>
  <si>
    <t>設計方法</t>
    <rPh sb="0" eb="2">
      <t>セッケイ</t>
    </rPh>
    <rPh sb="2" eb="4">
      <t>ホウホウ</t>
    </rPh>
    <phoneticPr fontId="5"/>
  </si>
  <si>
    <t>慣用法</t>
    <rPh sb="0" eb="2">
      <t>カンヨウ</t>
    </rPh>
    <rPh sb="2" eb="3">
      <t>ホウ</t>
    </rPh>
    <phoneticPr fontId="5"/>
  </si>
  <si>
    <t>H24道擁p88</t>
    <rPh sb="3" eb="4">
      <t>ミチ</t>
    </rPh>
    <rPh sb="4" eb="5">
      <t>ヨウ</t>
    </rPh>
    <phoneticPr fontId="5"/>
  </si>
  <si>
    <t>照査方法</t>
    <rPh sb="0" eb="2">
      <t>ショウサ</t>
    </rPh>
    <rPh sb="2" eb="4">
      <t>ホウホウ</t>
    </rPh>
    <phoneticPr fontId="5"/>
  </si>
  <si>
    <t>常時の作用で照査</t>
    <rPh sb="6" eb="8">
      <t>ショウサ</t>
    </rPh>
    <phoneticPr fontId="5"/>
  </si>
  <si>
    <t>要</t>
    <phoneticPr fontId="5"/>
  </si>
  <si>
    <t>降雨の作用で照査</t>
    <rPh sb="0" eb="2">
      <t>コウウ</t>
    </rPh>
    <rPh sb="6" eb="8">
      <t>ショウサ</t>
    </rPh>
    <phoneticPr fontId="5"/>
  </si>
  <si>
    <t>不要</t>
    <phoneticPr fontId="5"/>
  </si>
  <si>
    <t>H24道擁p49,88</t>
    <rPh sb="3" eb="4">
      <t>ミチ</t>
    </rPh>
    <rPh sb="4" eb="5">
      <t>ヨウ</t>
    </rPh>
    <phoneticPr fontId="5"/>
  </si>
  <si>
    <r>
      <t>レベル１地震時の</t>
    </r>
    <r>
      <rPr>
        <i/>
        <sz val="11"/>
        <color theme="1"/>
        <rFont val="Times New Roman"/>
        <family val="1"/>
      </rPr>
      <t>k</t>
    </r>
    <r>
      <rPr>
        <i/>
        <vertAlign val="subscript"/>
        <sz val="11"/>
        <color theme="1"/>
        <rFont val="Times New Roman"/>
        <family val="1"/>
      </rPr>
      <t>h</t>
    </r>
    <r>
      <rPr>
        <sz val="11"/>
        <color theme="1"/>
        <rFont val="游ゴシック"/>
        <family val="2"/>
        <charset val="128"/>
        <scheme val="minor"/>
      </rPr>
      <t>で照査</t>
    </r>
    <rPh sb="6" eb="7">
      <t>ジ</t>
    </rPh>
    <rPh sb="11" eb="13">
      <t>ショウサ</t>
    </rPh>
    <phoneticPr fontId="5"/>
  </si>
  <si>
    <t>H24道擁p89</t>
    <rPh sb="3" eb="4">
      <t>ミチ</t>
    </rPh>
    <rPh sb="4" eb="5">
      <t>ヨウ</t>
    </rPh>
    <phoneticPr fontId="5"/>
  </si>
  <si>
    <r>
      <t>レベル２地震時の</t>
    </r>
    <r>
      <rPr>
        <i/>
        <sz val="11"/>
        <color theme="1"/>
        <rFont val="Times New Roman"/>
        <family val="1"/>
      </rPr>
      <t>k</t>
    </r>
    <r>
      <rPr>
        <i/>
        <vertAlign val="subscript"/>
        <sz val="11"/>
        <color theme="1"/>
        <rFont val="Times New Roman"/>
        <family val="1"/>
      </rPr>
      <t>h</t>
    </r>
    <r>
      <rPr>
        <sz val="11"/>
        <color theme="1"/>
        <rFont val="游ゴシック"/>
        <family val="2"/>
        <charset val="128"/>
        <scheme val="minor"/>
      </rPr>
      <t>で照査</t>
    </r>
    <rPh sb="6" eb="7">
      <t>ジ</t>
    </rPh>
    <rPh sb="11" eb="13">
      <t>ショウサ</t>
    </rPh>
    <phoneticPr fontId="5"/>
  </si>
  <si>
    <t>その他の作用（衝突時）で照査</t>
    <rPh sb="2" eb="3">
      <t>タ</t>
    </rPh>
    <rPh sb="4" eb="6">
      <t>サヨウ</t>
    </rPh>
    <rPh sb="7" eb="9">
      <t>ショウトツ</t>
    </rPh>
    <rPh sb="9" eb="10">
      <t>ジ</t>
    </rPh>
    <rPh sb="12" eb="14">
      <t>ショウサ</t>
    </rPh>
    <phoneticPr fontId="5"/>
  </si>
  <si>
    <t>H24道擁p111</t>
    <rPh sb="3" eb="4">
      <t>ミチ</t>
    </rPh>
    <rPh sb="4" eb="5">
      <t>ヨウ</t>
    </rPh>
    <phoneticPr fontId="5"/>
  </si>
  <si>
    <t>1-9. 照査における荷重の組み合わせ</t>
    <phoneticPr fontId="5"/>
  </si>
  <si>
    <t>H24道擁p51</t>
    <rPh sb="3" eb="4">
      <t>ミチ</t>
    </rPh>
    <rPh sb="4" eb="5">
      <t>ヨウ</t>
    </rPh>
    <phoneticPr fontId="5"/>
  </si>
  <si>
    <t>自重</t>
    <rPh sb="0" eb="2">
      <t>ジジュウ</t>
    </rPh>
    <phoneticPr fontId="5"/>
  </si>
  <si>
    <t>上載荷重</t>
    <rPh sb="0" eb="1">
      <t>ウエ</t>
    </rPh>
    <rPh sb="1" eb="3">
      <t>サイカ</t>
    </rPh>
    <rPh sb="2" eb="4">
      <t>カジュウ</t>
    </rPh>
    <phoneticPr fontId="5"/>
  </si>
  <si>
    <t>主働土圧</t>
    <rPh sb="0" eb="2">
      <t>シュドウ</t>
    </rPh>
    <rPh sb="2" eb="4">
      <t>ドアツ</t>
    </rPh>
    <phoneticPr fontId="5"/>
  </si>
  <si>
    <t>衝突荷重</t>
    <rPh sb="0" eb="2">
      <t>ショウトツ</t>
    </rPh>
    <rPh sb="2" eb="4">
      <t>カジュウ</t>
    </rPh>
    <phoneticPr fontId="5"/>
  </si>
  <si>
    <t>有り</t>
  </si>
  <si>
    <t>が適用範囲です。</t>
    <rPh sb="1" eb="3">
      <t>テキヨウ</t>
    </rPh>
    <rPh sb="3" eb="5">
      <t>ハンイ</t>
    </rPh>
    <phoneticPr fontId="1"/>
  </si>
  <si>
    <t>/</t>
    <phoneticPr fontId="1"/>
  </si>
  <si>
    <t>sin</t>
    <phoneticPr fontId="1"/>
  </si>
  <si>
    <t>cos</t>
    <phoneticPr fontId="1"/>
  </si>
  <si>
    <t>作用力の合力位置（底版つま先から合力の作用点までの距離）（H24道擁p117）</t>
    <rPh sb="0" eb="2">
      <t>サヨウ</t>
    </rPh>
    <rPh sb="2" eb="3">
      <t>リョク</t>
    </rPh>
    <rPh sb="25" eb="27">
      <t>キョリ</t>
    </rPh>
    <phoneticPr fontId="5"/>
  </si>
  <si>
    <t>車両用防護柵</t>
    <rPh sb="0" eb="3">
      <t>シャリョウヨウ</t>
    </rPh>
    <rPh sb="3" eb="6">
      <t>ボウゴサク</t>
    </rPh>
    <phoneticPr fontId="5"/>
  </si>
  <si>
    <t>Gr-C種</t>
    <phoneticPr fontId="5"/>
  </si>
  <si>
    <t>H24道擁p213</t>
    <rPh sb="3" eb="4">
      <t>ミチ</t>
    </rPh>
    <rPh sb="4" eb="5">
      <t>ヨウ</t>
    </rPh>
    <phoneticPr fontId="5"/>
  </si>
  <si>
    <t>固定方法</t>
    <rPh sb="0" eb="2">
      <t>コテイ</t>
    </rPh>
    <rPh sb="2" eb="4">
      <t>ホウホウ</t>
    </rPh>
    <phoneticPr fontId="5"/>
  </si>
  <si>
    <t>衝突荷重</t>
  </si>
  <si>
    <t>=</t>
    <phoneticPr fontId="5"/>
  </si>
  <si>
    <t>kN</t>
  </si>
  <si>
    <t>H24道擁p62</t>
    <rPh sb="3" eb="4">
      <t>ミチ</t>
    </rPh>
    <rPh sb="4" eb="5">
      <t>ヨウ</t>
    </rPh>
    <phoneticPr fontId="5"/>
  </si>
  <si>
    <t>衝突車両の前輪荷重</t>
    <rPh sb="0" eb="2">
      <t>ショウトツ</t>
    </rPh>
    <rPh sb="2" eb="4">
      <t>シャリョウ</t>
    </rPh>
    <rPh sb="5" eb="7">
      <t>ゼンリン</t>
    </rPh>
    <phoneticPr fontId="5"/>
  </si>
  <si>
    <t>H24道擁p63</t>
    <rPh sb="3" eb="4">
      <t>ミチ</t>
    </rPh>
    <rPh sb="4" eb="5">
      <t>ヨウ</t>
    </rPh>
    <phoneticPr fontId="5"/>
  </si>
  <si>
    <t>要</t>
  </si>
  <si>
    <t>衝突時</t>
    <rPh sb="0" eb="2">
      <t>ショウトツ</t>
    </rPh>
    <rPh sb="2" eb="3">
      <t>ジ</t>
    </rPh>
    <phoneticPr fontId="5"/>
  </si>
  <si>
    <t>前面勾配</t>
    <phoneticPr fontId="1"/>
  </si>
  <si>
    <t>擁壁１ブロックの延長</t>
    <rPh sb="0" eb="2">
      <t>ヨウヘキ</t>
    </rPh>
    <rPh sb="8" eb="10">
      <t>エンチョウ</t>
    </rPh>
    <phoneticPr fontId="1"/>
  </si>
  <si>
    <t>L</t>
    <phoneticPr fontId="1"/>
  </si>
  <si>
    <t>2-1. 自重</t>
    <rPh sb="5" eb="7">
      <t>ジジュウ</t>
    </rPh>
    <phoneticPr fontId="1"/>
  </si>
  <si>
    <t>2-2. 衝突荷重</t>
    <rPh sb="5" eb="7">
      <t>ショウトツ</t>
    </rPh>
    <rPh sb="7" eb="9">
      <t>カジュウ</t>
    </rPh>
    <phoneticPr fontId="5"/>
  </si>
  <si>
    <t>ここに、</t>
    <phoneticPr fontId="5"/>
  </si>
  <si>
    <t>擁壁底面から作用位置までの鉛直距離を求める。</t>
    <rPh sb="0" eb="2">
      <t>ヨウヘキ</t>
    </rPh>
    <rPh sb="2" eb="4">
      <t>ソコメン</t>
    </rPh>
    <rPh sb="6" eb="8">
      <t>サヨウ</t>
    </rPh>
    <rPh sb="8" eb="10">
      <t>イチ</t>
    </rPh>
    <rPh sb="13" eb="15">
      <t>エンチョク</t>
    </rPh>
    <rPh sb="15" eb="17">
      <t>キョリ</t>
    </rPh>
    <rPh sb="18" eb="19">
      <t>モト</t>
    </rPh>
    <phoneticPr fontId="5"/>
  </si>
  <si>
    <t>+</t>
    <phoneticPr fontId="5"/>
  </si>
  <si>
    <t>擁壁底面の前面から作用位置までの水平距離</t>
    <rPh sb="0" eb="2">
      <t>ヨウヘキ</t>
    </rPh>
    <rPh sb="2" eb="4">
      <t>ソコメン</t>
    </rPh>
    <rPh sb="5" eb="7">
      <t>ゼンメン</t>
    </rPh>
    <rPh sb="9" eb="11">
      <t>サヨウ</t>
    </rPh>
    <rPh sb="11" eb="13">
      <t>イチ</t>
    </rPh>
    <rPh sb="16" eb="18">
      <t>スイヘイ</t>
    </rPh>
    <rPh sb="18" eb="20">
      <t>キョリ</t>
    </rPh>
    <phoneticPr fontId="5"/>
  </si>
  <si>
    <t>m</t>
    <phoneticPr fontId="1"/>
  </si>
  <si>
    <r>
      <t>b</t>
    </r>
    <r>
      <rPr>
        <i/>
        <vertAlign val="subscript"/>
        <sz val="11"/>
        <color theme="1"/>
        <rFont val="Times New Roman"/>
        <family val="1"/>
      </rPr>
      <t>u</t>
    </r>
    <phoneticPr fontId="1"/>
  </si>
  <si>
    <t xml:space="preserve"> </t>
    <phoneticPr fontId="1"/>
  </si>
  <si>
    <t>4-1. 常時</t>
    <phoneticPr fontId="5"/>
  </si>
  <si>
    <t>常時と同様に主働土圧は、試行くさび法によって算出する。</t>
    <rPh sb="0" eb="2">
      <t>ジョウジ</t>
    </rPh>
    <rPh sb="3" eb="5">
      <t>ドウヨウ</t>
    </rPh>
    <rPh sb="6" eb="8">
      <t>シュドウ</t>
    </rPh>
    <rPh sb="8" eb="10">
      <t>ドアツ</t>
    </rPh>
    <rPh sb="12" eb="14">
      <t>シコウ</t>
    </rPh>
    <rPh sb="17" eb="18">
      <t>ホウ</t>
    </rPh>
    <rPh sb="22" eb="24">
      <t>サンシュツ</t>
    </rPh>
    <phoneticPr fontId="1"/>
  </si>
  <si>
    <t>ただし、「1-9. 照査における荷重の組み合わせ」のとおり</t>
    <rPh sb="10" eb="12">
      <t>ショウサ</t>
    </rPh>
    <rPh sb="16" eb="18">
      <t>カジュウ</t>
    </rPh>
    <rPh sb="19" eb="20">
      <t>ク</t>
    </rPh>
    <rPh sb="21" eb="22">
      <t>ア</t>
    </rPh>
    <phoneticPr fontId="1"/>
  </si>
  <si>
    <r>
      <t>b</t>
    </r>
    <r>
      <rPr>
        <i/>
        <vertAlign val="subscript"/>
        <sz val="11"/>
        <color theme="1"/>
        <rFont val="Times New Roman"/>
        <family val="1"/>
      </rPr>
      <t>g</t>
    </r>
    <phoneticPr fontId="5"/>
  </si>
  <si>
    <t>4-2. 衝突時</t>
    <rPh sb="5" eb="7">
      <t>ショウトツ</t>
    </rPh>
    <phoneticPr fontId="5"/>
  </si>
  <si>
    <t>衝突荷重</t>
    <rPh sb="0" eb="2">
      <t>ショウトツ</t>
    </rPh>
    <rPh sb="2" eb="4">
      <t>カジュウ</t>
    </rPh>
    <phoneticPr fontId="1"/>
  </si>
  <si>
    <t>底面幅(水平)</t>
    <rPh sb="0" eb="2">
      <t>ソコメン</t>
    </rPh>
    <rPh sb="2" eb="3">
      <t>ハバ</t>
    </rPh>
    <rPh sb="4" eb="6">
      <t>スイヘイ</t>
    </rPh>
    <phoneticPr fontId="1"/>
  </si>
  <si>
    <t>支柱中心部(作用位置)から天端前面までの距離</t>
    <rPh sb="0" eb="2">
      <t>シチュウ</t>
    </rPh>
    <rPh sb="2" eb="4">
      <t>チュウシン</t>
    </rPh>
    <rPh sb="4" eb="5">
      <t>ブ</t>
    </rPh>
    <rPh sb="6" eb="10">
      <t>サヨウイチ</t>
    </rPh>
    <rPh sb="13" eb="14">
      <t>テン</t>
    </rPh>
    <rPh sb="14" eb="15">
      <t>ハシ</t>
    </rPh>
    <rPh sb="15" eb="17">
      <t>ゼンメン</t>
    </rPh>
    <rPh sb="20" eb="22">
      <t>キョリ</t>
    </rPh>
    <phoneticPr fontId="1"/>
  </si>
  <si>
    <r>
      <t xml:space="preserve">重心は、0点からの距離とし、水平方向 </t>
    </r>
    <r>
      <rPr>
        <i/>
        <sz val="11"/>
        <color theme="1"/>
        <rFont val="Times New Roman"/>
        <family val="1"/>
      </rPr>
      <t>x</t>
    </r>
    <r>
      <rPr>
        <sz val="11"/>
        <color theme="1"/>
        <rFont val="游ゴシック"/>
        <family val="2"/>
        <charset val="128"/>
        <scheme val="minor"/>
      </rPr>
      <t xml:space="preserve">  とする。</t>
    </r>
    <rPh sb="14" eb="16">
      <t>スイヘイ</t>
    </rPh>
    <rPh sb="16" eb="18">
      <t>ホウコウ</t>
    </rPh>
    <phoneticPr fontId="1"/>
  </si>
  <si>
    <t>擁壁の重心位置（水平方向の擁壁前面からの距離）は、下式により求められる。</t>
    <phoneticPr fontId="1"/>
  </si>
  <si>
    <t>鉛直力は、車両がガードレールに衝突した際に、</t>
    <phoneticPr fontId="5"/>
  </si>
  <si>
    <t>車両の前輪から擁壁にかかる輪荷重のである。</t>
    <phoneticPr fontId="1"/>
  </si>
  <si>
    <t>水平力は、擁壁天端に設置されたガードレールに</t>
    <phoneticPr fontId="5"/>
  </si>
  <si>
    <t>車両が衝突した際の水平方向の荷重である。</t>
    <phoneticPr fontId="1"/>
  </si>
  <si>
    <t>衝突荷重は、水平力と鉛直力の２つに分けて算出する。</t>
    <phoneticPr fontId="1"/>
  </si>
  <si>
    <r>
      <rPr>
        <i/>
        <sz val="11"/>
        <color theme="1"/>
        <rFont val="Times New Roman"/>
        <family val="1"/>
      </rPr>
      <t>d  &gt;  B</t>
    </r>
    <r>
      <rPr>
        <sz val="11"/>
        <color theme="1"/>
        <rFont val="游ゴシック"/>
        <family val="2"/>
        <charset val="128"/>
        <scheme val="minor"/>
      </rPr>
      <t>/</t>
    </r>
    <phoneticPr fontId="5"/>
  </si>
  <si>
    <t>H24道擁p112, 162</t>
    <rPh sb="3" eb="4">
      <t>ミチ</t>
    </rPh>
    <rPh sb="4" eb="5">
      <t>ヨウ</t>
    </rPh>
    <phoneticPr fontId="5"/>
  </si>
  <si>
    <t>H24道擁p113, 162</t>
    <rPh sb="3" eb="4">
      <t>ミチ</t>
    </rPh>
    <rPh sb="4" eb="5">
      <t>ヨウ</t>
    </rPh>
    <phoneticPr fontId="5"/>
  </si>
  <si>
    <t>H24道擁p166</t>
    <rPh sb="3" eb="4">
      <t>ミチ</t>
    </rPh>
    <rPh sb="4" eb="5">
      <t>ヨウ</t>
    </rPh>
    <phoneticPr fontId="5"/>
  </si>
  <si>
    <t>d</t>
    <phoneticPr fontId="1"/>
  </si>
  <si>
    <t>=</t>
    <phoneticPr fontId="1"/>
  </si>
  <si>
    <r>
      <t>M</t>
    </r>
    <r>
      <rPr>
        <i/>
        <vertAlign val="subscript"/>
        <sz val="11"/>
        <color theme="1"/>
        <rFont val="Times New Roman"/>
        <family val="1"/>
      </rPr>
      <t>x</t>
    </r>
    <r>
      <rPr>
        <i/>
        <sz val="11"/>
        <color theme="1"/>
        <rFont val="Times New Roman"/>
        <family val="1"/>
      </rPr>
      <t>=V</t>
    </r>
    <r>
      <rPr>
        <sz val="11"/>
        <color theme="1"/>
        <rFont val="ＭＳ Ｐ明朝"/>
        <family val="1"/>
        <charset val="128"/>
      </rPr>
      <t>・</t>
    </r>
    <r>
      <rPr>
        <i/>
        <sz val="11"/>
        <color theme="1"/>
        <rFont val="Times New Roman"/>
        <family val="1"/>
      </rPr>
      <t>x</t>
    </r>
    <phoneticPr fontId="5"/>
  </si>
  <si>
    <r>
      <t>M</t>
    </r>
    <r>
      <rPr>
        <i/>
        <vertAlign val="subscript"/>
        <sz val="11"/>
        <color theme="1"/>
        <rFont val="Times New Roman"/>
        <family val="1"/>
      </rPr>
      <t>y</t>
    </r>
    <r>
      <rPr>
        <i/>
        <sz val="11"/>
        <color theme="1"/>
        <rFont val="Times New Roman"/>
        <family val="1"/>
      </rPr>
      <t>=H</t>
    </r>
    <r>
      <rPr>
        <sz val="11"/>
        <color theme="1"/>
        <rFont val="ＭＳ 明朝"/>
        <family val="1"/>
        <charset val="128"/>
      </rPr>
      <t>・</t>
    </r>
    <r>
      <rPr>
        <i/>
        <sz val="11"/>
        <color theme="1"/>
        <rFont val="Times New Roman"/>
        <family val="1"/>
      </rPr>
      <t>y</t>
    </r>
    <phoneticPr fontId="5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</si>
  <si>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V</t>
    </r>
    <phoneticPr fontId="5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</si>
  <si>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H</t>
    </r>
    <phoneticPr fontId="1"/>
  </si>
  <si>
    <r>
      <t>B</t>
    </r>
    <r>
      <rPr>
        <i/>
        <vertAlign val="subscript"/>
        <sz val="11"/>
        <color rgb="FF000000"/>
        <rFont val="Times New Roman"/>
        <family val="1"/>
      </rPr>
      <t xml:space="preserve"> </t>
    </r>
    <r>
      <rPr>
        <i/>
        <sz val="11"/>
        <color rgb="FF000000"/>
        <rFont val="Times New Roman"/>
        <family val="1"/>
      </rPr>
      <t>/</t>
    </r>
    <phoneticPr fontId="1"/>
  </si>
  <si>
    <r>
      <t>Q</t>
    </r>
    <r>
      <rPr>
        <i/>
        <vertAlign val="subscript"/>
        <sz val="11"/>
        <color theme="1"/>
        <rFont val="Times New Roman"/>
        <family val="1"/>
      </rPr>
      <t>t</t>
    </r>
    <phoneticPr fontId="1"/>
  </si>
  <si>
    <t>－</t>
    <phoneticPr fontId="1"/>
  </si>
  <si>
    <r>
      <t>κ</t>
    </r>
    <r>
      <rPr>
        <i/>
        <vertAlign val="subscript"/>
        <sz val="11"/>
        <color theme="1"/>
        <rFont val="Times New Roman"/>
        <family val="1"/>
      </rPr>
      <t>d</t>
    </r>
    <phoneticPr fontId="5"/>
  </si>
  <si>
    <t>・</t>
    <phoneticPr fontId="1"/>
  </si>
  <si>
    <t>B</t>
    <phoneticPr fontId="5"/>
  </si>
  <si>
    <t>sin</t>
    <phoneticPr fontId="1"/>
  </si>
  <si>
    <t>)</t>
    <phoneticPr fontId="1"/>
  </si>
  <si>
    <t>)+</t>
    <phoneticPr fontId="1"/>
  </si>
  <si>
    <t>ℓ</t>
    <phoneticPr fontId="1"/>
  </si>
  <si>
    <r>
      <t>κ</t>
    </r>
    <r>
      <rPr>
        <vertAlign val="subscript"/>
        <sz val="11"/>
        <color theme="1"/>
        <rFont val="游ゴシック"/>
        <family val="3"/>
        <charset val="128"/>
        <scheme val="minor"/>
      </rPr>
      <t>ℓ</t>
    </r>
    <phoneticPr fontId="5"/>
  </si>
  <si>
    <t>(1</t>
    <phoneticPr fontId="1"/>
  </si>
  <si>
    <t>/</t>
    <phoneticPr fontId="1"/>
  </si>
  <si>
    <t>3)</t>
    <phoneticPr fontId="1"/>
  </si>
  <si>
    <r>
      <t>Q</t>
    </r>
    <r>
      <rPr>
        <i/>
        <vertAlign val="subscript"/>
        <sz val="11"/>
        <color theme="1"/>
        <rFont val="Times New Roman"/>
        <family val="1"/>
      </rPr>
      <t>V</t>
    </r>
    <phoneticPr fontId="1"/>
  </si>
  <si>
    <r>
      <t>Q</t>
    </r>
    <r>
      <rPr>
        <i/>
        <vertAlign val="subscript"/>
        <sz val="11"/>
        <color theme="1"/>
        <rFont val="Times New Roman"/>
        <family val="1"/>
      </rPr>
      <t>H</t>
    </r>
    <phoneticPr fontId="1"/>
  </si>
  <si>
    <t>cos</t>
    <phoneticPr fontId="1"/>
  </si>
  <si>
    <r>
      <t>q</t>
    </r>
    <r>
      <rPr>
        <i/>
        <vertAlign val="subscript"/>
        <sz val="11"/>
        <color theme="1"/>
        <rFont val="Times New Roman"/>
        <family val="1"/>
      </rPr>
      <t>v</t>
    </r>
    <r>
      <rPr>
        <vertAlign val="subscript"/>
        <sz val="11"/>
        <color theme="1"/>
        <rFont val="Times New Roman"/>
        <family val="1"/>
      </rPr>
      <t>1</t>
    </r>
    <phoneticPr fontId="1"/>
  </si>
  <si>
    <r>
      <t>M</t>
    </r>
    <r>
      <rPr>
        <i/>
        <vertAlign val="subscript"/>
        <sz val="11"/>
        <color theme="1"/>
        <rFont val="Times New Roman"/>
        <family val="1"/>
      </rPr>
      <t>a</t>
    </r>
    <phoneticPr fontId="1"/>
  </si>
  <si>
    <t>(2</t>
    <phoneticPr fontId="1"/>
  </si>
  <si>
    <r>
      <t>q</t>
    </r>
    <r>
      <rPr>
        <i/>
        <vertAlign val="subscript"/>
        <sz val="11"/>
        <color theme="1"/>
        <rFont val="Times New Roman"/>
        <family val="1"/>
      </rPr>
      <t>v</t>
    </r>
    <r>
      <rPr>
        <vertAlign val="subscript"/>
        <sz val="11"/>
        <color theme="1"/>
        <rFont val="Times New Roman"/>
        <family val="1"/>
      </rPr>
      <t>2</t>
    </r>
    <phoneticPr fontId="1"/>
  </si>
  <si>
    <t>(3</t>
    <phoneticPr fontId="1"/>
  </si>
  <si>
    <r>
      <t>q</t>
    </r>
    <r>
      <rPr>
        <i/>
        <vertAlign val="subscript"/>
        <sz val="11"/>
        <color theme="1"/>
        <rFont val="Times New Roman"/>
        <family val="1"/>
      </rPr>
      <t>t</t>
    </r>
    <phoneticPr fontId="1"/>
  </si>
  <si>
    <t>ℓ</t>
    <phoneticPr fontId="5"/>
  </si>
  <si>
    <t>ここに、</t>
    <phoneticPr fontId="1"/>
  </si>
  <si>
    <t>壁面長(m)</t>
    <rPh sb="0" eb="2">
      <t>ヘキメン</t>
    </rPh>
    <rPh sb="2" eb="3">
      <t>ナガ</t>
    </rPh>
    <phoneticPr fontId="1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</si>
  <si>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x</t>
    </r>
    <phoneticPr fontId="1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</si>
  <si>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y</t>
    </r>
    <phoneticPr fontId="1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</si>
  <si>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H</t>
    </r>
    <phoneticPr fontId="5"/>
  </si>
  <si>
    <t>≦</t>
    <phoneticPr fontId="1"/>
  </si>
  <si>
    <t>のとき、</t>
    <phoneticPr fontId="1"/>
  </si>
  <si>
    <t>ただし、</t>
    <phoneticPr fontId="1"/>
  </si>
  <si>
    <r>
      <t>d</t>
    </r>
    <r>
      <rPr>
        <i/>
        <vertAlign val="subscript"/>
        <sz val="11"/>
        <color theme="1"/>
        <rFont val="Times New Roman"/>
        <family val="1"/>
      </rPr>
      <t>p</t>
    </r>
    <phoneticPr fontId="1"/>
  </si>
  <si>
    <t>ℓ₁</t>
    <phoneticPr fontId="5"/>
  </si>
  <si>
    <t>ℓ₂</t>
    <phoneticPr fontId="5"/>
  </si>
  <si>
    <r>
      <t>壁面底面のつま先からの鉛直地盤反力度の作用位置</t>
    </r>
    <r>
      <rPr>
        <i/>
        <sz val="11"/>
        <color theme="1"/>
        <rFont val="Times New Roman"/>
        <family val="1"/>
      </rPr>
      <t>d</t>
    </r>
    <r>
      <rPr>
        <i/>
        <vertAlign val="subscript"/>
        <sz val="11"/>
        <color theme="1"/>
        <rFont val="Times New Roman"/>
        <family val="1"/>
      </rPr>
      <t>p</t>
    </r>
    <r>
      <rPr>
        <sz val="11"/>
        <color theme="1"/>
        <rFont val="游ゴシック"/>
        <family val="2"/>
        <charset val="128"/>
        <scheme val="minor"/>
      </rPr>
      <t>と擁壁底面幅</t>
    </r>
    <r>
      <rPr>
        <i/>
        <sz val="11"/>
        <color theme="1"/>
        <rFont val="Times New Roman"/>
        <family val="1"/>
      </rPr>
      <t>B</t>
    </r>
    <r>
      <rPr>
        <sz val="11"/>
        <color theme="1"/>
        <rFont val="游ゴシック"/>
        <family val="2"/>
        <charset val="128"/>
        <scheme val="minor"/>
      </rPr>
      <t>との比</t>
    </r>
    <rPh sb="0" eb="2">
      <t>ヘキメン</t>
    </rPh>
    <rPh sb="2" eb="4">
      <t>テイメン</t>
    </rPh>
    <rPh sb="7" eb="8">
      <t>サキ</t>
    </rPh>
    <rPh sb="11" eb="13">
      <t>エンチョク</t>
    </rPh>
    <rPh sb="13" eb="15">
      <t>ジバン</t>
    </rPh>
    <rPh sb="15" eb="18">
      <t>ハンリョクド</t>
    </rPh>
    <rPh sb="19" eb="23">
      <t>サヨウイチ</t>
    </rPh>
    <rPh sb="26" eb="28">
      <t>ヨウヘキ</t>
    </rPh>
    <rPh sb="28" eb="30">
      <t>テイメン</t>
    </rPh>
    <rPh sb="30" eb="31">
      <t>ハバ</t>
    </rPh>
    <rPh sb="34" eb="35">
      <t>ヒ</t>
    </rPh>
    <phoneticPr fontId="1"/>
  </si>
  <si>
    <t>背面勾配</t>
    <rPh sb="0" eb="2">
      <t>ハイメン</t>
    </rPh>
    <rPh sb="2" eb="4">
      <t>コウバイ</t>
    </rPh>
    <phoneticPr fontId="1"/>
  </si>
  <si>
    <t>=ℓ₂/ℓ</t>
    <phoneticPr fontId="1"/>
  </si>
  <si>
    <t>1:0.3</t>
    <phoneticPr fontId="1"/>
  </si>
  <si>
    <t>1:0.4</t>
    <phoneticPr fontId="1"/>
  </si>
  <si>
    <t>1:0.5</t>
    <phoneticPr fontId="1"/>
  </si>
  <si>
    <r>
      <t>κ</t>
    </r>
    <r>
      <rPr>
        <i/>
        <vertAlign val="subscript"/>
        <sz val="11"/>
        <color theme="1"/>
        <rFont val="Times New Roman"/>
        <family val="2"/>
        <charset val="161"/>
      </rPr>
      <t>d</t>
    </r>
    <phoneticPr fontId="5"/>
  </si>
  <si>
    <t>壁面地盤反力度が発生する区間長ℓ₂と擁壁壁面長ℓとの比(下表による）</t>
    <rPh sb="0" eb="2">
      <t>ヘキメン</t>
    </rPh>
    <rPh sb="2" eb="4">
      <t>ジバン</t>
    </rPh>
    <rPh sb="4" eb="7">
      <t>ハンリョクド</t>
    </rPh>
    <rPh sb="8" eb="10">
      <t>ハッセイ</t>
    </rPh>
    <rPh sb="12" eb="15">
      <t>クカンチョウ</t>
    </rPh>
    <rPh sb="18" eb="20">
      <t>ヨウヘキ</t>
    </rPh>
    <rPh sb="20" eb="22">
      <t>ヘキメン</t>
    </rPh>
    <rPh sb="22" eb="23">
      <t>ナガ</t>
    </rPh>
    <rPh sb="26" eb="27">
      <t>ヒ</t>
    </rPh>
    <rPh sb="28" eb="29">
      <t>シタ</t>
    </rPh>
    <rPh sb="29" eb="30">
      <t>ヒョウ</t>
    </rPh>
    <phoneticPr fontId="1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</si>
  <si>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 xml:space="preserve">V </t>
    </r>
    <phoneticPr fontId="5"/>
  </si>
  <si>
    <t>H</t>
    <phoneticPr fontId="1"/>
  </si>
  <si>
    <t>×</t>
    <phoneticPr fontId="1"/>
  </si>
  <si>
    <t>√</t>
    <phoneticPr fontId="1"/>
  </si>
  <si>
    <t>(1+</t>
    <phoneticPr fontId="1"/>
  </si>
  <si>
    <t>²)</t>
    <phoneticPr fontId="1"/>
  </si>
  <si>
    <t>よって、</t>
    <phoneticPr fontId="1"/>
  </si>
  <si>
    <t>なので、</t>
    <phoneticPr fontId="1"/>
  </si>
  <si>
    <t>&gt;</t>
    <phoneticPr fontId="1"/>
  </si>
  <si>
    <t>中間層に軟弱な土層あるいは液状化が懸念されるゆるい砂質土層</t>
    <phoneticPr fontId="1"/>
  </si>
  <si>
    <t>壁面地盤反力度が発生する区間長ℓ₂と擁壁壁面長ℓとの比(下表による)</t>
    <rPh sb="0" eb="2">
      <t>ヘキメン</t>
    </rPh>
    <rPh sb="2" eb="4">
      <t>ジバン</t>
    </rPh>
    <rPh sb="4" eb="7">
      <t>ハンリョクド</t>
    </rPh>
    <rPh sb="8" eb="10">
      <t>ハッセイ</t>
    </rPh>
    <rPh sb="12" eb="15">
      <t>クカンチョウ</t>
    </rPh>
    <rPh sb="18" eb="20">
      <t>ヨウヘキ</t>
    </rPh>
    <rPh sb="20" eb="22">
      <t>ヘキメン</t>
    </rPh>
    <rPh sb="22" eb="23">
      <t>ナガ</t>
    </rPh>
    <rPh sb="26" eb="27">
      <t>ヒ</t>
    </rPh>
    <rPh sb="28" eb="29">
      <t>シタ</t>
    </rPh>
    <rPh sb="29" eb="30">
      <t>ヒョウ</t>
    </rPh>
    <phoneticPr fontId="1"/>
  </si>
  <si>
    <t>H24道擁p83,143</t>
    <rPh sb="3" eb="4">
      <t>ミチ</t>
    </rPh>
    <rPh sb="4" eb="5">
      <t>ヨウ</t>
    </rPh>
    <phoneticPr fontId="5"/>
  </si>
  <si>
    <t>+0.15</t>
    <phoneticPr fontId="1"/>
  </si>
  <si>
    <t>H24道擁p83,144</t>
    <rPh sb="3" eb="4">
      <t>ミチ</t>
    </rPh>
    <rPh sb="4" eb="5">
      <t>ヨウ</t>
    </rPh>
    <phoneticPr fontId="5"/>
  </si>
  <si>
    <t>H24道擁p68,69,163</t>
    <rPh sb="3" eb="4">
      <t>ミチ</t>
    </rPh>
    <rPh sb="4" eb="5">
      <t>ヨウ</t>
    </rPh>
    <phoneticPr fontId="5"/>
  </si>
  <si>
    <t>許容鉛直支持力度（衝突時）</t>
    <rPh sb="0" eb="2">
      <t>キョヨウ</t>
    </rPh>
    <rPh sb="2" eb="4">
      <t>エンチョク</t>
    </rPh>
    <rPh sb="4" eb="8">
      <t>シジリョクド</t>
    </rPh>
    <rPh sb="9" eb="11">
      <t>ショウトツ</t>
    </rPh>
    <rPh sb="11" eb="12">
      <t>ジ</t>
    </rPh>
    <phoneticPr fontId="5"/>
  </si>
  <si>
    <r>
      <rPr>
        <i/>
        <sz val="11"/>
        <color theme="1"/>
        <rFont val="Times New Roman"/>
        <family val="1"/>
      </rPr>
      <t xml:space="preserve">d  </t>
    </r>
    <r>
      <rPr>
        <i/>
        <sz val="11"/>
        <color theme="1"/>
        <rFont val="游ゴシック"/>
        <family val="1"/>
        <charset val="128"/>
      </rPr>
      <t>≧</t>
    </r>
    <r>
      <rPr>
        <i/>
        <sz val="11"/>
        <color theme="1"/>
        <rFont val="Times New Roman"/>
        <family val="1"/>
      </rPr>
      <t xml:space="preserve">  B</t>
    </r>
    <r>
      <rPr>
        <sz val="11"/>
        <color theme="1"/>
        <rFont val="游ゴシック"/>
        <family val="2"/>
        <charset val="128"/>
        <scheme val="minor"/>
      </rPr>
      <t>/</t>
    </r>
    <phoneticPr fontId="5"/>
  </si>
  <si>
    <t>1-4. 支持地盤</t>
    <rPh sb="5" eb="7">
      <t>シジ</t>
    </rPh>
    <rPh sb="7" eb="9">
      <t>ジバン</t>
    </rPh>
    <phoneticPr fontId="1"/>
  </si>
  <si>
    <t>N/mm²</t>
    <phoneticPr fontId="1"/>
  </si>
  <si>
    <r>
      <t>K</t>
    </r>
    <r>
      <rPr>
        <i/>
        <vertAlign val="subscript"/>
        <sz val="11"/>
        <color theme="1"/>
        <rFont val="Times New Roman"/>
        <family val="1"/>
      </rPr>
      <t>A</t>
    </r>
    <phoneticPr fontId="1"/>
  </si>
  <si>
    <r>
      <t>H</t>
    </r>
    <r>
      <rPr>
        <sz val="11"/>
        <color theme="1"/>
        <rFont val="Times New Roman"/>
        <family val="1"/>
      </rPr>
      <t>²</t>
    </r>
    <phoneticPr fontId="1"/>
  </si>
  <si>
    <t>²</t>
    <phoneticPr fontId="1"/>
  </si>
  <si>
    <r>
      <t>h</t>
    </r>
    <r>
      <rPr>
        <i/>
        <vertAlign val="subscript"/>
        <sz val="11"/>
        <color theme="1"/>
        <rFont val="Times New Roman"/>
        <family val="1"/>
      </rPr>
      <t>i</t>
    </r>
    <phoneticPr fontId="1"/>
  </si>
  <si>
    <t>作用位置</t>
    <rPh sb="0" eb="4">
      <t>サヨウイチ</t>
    </rPh>
    <phoneticPr fontId="1"/>
  </si>
  <si>
    <t>土圧強度</t>
    <rPh sb="0" eb="2">
      <t>ドアツ</t>
    </rPh>
    <rPh sb="2" eb="4">
      <t>キョウド</t>
    </rPh>
    <phoneticPr fontId="1"/>
  </si>
  <si>
    <t>土圧合力</t>
    <rPh sb="0" eb="2">
      <t>ドアツ</t>
    </rPh>
    <rPh sb="2" eb="4">
      <t>ゴウリョク</t>
    </rPh>
    <phoneticPr fontId="1"/>
  </si>
  <si>
    <t>鉛直力</t>
    <rPh sb="0" eb="2">
      <t>エンチョク</t>
    </rPh>
    <rPh sb="2" eb="3">
      <t>リョク</t>
    </rPh>
    <phoneticPr fontId="1"/>
  </si>
  <si>
    <t>水平力</t>
    <rPh sb="0" eb="3">
      <t>スイヘイリョク</t>
    </rPh>
    <phoneticPr fontId="1"/>
  </si>
  <si>
    <t>(m)</t>
    <phoneticPr fontId="5"/>
  </si>
  <si>
    <t>(kN/m²)</t>
    <phoneticPr fontId="5"/>
  </si>
  <si>
    <t>(kN)</t>
    <phoneticPr fontId="5"/>
  </si>
  <si>
    <r>
      <t>最大の主導土圧合力</t>
    </r>
    <r>
      <rPr>
        <i/>
        <sz val="11"/>
        <color theme="1"/>
        <rFont val="Times New Roman"/>
        <family val="1"/>
      </rPr>
      <t>P</t>
    </r>
    <r>
      <rPr>
        <sz val="11"/>
        <color theme="1"/>
        <rFont val="游ゴシック"/>
        <family val="2"/>
        <charset val="128"/>
        <scheme val="minor"/>
      </rPr>
      <t>より、主働土圧係数</t>
    </r>
    <r>
      <rPr>
        <i/>
        <sz val="11"/>
        <color theme="1"/>
        <rFont val="Times New Roman"/>
        <family val="1"/>
      </rPr>
      <t>K</t>
    </r>
    <r>
      <rPr>
        <i/>
        <vertAlign val="subscript"/>
        <sz val="11"/>
        <color theme="1"/>
        <rFont val="Times New Roman"/>
        <family val="1"/>
      </rPr>
      <t>A</t>
    </r>
    <r>
      <rPr>
        <sz val="11"/>
        <color theme="1"/>
        <rFont val="游ゴシック"/>
        <family val="2"/>
        <charset val="128"/>
        <scheme val="minor"/>
      </rPr>
      <t>を逆算する。（H24道擁p101）</t>
    </r>
    <rPh sb="0" eb="2">
      <t>サイダイ</t>
    </rPh>
    <rPh sb="3" eb="5">
      <t>シュドウ</t>
    </rPh>
    <rPh sb="5" eb="7">
      <t>ドアツ</t>
    </rPh>
    <rPh sb="7" eb="9">
      <t>ゴウリョク</t>
    </rPh>
    <rPh sb="13" eb="15">
      <t>シュドウ</t>
    </rPh>
    <rPh sb="15" eb="17">
      <t>ドアツ</t>
    </rPh>
    <rPh sb="17" eb="19">
      <t>ケイスウ</t>
    </rPh>
    <rPh sb="22" eb="24">
      <t>ギャクサン</t>
    </rPh>
    <phoneticPr fontId="1"/>
  </si>
  <si>
    <r>
      <t>B</t>
    </r>
    <r>
      <rPr>
        <i/>
        <vertAlign val="subscript"/>
        <sz val="11"/>
        <color theme="1"/>
        <rFont val="Times New Roman"/>
        <family val="1"/>
      </rPr>
      <t>i</t>
    </r>
    <phoneticPr fontId="1"/>
  </si>
  <si>
    <r>
      <t>h</t>
    </r>
    <r>
      <rPr>
        <i/>
        <vertAlign val="subscript"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>²</t>
    </r>
    <phoneticPr fontId="1"/>
  </si>
  <si>
    <r>
      <t>h</t>
    </r>
    <r>
      <rPr>
        <i/>
        <vertAlign val="subscript"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>²</t>
    </r>
    <r>
      <rPr>
        <i/>
        <sz val="11"/>
        <color theme="1"/>
        <rFont val="Times New Roman"/>
        <family val="1"/>
      </rPr>
      <t>+</t>
    </r>
    <phoneticPr fontId="1"/>
  </si>
  <si>
    <r>
      <t>h</t>
    </r>
    <r>
      <rPr>
        <i/>
        <vertAlign val="subscript"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>³</t>
    </r>
    <r>
      <rPr>
        <i/>
        <sz val="11"/>
        <color theme="1"/>
        <rFont val="Times New Roman"/>
        <family val="1"/>
      </rPr>
      <t>+</t>
    </r>
    <phoneticPr fontId="1"/>
  </si>
  <si>
    <r>
      <t>h</t>
    </r>
    <r>
      <rPr>
        <i/>
        <vertAlign val="subscript"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>³</t>
    </r>
    <phoneticPr fontId="1"/>
  </si>
  <si>
    <r>
      <t>h</t>
    </r>
    <r>
      <rPr>
        <i/>
        <vertAlign val="subscript"/>
        <sz val="11"/>
        <color theme="1"/>
        <rFont val="Times New Roman"/>
        <family val="1"/>
      </rPr>
      <t>i</t>
    </r>
    <r>
      <rPr>
        <i/>
        <sz val="11"/>
        <color theme="1"/>
        <rFont val="Times New Roman"/>
        <family val="1"/>
      </rPr>
      <t>+</t>
    </r>
    <phoneticPr fontId="1"/>
  </si>
  <si>
    <t>重心</t>
    <rPh sb="0" eb="2">
      <t>ジュウシン</t>
    </rPh>
    <phoneticPr fontId="1"/>
  </si>
  <si>
    <t>自重</t>
    <rPh sb="0" eb="2">
      <t>ジジュウ</t>
    </rPh>
    <phoneticPr fontId="1"/>
  </si>
  <si>
    <r>
      <t>W</t>
    </r>
    <r>
      <rPr>
        <i/>
        <vertAlign val="subscript"/>
        <sz val="11"/>
        <color theme="1"/>
        <rFont val="Times New Roman"/>
        <family val="1"/>
      </rPr>
      <t>c</t>
    </r>
    <r>
      <rPr>
        <i/>
        <sz val="11"/>
        <color theme="1"/>
        <rFont val="Times New Roman"/>
        <family val="1"/>
      </rPr>
      <t>=A</t>
    </r>
    <r>
      <rPr>
        <sz val="11"/>
        <color theme="1"/>
        <rFont val="ＭＳ 明朝"/>
        <family val="1"/>
        <charset val="128"/>
      </rPr>
      <t>・</t>
    </r>
    <r>
      <rPr>
        <sz val="11"/>
        <color theme="1"/>
        <rFont val="Times New Roman"/>
        <family val="1"/>
      </rPr>
      <t>γ</t>
    </r>
    <r>
      <rPr>
        <vertAlign val="subscript"/>
        <sz val="11"/>
        <color theme="1"/>
        <rFont val="HGP明朝B"/>
        <family val="1"/>
        <charset val="128"/>
      </rPr>
      <t>c</t>
    </r>
    <phoneticPr fontId="1"/>
  </si>
  <si>
    <r>
      <t>x</t>
    </r>
    <r>
      <rPr>
        <i/>
        <vertAlign val="subscript"/>
        <sz val="11"/>
        <color rgb="FF000000"/>
        <rFont val="Times New Roman"/>
        <family val="1"/>
      </rPr>
      <t>zi</t>
    </r>
    <phoneticPr fontId="1"/>
  </si>
  <si>
    <r>
      <t>y</t>
    </r>
    <r>
      <rPr>
        <i/>
        <vertAlign val="subscript"/>
        <sz val="11"/>
        <color rgb="FF000000"/>
        <rFont val="Times New Roman"/>
        <family val="1"/>
      </rPr>
      <t>zi</t>
    </r>
    <phoneticPr fontId="1"/>
  </si>
  <si>
    <r>
      <t>①　</t>
    </r>
    <r>
      <rPr>
        <i/>
        <sz val="11"/>
        <color theme="1"/>
        <rFont val="Times New Roman"/>
        <family val="1"/>
      </rPr>
      <t>z</t>
    </r>
    <r>
      <rPr>
        <i/>
        <vertAlign val="subscript"/>
        <sz val="11"/>
        <color theme="1"/>
        <rFont val="Times New Roman"/>
        <family val="1"/>
      </rPr>
      <t>i</t>
    </r>
    <r>
      <rPr>
        <i/>
        <sz val="11"/>
        <color theme="1"/>
        <rFont val="Times New Roman"/>
        <family val="1"/>
      </rPr>
      <t>'</t>
    </r>
    <r>
      <rPr>
        <sz val="11"/>
        <color theme="1"/>
        <rFont val="游ゴシック"/>
        <family val="2"/>
        <charset val="128"/>
        <scheme val="minor"/>
      </rPr>
      <t>&lt;ℓ₂の場合</t>
    </r>
    <rPh sb="9" eb="11">
      <t>バアイ</t>
    </rPh>
    <phoneticPr fontId="1"/>
  </si>
  <si>
    <r>
      <t>q</t>
    </r>
    <r>
      <rPr>
        <i/>
        <vertAlign val="subscript"/>
        <sz val="11"/>
        <color theme="1"/>
        <rFont val="Times New Roman"/>
        <family val="1"/>
      </rPr>
      <t>t</t>
    </r>
    <r>
      <rPr>
        <i/>
        <sz val="11"/>
        <color theme="1"/>
        <rFont val="Times New Roman"/>
        <family val="1"/>
      </rPr>
      <t>'</t>
    </r>
    <phoneticPr fontId="1"/>
  </si>
  <si>
    <r>
      <t>z</t>
    </r>
    <r>
      <rPr>
        <i/>
        <vertAlign val="subscript"/>
        <sz val="11"/>
        <color theme="1"/>
        <rFont val="Times New Roman"/>
        <family val="1"/>
      </rPr>
      <t>i</t>
    </r>
    <r>
      <rPr>
        <i/>
        <sz val="11"/>
        <color theme="1"/>
        <rFont val="Times New Roman"/>
        <family val="1"/>
      </rPr>
      <t>'</t>
    </r>
    <phoneticPr fontId="1"/>
  </si>
  <si>
    <r>
      <t>z</t>
    </r>
    <r>
      <rPr>
        <i/>
        <vertAlign val="subscript"/>
        <sz val="11"/>
        <color theme="1"/>
        <rFont val="Times New Roman"/>
        <family val="1"/>
      </rPr>
      <t>i</t>
    </r>
    <phoneticPr fontId="1"/>
  </si>
  <si>
    <r>
      <t>②　</t>
    </r>
    <r>
      <rPr>
        <i/>
        <sz val="11"/>
        <color theme="1"/>
        <rFont val="Times New Roman"/>
        <family val="1"/>
      </rPr>
      <t>z</t>
    </r>
    <r>
      <rPr>
        <i/>
        <vertAlign val="subscript"/>
        <sz val="11"/>
        <color theme="1"/>
        <rFont val="Times New Roman"/>
        <family val="1"/>
      </rPr>
      <t>i</t>
    </r>
    <r>
      <rPr>
        <sz val="11"/>
        <color theme="1"/>
        <rFont val="游ゴシック"/>
        <family val="2"/>
        <charset val="128"/>
        <scheme val="minor"/>
      </rPr>
      <t>'=ℓ₂の場合</t>
    </r>
    <rPh sb="9" eb="11">
      <t>バアイ</t>
    </rPh>
    <phoneticPr fontId="1"/>
  </si>
  <si>
    <r>
      <t>Q</t>
    </r>
    <r>
      <rPr>
        <i/>
        <vertAlign val="subscript"/>
        <sz val="11"/>
        <color theme="1"/>
        <rFont val="Times New Roman"/>
        <family val="1"/>
      </rPr>
      <t>tzi</t>
    </r>
    <phoneticPr fontId="1"/>
  </si>
  <si>
    <t>水平成分</t>
    <rPh sb="0" eb="2">
      <t>スイヘイ</t>
    </rPh>
    <rPh sb="2" eb="4">
      <t>セイブン</t>
    </rPh>
    <phoneticPr fontId="1"/>
  </si>
  <si>
    <t>× cos</t>
    <phoneticPr fontId="1"/>
  </si>
  <si>
    <r>
      <rPr>
        <i/>
        <sz val="11"/>
        <color theme="1"/>
        <rFont val="Times New Roman"/>
        <family val="1"/>
      </rPr>
      <t>z</t>
    </r>
    <r>
      <rPr>
        <i/>
        <vertAlign val="subscript"/>
        <sz val="11"/>
        <color theme="1"/>
        <rFont val="Times New Roman"/>
        <family val="1"/>
      </rPr>
      <t>i</t>
    </r>
    <r>
      <rPr>
        <i/>
        <sz val="11"/>
        <color theme="1"/>
        <rFont val="Times New Roman"/>
        <family val="1"/>
      </rPr>
      <t>'</t>
    </r>
    <r>
      <rPr>
        <sz val="11"/>
        <color theme="1"/>
        <rFont val="游ゴシック"/>
        <family val="2"/>
        <charset val="128"/>
        <scheme val="minor"/>
      </rPr>
      <t>&lt;ℓ₂</t>
    </r>
    <phoneticPr fontId="1"/>
  </si>
  <si>
    <r>
      <t>z</t>
    </r>
    <r>
      <rPr>
        <i/>
        <vertAlign val="subscript"/>
        <sz val="11"/>
        <color rgb="FF000000"/>
        <rFont val="Times New Roman"/>
        <family val="1"/>
      </rPr>
      <t>i</t>
    </r>
    <r>
      <rPr>
        <i/>
        <sz val="11"/>
        <color rgb="FF000000"/>
        <rFont val="Times New Roman"/>
        <family val="1"/>
      </rPr>
      <t>'</t>
    </r>
    <phoneticPr fontId="1"/>
  </si>
  <si>
    <t>or</t>
    <phoneticPr fontId="1"/>
  </si>
  <si>
    <r>
      <t>Q</t>
    </r>
    <r>
      <rPr>
        <i/>
        <vertAlign val="subscript"/>
        <sz val="11"/>
        <color rgb="FF000000"/>
        <rFont val="Times New Roman"/>
        <family val="1"/>
      </rPr>
      <t>tzi</t>
    </r>
    <phoneticPr fontId="1"/>
  </si>
  <si>
    <r>
      <rPr>
        <i/>
        <sz val="11"/>
        <color theme="1"/>
        <rFont val="Times New Roman"/>
        <family val="1"/>
      </rPr>
      <t>z</t>
    </r>
    <r>
      <rPr>
        <i/>
        <vertAlign val="subscript"/>
        <sz val="11"/>
        <color theme="1"/>
        <rFont val="Times New Roman"/>
        <family val="1"/>
      </rPr>
      <t>i</t>
    </r>
    <r>
      <rPr>
        <sz val="11"/>
        <color theme="1"/>
        <rFont val="游ゴシック"/>
        <family val="2"/>
        <charset val="128"/>
        <scheme val="minor"/>
      </rPr>
      <t>'=ℓ₂</t>
    </r>
    <phoneticPr fontId="1"/>
  </si>
  <si>
    <t>× sin</t>
    <phoneticPr fontId="1"/>
  </si>
  <si>
    <t>背面勾配(H24道擁161)</t>
    <rPh sb="0" eb="2">
      <t>ハイメン</t>
    </rPh>
    <rPh sb="8" eb="9">
      <t>ミチ</t>
    </rPh>
    <rPh sb="9" eb="10">
      <t>ヨウ</t>
    </rPh>
    <phoneticPr fontId="1"/>
  </si>
  <si>
    <t>鉛直力</t>
    <rPh sb="0" eb="3">
      <t>エンチョクリョク</t>
    </rPh>
    <phoneticPr fontId="1"/>
  </si>
  <si>
    <t>土圧</t>
    <rPh sb="0" eb="2">
      <t>ドアツ</t>
    </rPh>
    <phoneticPr fontId="1"/>
  </si>
  <si>
    <t>壁面地盤反力</t>
    <rPh sb="0" eb="6">
      <t>ヘキメンジバンハンリョク</t>
    </rPh>
    <phoneticPr fontId="1"/>
  </si>
  <si>
    <t>合計</t>
    <rPh sb="0" eb="2">
      <t>ゴウケイ</t>
    </rPh>
    <phoneticPr fontId="1"/>
  </si>
  <si>
    <r>
      <t>W</t>
    </r>
    <r>
      <rPr>
        <i/>
        <vertAlign val="subscript"/>
        <sz val="11"/>
        <color theme="1"/>
        <rFont val="Times New Roman"/>
        <family val="1"/>
      </rPr>
      <t>c</t>
    </r>
    <phoneticPr fontId="1"/>
  </si>
  <si>
    <t>モーメント</t>
    <phoneticPr fontId="1"/>
  </si>
  <si>
    <r>
      <t>M</t>
    </r>
    <r>
      <rPr>
        <i/>
        <vertAlign val="subscript"/>
        <sz val="11"/>
        <color theme="1"/>
        <rFont val="Times New Roman"/>
        <family val="1"/>
      </rPr>
      <t>x</t>
    </r>
    <phoneticPr fontId="5"/>
  </si>
  <si>
    <r>
      <t>M</t>
    </r>
    <r>
      <rPr>
        <i/>
        <vertAlign val="subscript"/>
        <sz val="11"/>
        <color theme="1"/>
        <rFont val="Times New Roman"/>
        <family val="1"/>
      </rPr>
      <t>y</t>
    </r>
    <phoneticPr fontId="5"/>
  </si>
  <si>
    <t>水平力</t>
    <rPh sb="0" eb="2">
      <t>スイヘイ</t>
    </rPh>
    <rPh sb="2" eb="3">
      <t>リョク</t>
    </rPh>
    <phoneticPr fontId="1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</si>
  <si>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x</t>
    </r>
    <phoneticPr fontId="5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</si>
  <si>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y</t>
    </r>
    <phoneticPr fontId="5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</si>
  <si>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V</t>
    </r>
    <phoneticPr fontId="1"/>
  </si>
  <si>
    <t>e</t>
    <phoneticPr fontId="1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</si>
  <si>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x</t>
    </r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ＭＳ 明朝"/>
        <family val="1"/>
        <charset val="128"/>
      </rPr>
      <t>－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y</t>
    </r>
    <phoneticPr fontId="5"/>
  </si>
  <si>
    <r>
      <rPr>
        <sz val="11"/>
        <color theme="1"/>
        <rFont val="Calibri"/>
        <family val="1"/>
        <charset val="161"/>
      </rPr>
      <t>σ</t>
    </r>
    <r>
      <rPr>
        <vertAlign val="subscript"/>
        <sz val="11"/>
        <color theme="1"/>
        <rFont val="Times New Roman"/>
        <family val="1"/>
      </rPr>
      <t>c</t>
    </r>
    <phoneticPr fontId="1"/>
  </si>
  <si>
    <t>N</t>
    <phoneticPr fontId="1"/>
  </si>
  <si>
    <t>±</t>
    <phoneticPr fontId="1"/>
  </si>
  <si>
    <r>
      <t>N</t>
    </r>
    <r>
      <rPr>
        <sz val="11"/>
        <color theme="1"/>
        <rFont val="ＭＳ Ｐ明朝"/>
        <family val="1"/>
        <charset val="128"/>
      </rPr>
      <t>・</t>
    </r>
    <r>
      <rPr>
        <i/>
        <sz val="11"/>
        <color theme="1"/>
        <rFont val="Times New Roman"/>
        <family val="1"/>
      </rPr>
      <t>e</t>
    </r>
    <phoneticPr fontId="1"/>
  </si>
  <si>
    <t>コンクリート断面の縁応力度</t>
    <rPh sb="6" eb="8">
      <t>ダンメン</t>
    </rPh>
    <rPh sb="9" eb="10">
      <t>フチ</t>
    </rPh>
    <rPh sb="10" eb="13">
      <t>オウリョクド</t>
    </rPh>
    <phoneticPr fontId="1"/>
  </si>
  <si>
    <t>軸方向力</t>
    <rPh sb="0" eb="3">
      <t>ジクホウコウ</t>
    </rPh>
    <rPh sb="3" eb="4">
      <t>チカラ</t>
    </rPh>
    <phoneticPr fontId="1"/>
  </si>
  <si>
    <t>コンクリート全断面積</t>
    <rPh sb="6" eb="10">
      <t>ゼンダンメンセキ</t>
    </rPh>
    <phoneticPr fontId="1"/>
  </si>
  <si>
    <t>コンクリート断面の図心軸に関する断面係数</t>
    <rPh sb="6" eb="8">
      <t>ダンメン</t>
    </rPh>
    <rPh sb="9" eb="11">
      <t>ズシン</t>
    </rPh>
    <rPh sb="11" eb="12">
      <t>ジク</t>
    </rPh>
    <rPh sb="13" eb="14">
      <t>カン</t>
    </rPh>
    <rPh sb="16" eb="18">
      <t>ダンメン</t>
    </rPh>
    <rPh sb="18" eb="20">
      <t>ケイスウ</t>
    </rPh>
    <phoneticPr fontId="1"/>
  </si>
  <si>
    <r>
      <t>B</t>
    </r>
    <r>
      <rPr>
        <i/>
        <vertAlign val="subscript"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>²</t>
    </r>
    <phoneticPr fontId="1"/>
  </si>
  <si>
    <t>軸方向力</t>
    <rPh sb="0" eb="1">
      <t>ジク</t>
    </rPh>
    <rPh sb="1" eb="4">
      <t>ホウコウリョク</t>
    </rPh>
    <phoneticPr fontId="1"/>
  </si>
  <si>
    <t>縁応力度</t>
    <rPh sb="0" eb="1">
      <t>フチ</t>
    </rPh>
    <rPh sb="1" eb="4">
      <t>オウリョクド</t>
    </rPh>
    <phoneticPr fontId="1"/>
  </si>
  <si>
    <r>
      <rPr>
        <sz val="11"/>
        <color theme="1"/>
        <rFont val="Calibri"/>
        <family val="1"/>
        <charset val="161"/>
      </rPr>
      <t>σ</t>
    </r>
    <r>
      <rPr>
        <vertAlign val="subscript"/>
        <sz val="11"/>
        <color theme="1"/>
        <rFont val="Times New Roman"/>
        <family val="1"/>
      </rPr>
      <t>c1</t>
    </r>
    <phoneticPr fontId="1"/>
  </si>
  <si>
    <r>
      <rPr>
        <sz val="11"/>
        <color theme="1"/>
        <rFont val="Calibri"/>
        <family val="1"/>
        <charset val="161"/>
      </rPr>
      <t>σ</t>
    </r>
    <r>
      <rPr>
        <vertAlign val="subscript"/>
        <sz val="11"/>
        <color theme="1"/>
        <rFont val="HGP明朝B"/>
        <family val="1"/>
      </rPr>
      <t>c2</t>
    </r>
    <phoneticPr fontId="1"/>
  </si>
  <si>
    <t>(N/mm²)</t>
    <phoneticPr fontId="5"/>
  </si>
  <si>
    <t>判定</t>
    <rPh sb="0" eb="2">
      <t>ハンテイ</t>
    </rPh>
    <phoneticPr fontId="1"/>
  </si>
  <si>
    <t>圧縮</t>
    <rPh sb="0" eb="2">
      <t>アッシュク</t>
    </rPh>
    <phoneticPr fontId="1"/>
  </si>
  <si>
    <t>曲げ引張</t>
    <rPh sb="0" eb="1">
      <t>マ</t>
    </rPh>
    <rPh sb="2" eb="4">
      <t>ヒッパリ</t>
    </rPh>
    <phoneticPr fontId="1"/>
  </si>
  <si>
    <t>≧</t>
    <phoneticPr fontId="1"/>
  </si>
  <si>
    <t>H24道擁p81</t>
    <rPh sb="3" eb="4">
      <t>ミチ</t>
    </rPh>
    <rPh sb="4" eb="5">
      <t>ヨウ</t>
    </rPh>
    <phoneticPr fontId="5"/>
  </si>
  <si>
    <r>
      <t>τ</t>
    </r>
    <r>
      <rPr>
        <i/>
        <vertAlign val="subscript"/>
        <sz val="11"/>
        <color theme="1"/>
        <rFont val="Times New Roman"/>
        <family val="1"/>
      </rPr>
      <t>m</t>
    </r>
    <phoneticPr fontId="1"/>
  </si>
  <si>
    <t>S</t>
    <phoneticPr fontId="1"/>
  </si>
  <si>
    <t>部材断面に生じるコンクリートの平均せん断応力度</t>
    <rPh sb="0" eb="4">
      <t>ブザイダンメン</t>
    </rPh>
    <rPh sb="5" eb="6">
      <t>ショウ</t>
    </rPh>
    <rPh sb="15" eb="17">
      <t>ヘイキン</t>
    </rPh>
    <rPh sb="19" eb="20">
      <t>ダン</t>
    </rPh>
    <rPh sb="20" eb="23">
      <t>オウリョクド</t>
    </rPh>
    <phoneticPr fontId="1"/>
  </si>
  <si>
    <t>部材のせん断力</t>
    <rPh sb="0" eb="2">
      <t>ブザイ</t>
    </rPh>
    <rPh sb="5" eb="7">
      <t>ダンリョク</t>
    </rPh>
    <phoneticPr fontId="1"/>
  </si>
  <si>
    <t>よって、せん断応力度を判定すると、下表のとおり。</t>
    <rPh sb="6" eb="7">
      <t>ダン</t>
    </rPh>
    <rPh sb="7" eb="10">
      <t>オウリョクド</t>
    </rPh>
    <rPh sb="11" eb="13">
      <t>ハンテイ</t>
    </rPh>
    <rPh sb="17" eb="18">
      <t>シタ</t>
    </rPh>
    <rPh sb="18" eb="19">
      <t>ヒョウ</t>
    </rPh>
    <phoneticPr fontId="1"/>
  </si>
  <si>
    <t>せん断力</t>
    <rPh sb="2" eb="3">
      <t>ダン</t>
    </rPh>
    <rPh sb="3" eb="4">
      <t>リョク</t>
    </rPh>
    <phoneticPr fontId="1"/>
  </si>
  <si>
    <t>せん断応力度</t>
    <rPh sb="2" eb="3">
      <t>ダン</t>
    </rPh>
    <rPh sb="3" eb="6">
      <t>オウリョクド</t>
    </rPh>
    <phoneticPr fontId="1"/>
  </si>
  <si>
    <t>S</t>
    <phoneticPr fontId="5"/>
  </si>
  <si>
    <r>
      <t>τ</t>
    </r>
    <r>
      <rPr>
        <i/>
        <vertAlign val="subscript"/>
        <sz val="11"/>
        <color theme="1"/>
        <rFont val="Times New Roman"/>
        <family val="1"/>
      </rPr>
      <t>a</t>
    </r>
    <phoneticPr fontId="1"/>
  </si>
  <si>
    <r>
      <t>B</t>
    </r>
    <r>
      <rPr>
        <i/>
        <vertAlign val="subscript"/>
        <sz val="11"/>
        <color theme="1"/>
        <rFont val="Times New Roman"/>
        <family val="1"/>
      </rPr>
      <t>i</t>
    </r>
    <r>
      <rPr>
        <i/>
        <sz val="11"/>
        <color theme="1"/>
        <rFont val="Times New Roman"/>
        <family val="1"/>
      </rPr>
      <t>d</t>
    </r>
    <phoneticPr fontId="1"/>
  </si>
  <si>
    <t>背面勾配</t>
    <rPh sb="0" eb="2">
      <t>ハイメン</t>
    </rPh>
    <phoneticPr fontId="1"/>
  </si>
  <si>
    <t>衝突荷重</t>
    <phoneticPr fontId="1"/>
  </si>
  <si>
    <t>衝突車両の前輪荷重</t>
    <rPh sb="0" eb="4">
      <t>ショウトツシャリョウ</t>
    </rPh>
    <rPh sb="5" eb="7">
      <t>ゼンリン</t>
    </rPh>
    <rPh sb="7" eb="9">
      <t>カジュウ</t>
    </rPh>
    <phoneticPr fontId="5"/>
  </si>
  <si>
    <r>
      <t>P</t>
    </r>
    <r>
      <rPr>
        <i/>
        <vertAlign val="subscript"/>
        <sz val="11"/>
        <color theme="1"/>
        <rFont val="Times New Roman"/>
        <family val="1"/>
      </rPr>
      <t>i</t>
    </r>
    <phoneticPr fontId="1"/>
  </si>
  <si>
    <t>衝突荷重</t>
    <rPh sb="0" eb="4">
      <t>ショウトツカジュウ</t>
    </rPh>
    <phoneticPr fontId="1"/>
  </si>
  <si>
    <r>
      <rPr>
        <sz val="11"/>
        <color theme="1"/>
        <rFont val="游ゴシック"/>
        <family val="1"/>
        <charset val="128"/>
      </rPr>
      <t>σ</t>
    </r>
    <r>
      <rPr>
        <vertAlign val="subscript"/>
        <sz val="11"/>
        <color theme="1"/>
        <rFont val="游ゴシック"/>
        <family val="1"/>
        <charset val="128"/>
      </rPr>
      <t>ck</t>
    </r>
    <r>
      <rPr>
        <sz val="11"/>
        <color theme="1"/>
        <rFont val="游ゴシック"/>
        <family val="1"/>
        <charset val="128"/>
      </rPr>
      <t>/</t>
    </r>
    <phoneticPr fontId="1"/>
  </si>
  <si>
    <t>無筋ｺﾝｸﾘｰﾄの許容圧縮応力度</t>
    <rPh sb="0" eb="1">
      <t>ム</t>
    </rPh>
    <rPh sb="1" eb="2">
      <t>スジ</t>
    </rPh>
    <rPh sb="9" eb="11">
      <t>キョヨウ</t>
    </rPh>
    <rPh sb="11" eb="13">
      <t>アッシュク</t>
    </rPh>
    <rPh sb="13" eb="15">
      <t>オウリョク</t>
    </rPh>
    <rPh sb="15" eb="16">
      <t>ド</t>
    </rPh>
    <phoneticPr fontId="1"/>
  </si>
  <si>
    <t>無筋ｺﾝｸﾘｰﾄの許容曲げ引張応力度</t>
    <rPh sb="0" eb="1">
      <t>ム</t>
    </rPh>
    <rPh sb="1" eb="2">
      <t>スジ</t>
    </rPh>
    <rPh sb="9" eb="11">
      <t>キョヨウ</t>
    </rPh>
    <rPh sb="11" eb="12">
      <t>マ</t>
    </rPh>
    <rPh sb="13" eb="15">
      <t>ヒッパリ</t>
    </rPh>
    <rPh sb="15" eb="17">
      <t>オウリョク</t>
    </rPh>
    <rPh sb="17" eb="18">
      <t>ド</t>
    </rPh>
    <phoneticPr fontId="1"/>
  </si>
  <si>
    <t>無筋ｺﾝｸﾘｰﾄの許容せん断応力度</t>
    <rPh sb="0" eb="1">
      <t>ム</t>
    </rPh>
    <rPh sb="1" eb="2">
      <t>スジ</t>
    </rPh>
    <rPh sb="9" eb="11">
      <t>キョヨウ</t>
    </rPh>
    <rPh sb="13" eb="14">
      <t>ダン</t>
    </rPh>
    <rPh sb="14" eb="16">
      <t>オウリョク</t>
    </rPh>
    <rPh sb="16" eb="17">
      <t>ド</t>
    </rPh>
    <phoneticPr fontId="1"/>
  </si>
  <si>
    <t>0点からの距離</t>
    <rPh sb="1" eb="2">
      <t>テン</t>
    </rPh>
    <rPh sb="5" eb="7">
      <t>キョリ</t>
    </rPh>
    <phoneticPr fontId="1"/>
  </si>
  <si>
    <r>
      <t>全体①から、三角形②③を引いて、面積</t>
    </r>
    <r>
      <rPr>
        <i/>
        <sz val="11"/>
        <color theme="1"/>
        <rFont val="Times New Roman"/>
        <family val="1"/>
      </rPr>
      <t>A</t>
    </r>
    <r>
      <rPr>
        <sz val="11"/>
        <color theme="1"/>
        <rFont val="游ゴシック"/>
        <family val="2"/>
        <charset val="128"/>
        <scheme val="minor"/>
      </rPr>
      <t>を算出する。</t>
    </r>
    <rPh sb="0" eb="2">
      <t>ゼンタイ</t>
    </rPh>
    <rPh sb="6" eb="9">
      <t>サンカクケイ</t>
    </rPh>
    <rPh sb="12" eb="13">
      <t>ヒ</t>
    </rPh>
    <rPh sb="16" eb="18">
      <t>メンセキ</t>
    </rPh>
    <rPh sb="20" eb="22">
      <t>サンシュツ</t>
    </rPh>
    <phoneticPr fontId="1"/>
  </si>
  <si>
    <t>よって、縁応力度（圧縮：正、曲げ引張：負）を判定すると、下表のとおり。</t>
    <rPh sb="4" eb="5">
      <t>フチ</t>
    </rPh>
    <rPh sb="5" eb="8">
      <t>オウリョクド</t>
    </rPh>
    <rPh sb="9" eb="11">
      <t>アッシュク</t>
    </rPh>
    <rPh sb="12" eb="13">
      <t>セイ</t>
    </rPh>
    <rPh sb="14" eb="15">
      <t>マ</t>
    </rPh>
    <rPh sb="16" eb="18">
      <t>ヒッパリ</t>
    </rPh>
    <rPh sb="19" eb="20">
      <t>フ</t>
    </rPh>
    <rPh sb="22" eb="24">
      <t>ハンテイ</t>
    </rPh>
    <rPh sb="28" eb="29">
      <t>シタ</t>
    </rPh>
    <rPh sb="29" eb="30">
      <t>ヒョウ</t>
    </rPh>
    <phoneticPr fontId="1"/>
  </si>
  <si>
    <t>よって、縁応力度（圧縮：正、曲げ引張：負）を判定すると、下表のとおり。</t>
    <phoneticPr fontId="1"/>
  </si>
  <si>
    <t>無筋コンクリート部材断面に生じる平均せん断応力度は下式で算出できる。（H24道擁145）</t>
    <rPh sb="0" eb="2">
      <t>ムキン</t>
    </rPh>
    <rPh sb="8" eb="10">
      <t>ブザイ</t>
    </rPh>
    <rPh sb="10" eb="12">
      <t>ダンメン</t>
    </rPh>
    <rPh sb="13" eb="14">
      <t>ショウ</t>
    </rPh>
    <rPh sb="16" eb="18">
      <t>ヘイキン</t>
    </rPh>
    <rPh sb="20" eb="21">
      <t>ダン</t>
    </rPh>
    <rPh sb="21" eb="23">
      <t>オウリョク</t>
    </rPh>
    <rPh sb="23" eb="24">
      <t>ド</t>
    </rPh>
    <rPh sb="25" eb="27">
      <t>シタシキ</t>
    </rPh>
    <rPh sb="28" eb="30">
      <t>サンシュツ</t>
    </rPh>
    <rPh sb="38" eb="39">
      <t>ミチ</t>
    </rPh>
    <rPh sb="39" eb="40">
      <t>ヨウ</t>
    </rPh>
    <phoneticPr fontId="1"/>
  </si>
  <si>
    <t>自重は常時と同様であるため、計算を省略する。</t>
    <rPh sb="0" eb="2">
      <t>ジジュウ</t>
    </rPh>
    <rPh sb="3" eb="5">
      <t>ジョウジ</t>
    </rPh>
    <rPh sb="6" eb="8">
      <t>ドウヨウ</t>
    </rPh>
    <rPh sb="14" eb="16">
      <t>ケイサン</t>
    </rPh>
    <rPh sb="17" eb="19">
      <t>ショウリャク</t>
    </rPh>
    <phoneticPr fontId="1"/>
  </si>
  <si>
    <t>擁壁天端から水平力の作用位置までの鉛直距離</t>
    <phoneticPr fontId="1"/>
  </si>
  <si>
    <t>擁壁天端から作用位置までの鉛直距離</t>
    <rPh sb="6" eb="8">
      <t>サヨウ</t>
    </rPh>
    <phoneticPr fontId="1"/>
  </si>
  <si>
    <t>断面一次モーメント</t>
    <rPh sb="0" eb="2">
      <t>ダンメン</t>
    </rPh>
    <rPh sb="2" eb="4">
      <t>イチジ</t>
    </rPh>
    <phoneticPr fontId="1"/>
  </si>
  <si>
    <r>
      <t>(kN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Times New Roman"/>
        <family val="1"/>
      </rPr>
      <t>m/m)</t>
    </r>
    <phoneticPr fontId="5"/>
  </si>
  <si>
    <t>θ</t>
    <phoneticPr fontId="1"/>
  </si>
  <si>
    <t>壁背面と鉛直面のなす角(鉛直面より左回り正)</t>
    <rPh sb="0" eb="1">
      <t>カベ</t>
    </rPh>
    <rPh sb="1" eb="3">
      <t>ハイメン</t>
    </rPh>
    <rPh sb="4" eb="7">
      <t>エンチョクメン</t>
    </rPh>
    <rPh sb="10" eb="11">
      <t>カク</t>
    </rPh>
    <rPh sb="12" eb="15">
      <t>エンチョクメン</t>
    </rPh>
    <rPh sb="17" eb="18">
      <t>ヒダリ</t>
    </rPh>
    <rPh sb="18" eb="19">
      <t>マワ</t>
    </rPh>
    <rPh sb="20" eb="21">
      <t>セイ</t>
    </rPh>
    <phoneticPr fontId="1"/>
  </si>
  <si>
    <t>壁面傾斜角(壁面より左回り正)</t>
    <rPh sb="0" eb="2">
      <t>ヘキメン</t>
    </rPh>
    <rPh sb="2" eb="4">
      <t>ケイシャ</t>
    </rPh>
    <rPh sb="4" eb="5">
      <t>カク</t>
    </rPh>
    <rPh sb="6" eb="8">
      <t>ヘキメン</t>
    </rPh>
    <rPh sb="10" eb="11">
      <t>ヒダリ</t>
    </rPh>
    <rPh sb="11" eb="12">
      <t>マワ</t>
    </rPh>
    <rPh sb="13" eb="14">
      <t>セイ</t>
    </rPh>
    <phoneticPr fontId="1"/>
  </si>
  <si>
    <r>
      <t>P</t>
    </r>
    <r>
      <rPr>
        <i/>
        <vertAlign val="subscript"/>
        <sz val="11"/>
        <color theme="1"/>
        <rFont val="Times New Roman"/>
        <family val="1"/>
      </rPr>
      <t>g</t>
    </r>
    <phoneticPr fontId="1"/>
  </si>
  <si>
    <r>
      <t>h</t>
    </r>
    <r>
      <rPr>
        <i/>
        <vertAlign val="subscript"/>
        <sz val="11"/>
        <color theme="1"/>
        <rFont val="Times New Roman"/>
        <family val="1"/>
      </rPr>
      <t>g</t>
    </r>
    <phoneticPr fontId="5"/>
  </si>
  <si>
    <r>
      <t>W</t>
    </r>
    <r>
      <rPr>
        <i/>
        <vertAlign val="subscript"/>
        <sz val="11"/>
        <color theme="1"/>
        <rFont val="Times New Roman"/>
        <family val="1"/>
      </rPr>
      <t>g</t>
    </r>
    <phoneticPr fontId="5"/>
  </si>
  <si>
    <r>
      <t>p</t>
    </r>
    <r>
      <rPr>
        <i/>
        <vertAlign val="subscript"/>
        <sz val="11"/>
        <color theme="1"/>
        <rFont val="Times New Roman"/>
        <family val="1"/>
      </rPr>
      <t>g</t>
    </r>
    <phoneticPr fontId="1"/>
  </si>
  <si>
    <r>
      <t>y</t>
    </r>
    <r>
      <rPr>
        <i/>
        <vertAlign val="subscript"/>
        <sz val="11"/>
        <color theme="1"/>
        <rFont val="Times New Roman"/>
        <family val="1"/>
      </rPr>
      <t>g</t>
    </r>
    <phoneticPr fontId="1"/>
  </si>
  <si>
    <r>
      <t>h</t>
    </r>
    <r>
      <rPr>
        <i/>
        <vertAlign val="subscript"/>
        <sz val="11"/>
        <color theme="1"/>
        <rFont val="Times New Roman"/>
        <family val="1"/>
      </rPr>
      <t>g</t>
    </r>
    <phoneticPr fontId="1"/>
  </si>
  <si>
    <r>
      <t>w</t>
    </r>
    <r>
      <rPr>
        <i/>
        <vertAlign val="subscript"/>
        <sz val="11"/>
        <color theme="1"/>
        <rFont val="Times New Roman"/>
        <family val="1"/>
      </rPr>
      <t>g</t>
    </r>
    <phoneticPr fontId="1"/>
  </si>
  <si>
    <r>
      <t>x</t>
    </r>
    <r>
      <rPr>
        <i/>
        <vertAlign val="subscript"/>
        <sz val="11"/>
        <color theme="1"/>
        <rFont val="Times New Roman"/>
        <family val="1"/>
      </rPr>
      <t>g</t>
    </r>
    <phoneticPr fontId="1"/>
  </si>
  <si>
    <r>
      <rPr>
        <i/>
        <sz val="11"/>
        <color theme="1"/>
        <rFont val="Times New Roman"/>
        <family val="1"/>
      </rPr>
      <t>n</t>
    </r>
    <r>
      <rPr>
        <i/>
        <vertAlign val="subscript"/>
        <sz val="11"/>
        <color theme="1"/>
        <rFont val="Times New Roman"/>
        <family val="1"/>
      </rPr>
      <t>f</t>
    </r>
    <phoneticPr fontId="1"/>
  </si>
  <si>
    <r>
      <rPr>
        <i/>
        <sz val="11"/>
        <color theme="1"/>
        <rFont val="Times New Roman"/>
        <family val="1"/>
      </rPr>
      <t>n</t>
    </r>
    <r>
      <rPr>
        <i/>
        <vertAlign val="subscript"/>
        <sz val="11"/>
        <color theme="1"/>
        <rFont val="Times New Roman"/>
        <family val="1"/>
      </rPr>
      <t>r</t>
    </r>
    <phoneticPr fontId="1"/>
  </si>
  <si>
    <r>
      <t>b</t>
    </r>
    <r>
      <rPr>
        <i/>
        <vertAlign val="subscript"/>
        <sz val="11"/>
        <color theme="1"/>
        <rFont val="Times New Roman"/>
        <family val="1"/>
      </rPr>
      <t>f</t>
    </r>
    <phoneticPr fontId="1"/>
  </si>
  <si>
    <r>
      <t>B</t>
    </r>
    <r>
      <rPr>
        <i/>
        <vertAlign val="subscript"/>
        <sz val="11"/>
        <color theme="1"/>
        <rFont val="Times New Roman"/>
        <family val="1"/>
      </rPr>
      <t>r</t>
    </r>
    <phoneticPr fontId="1"/>
  </si>
  <si>
    <r>
      <t>n</t>
    </r>
    <r>
      <rPr>
        <i/>
        <vertAlign val="subscript"/>
        <sz val="11"/>
        <color theme="1"/>
        <rFont val="Times New Roman"/>
        <family val="1"/>
      </rPr>
      <t>r</t>
    </r>
    <phoneticPr fontId="1"/>
  </si>
  <si>
    <r>
      <t>上載荷重</t>
    </r>
    <r>
      <rPr>
        <i/>
        <sz val="11"/>
        <color theme="1"/>
        <rFont val="Times New Roman"/>
        <family val="1"/>
      </rPr>
      <t>q</t>
    </r>
    <r>
      <rPr>
        <sz val="11"/>
        <color theme="1"/>
        <rFont val="Times New Roman"/>
        <family val="1"/>
      </rPr>
      <t>=0</t>
    </r>
    <r>
      <rPr>
        <sz val="11"/>
        <color theme="1"/>
        <rFont val="游ゴシック"/>
        <family val="2"/>
        <charset val="128"/>
        <scheme val="minor"/>
      </rPr>
      <t>とする。</t>
    </r>
    <phoneticPr fontId="1"/>
  </si>
  <si>
    <r>
      <rPr>
        <sz val="11"/>
        <color theme="1"/>
        <rFont val="游ゴシック"/>
        <family val="1"/>
        <charset val="128"/>
      </rPr>
      <t>(1</t>
    </r>
    <r>
      <rPr>
        <sz val="11"/>
        <color theme="1"/>
        <rFont val="游ゴシック"/>
        <family val="3"/>
        <charset val="128"/>
      </rPr>
      <t>+</t>
    </r>
    <r>
      <rPr>
        <i/>
        <sz val="11"/>
        <color theme="1"/>
        <rFont val="Times New Roman"/>
        <family val="1"/>
      </rPr>
      <t>n</t>
    </r>
    <r>
      <rPr>
        <i/>
        <vertAlign val="subscript"/>
        <sz val="11"/>
        <color theme="1"/>
        <rFont val="Times New Roman"/>
        <family val="1"/>
      </rPr>
      <t>r</t>
    </r>
    <r>
      <rPr>
        <sz val="11"/>
        <color theme="1"/>
        <rFont val="游ゴシック"/>
        <family val="2"/>
        <charset val="128"/>
        <scheme val="minor"/>
      </rPr>
      <t>²)</t>
    </r>
    <phoneticPr fontId="1"/>
  </si>
  <si>
    <r>
      <t>p</t>
    </r>
    <r>
      <rPr>
        <i/>
        <vertAlign val="subscript"/>
        <sz val="11"/>
        <color theme="1"/>
        <rFont val="Times New Roman"/>
        <family val="1"/>
      </rPr>
      <t>i</t>
    </r>
    <phoneticPr fontId="1"/>
  </si>
  <si>
    <r>
      <t xml:space="preserve">任意位置に作用する土圧強度 </t>
    </r>
    <r>
      <rPr>
        <i/>
        <sz val="11"/>
        <color theme="1"/>
        <rFont val="Times New Roman"/>
        <family val="1"/>
      </rPr>
      <t>p</t>
    </r>
    <r>
      <rPr>
        <i/>
        <vertAlign val="subscript"/>
        <sz val="11"/>
        <color theme="1"/>
        <rFont val="Times New Roman"/>
        <family val="1"/>
      </rPr>
      <t>i</t>
    </r>
    <r>
      <rPr>
        <sz val="11"/>
        <color theme="1"/>
        <rFont val="游ゴシック"/>
        <family val="2"/>
        <charset val="128"/>
        <scheme val="minor"/>
      </rPr>
      <t xml:space="preserve"> は、土圧強度の定義より下式で算出できる。</t>
    </r>
    <rPh sb="0" eb="2">
      <t>ニンイ</t>
    </rPh>
    <rPh sb="2" eb="4">
      <t>イチ</t>
    </rPh>
    <rPh sb="5" eb="7">
      <t>サヨウ</t>
    </rPh>
    <rPh sb="9" eb="11">
      <t>ドアツ</t>
    </rPh>
    <rPh sb="11" eb="13">
      <t>キョウド</t>
    </rPh>
    <rPh sb="19" eb="21">
      <t>ドアツ</t>
    </rPh>
    <rPh sb="21" eb="23">
      <t>キョウド</t>
    </rPh>
    <rPh sb="24" eb="26">
      <t>テイギ</t>
    </rPh>
    <rPh sb="28" eb="29">
      <t>シタ</t>
    </rPh>
    <rPh sb="29" eb="30">
      <t>シキ</t>
    </rPh>
    <rPh sb="31" eb="33">
      <t>サンシュツ</t>
    </rPh>
    <phoneticPr fontId="1"/>
  </si>
  <si>
    <r>
      <t xml:space="preserve">任意の位置の土圧合力 </t>
    </r>
    <r>
      <rPr>
        <i/>
        <sz val="11"/>
        <color theme="1"/>
        <rFont val="Times New Roman"/>
        <family val="1"/>
      </rPr>
      <t>P</t>
    </r>
    <r>
      <rPr>
        <i/>
        <vertAlign val="subscript"/>
        <sz val="11"/>
        <color theme="1"/>
        <rFont val="Times New Roman"/>
        <family val="1"/>
      </rPr>
      <t>i</t>
    </r>
    <r>
      <rPr>
        <sz val="11"/>
        <color theme="1"/>
        <rFont val="游ゴシック"/>
        <family val="3"/>
        <charset val="128"/>
      </rPr>
      <t>は、下式で算出できる。</t>
    </r>
    <rPh sb="0" eb="2">
      <t>ニンイ</t>
    </rPh>
    <rPh sb="3" eb="5">
      <t>イチ</t>
    </rPh>
    <rPh sb="6" eb="8">
      <t>ドアツ</t>
    </rPh>
    <rPh sb="8" eb="10">
      <t>ゴウリョク</t>
    </rPh>
    <rPh sb="15" eb="16">
      <t>シタ</t>
    </rPh>
    <rPh sb="16" eb="17">
      <t>シキ</t>
    </rPh>
    <rPh sb="18" eb="20">
      <t>サンシュツ</t>
    </rPh>
    <phoneticPr fontId="1"/>
  </si>
  <si>
    <r>
      <t>y</t>
    </r>
    <r>
      <rPr>
        <i/>
        <vertAlign val="subscript"/>
        <sz val="11"/>
        <color rgb="FF000000"/>
        <rFont val="Times New Roman"/>
        <family val="1"/>
      </rPr>
      <t>i</t>
    </r>
    <phoneticPr fontId="1"/>
  </si>
  <si>
    <r>
      <t>x</t>
    </r>
    <r>
      <rPr>
        <i/>
        <vertAlign val="subscript"/>
        <sz val="11"/>
        <color rgb="FF000000"/>
        <rFont val="Times New Roman"/>
        <family val="1"/>
      </rPr>
      <t>i</t>
    </r>
    <phoneticPr fontId="1"/>
  </si>
  <si>
    <t>0点からの距離</t>
    <phoneticPr fontId="1"/>
  </si>
  <si>
    <r>
      <t>(kN</t>
    </r>
    <r>
      <rPr>
        <sz val="11"/>
        <color theme="1"/>
        <rFont val="Meiryo UI"/>
        <family val="1"/>
        <charset val="128"/>
      </rPr>
      <t>・</t>
    </r>
    <r>
      <rPr>
        <sz val="11"/>
        <color theme="1"/>
        <rFont val="Times New Roman"/>
        <family val="1"/>
      </rPr>
      <t>m/m)</t>
    </r>
    <phoneticPr fontId="1"/>
  </si>
  <si>
    <r>
      <t>Σ</t>
    </r>
    <r>
      <rPr>
        <i/>
        <sz val="11"/>
        <color rgb="FF000000"/>
        <rFont val="Times New Roman"/>
        <family val="1"/>
      </rPr>
      <t>V</t>
    </r>
    <phoneticPr fontId="1"/>
  </si>
  <si>
    <r>
      <t>Σ</t>
    </r>
    <r>
      <rPr>
        <i/>
        <sz val="11"/>
        <color rgb="FF000000"/>
        <rFont val="Times New Roman"/>
        <family val="1"/>
      </rPr>
      <t>H</t>
    </r>
    <phoneticPr fontId="1"/>
  </si>
  <si>
    <t>偏心距離</t>
    <rPh sb="0" eb="2">
      <t>ヘンシン</t>
    </rPh>
    <rPh sb="2" eb="4">
      <t>キョリ</t>
    </rPh>
    <phoneticPr fontId="1"/>
  </si>
  <si>
    <t>させ、水平力と鉛直力の２つに分けて算出する。(H24道擁p61,62)</t>
    <rPh sb="26" eb="27">
      <t>ミチ</t>
    </rPh>
    <rPh sb="27" eb="28">
      <t>ヨウ</t>
    </rPh>
    <phoneticPr fontId="1"/>
  </si>
  <si>
    <t>衝突荷重は、擁壁端部から1mの位置に作用し45°で下方向に荷重分散</t>
    <rPh sb="25" eb="26">
      <t>シタ</t>
    </rPh>
    <rPh sb="26" eb="28">
      <t>ホウコウ</t>
    </rPh>
    <phoneticPr fontId="1"/>
  </si>
  <si>
    <r>
      <t>W</t>
    </r>
    <r>
      <rPr>
        <i/>
        <vertAlign val="subscript"/>
        <sz val="11"/>
        <color theme="1"/>
        <rFont val="Times New Roman"/>
        <family val="1"/>
      </rPr>
      <t>gi</t>
    </r>
    <phoneticPr fontId="1"/>
  </si>
  <si>
    <r>
      <t>W</t>
    </r>
    <r>
      <rPr>
        <i/>
        <vertAlign val="subscript"/>
        <sz val="11"/>
        <color theme="1"/>
        <rFont val="Times New Roman"/>
        <family val="1"/>
      </rPr>
      <t>g</t>
    </r>
    <phoneticPr fontId="1"/>
  </si>
  <si>
    <r>
      <t>荷重分散を考慮した衝突荷重</t>
    </r>
    <r>
      <rPr>
        <i/>
        <sz val="11"/>
        <color theme="1"/>
        <rFont val="Times New Roman"/>
        <family val="1"/>
      </rPr>
      <t>P</t>
    </r>
    <r>
      <rPr>
        <i/>
        <vertAlign val="subscript"/>
        <sz val="11"/>
        <color theme="1"/>
        <rFont val="Times New Roman"/>
        <family val="1"/>
      </rPr>
      <t>gi</t>
    </r>
    <r>
      <rPr>
        <sz val="11"/>
        <color theme="1"/>
        <rFont val="游ゴシック"/>
        <family val="2"/>
        <charset val="128"/>
        <scheme val="minor"/>
      </rPr>
      <t>は、下式で算出できる。</t>
    </r>
    <rPh sb="0" eb="2">
      <t>カジュウ</t>
    </rPh>
    <rPh sb="2" eb="4">
      <t>ブンサン</t>
    </rPh>
    <rPh sb="5" eb="7">
      <t>コウリョ</t>
    </rPh>
    <rPh sb="9" eb="11">
      <t>ショウトツ</t>
    </rPh>
    <rPh sb="11" eb="13">
      <t>カジュウ</t>
    </rPh>
    <rPh sb="18" eb="19">
      <t>シタ</t>
    </rPh>
    <rPh sb="19" eb="20">
      <t>シキ</t>
    </rPh>
    <rPh sb="21" eb="23">
      <t>サンシュツ</t>
    </rPh>
    <phoneticPr fontId="1"/>
  </si>
  <si>
    <r>
      <t>P</t>
    </r>
    <r>
      <rPr>
        <i/>
        <vertAlign val="subscript"/>
        <sz val="11"/>
        <color theme="1"/>
        <rFont val="Times New Roman"/>
        <family val="1"/>
      </rPr>
      <t>gi</t>
    </r>
    <phoneticPr fontId="1"/>
  </si>
  <si>
    <r>
      <t>荷重分散を考慮した衝突車両の前輪荷重</t>
    </r>
    <r>
      <rPr>
        <i/>
        <sz val="11"/>
        <color theme="1"/>
        <rFont val="Times New Roman"/>
        <family val="1"/>
      </rPr>
      <t>W</t>
    </r>
    <r>
      <rPr>
        <i/>
        <vertAlign val="subscript"/>
        <sz val="11"/>
        <color theme="1"/>
        <rFont val="Times New Roman"/>
        <family val="1"/>
      </rPr>
      <t>gi</t>
    </r>
    <r>
      <rPr>
        <sz val="11"/>
        <color theme="1"/>
        <rFont val="游ゴシック"/>
        <family val="2"/>
        <charset val="128"/>
        <scheme val="minor"/>
      </rPr>
      <t>は、下式で算出できる。</t>
    </r>
    <rPh sb="0" eb="2">
      <t>カジュウ</t>
    </rPh>
    <rPh sb="2" eb="4">
      <t>ブンサン</t>
    </rPh>
    <rPh sb="5" eb="7">
      <t>コウリョ</t>
    </rPh>
    <rPh sb="9" eb="11">
      <t>ショウトツ</t>
    </rPh>
    <rPh sb="11" eb="13">
      <t>シャリョウ</t>
    </rPh>
    <rPh sb="14" eb="16">
      <t>ゼンリン</t>
    </rPh>
    <rPh sb="16" eb="18">
      <t>カジュウ</t>
    </rPh>
    <rPh sb="23" eb="24">
      <t>シタ</t>
    </rPh>
    <rPh sb="24" eb="25">
      <t>シキ</t>
    </rPh>
    <rPh sb="26" eb="28">
      <t>サンシュツ</t>
    </rPh>
    <phoneticPr fontId="1"/>
  </si>
  <si>
    <r>
      <t>W</t>
    </r>
    <r>
      <rPr>
        <i/>
        <vertAlign val="subscript"/>
        <sz val="11"/>
        <color rgb="FF000000"/>
        <rFont val="Times New Roman"/>
        <family val="1"/>
      </rPr>
      <t>gi</t>
    </r>
    <phoneticPr fontId="1"/>
  </si>
  <si>
    <r>
      <t>P</t>
    </r>
    <r>
      <rPr>
        <i/>
        <vertAlign val="subscript"/>
        <sz val="11"/>
        <color rgb="FF000000"/>
        <rFont val="Times New Roman"/>
        <family val="1"/>
      </rPr>
      <t>gi</t>
    </r>
    <phoneticPr fontId="1"/>
  </si>
  <si>
    <r>
      <t>y</t>
    </r>
    <r>
      <rPr>
        <i/>
        <vertAlign val="subscript"/>
        <sz val="11"/>
        <color rgb="FF000000"/>
        <rFont val="Times New Roman"/>
        <family val="1"/>
      </rPr>
      <t>gi</t>
    </r>
    <phoneticPr fontId="1"/>
  </si>
  <si>
    <r>
      <t>x</t>
    </r>
    <r>
      <rPr>
        <i/>
        <vertAlign val="subscript"/>
        <sz val="11"/>
        <color rgb="FF000000"/>
        <rFont val="Times New Roman"/>
        <family val="1"/>
      </rPr>
      <t>gi</t>
    </r>
    <phoneticPr fontId="1"/>
  </si>
  <si>
    <r>
      <t>M</t>
    </r>
    <r>
      <rPr>
        <i/>
        <vertAlign val="subscript"/>
        <sz val="11"/>
        <color theme="1"/>
        <rFont val="Times New Roman"/>
        <family val="1"/>
      </rPr>
      <t>x</t>
    </r>
    <r>
      <rPr>
        <i/>
        <sz val="11"/>
        <color theme="1"/>
        <rFont val="Times New Roman"/>
        <family val="1"/>
      </rPr>
      <t>=W</t>
    </r>
    <r>
      <rPr>
        <i/>
        <vertAlign val="subscript"/>
        <sz val="11"/>
        <color theme="1"/>
        <rFont val="Times New Roman"/>
        <family val="1"/>
      </rPr>
      <t>gi</t>
    </r>
    <r>
      <rPr>
        <i/>
        <sz val="11"/>
        <color theme="1"/>
        <rFont val="Times New Roman"/>
        <family val="1"/>
      </rPr>
      <t>x</t>
    </r>
    <r>
      <rPr>
        <i/>
        <vertAlign val="subscript"/>
        <sz val="11"/>
        <color theme="1"/>
        <rFont val="Times New Roman"/>
        <family val="1"/>
      </rPr>
      <t>gi</t>
    </r>
    <phoneticPr fontId="5"/>
  </si>
  <si>
    <r>
      <t>M</t>
    </r>
    <r>
      <rPr>
        <i/>
        <vertAlign val="subscript"/>
        <sz val="11"/>
        <color theme="1"/>
        <rFont val="Times New Roman"/>
        <family val="1"/>
      </rPr>
      <t>y</t>
    </r>
    <r>
      <rPr>
        <i/>
        <sz val="11"/>
        <color theme="1"/>
        <rFont val="Times New Roman"/>
        <family val="1"/>
      </rPr>
      <t>=P</t>
    </r>
    <r>
      <rPr>
        <i/>
        <vertAlign val="subscript"/>
        <sz val="11"/>
        <color theme="1"/>
        <rFont val="Times New Roman"/>
        <family val="1"/>
      </rPr>
      <t>gi</t>
    </r>
    <r>
      <rPr>
        <i/>
        <sz val="11"/>
        <color theme="1"/>
        <rFont val="Times New Roman"/>
        <family val="1"/>
      </rPr>
      <t>y</t>
    </r>
    <r>
      <rPr>
        <i/>
        <vertAlign val="subscript"/>
        <sz val="11"/>
        <color theme="1"/>
        <rFont val="Times New Roman"/>
        <family val="1"/>
      </rPr>
      <t>gi</t>
    </r>
    <phoneticPr fontId="5"/>
  </si>
  <si>
    <t>地震時・衝突時の場合、割増係数</t>
    <rPh sb="0" eb="3">
      <t>ジシンジ</t>
    </rPh>
    <rPh sb="4" eb="7">
      <t>ショウトツジ</t>
    </rPh>
    <rPh sb="8" eb="10">
      <t>バアイ</t>
    </rPh>
    <phoneticPr fontId="1"/>
  </si>
  <si>
    <t>H24道擁p78</t>
    <rPh sb="3" eb="4">
      <t>ミチ</t>
    </rPh>
    <rPh sb="4" eb="5">
      <t>ヨウ</t>
    </rPh>
    <phoneticPr fontId="5"/>
  </si>
  <si>
    <t>①擁壁自体の安定性の照査</t>
    <rPh sb="1" eb="3">
      <t>ヨウヘキ</t>
    </rPh>
    <rPh sb="3" eb="5">
      <t>ジタイ</t>
    </rPh>
    <rPh sb="6" eb="9">
      <t>アンテイセイ</t>
    </rPh>
    <rPh sb="10" eb="12">
      <t>ショウサ</t>
    </rPh>
    <phoneticPr fontId="5"/>
  </si>
  <si>
    <t>②背面盛土及び基礎地盤を含む全体としての安定性の検討</t>
    <rPh sb="1" eb="3">
      <t>ハイメン</t>
    </rPh>
    <rPh sb="3" eb="5">
      <t>モリド</t>
    </rPh>
    <rPh sb="5" eb="6">
      <t>オヨ</t>
    </rPh>
    <rPh sb="7" eb="9">
      <t>キソ</t>
    </rPh>
    <rPh sb="9" eb="11">
      <t>ジバン</t>
    </rPh>
    <rPh sb="12" eb="13">
      <t>フク</t>
    </rPh>
    <rPh sb="14" eb="16">
      <t>ゼンタイ</t>
    </rPh>
    <rPh sb="20" eb="23">
      <t>アンテイセイ</t>
    </rPh>
    <rPh sb="24" eb="26">
      <t>ケントウ</t>
    </rPh>
    <phoneticPr fontId="5"/>
  </si>
  <si>
    <t>1) 擁壁の安定性の照査</t>
    <rPh sb="3" eb="5">
      <t>ヨウヘキ</t>
    </rPh>
    <rPh sb="6" eb="9">
      <t>アンテイセイ</t>
    </rPh>
    <rPh sb="10" eb="12">
      <t>ショウサ</t>
    </rPh>
    <phoneticPr fontId="1"/>
  </si>
  <si>
    <t>下記に示す設計プロセスは「岩盤、直接基礎、擁壁上の嵩上げ盛土なし、地下水なし、擁壁高さ8m以下」</t>
    <rPh sb="13" eb="15">
      <t>ガンバン</t>
    </rPh>
    <rPh sb="16" eb="18">
      <t>チョクセツ</t>
    </rPh>
    <rPh sb="18" eb="20">
      <t>キソ</t>
    </rPh>
    <phoneticPr fontId="1"/>
  </si>
  <si>
    <t>1-10. 照査における許容値</t>
    <rPh sb="6" eb="8">
      <t>ショウサ</t>
    </rPh>
    <rPh sb="12" eb="15">
      <t>キョヨウチ</t>
    </rPh>
    <phoneticPr fontId="1"/>
  </si>
  <si>
    <t>省略</t>
    <rPh sb="0" eb="2">
      <t>ショウリャク</t>
    </rPh>
    <phoneticPr fontId="1"/>
  </si>
  <si>
    <t>許容変位</t>
    <rPh sb="0" eb="2">
      <t>キョヨウ</t>
    </rPh>
    <rPh sb="2" eb="4">
      <t>ヘンイ</t>
    </rPh>
    <phoneticPr fontId="1"/>
  </si>
  <si>
    <t>擁壁自体の安定性を照査する。</t>
    <rPh sb="0" eb="2">
      <t>ヨウヘキ</t>
    </rPh>
    <rPh sb="2" eb="4">
      <t>ジタイ</t>
    </rPh>
    <rPh sb="5" eb="8">
      <t>アンテイセイ</t>
    </rPh>
    <rPh sb="9" eb="11">
      <t>ショウサ</t>
    </rPh>
    <phoneticPr fontId="1"/>
  </si>
  <si>
    <t>2. 設計に用いる荷重</t>
    <rPh sb="3" eb="5">
      <t>セッケイ</t>
    </rPh>
    <rPh sb="6" eb="7">
      <t>モチ</t>
    </rPh>
    <rPh sb="9" eb="11">
      <t>カジュウ</t>
    </rPh>
    <phoneticPr fontId="1"/>
  </si>
  <si>
    <t>2-3. 土圧</t>
    <rPh sb="5" eb="7">
      <t>ドアツ</t>
    </rPh>
    <phoneticPr fontId="1"/>
  </si>
  <si>
    <t>2-3-1. 常時</t>
    <rPh sb="7" eb="9">
      <t>ジョウジ</t>
    </rPh>
    <phoneticPr fontId="1"/>
  </si>
  <si>
    <t>2-3-2. 衝突時</t>
    <rPh sb="7" eb="9">
      <t>ショウトツ</t>
    </rPh>
    <rPh sb="9" eb="10">
      <t>ジ</t>
    </rPh>
    <phoneticPr fontId="1"/>
  </si>
  <si>
    <t>3. 擁壁の安定性の照査</t>
    <rPh sb="3" eb="5">
      <t>ヨウヘキ</t>
    </rPh>
    <rPh sb="6" eb="8">
      <t>アンテイ</t>
    </rPh>
    <rPh sb="8" eb="9">
      <t>セイ</t>
    </rPh>
    <rPh sb="10" eb="12">
      <t>ショウサ</t>
    </rPh>
    <phoneticPr fontId="1"/>
  </si>
  <si>
    <t>3-1. 常時</t>
    <rPh sb="5" eb="7">
      <t>ジョウジ</t>
    </rPh>
    <rPh sb="6" eb="7">
      <t>ジ</t>
    </rPh>
    <phoneticPr fontId="5"/>
  </si>
  <si>
    <t>3-1-1. 作用力の集計</t>
    <rPh sb="7" eb="10">
      <t>サヨウリョク</t>
    </rPh>
    <rPh sb="11" eb="13">
      <t>シュウケイ</t>
    </rPh>
    <phoneticPr fontId="5"/>
  </si>
  <si>
    <t>3-1-2. 転倒に対する照査</t>
    <phoneticPr fontId="5"/>
  </si>
  <si>
    <t>3-1-3. 滑動に対する照査</t>
    <phoneticPr fontId="5"/>
  </si>
  <si>
    <t>3-1-4. 支持に対する照査</t>
    <phoneticPr fontId="5"/>
  </si>
  <si>
    <t>3-2. 衝突時</t>
    <rPh sb="5" eb="7">
      <t>ショウトツ</t>
    </rPh>
    <phoneticPr fontId="5"/>
  </si>
  <si>
    <t>3-2-1. 作用力の集計</t>
    <rPh sb="7" eb="10">
      <t>サヨウリョク</t>
    </rPh>
    <rPh sb="11" eb="13">
      <t>シュウケイ</t>
    </rPh>
    <phoneticPr fontId="5"/>
  </si>
  <si>
    <t>3-2-2. 転倒に対する照査</t>
    <phoneticPr fontId="5"/>
  </si>
  <si>
    <t>3-2-3. 滑動に対する照査</t>
    <phoneticPr fontId="5"/>
  </si>
  <si>
    <t>3-2-4. 支持に対する照査</t>
    <phoneticPr fontId="5"/>
  </si>
  <si>
    <t>4-1-1. 自重</t>
    <rPh sb="7" eb="9">
      <t>ジジュウ</t>
    </rPh>
    <phoneticPr fontId="5"/>
  </si>
  <si>
    <t>4-1-2. 土圧</t>
    <rPh sb="7" eb="9">
      <t>ドアツ</t>
    </rPh>
    <phoneticPr fontId="5"/>
  </si>
  <si>
    <t>4-1-3. 壁面地盤反力</t>
    <rPh sb="7" eb="9">
      <t>ヘキメン</t>
    </rPh>
    <rPh sb="8" eb="9">
      <t>メン</t>
    </rPh>
    <rPh sb="9" eb="13">
      <t>ジバンハンリョク</t>
    </rPh>
    <phoneticPr fontId="1"/>
  </si>
  <si>
    <t>4-1-4. 荷重の集計</t>
    <rPh sb="7" eb="9">
      <t>カジュウ</t>
    </rPh>
    <rPh sb="10" eb="12">
      <t>シュウケイ</t>
    </rPh>
    <phoneticPr fontId="1"/>
  </si>
  <si>
    <t>4-1-5. 応力度算出と判定</t>
    <rPh sb="7" eb="10">
      <t>オウリョクド</t>
    </rPh>
    <rPh sb="10" eb="12">
      <t>サンシュツ</t>
    </rPh>
    <rPh sb="13" eb="15">
      <t>ハンテイ</t>
    </rPh>
    <phoneticPr fontId="1"/>
  </si>
  <si>
    <t>4-2-1. 自重</t>
    <rPh sb="7" eb="9">
      <t>ジジュウ</t>
    </rPh>
    <phoneticPr fontId="5"/>
  </si>
  <si>
    <t>4-2-2. 衝突荷重</t>
    <rPh sb="7" eb="9">
      <t>ショウトツ</t>
    </rPh>
    <rPh sb="9" eb="11">
      <t>カジュウ</t>
    </rPh>
    <phoneticPr fontId="5"/>
  </si>
  <si>
    <t>4-2-3. 土圧</t>
    <rPh sb="7" eb="9">
      <t>ドアツ</t>
    </rPh>
    <phoneticPr fontId="5"/>
  </si>
  <si>
    <t>4-2-4. 壁面地盤反力</t>
    <rPh sb="7" eb="9">
      <t>ヘキメン</t>
    </rPh>
    <rPh sb="8" eb="9">
      <t>メン</t>
    </rPh>
    <rPh sb="9" eb="13">
      <t>ジバンハンリョク</t>
    </rPh>
    <phoneticPr fontId="1"/>
  </si>
  <si>
    <t>4-2-5. 荷重の集計</t>
    <rPh sb="7" eb="9">
      <t>カジュウ</t>
    </rPh>
    <rPh sb="10" eb="12">
      <t>シュウケイ</t>
    </rPh>
    <phoneticPr fontId="1"/>
  </si>
  <si>
    <t>4-2-6. 応力度算出と判定</t>
    <rPh sb="7" eb="10">
      <t>オウリョクド</t>
    </rPh>
    <rPh sb="10" eb="12">
      <t>サンシュツ</t>
    </rPh>
    <rPh sb="13" eb="15">
      <t>ハンテイ</t>
    </rPh>
    <phoneticPr fontId="1"/>
  </si>
  <si>
    <t>もたれ式擁壁（直接基礎）の設計計算例 ー岩盤、ガードレールC種の場合ー</t>
    <rPh sb="3" eb="4">
      <t>シキ</t>
    </rPh>
    <rPh sb="4" eb="6">
      <t>ヨウヘキ</t>
    </rPh>
    <rPh sb="7" eb="9">
      <t>チョクセツ</t>
    </rPh>
    <rPh sb="9" eb="11">
      <t>キソ</t>
    </rPh>
    <rPh sb="13" eb="15">
      <t>セッケイ</t>
    </rPh>
    <rPh sb="15" eb="18">
      <t>ケイサンレイ</t>
    </rPh>
    <rPh sb="20" eb="22">
      <t>ガンバン</t>
    </rPh>
    <rPh sb="30" eb="31">
      <t>シュ</t>
    </rPh>
    <phoneticPr fontId="1"/>
  </si>
  <si>
    <t>土質</t>
    <rPh sb="0" eb="2">
      <t>ドシツ</t>
    </rPh>
    <phoneticPr fontId="1"/>
  </si>
  <si>
    <t>岩盤（軟岩・土丹）</t>
    <rPh sb="0" eb="2">
      <t>ガンバン</t>
    </rPh>
    <rPh sb="3" eb="5">
      <t>ナンガン</t>
    </rPh>
    <rPh sb="6" eb="8">
      <t>ドタン</t>
    </rPh>
    <phoneticPr fontId="1"/>
  </si>
  <si>
    <t>砂詰め固定</t>
    <rPh sb="0" eb="1">
      <t>スナ</t>
    </rPh>
    <rPh sb="1" eb="2">
      <t>ツ</t>
    </rPh>
    <rPh sb="3" eb="5">
      <t>コテイ</t>
    </rPh>
    <phoneticPr fontId="5"/>
  </si>
  <si>
    <t>常時</t>
    <rPh sb="0" eb="2">
      <t>ジョウジ</t>
    </rPh>
    <phoneticPr fontId="5"/>
  </si>
  <si>
    <t>2-2-1. 水平力</t>
    <rPh sb="7" eb="10">
      <t>スイヘイリョク</t>
    </rPh>
    <phoneticPr fontId="5"/>
  </si>
  <si>
    <t>2-2-2. 鉛直力</t>
    <rPh sb="7" eb="10">
      <t>エンチョクリョク</t>
    </rPh>
    <phoneticPr fontId="5"/>
  </si>
  <si>
    <t>許容最小距離</t>
    <rPh sb="0" eb="2">
      <t>キョヨウ</t>
    </rPh>
    <rPh sb="2" eb="4">
      <t>サイショウ</t>
    </rPh>
    <rPh sb="4" eb="6">
      <t>キョリ</t>
    </rPh>
    <phoneticPr fontId="1"/>
  </si>
  <si>
    <r>
      <t>作用力の合力位置が擁壁底面幅の1/2より後方にある(</t>
    </r>
    <r>
      <rPr>
        <i/>
        <sz val="11"/>
        <color theme="1"/>
        <rFont val="Times New Roman"/>
        <family val="1"/>
      </rPr>
      <t>d</t>
    </r>
    <r>
      <rPr>
        <sz val="11"/>
        <color theme="1"/>
        <rFont val="游ゴシック"/>
        <family val="2"/>
        <charset val="128"/>
        <scheme val="minor"/>
      </rPr>
      <t>≧</t>
    </r>
    <r>
      <rPr>
        <i/>
        <sz val="11"/>
        <color theme="1"/>
        <rFont val="Times New Roman"/>
        <family val="1"/>
      </rPr>
      <t>B</t>
    </r>
    <r>
      <rPr>
        <sz val="11"/>
        <color theme="1"/>
        <rFont val="Times New Roman"/>
        <family val="1"/>
      </rPr>
      <t>/2</t>
    </r>
    <r>
      <rPr>
        <sz val="11"/>
        <color theme="1"/>
        <rFont val="游ゴシック"/>
        <family val="2"/>
        <charset val="128"/>
        <scheme val="minor"/>
      </rPr>
      <t>)ため、簡便法で計算する。（H24道擁p164）</t>
    </r>
    <rPh sb="0" eb="3">
      <t>サヨウリョク</t>
    </rPh>
    <rPh sb="4" eb="6">
      <t>ゴウリョク</t>
    </rPh>
    <rPh sb="6" eb="8">
      <t>イチ</t>
    </rPh>
    <rPh sb="9" eb="11">
      <t>ヨウヘキ</t>
    </rPh>
    <rPh sb="11" eb="13">
      <t>テイメン</t>
    </rPh>
    <rPh sb="13" eb="14">
      <t>ハバ</t>
    </rPh>
    <rPh sb="20" eb="22">
      <t>コウホウ</t>
    </rPh>
    <rPh sb="35" eb="37">
      <t>カンベン</t>
    </rPh>
    <rPh sb="37" eb="38">
      <t>ホウ</t>
    </rPh>
    <rPh sb="39" eb="41">
      <t>ケイサン</t>
    </rPh>
    <rPh sb="48" eb="49">
      <t>ミチ</t>
    </rPh>
    <rPh sb="49" eb="50">
      <t>ヨウ</t>
    </rPh>
    <phoneticPr fontId="1"/>
  </si>
  <si>
    <r>
      <t>-Q</t>
    </r>
    <r>
      <rPr>
        <i/>
        <vertAlign val="subscript"/>
        <sz val="11"/>
        <color theme="1"/>
        <rFont val="Times New Roman"/>
        <family val="1"/>
      </rPr>
      <t>tzi</t>
    </r>
    <phoneticPr fontId="1"/>
  </si>
  <si>
    <t>付着力</t>
    <rPh sb="0" eb="2">
      <t>フチャク</t>
    </rPh>
    <rPh sb="2" eb="3">
      <t>リョク</t>
    </rPh>
    <phoneticPr fontId="5"/>
  </si>
  <si>
    <r>
      <t>c</t>
    </r>
    <r>
      <rPr>
        <i/>
        <vertAlign val="subscript"/>
        <sz val="11"/>
        <color theme="1"/>
        <rFont val="Times New Roman"/>
        <family val="1"/>
      </rPr>
      <t>B</t>
    </r>
    <phoneticPr fontId="1"/>
  </si>
  <si>
    <t>H24道擁p110</t>
    <rPh sb="3" eb="4">
      <t>ミチ</t>
    </rPh>
    <rPh sb="4" eb="5">
      <t>ヨウ</t>
    </rPh>
    <phoneticPr fontId="5"/>
  </si>
  <si>
    <r>
      <t>P</t>
    </r>
    <r>
      <rPr>
        <i/>
        <vertAlign val="subscript"/>
        <sz val="11"/>
        <color rgb="FF000000"/>
        <rFont val="Times New Roman"/>
        <family val="1"/>
      </rPr>
      <t>iH</t>
    </r>
    <phoneticPr fontId="1"/>
  </si>
  <si>
    <r>
      <t>P</t>
    </r>
    <r>
      <rPr>
        <i/>
        <vertAlign val="subscript"/>
        <sz val="11"/>
        <color rgb="FF000000"/>
        <rFont val="Times New Roman"/>
        <family val="1"/>
      </rPr>
      <t>iV</t>
    </r>
    <phoneticPr fontId="1"/>
  </si>
  <si>
    <r>
      <t>M</t>
    </r>
    <r>
      <rPr>
        <i/>
        <vertAlign val="subscript"/>
        <sz val="11"/>
        <color theme="1"/>
        <rFont val="Times New Roman"/>
        <family val="1"/>
      </rPr>
      <t>x</t>
    </r>
    <r>
      <rPr>
        <i/>
        <sz val="11"/>
        <color theme="1"/>
        <rFont val="Times New Roman"/>
        <family val="1"/>
      </rPr>
      <t>=P</t>
    </r>
    <r>
      <rPr>
        <i/>
        <vertAlign val="subscript"/>
        <sz val="11"/>
        <color theme="1"/>
        <rFont val="Times New Roman"/>
        <family val="1"/>
      </rPr>
      <t xml:space="preserve">iV </t>
    </r>
    <r>
      <rPr>
        <i/>
        <sz val="11"/>
        <color theme="1"/>
        <rFont val="Times New Roman"/>
        <family val="1"/>
      </rPr>
      <t>x</t>
    </r>
    <r>
      <rPr>
        <i/>
        <vertAlign val="subscript"/>
        <sz val="11"/>
        <color theme="1"/>
        <rFont val="Times New Roman"/>
        <family val="1"/>
      </rPr>
      <t>i</t>
    </r>
    <phoneticPr fontId="5"/>
  </si>
  <si>
    <r>
      <t>M</t>
    </r>
    <r>
      <rPr>
        <i/>
        <vertAlign val="subscript"/>
        <sz val="11"/>
        <color theme="1"/>
        <rFont val="Times New Roman"/>
        <family val="1"/>
      </rPr>
      <t>y</t>
    </r>
    <r>
      <rPr>
        <i/>
        <sz val="11"/>
        <color theme="1"/>
        <rFont val="Times New Roman"/>
        <family val="1"/>
      </rPr>
      <t>=P</t>
    </r>
    <r>
      <rPr>
        <i/>
        <vertAlign val="subscript"/>
        <sz val="11"/>
        <color theme="1"/>
        <rFont val="Times New Roman"/>
        <family val="1"/>
      </rPr>
      <t xml:space="preserve">iH </t>
    </r>
    <r>
      <rPr>
        <i/>
        <sz val="11"/>
        <color theme="1"/>
        <rFont val="Times New Roman"/>
        <family val="1"/>
      </rPr>
      <t>y</t>
    </r>
    <r>
      <rPr>
        <i/>
        <vertAlign val="subscript"/>
        <sz val="11"/>
        <color theme="1"/>
        <rFont val="Times New Roman"/>
        <family val="1"/>
      </rPr>
      <t>i</t>
    </r>
    <phoneticPr fontId="5"/>
  </si>
  <si>
    <r>
      <t>Q</t>
    </r>
    <r>
      <rPr>
        <i/>
        <vertAlign val="subscript"/>
        <sz val="11"/>
        <color rgb="FF000000"/>
        <rFont val="Times New Roman"/>
        <family val="1"/>
      </rPr>
      <t>iH</t>
    </r>
    <phoneticPr fontId="1"/>
  </si>
  <si>
    <r>
      <t>Q</t>
    </r>
    <r>
      <rPr>
        <i/>
        <vertAlign val="subscript"/>
        <sz val="11"/>
        <color rgb="FF000000"/>
        <rFont val="Times New Roman"/>
        <family val="1"/>
      </rPr>
      <t>iV</t>
    </r>
    <phoneticPr fontId="1"/>
  </si>
  <si>
    <r>
      <t>M</t>
    </r>
    <r>
      <rPr>
        <i/>
        <vertAlign val="subscript"/>
        <sz val="11"/>
        <color theme="1"/>
        <rFont val="Times New Roman"/>
        <family val="1"/>
      </rPr>
      <t>x</t>
    </r>
    <r>
      <rPr>
        <i/>
        <sz val="11"/>
        <color theme="1"/>
        <rFont val="Times New Roman"/>
        <family val="1"/>
      </rPr>
      <t>=Q</t>
    </r>
    <r>
      <rPr>
        <i/>
        <vertAlign val="subscript"/>
        <sz val="11"/>
        <color theme="1"/>
        <rFont val="Times New Roman"/>
        <family val="1"/>
      </rPr>
      <t xml:space="preserve">iV </t>
    </r>
    <r>
      <rPr>
        <i/>
        <sz val="11"/>
        <color theme="1"/>
        <rFont val="Times New Roman"/>
        <family val="1"/>
      </rPr>
      <t>x</t>
    </r>
    <r>
      <rPr>
        <i/>
        <vertAlign val="subscript"/>
        <sz val="11"/>
        <color theme="1"/>
        <rFont val="Times New Roman"/>
        <family val="1"/>
      </rPr>
      <t>zi</t>
    </r>
    <phoneticPr fontId="5"/>
  </si>
  <si>
    <r>
      <t>M</t>
    </r>
    <r>
      <rPr>
        <i/>
        <vertAlign val="subscript"/>
        <sz val="11"/>
        <color theme="1"/>
        <rFont val="Times New Roman"/>
        <family val="1"/>
      </rPr>
      <t>y</t>
    </r>
    <r>
      <rPr>
        <i/>
        <sz val="11"/>
        <color theme="1"/>
        <rFont val="Times New Roman"/>
        <family val="1"/>
      </rPr>
      <t>=Q</t>
    </r>
    <r>
      <rPr>
        <i/>
        <vertAlign val="subscript"/>
        <sz val="11"/>
        <color theme="1"/>
        <rFont val="Times New Roman"/>
        <family val="1"/>
      </rPr>
      <t xml:space="preserve">iH </t>
    </r>
    <r>
      <rPr>
        <i/>
        <sz val="11"/>
        <color theme="1"/>
        <rFont val="Times New Roman"/>
        <family val="1"/>
      </rPr>
      <t>y</t>
    </r>
    <r>
      <rPr>
        <i/>
        <vertAlign val="subscript"/>
        <sz val="11"/>
        <color theme="1"/>
        <rFont val="Times New Roman"/>
        <family val="1"/>
      </rPr>
      <t>zi</t>
    </r>
    <phoneticPr fontId="5"/>
  </si>
  <si>
    <r>
      <t>単位幅当たりの衝突荷重</t>
    </r>
    <r>
      <rPr>
        <sz val="11"/>
        <color theme="1"/>
        <rFont val="Times New Roman"/>
        <family val="1"/>
      </rPr>
      <t>(kN/m)</t>
    </r>
    <rPh sb="0" eb="2">
      <t>タンイ</t>
    </rPh>
    <rPh sb="2" eb="3">
      <t>ハバ</t>
    </rPh>
    <rPh sb="3" eb="4">
      <t>ア</t>
    </rPh>
    <rPh sb="7" eb="9">
      <t>ショウトツ</t>
    </rPh>
    <rPh sb="9" eb="11">
      <t>カジュウ</t>
    </rPh>
    <phoneticPr fontId="5"/>
  </si>
  <si>
    <r>
      <t>1ブロック当たりの衝突荷重</t>
    </r>
    <r>
      <rPr>
        <sz val="11"/>
        <color theme="1"/>
        <rFont val="Times New Roman"/>
        <family val="1"/>
      </rPr>
      <t>(kN)</t>
    </r>
    <rPh sb="5" eb="6">
      <t>ア</t>
    </rPh>
    <rPh sb="9" eb="11">
      <t>ショウトツ</t>
    </rPh>
    <rPh sb="11" eb="13">
      <t>カジュウ</t>
    </rPh>
    <phoneticPr fontId="5"/>
  </si>
  <si>
    <r>
      <t>1ブロックの延長</t>
    </r>
    <r>
      <rPr>
        <sz val="11"/>
        <color theme="1"/>
        <rFont val="Times New Roman"/>
        <family val="1"/>
      </rPr>
      <t>(m)</t>
    </r>
    <rPh sb="6" eb="8">
      <t>エンチョウ</t>
    </rPh>
    <rPh sb="7" eb="8">
      <t>ナガ</t>
    </rPh>
    <phoneticPr fontId="5"/>
  </si>
  <si>
    <r>
      <t>単位幅当たりの衝突車両の前輪荷重</t>
    </r>
    <r>
      <rPr>
        <sz val="11"/>
        <color theme="1"/>
        <rFont val="Times New Roman"/>
        <family val="1"/>
      </rPr>
      <t>(kN/m)</t>
    </r>
    <rPh sb="0" eb="2">
      <t>タンイ</t>
    </rPh>
    <rPh sb="2" eb="3">
      <t>ハバ</t>
    </rPh>
    <rPh sb="3" eb="4">
      <t>ア</t>
    </rPh>
    <rPh sb="7" eb="11">
      <t>ショウトツシャリョウ</t>
    </rPh>
    <rPh sb="12" eb="14">
      <t>ゼンリン</t>
    </rPh>
    <rPh sb="14" eb="16">
      <t>カジュウ</t>
    </rPh>
    <phoneticPr fontId="5"/>
  </si>
  <si>
    <r>
      <t>1ブロック当たりの衝突車両の前輪荷重</t>
    </r>
    <r>
      <rPr>
        <sz val="11"/>
        <color theme="1"/>
        <rFont val="Times New Roman"/>
        <family val="1"/>
      </rPr>
      <t>(kN)</t>
    </r>
    <rPh sb="5" eb="6">
      <t>ア</t>
    </rPh>
    <rPh sb="9" eb="11">
      <t>ショウトツ</t>
    </rPh>
    <rPh sb="11" eb="13">
      <t>シャリョウ</t>
    </rPh>
    <rPh sb="14" eb="16">
      <t>ゼンリン</t>
    </rPh>
    <rPh sb="16" eb="18">
      <t>カジュウ</t>
    </rPh>
    <phoneticPr fontId="5"/>
  </si>
  <si>
    <r>
      <t>主働土圧合力</t>
    </r>
    <r>
      <rPr>
        <sz val="11"/>
        <color theme="1"/>
        <rFont val="Times New Roman"/>
        <family val="1"/>
      </rPr>
      <t>(kN/m)</t>
    </r>
    <rPh sb="0" eb="2">
      <t>シュドウ</t>
    </rPh>
    <rPh sb="2" eb="4">
      <t>ドアツ</t>
    </rPh>
    <rPh sb="4" eb="6">
      <t>ゴウリョク</t>
    </rPh>
    <phoneticPr fontId="1"/>
  </si>
  <si>
    <r>
      <t>土くさび重量（載荷重を含む）</t>
    </r>
    <r>
      <rPr>
        <sz val="11"/>
        <color theme="1"/>
        <rFont val="Times New Roman"/>
        <family val="1"/>
      </rPr>
      <t>(kN/m)</t>
    </r>
    <rPh sb="0" eb="1">
      <t>ツチ</t>
    </rPh>
    <rPh sb="4" eb="6">
      <t>ジュウリョウ</t>
    </rPh>
    <rPh sb="7" eb="8">
      <t>ノ</t>
    </rPh>
    <rPh sb="8" eb="10">
      <t>カジュウ</t>
    </rPh>
    <rPh sb="11" eb="12">
      <t>フク</t>
    </rPh>
    <phoneticPr fontId="1"/>
  </si>
  <si>
    <r>
      <t>土塊上の上載荷重の作用幅</t>
    </r>
    <r>
      <rPr>
        <sz val="11"/>
        <color theme="1"/>
        <rFont val="Times New Roman"/>
        <family val="1"/>
      </rPr>
      <t>(m)</t>
    </r>
    <rPh sb="0" eb="1">
      <t>ツチ</t>
    </rPh>
    <rPh sb="1" eb="2">
      <t>カタマリ</t>
    </rPh>
    <rPh sb="2" eb="3">
      <t>ウエ</t>
    </rPh>
    <rPh sb="4" eb="5">
      <t>ウエ</t>
    </rPh>
    <rPh sb="5" eb="6">
      <t>ノ</t>
    </rPh>
    <rPh sb="6" eb="8">
      <t>カジュウ</t>
    </rPh>
    <rPh sb="9" eb="11">
      <t>サヨウ</t>
    </rPh>
    <rPh sb="11" eb="12">
      <t>ハバ</t>
    </rPh>
    <phoneticPr fontId="5"/>
  </si>
  <si>
    <t>下式のとおり、滑動に対する抵抗力を滑動力で除して、安全率を算出する。（H24道擁p113）</t>
    <rPh sb="0" eb="1">
      <t>シタ</t>
    </rPh>
    <rPh sb="1" eb="2">
      <t>シキ</t>
    </rPh>
    <rPh sb="7" eb="9">
      <t>カツドウ</t>
    </rPh>
    <rPh sb="10" eb="11">
      <t>タイ</t>
    </rPh>
    <rPh sb="13" eb="16">
      <t>テイコウリョク</t>
    </rPh>
    <rPh sb="17" eb="19">
      <t>カツドウ</t>
    </rPh>
    <rPh sb="19" eb="20">
      <t>リョク</t>
    </rPh>
    <rPh sb="21" eb="22">
      <t>ジョ</t>
    </rPh>
    <rPh sb="25" eb="27">
      <t>アンゼン</t>
    </rPh>
    <phoneticPr fontId="5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</si>
  <si>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V</t>
    </r>
    <r>
      <rPr>
        <i/>
        <sz val="11"/>
        <color theme="1"/>
        <rFont val="游ゴシック"/>
        <family val="1"/>
        <charset val="128"/>
      </rPr>
      <t>・</t>
    </r>
    <phoneticPr fontId="5"/>
  </si>
  <si>
    <r>
      <rPr>
        <i/>
        <sz val="11"/>
        <color theme="1"/>
        <rFont val="Times New Roman"/>
        <family val="1"/>
      </rPr>
      <t>c</t>
    </r>
    <r>
      <rPr>
        <i/>
        <vertAlign val="subscript"/>
        <sz val="11"/>
        <color theme="1"/>
        <rFont val="Times New Roman"/>
        <family val="1"/>
      </rPr>
      <t>B</t>
    </r>
    <r>
      <rPr>
        <sz val="11"/>
        <color theme="1"/>
        <rFont val="游ゴシック"/>
        <family val="2"/>
      </rPr>
      <t>・</t>
    </r>
    <phoneticPr fontId="5"/>
  </si>
  <si>
    <t>B'</t>
    <phoneticPr fontId="5"/>
  </si>
  <si>
    <r>
      <t>このうち、付着力</t>
    </r>
    <r>
      <rPr>
        <i/>
        <sz val="11"/>
        <color theme="1"/>
        <rFont val="Times New Roman"/>
        <family val="1"/>
      </rPr>
      <t>c</t>
    </r>
    <r>
      <rPr>
        <i/>
        <vertAlign val="subscript"/>
        <sz val="11"/>
        <color theme="1"/>
        <rFont val="Times New Roman"/>
        <family val="1"/>
      </rPr>
      <t>B</t>
    </r>
    <r>
      <rPr>
        <sz val="11"/>
        <color theme="1"/>
        <rFont val="Times New Roman"/>
        <family val="1"/>
      </rPr>
      <t>=0</t>
    </r>
    <r>
      <rPr>
        <sz val="11"/>
        <color theme="1"/>
        <rFont val="游ゴシック"/>
        <family val="2"/>
        <charset val="128"/>
        <scheme val="minor"/>
      </rPr>
      <t>であるため、下式のとおり、安全率を算出する。</t>
    </r>
    <rPh sb="5" eb="8">
      <t>フチャクリョク</t>
    </rPh>
    <rPh sb="18" eb="19">
      <t>シタ</t>
    </rPh>
    <rPh sb="19" eb="20">
      <t>シキ</t>
    </rPh>
    <rPh sb="25" eb="27">
      <t>アンゼン</t>
    </rPh>
    <rPh sb="27" eb="28">
      <t>リツ</t>
    </rPh>
    <rPh sb="29" eb="31">
      <t>サンシュツ</t>
    </rPh>
    <phoneticPr fontId="5"/>
  </si>
  <si>
    <r>
      <t>擁壁底面のつま先回りの作用モーメント</t>
    </r>
    <r>
      <rPr>
        <sz val="11"/>
        <color theme="1"/>
        <rFont val="Times New Roman"/>
        <family val="1"/>
      </rPr>
      <t>(kN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Times New Roman"/>
        <family val="1"/>
      </rPr>
      <t>m/m)</t>
    </r>
    <rPh sb="0" eb="2">
      <t>ヨウヘキ</t>
    </rPh>
    <rPh sb="2" eb="4">
      <t>テイメン</t>
    </rPh>
    <rPh sb="7" eb="8">
      <t>サキ</t>
    </rPh>
    <rPh sb="8" eb="9">
      <t>マワ</t>
    </rPh>
    <rPh sb="11" eb="13">
      <t>サヨウ</t>
    </rPh>
    <phoneticPr fontId="1"/>
  </si>
  <si>
    <r>
      <t>擁壁底面に発生する鉛直地盤反力</t>
    </r>
    <r>
      <rPr>
        <sz val="11"/>
        <color theme="1"/>
        <rFont val="Times New Roman"/>
        <family val="1"/>
      </rPr>
      <t>(kN/m)</t>
    </r>
    <rPh sb="0" eb="2">
      <t>ヨウヘキ</t>
    </rPh>
    <rPh sb="2" eb="4">
      <t>テイメン</t>
    </rPh>
    <rPh sb="5" eb="7">
      <t>ハッセイ</t>
    </rPh>
    <rPh sb="9" eb="11">
      <t>エンチョク</t>
    </rPh>
    <rPh sb="11" eb="13">
      <t>ジバン</t>
    </rPh>
    <rPh sb="13" eb="15">
      <t>ハンリョク</t>
    </rPh>
    <phoneticPr fontId="1"/>
  </si>
  <si>
    <r>
      <t>擁壁底面に発生する水平地盤反力</t>
    </r>
    <r>
      <rPr>
        <sz val="11"/>
        <color theme="1"/>
        <rFont val="Times New Roman"/>
        <family val="1"/>
      </rPr>
      <t>(kN/m)</t>
    </r>
    <rPh sb="0" eb="2">
      <t>ヨウヘキ</t>
    </rPh>
    <rPh sb="2" eb="4">
      <t>テイメン</t>
    </rPh>
    <rPh sb="5" eb="7">
      <t>ハッセイ</t>
    </rPh>
    <rPh sb="9" eb="11">
      <t>スイヘイ</t>
    </rPh>
    <rPh sb="11" eb="13">
      <t>ジバン</t>
    </rPh>
    <rPh sb="13" eb="15">
      <t>ハンリョク</t>
    </rPh>
    <phoneticPr fontId="1"/>
  </si>
  <si>
    <r>
      <t>擁壁背面に発生する壁面地盤反力</t>
    </r>
    <r>
      <rPr>
        <sz val="11"/>
        <color theme="1"/>
        <rFont val="Times New Roman"/>
        <family val="1"/>
      </rPr>
      <t>(kN/m)</t>
    </r>
    <r>
      <rPr>
        <sz val="11"/>
        <color theme="1"/>
        <rFont val="游ゴシック"/>
        <family val="2"/>
        <charset val="128"/>
      </rPr>
      <t>　</t>
    </r>
    <rPh sb="0" eb="2">
      <t>ヨウヘキ</t>
    </rPh>
    <rPh sb="2" eb="4">
      <t>ハイメン</t>
    </rPh>
    <rPh sb="5" eb="7">
      <t>ハッセイ</t>
    </rPh>
    <rPh sb="9" eb="11">
      <t>ヘキメン</t>
    </rPh>
    <rPh sb="11" eb="13">
      <t>ジバン</t>
    </rPh>
    <rPh sb="13" eb="15">
      <t>ハンリョク</t>
    </rPh>
    <phoneticPr fontId="1"/>
  </si>
  <si>
    <r>
      <t>擁壁底面の前方に発生する鉛直地盤反力度</t>
    </r>
    <r>
      <rPr>
        <sz val="11"/>
        <color theme="1"/>
        <rFont val="Times New Roman"/>
        <family val="1"/>
      </rPr>
      <t>(kN/m</t>
    </r>
    <r>
      <rPr>
        <sz val="11"/>
        <color theme="1"/>
        <rFont val="游ゴシック"/>
        <family val="1"/>
        <charset val="128"/>
      </rPr>
      <t>²</t>
    </r>
    <r>
      <rPr>
        <sz val="11"/>
        <color theme="1"/>
        <rFont val="Times New Roman"/>
        <family val="1"/>
      </rPr>
      <t>)</t>
    </r>
    <rPh sb="0" eb="2">
      <t>ヨウヘキ</t>
    </rPh>
    <rPh sb="2" eb="4">
      <t>テイメン</t>
    </rPh>
    <rPh sb="5" eb="7">
      <t>ゼンポウ</t>
    </rPh>
    <rPh sb="8" eb="10">
      <t>ハッセイ</t>
    </rPh>
    <rPh sb="12" eb="14">
      <t>エンチョク</t>
    </rPh>
    <rPh sb="14" eb="16">
      <t>ジバン</t>
    </rPh>
    <rPh sb="16" eb="19">
      <t>ハンリョクド</t>
    </rPh>
    <phoneticPr fontId="1"/>
  </si>
  <si>
    <r>
      <t>擁壁底面の後方に発生する鉛直地盤反力度</t>
    </r>
    <r>
      <rPr>
        <sz val="11"/>
        <color theme="1"/>
        <rFont val="Times New Roman"/>
        <family val="1"/>
      </rPr>
      <t>(kN/m</t>
    </r>
    <r>
      <rPr>
        <sz val="11"/>
        <color theme="1"/>
        <rFont val="游ゴシック"/>
        <family val="1"/>
        <charset val="128"/>
      </rPr>
      <t>²</t>
    </r>
    <r>
      <rPr>
        <sz val="11"/>
        <color theme="1"/>
        <rFont val="Times New Roman"/>
        <family val="1"/>
      </rPr>
      <t>)</t>
    </r>
    <rPh sb="0" eb="2">
      <t>ヨウヘキ</t>
    </rPh>
    <rPh sb="2" eb="4">
      <t>テイメン</t>
    </rPh>
    <rPh sb="5" eb="7">
      <t>コウホウ</t>
    </rPh>
    <rPh sb="8" eb="10">
      <t>ハッセイ</t>
    </rPh>
    <rPh sb="12" eb="14">
      <t>エンチョク</t>
    </rPh>
    <rPh sb="14" eb="16">
      <t>ジバン</t>
    </rPh>
    <rPh sb="16" eb="19">
      <t>ハンリョクド</t>
    </rPh>
    <phoneticPr fontId="1"/>
  </si>
  <si>
    <r>
      <t>擁壁背面に発生する最大壁面地盤反力度</t>
    </r>
    <r>
      <rPr>
        <sz val="11"/>
        <color theme="1"/>
        <rFont val="Times New Roman"/>
        <family val="1"/>
      </rPr>
      <t>(kN/m</t>
    </r>
    <r>
      <rPr>
        <sz val="11"/>
        <color theme="1"/>
        <rFont val="游ゴシック"/>
        <family val="1"/>
        <charset val="128"/>
      </rPr>
      <t>²</t>
    </r>
    <r>
      <rPr>
        <sz val="11"/>
        <color theme="1"/>
        <rFont val="Times New Roman"/>
        <family val="1"/>
      </rPr>
      <t>)</t>
    </r>
    <rPh sb="0" eb="2">
      <t>ヨウヘキ</t>
    </rPh>
    <rPh sb="2" eb="4">
      <t>ハイメン</t>
    </rPh>
    <rPh sb="5" eb="7">
      <t>ハッセイ</t>
    </rPh>
    <rPh sb="9" eb="11">
      <t>サイダイ</t>
    </rPh>
    <rPh sb="11" eb="13">
      <t>ヘキメン</t>
    </rPh>
    <rPh sb="13" eb="15">
      <t>ジバン</t>
    </rPh>
    <rPh sb="15" eb="18">
      <t>ハンリョクド</t>
    </rPh>
    <phoneticPr fontId="1"/>
  </si>
  <si>
    <r>
      <t>擁壁底面のつま先からの鉛直地盤反力の作用位置</t>
    </r>
    <r>
      <rPr>
        <sz val="11"/>
        <color theme="1"/>
        <rFont val="Times New Roman"/>
        <family val="1"/>
      </rPr>
      <t>(m)</t>
    </r>
    <rPh sb="0" eb="2">
      <t>ヨウヘキ</t>
    </rPh>
    <rPh sb="2" eb="4">
      <t>テイメン</t>
    </rPh>
    <rPh sb="7" eb="8">
      <t>サキ</t>
    </rPh>
    <rPh sb="11" eb="13">
      <t>エンチョク</t>
    </rPh>
    <rPh sb="13" eb="15">
      <t>ジバン</t>
    </rPh>
    <rPh sb="15" eb="17">
      <t>ハンリョク</t>
    </rPh>
    <rPh sb="18" eb="20">
      <t>サヨウ</t>
    </rPh>
    <rPh sb="20" eb="22">
      <t>イチ</t>
    </rPh>
    <phoneticPr fontId="1"/>
  </si>
  <si>
    <r>
      <t>擁壁底面から壁面地盤反力度が発生する位置までの区間長</t>
    </r>
    <r>
      <rPr>
        <sz val="11"/>
        <color theme="1"/>
        <rFont val="Times New Roman"/>
        <family val="1"/>
      </rPr>
      <t>(m)</t>
    </r>
    <rPh sb="0" eb="2">
      <t>ヨウヘキ</t>
    </rPh>
    <rPh sb="2" eb="4">
      <t>テイメン</t>
    </rPh>
    <rPh sb="6" eb="8">
      <t>ヘキメン</t>
    </rPh>
    <rPh sb="8" eb="10">
      <t>ジバン</t>
    </rPh>
    <rPh sb="10" eb="13">
      <t>ハンリョクド</t>
    </rPh>
    <rPh sb="14" eb="16">
      <t>ハッセイ</t>
    </rPh>
    <rPh sb="18" eb="20">
      <t>イチ</t>
    </rPh>
    <rPh sb="23" eb="25">
      <t>クカン</t>
    </rPh>
    <rPh sb="25" eb="26">
      <t>チョウ</t>
    </rPh>
    <phoneticPr fontId="1"/>
  </si>
  <si>
    <r>
      <t>壁面地盤反力度が発生する区間長</t>
    </r>
    <r>
      <rPr>
        <sz val="11"/>
        <color theme="1"/>
        <rFont val="Times New Roman"/>
        <family val="1"/>
      </rPr>
      <t>(m)</t>
    </r>
    <rPh sb="0" eb="2">
      <t>ヘキメン</t>
    </rPh>
    <rPh sb="2" eb="4">
      <t>ジバン</t>
    </rPh>
    <rPh sb="4" eb="6">
      <t>ハンリョク</t>
    </rPh>
    <rPh sb="6" eb="7">
      <t>ド</t>
    </rPh>
    <rPh sb="8" eb="10">
      <t>ハッセイ</t>
    </rPh>
    <rPh sb="12" eb="15">
      <t>クカンチョウ</t>
    </rPh>
    <phoneticPr fontId="1"/>
  </si>
  <si>
    <t>(kN/m³)</t>
    <phoneticPr fontId="1"/>
  </si>
  <si>
    <r>
      <t>擁壁の面積</t>
    </r>
    <r>
      <rPr>
        <i/>
        <sz val="11"/>
        <color theme="1"/>
        <rFont val="Times New Roman"/>
        <family val="1"/>
      </rPr>
      <t>A</t>
    </r>
    <r>
      <rPr>
        <sz val="11"/>
        <color theme="1"/>
        <rFont val="游ゴシック"/>
        <family val="2"/>
        <charset val="128"/>
        <scheme val="minor"/>
      </rPr>
      <t>に、コンクリートの単位体積重量</t>
    </r>
    <r>
      <rPr>
        <sz val="11"/>
        <color theme="1"/>
        <rFont val="游ゴシック"/>
        <family val="1"/>
        <charset val="128"/>
      </rPr>
      <t>γ</t>
    </r>
    <r>
      <rPr>
        <i/>
        <vertAlign val="subscript"/>
        <sz val="11"/>
        <color theme="1"/>
        <rFont val="游ゴシック"/>
        <family val="1"/>
        <charset val="128"/>
      </rPr>
      <t>c</t>
    </r>
    <r>
      <rPr>
        <sz val="11"/>
        <color theme="1"/>
        <rFont val="游ゴシック"/>
        <family val="2"/>
        <charset val="128"/>
        <scheme val="minor"/>
      </rPr>
      <t>を乗じて、自重</t>
    </r>
    <r>
      <rPr>
        <i/>
        <sz val="11"/>
        <color theme="1"/>
        <rFont val="Times New Roman"/>
        <family val="1"/>
      </rPr>
      <t>W</t>
    </r>
    <r>
      <rPr>
        <i/>
        <vertAlign val="subscript"/>
        <sz val="11"/>
        <color theme="1"/>
        <rFont val="Times New Roman"/>
        <family val="1"/>
      </rPr>
      <t>c</t>
    </r>
    <r>
      <rPr>
        <sz val="11"/>
        <color theme="1"/>
        <rFont val="游ゴシック"/>
        <family val="2"/>
        <charset val="128"/>
        <scheme val="minor"/>
      </rPr>
      <t>を算出する。</t>
    </r>
    <rPh sb="15" eb="17">
      <t>タンイ</t>
    </rPh>
    <rPh sb="17" eb="19">
      <t>タイセキ</t>
    </rPh>
    <rPh sb="19" eb="21">
      <t>ジュウリョウ</t>
    </rPh>
    <rPh sb="24" eb="25">
      <t>ジョウ</t>
    </rPh>
    <rPh sb="33" eb="35">
      <t>サンシュツ</t>
    </rPh>
    <phoneticPr fontId="1"/>
  </si>
  <si>
    <r>
      <t>全体①から三角形②③を引いて、面積</t>
    </r>
    <r>
      <rPr>
        <i/>
        <sz val="11"/>
        <color theme="1"/>
        <rFont val="Times New Roman"/>
        <family val="1"/>
      </rPr>
      <t>A</t>
    </r>
    <r>
      <rPr>
        <sz val="11"/>
        <color theme="1"/>
        <rFont val="游ゴシック"/>
        <family val="2"/>
        <charset val="128"/>
        <scheme val="minor"/>
      </rPr>
      <t>と断面一次モーメント</t>
    </r>
    <r>
      <rPr>
        <i/>
        <sz val="11"/>
        <color theme="1"/>
        <rFont val="Times New Roman"/>
        <family val="1"/>
      </rPr>
      <t>Ax</t>
    </r>
    <r>
      <rPr>
        <sz val="11"/>
        <color theme="1"/>
        <rFont val="游ゴシック"/>
        <family val="2"/>
        <charset val="128"/>
        <scheme val="minor"/>
      </rPr>
      <t>を算出する。</t>
    </r>
    <rPh sb="0" eb="2">
      <t>ゼンタイ</t>
    </rPh>
    <rPh sb="5" eb="8">
      <t>サンカクケイ</t>
    </rPh>
    <rPh sb="11" eb="12">
      <t>ヒ</t>
    </rPh>
    <rPh sb="15" eb="17">
      <t>メンセキ</t>
    </rPh>
    <rPh sb="19" eb="21">
      <t>ダンメン</t>
    </rPh>
    <rPh sb="21" eb="23">
      <t>イチジ</t>
    </rPh>
    <rPh sb="31" eb="33">
      <t>サンシュツ</t>
    </rPh>
    <phoneticPr fontId="1"/>
  </si>
  <si>
    <t>高さを変化させて、それぞれの作用位置とモーメントを表計算で求める。</t>
    <rPh sb="0" eb="1">
      <t>タカ</t>
    </rPh>
    <rPh sb="3" eb="5">
      <t>ヘンカ</t>
    </rPh>
    <rPh sb="14" eb="16">
      <t>サヨウ</t>
    </rPh>
    <rPh sb="16" eb="18">
      <t>イチ</t>
    </rPh>
    <rPh sb="25" eb="28">
      <t>ヒョウケイサン</t>
    </rPh>
    <rPh sb="29" eb="30">
      <t>モト</t>
    </rPh>
    <phoneticPr fontId="1"/>
  </si>
  <si>
    <r>
      <t xml:space="preserve">壁面地盤反力度が作用する背面の延長 </t>
    </r>
    <r>
      <rPr>
        <i/>
        <sz val="11"/>
        <color theme="1"/>
        <rFont val="Times New Roman"/>
        <family val="1"/>
      </rPr>
      <t>z</t>
    </r>
    <r>
      <rPr>
        <i/>
        <vertAlign val="subscript"/>
        <sz val="11"/>
        <color theme="1"/>
        <rFont val="Times New Roman"/>
        <family val="1"/>
      </rPr>
      <t>i</t>
    </r>
    <r>
      <rPr>
        <i/>
        <sz val="11"/>
        <color theme="1"/>
        <rFont val="Times New Roman"/>
        <family val="1"/>
      </rPr>
      <t xml:space="preserve">' </t>
    </r>
    <r>
      <rPr>
        <sz val="11"/>
        <color theme="1"/>
        <rFont val="游ゴシック"/>
        <family val="2"/>
        <charset val="128"/>
        <scheme val="minor"/>
      </rPr>
      <t>は下式で算出できる。</t>
    </r>
    <rPh sb="0" eb="6">
      <t>ヘキメンジバンハンリョク</t>
    </rPh>
    <rPh sb="6" eb="7">
      <t>ド</t>
    </rPh>
    <rPh sb="8" eb="10">
      <t>サヨウ</t>
    </rPh>
    <rPh sb="12" eb="14">
      <t>ハイメン</t>
    </rPh>
    <rPh sb="15" eb="17">
      <t>エンチョウ</t>
    </rPh>
    <rPh sb="23" eb="24">
      <t>シタ</t>
    </rPh>
    <rPh sb="24" eb="25">
      <t>シキ</t>
    </rPh>
    <rPh sb="26" eb="28">
      <t>サンシュツ</t>
    </rPh>
    <phoneticPr fontId="1"/>
  </si>
  <si>
    <r>
      <t xml:space="preserve">壁面地盤反力の合力 </t>
    </r>
    <r>
      <rPr>
        <i/>
        <sz val="11"/>
        <color theme="1"/>
        <rFont val="Times New Roman"/>
        <family val="1"/>
      </rPr>
      <t>Q</t>
    </r>
    <r>
      <rPr>
        <i/>
        <vertAlign val="subscript"/>
        <sz val="11"/>
        <color theme="1"/>
        <rFont val="Times New Roman"/>
        <family val="1"/>
      </rPr>
      <t>tzi</t>
    </r>
    <r>
      <rPr>
        <sz val="11"/>
        <color theme="1"/>
        <rFont val="游ゴシック"/>
        <family val="2"/>
        <charset val="128"/>
        <scheme val="minor"/>
      </rPr>
      <t xml:space="preserve"> は台形の面積なので、下式で算出できる。</t>
    </r>
    <rPh sb="0" eb="6">
      <t>ヘキメンジバンハンリョク</t>
    </rPh>
    <rPh sb="7" eb="9">
      <t>ゴウリョク</t>
    </rPh>
    <rPh sb="16" eb="18">
      <t>ダイケイ</t>
    </rPh>
    <rPh sb="19" eb="21">
      <t>メンセキ</t>
    </rPh>
    <rPh sb="25" eb="27">
      <t>シタシキ</t>
    </rPh>
    <rPh sb="28" eb="30">
      <t>サンシュツ</t>
    </rPh>
    <phoneticPr fontId="1"/>
  </si>
  <si>
    <t>下式で算出できる。</t>
    <phoneticPr fontId="1"/>
  </si>
  <si>
    <r>
      <t xml:space="preserve">照査断面位置の壁面地盤反力度 </t>
    </r>
    <r>
      <rPr>
        <i/>
        <sz val="11"/>
        <color theme="1"/>
        <rFont val="Times New Roman"/>
        <family val="1"/>
      </rPr>
      <t>q</t>
    </r>
    <r>
      <rPr>
        <i/>
        <vertAlign val="subscript"/>
        <sz val="11"/>
        <color theme="1"/>
        <rFont val="Times New Roman"/>
        <family val="1"/>
      </rPr>
      <t>t</t>
    </r>
    <r>
      <rPr>
        <sz val="11"/>
        <color theme="1"/>
        <rFont val="游ゴシック"/>
        <family val="2"/>
        <charset val="128"/>
        <scheme val="minor"/>
      </rPr>
      <t>' は、三角形の相似より</t>
    </r>
    <rPh sb="0" eb="2">
      <t>ショウサ</t>
    </rPh>
    <rPh sb="2" eb="4">
      <t>ダンメン</t>
    </rPh>
    <rPh sb="4" eb="6">
      <t>イチ</t>
    </rPh>
    <rPh sb="7" eb="13">
      <t>ヘキメンジバンハンリョク</t>
    </rPh>
    <rPh sb="13" eb="14">
      <t>ド</t>
    </rPh>
    <rPh sb="21" eb="24">
      <t>サンカクケイ</t>
    </rPh>
    <rPh sb="25" eb="27">
      <t>ソウジ</t>
    </rPh>
    <phoneticPr fontId="1"/>
  </si>
  <si>
    <t>自重、土圧、壁面地盤反力を３区分（鉛直力、水平力、モーメント）で集計する。</t>
    <phoneticPr fontId="1"/>
  </si>
  <si>
    <r>
      <t>x</t>
    </r>
    <r>
      <rPr>
        <vertAlign val="subscript"/>
        <sz val="11"/>
        <color theme="1"/>
        <rFont val="Times New Roman"/>
        <family val="1"/>
      </rPr>
      <t>G</t>
    </r>
    <r>
      <rPr>
        <i/>
        <sz val="11"/>
        <color theme="1"/>
        <rFont val="Times New Roman"/>
        <family val="1"/>
      </rPr>
      <t>'</t>
    </r>
    <phoneticPr fontId="1"/>
  </si>
  <si>
    <r>
      <t xml:space="preserve">照査断面における躯体中心から重心位置までの距離 </t>
    </r>
    <r>
      <rPr>
        <i/>
        <sz val="11"/>
        <color theme="1"/>
        <rFont val="Times New Roman"/>
        <family val="1"/>
      </rPr>
      <t>x</t>
    </r>
    <r>
      <rPr>
        <i/>
        <vertAlign val="subscript"/>
        <sz val="11"/>
        <color theme="1"/>
        <rFont val="Times New Roman"/>
        <family val="1"/>
      </rPr>
      <t>G</t>
    </r>
    <r>
      <rPr>
        <i/>
        <sz val="11"/>
        <color theme="1"/>
        <rFont val="Times New Roman"/>
        <family val="1"/>
      </rPr>
      <t>'</t>
    </r>
    <r>
      <rPr>
        <sz val="11"/>
        <color theme="1"/>
        <rFont val="游ゴシック"/>
        <family val="2"/>
        <charset val="128"/>
        <scheme val="minor"/>
      </rPr>
      <t xml:space="preserve"> は、下式で算出できる。</t>
    </r>
    <rPh sb="0" eb="2">
      <t>ショウサ</t>
    </rPh>
    <rPh sb="2" eb="4">
      <t>ダンメン</t>
    </rPh>
    <rPh sb="8" eb="10">
      <t>クタイ</t>
    </rPh>
    <rPh sb="10" eb="12">
      <t>チュウシン</t>
    </rPh>
    <rPh sb="14" eb="16">
      <t>ジュウシン</t>
    </rPh>
    <rPh sb="16" eb="18">
      <t>イチ</t>
    </rPh>
    <rPh sb="21" eb="23">
      <t>キョリ</t>
    </rPh>
    <rPh sb="30" eb="32">
      <t>シタシキ</t>
    </rPh>
    <rPh sb="33" eb="35">
      <t>サンシュツ</t>
    </rPh>
    <phoneticPr fontId="1"/>
  </si>
  <si>
    <t>高さを変化させて、各々の自重、重心、およびモーメントを表計算で求める。</t>
    <rPh sb="9" eb="11">
      <t>オノオノ</t>
    </rPh>
    <phoneticPr fontId="1"/>
  </si>
  <si>
    <r>
      <t>M</t>
    </r>
    <r>
      <rPr>
        <i/>
        <vertAlign val="subscript"/>
        <sz val="11"/>
        <color theme="1"/>
        <rFont val="Times New Roman"/>
        <family val="1"/>
      </rPr>
      <t>x</t>
    </r>
    <r>
      <rPr>
        <i/>
        <sz val="11"/>
        <color theme="1"/>
        <rFont val="Times New Roman"/>
        <family val="1"/>
      </rPr>
      <t>=W</t>
    </r>
    <r>
      <rPr>
        <i/>
        <vertAlign val="subscript"/>
        <sz val="11"/>
        <color theme="1"/>
        <rFont val="Times New Roman"/>
        <family val="1"/>
      </rPr>
      <t>c</t>
    </r>
    <r>
      <rPr>
        <i/>
        <sz val="11"/>
        <color theme="1"/>
        <rFont val="Times New Roman"/>
        <family val="1"/>
      </rPr>
      <t>x</t>
    </r>
    <r>
      <rPr>
        <i/>
        <vertAlign val="subscript"/>
        <sz val="11"/>
        <color theme="1"/>
        <rFont val="Times New Roman"/>
        <family val="1"/>
      </rPr>
      <t>G</t>
    </r>
    <r>
      <rPr>
        <i/>
        <sz val="11"/>
        <color theme="1"/>
        <rFont val="Times New Roman"/>
        <family val="1"/>
      </rPr>
      <t>'</t>
    </r>
    <phoneticPr fontId="5"/>
  </si>
  <si>
    <r>
      <t>M</t>
    </r>
    <r>
      <rPr>
        <i/>
        <vertAlign val="subscript"/>
        <sz val="11"/>
        <color theme="1"/>
        <rFont val="Times New Roman"/>
        <family val="1"/>
      </rPr>
      <t>a</t>
    </r>
    <r>
      <rPr>
        <i/>
        <sz val="11"/>
        <color theme="1"/>
        <rFont val="Times New Roman"/>
        <family val="1"/>
      </rPr>
      <t>=</t>
    </r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y</t>
    </r>
    <r>
      <rPr>
        <i/>
        <sz val="11"/>
        <color theme="1"/>
        <rFont val="Times New Roman"/>
        <family val="1"/>
      </rPr>
      <t>-</t>
    </r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x</t>
    </r>
    <phoneticPr fontId="5"/>
  </si>
  <si>
    <r>
      <t>断面の幅</t>
    </r>
    <r>
      <rPr>
        <i/>
        <sz val="11"/>
        <color theme="1"/>
        <rFont val="Times New Roman"/>
        <family val="1"/>
      </rPr>
      <t>B</t>
    </r>
    <r>
      <rPr>
        <i/>
        <vertAlign val="subscript"/>
        <sz val="11"/>
        <color theme="1"/>
        <rFont val="Times New Roman"/>
        <family val="1"/>
      </rPr>
      <t>i</t>
    </r>
    <r>
      <rPr>
        <sz val="11"/>
        <color theme="1"/>
        <rFont val="游ゴシック"/>
        <family val="2"/>
        <charset val="128"/>
        <scheme val="minor"/>
      </rPr>
      <t>は、下式で算出できる。(4-1-1より再掲)</t>
    </r>
    <rPh sb="0" eb="2">
      <t>ダンメン</t>
    </rPh>
    <rPh sb="3" eb="4">
      <t>ハバ</t>
    </rPh>
    <rPh sb="8" eb="9">
      <t>シタ</t>
    </rPh>
    <rPh sb="9" eb="10">
      <t>シキ</t>
    </rPh>
    <rPh sb="11" eb="13">
      <t>サンシュツ</t>
    </rPh>
    <rPh sb="25" eb="27">
      <t>サイケイ</t>
    </rPh>
    <phoneticPr fontId="1"/>
  </si>
  <si>
    <t>無筋コンクリート部材断面に生じる圧縮（曲げ引張）応力度は下式で</t>
    <rPh sb="0" eb="2">
      <t>ムキン</t>
    </rPh>
    <rPh sb="8" eb="10">
      <t>ブザイ</t>
    </rPh>
    <rPh sb="10" eb="12">
      <t>ダンメン</t>
    </rPh>
    <rPh sb="13" eb="14">
      <t>ショウ</t>
    </rPh>
    <rPh sb="16" eb="18">
      <t>アッシュク</t>
    </rPh>
    <rPh sb="19" eb="20">
      <t>マ</t>
    </rPh>
    <rPh sb="21" eb="23">
      <t>ヒッパリ</t>
    </rPh>
    <rPh sb="24" eb="26">
      <t>オウリョク</t>
    </rPh>
    <rPh sb="26" eb="27">
      <t>ド</t>
    </rPh>
    <rPh sb="28" eb="30">
      <t>シタシキ</t>
    </rPh>
    <phoneticPr fontId="1"/>
  </si>
  <si>
    <t>算出できる。（H24道擁143）</t>
    <phoneticPr fontId="1"/>
  </si>
  <si>
    <r>
      <t>n</t>
    </r>
    <r>
      <rPr>
        <i/>
        <vertAlign val="subscript"/>
        <sz val="11"/>
        <color theme="1"/>
        <rFont val="Times New Roman"/>
        <family val="1"/>
      </rPr>
      <t>f</t>
    </r>
    <phoneticPr fontId="1"/>
  </si>
  <si>
    <r>
      <t>照査する断面の幅</t>
    </r>
    <r>
      <rPr>
        <i/>
        <sz val="11"/>
        <color theme="1"/>
        <rFont val="Times New Roman"/>
        <family val="1"/>
      </rPr>
      <t>B</t>
    </r>
    <r>
      <rPr>
        <i/>
        <vertAlign val="subscript"/>
        <sz val="11"/>
        <color theme="1"/>
        <rFont val="Times New Roman"/>
        <family val="1"/>
      </rPr>
      <t>i</t>
    </r>
    <r>
      <rPr>
        <sz val="11"/>
        <color theme="1"/>
        <rFont val="游ゴシック"/>
        <family val="2"/>
        <charset val="128"/>
        <scheme val="minor"/>
      </rPr>
      <t>は、下式で算出できる。</t>
    </r>
    <rPh sb="0" eb="2">
      <t>ショウサ</t>
    </rPh>
    <rPh sb="4" eb="6">
      <t>ダンメン</t>
    </rPh>
    <rPh sb="7" eb="8">
      <t>ハバ</t>
    </rPh>
    <rPh sb="12" eb="13">
      <t>シタ</t>
    </rPh>
    <rPh sb="13" eb="14">
      <t>シキ</t>
    </rPh>
    <rPh sb="15" eb="17">
      <t>サンシュツ</t>
    </rPh>
    <phoneticPr fontId="1"/>
  </si>
  <si>
    <r>
      <t>(kN</t>
    </r>
    <r>
      <rPr>
        <sz val="11"/>
        <color theme="1"/>
        <rFont val="游ゴシック"/>
        <family val="1"/>
        <charset val="128"/>
      </rPr>
      <t>・</t>
    </r>
    <r>
      <rPr>
        <sz val="11"/>
        <color theme="1"/>
        <rFont val="Times New Roman"/>
        <family val="1"/>
      </rPr>
      <t>m/m)</t>
    </r>
    <phoneticPr fontId="5"/>
  </si>
  <si>
    <t>)(</t>
    <phoneticPr fontId="1"/>
  </si>
  <si>
    <t>前述の「3-2-4.支持に対する照査」と同様、簡便法で計算する。（H24道擁p164）</t>
    <rPh sb="0" eb="2">
      <t>ゼンジュツ</t>
    </rPh>
    <rPh sb="10" eb="12">
      <t>シジ</t>
    </rPh>
    <rPh sb="13" eb="14">
      <t>タイ</t>
    </rPh>
    <rPh sb="16" eb="18">
      <t>ショウサ</t>
    </rPh>
    <rPh sb="20" eb="22">
      <t>ドウヨウ</t>
    </rPh>
    <phoneticPr fontId="1"/>
  </si>
  <si>
    <t>「3-2-4.支持に対する照査」より</t>
    <rPh sb="7" eb="9">
      <t>シジ</t>
    </rPh>
    <rPh sb="10" eb="11">
      <t>タイ</t>
    </rPh>
    <rPh sb="13" eb="15">
      <t>ショウサ</t>
    </rPh>
    <phoneticPr fontId="1"/>
  </si>
  <si>
    <t>前述の「3-1-4.支持に対する照査」と同様、簡便法で計算する。（H24道擁p164）</t>
    <rPh sb="0" eb="2">
      <t>ゼンジュツ</t>
    </rPh>
    <rPh sb="10" eb="12">
      <t>シジ</t>
    </rPh>
    <rPh sb="13" eb="14">
      <t>タイ</t>
    </rPh>
    <rPh sb="16" eb="18">
      <t>ショウサ</t>
    </rPh>
    <rPh sb="20" eb="22">
      <t>ドウヨウ</t>
    </rPh>
    <phoneticPr fontId="1"/>
  </si>
  <si>
    <t>「3-1-4.支持に対する照査」より</t>
    <rPh sb="7" eb="9">
      <t>シジ</t>
    </rPh>
    <rPh sb="10" eb="11">
      <t>タイ</t>
    </rPh>
    <rPh sb="13" eb="15">
      <t>ショウサ</t>
    </rPh>
    <phoneticPr fontId="1"/>
  </si>
  <si>
    <t>2) 部材の安全性の照査</t>
    <rPh sb="3" eb="5">
      <t>ブザイ</t>
    </rPh>
    <rPh sb="6" eb="8">
      <t>アンゼン</t>
    </rPh>
    <rPh sb="8" eb="9">
      <t>セイ</t>
    </rPh>
    <rPh sb="10" eb="12">
      <t>ショウサ</t>
    </rPh>
    <phoneticPr fontId="5"/>
  </si>
  <si>
    <t>4. 部材の安全性の照査</t>
    <rPh sb="3" eb="5">
      <t>ブザイ</t>
    </rPh>
    <rPh sb="6" eb="8">
      <t>アンゼン</t>
    </rPh>
    <rPh sb="8" eb="9">
      <t>セイ</t>
    </rPh>
    <rPh sb="10" eb="12">
      <t>ショウサ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</si>
</sst>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"/>
    <numFmt numFmtId="178" formatCode="0.000_ "/>
  </numFmts>
  <fonts count="3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6"/>
      <name val="游ゴシック"/>
      <family val="3"/>
      <charset val="128"/>
      <scheme val="minor"/>
    </font>
    <font>
      <i/>
      <vertAlign val="subscript"/>
      <sz val="11"/>
      <color theme="1"/>
      <name val="Times New Roman"/>
      <family val="1"/>
    </font>
    <font>
      <sz val="11"/>
      <color theme="1"/>
      <name val="游ゴシック"/>
      <family val="2"/>
      <charset val="128"/>
      <scheme val="minor"/>
    </font>
    <font>
      <i/>
      <sz val="11"/>
      <color rgb="FF000000"/>
      <name val="Times New Roman"/>
      <family val="1"/>
    </font>
    <font>
      <i/>
      <vertAlign val="subscript"/>
      <sz val="11"/>
      <color rgb="FF000000"/>
      <name val="Times New Roman"/>
      <family val="1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</font>
    <font>
      <sz val="11"/>
      <color theme="1"/>
      <name val="HGP明朝B"/>
      <family val="1"/>
      <charset val="128"/>
    </font>
    <font>
      <vertAlign val="subscript"/>
      <sz val="11"/>
      <color theme="1"/>
      <name val="HGP明朝B"/>
      <family val="1"/>
      <charset val="128"/>
    </font>
    <font>
      <i/>
      <vertAlign val="subscript"/>
      <sz val="11"/>
      <color theme="1"/>
      <name val="HGP明朝B"/>
      <family val="1"/>
      <charset val="128"/>
    </font>
    <font>
      <vertAlign val="superscript"/>
      <sz val="11"/>
      <color theme="1"/>
      <name val="HGP明朝B"/>
      <family val="1"/>
      <charset val="128"/>
    </font>
    <font>
      <i/>
      <sz val="11"/>
      <color theme="1"/>
      <name val="ＭＳ Ｐ明朝"/>
      <family val="1"/>
      <charset val="128"/>
    </font>
    <font>
      <i/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Times New Roman"/>
      <family val="1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i/>
      <sz val="11"/>
      <color theme="1"/>
      <name val="Times New Roman"/>
      <family val="1"/>
      <charset val="161"/>
    </font>
    <font>
      <vertAlign val="subscript"/>
      <sz val="11"/>
      <color theme="1"/>
      <name val="游ゴシック"/>
      <family val="3"/>
      <charset val="128"/>
      <scheme val="minor"/>
    </font>
    <font>
      <i/>
      <vertAlign val="subscript"/>
      <sz val="11"/>
      <color theme="1"/>
      <name val="Times New Roman"/>
      <family val="2"/>
      <charset val="161"/>
    </font>
    <font>
      <sz val="11"/>
      <color theme="1"/>
      <name val="游ゴシック"/>
      <family val="1"/>
      <charset val="128"/>
      <scheme val="minor"/>
    </font>
    <font>
      <i/>
      <sz val="11"/>
      <color theme="1"/>
      <name val="游ゴシック"/>
      <family val="1"/>
      <charset val="128"/>
    </font>
    <font>
      <sz val="11"/>
      <color theme="1"/>
      <name val="游ゴシック"/>
      <family val="3"/>
      <charset val="128"/>
    </font>
    <font>
      <sz val="11"/>
      <color theme="1"/>
      <name val="Times New Roman"/>
      <family val="1"/>
      <charset val="128"/>
    </font>
    <font>
      <sz val="11"/>
      <color theme="1"/>
      <name val="HGP明朝B"/>
      <family val="1"/>
      <charset val="161"/>
    </font>
    <font>
      <sz val="11"/>
      <color theme="1"/>
      <name val="Calibri"/>
      <family val="1"/>
      <charset val="161"/>
    </font>
    <font>
      <vertAlign val="subscript"/>
      <sz val="11"/>
      <color theme="1"/>
      <name val="HGP明朝B"/>
      <family val="1"/>
    </font>
    <font>
      <sz val="11"/>
      <color theme="1"/>
      <name val="游ゴシック"/>
      <family val="1"/>
      <charset val="128"/>
    </font>
    <font>
      <sz val="11"/>
      <color theme="1"/>
      <name val="Meiryo UI"/>
      <family val="1"/>
      <charset val="128"/>
    </font>
    <font>
      <vertAlign val="subscript"/>
      <sz val="11"/>
      <color theme="1"/>
      <name val="游ゴシック"/>
      <family val="1"/>
      <charset val="128"/>
    </font>
    <font>
      <sz val="11"/>
      <color theme="1"/>
      <name val="游ゴシック"/>
      <family val="2"/>
    </font>
    <font>
      <i/>
      <vertAlign val="subscript"/>
      <sz val="11"/>
      <color theme="1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1">
      <alignment vertical="center"/>
    </xf>
    <xf numFmtId="0" fontId="7" fillId="0" borderId="0" xfId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/>
    <xf numFmtId="0" fontId="7" fillId="0" borderId="5" xfId="1" applyBorder="1">
      <alignment vertical="center"/>
    </xf>
    <xf numFmtId="176" fontId="2" fillId="0" borderId="0" xfId="0" applyNumberFormat="1" applyFont="1" applyAlignment="1">
      <alignment horizontal="center"/>
    </xf>
    <xf numFmtId="176" fontId="3" fillId="0" borderId="0" xfId="0" applyNumberFormat="1" applyFont="1">
      <alignment vertical="center"/>
    </xf>
    <xf numFmtId="0" fontId="0" fillId="0" borderId="0" xfId="0" quotePrefix="1" applyAlignment="1">
      <alignment horizontal="right"/>
    </xf>
    <xf numFmtId="176" fontId="2" fillId="0" borderId="0" xfId="0" applyNumberFormat="1" applyFont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3" fillId="0" borderId="1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0" fillId="0" borderId="7" xfId="0" applyBorder="1">
      <alignment vertical="center"/>
    </xf>
    <xf numFmtId="1" fontId="2" fillId="0" borderId="0" xfId="0" applyNumberFormat="1" applyFont="1">
      <alignment vertical="center"/>
    </xf>
    <xf numFmtId="0" fontId="20" fillId="0" borderId="0" xfId="2">
      <alignment vertical="center"/>
    </xf>
    <xf numFmtId="0" fontId="0" fillId="0" borderId="6" xfId="0" applyBorder="1" applyAlignment="1"/>
    <xf numFmtId="0" fontId="0" fillId="0" borderId="8" xfId="0" applyBorder="1" applyAlignment="1"/>
    <xf numFmtId="0" fontId="0" fillId="0" borderId="0" xfId="0" quotePrefix="1" applyAlignment="1">
      <alignment horizontal="right" vertical="center"/>
    </xf>
    <xf numFmtId="2" fontId="0" fillId="0" borderId="0" xfId="0" applyNumberFormat="1" applyAlignment="1">
      <alignment horizontal="center"/>
    </xf>
    <xf numFmtId="0" fontId="0" fillId="0" borderId="0" xfId="1" applyFont="1">
      <alignment vertical="center"/>
    </xf>
    <xf numFmtId="0" fontId="18" fillId="0" borderId="0" xfId="0" applyFont="1">
      <alignment vertical="center"/>
    </xf>
    <xf numFmtId="0" fontId="0" fillId="0" borderId="12" xfId="0" applyBorder="1" applyAlignment="1"/>
    <xf numFmtId="0" fontId="0" fillId="0" borderId="7" xfId="0" applyBorder="1" applyAlignment="1"/>
    <xf numFmtId="0" fontId="0" fillId="0" borderId="9" xfId="0" applyBorder="1" applyAlignment="1"/>
    <xf numFmtId="0" fontId="0" fillId="0" borderId="11" xfId="0" applyBorder="1" applyAlignment="1"/>
    <xf numFmtId="0" fontId="19" fillId="0" borderId="2" xfId="1" applyFont="1" applyBorder="1" applyAlignment="1">
      <alignment horizontal="left" vertical="center"/>
    </xf>
    <xf numFmtId="0" fontId="3" fillId="0" borderId="0" xfId="1" applyFont="1">
      <alignment vertical="center"/>
    </xf>
    <xf numFmtId="0" fontId="3" fillId="0" borderId="5" xfId="1" applyFont="1" applyBorder="1">
      <alignment vertical="center"/>
    </xf>
    <xf numFmtId="176" fontId="2" fillId="0" borderId="0" xfId="1" applyNumberFormat="1" applyFont="1">
      <alignment vertical="center"/>
    </xf>
    <xf numFmtId="0" fontId="16" fillId="0" borderId="5" xfId="1" applyFont="1" applyBorder="1">
      <alignment vertical="center"/>
    </xf>
    <xf numFmtId="0" fontId="10" fillId="0" borderId="5" xfId="1" applyFont="1" applyBorder="1">
      <alignment vertical="center"/>
    </xf>
    <xf numFmtId="0" fontId="2" fillId="0" borderId="0" xfId="1" quotePrefix="1" applyFont="1">
      <alignment vertical="center"/>
    </xf>
    <xf numFmtId="0" fontId="16" fillId="0" borderId="0" xfId="1" applyFont="1">
      <alignment vertical="center"/>
    </xf>
    <xf numFmtId="0" fontId="2" fillId="0" borderId="5" xfId="1" quotePrefix="1" applyFont="1" applyBorder="1">
      <alignment vertical="center"/>
    </xf>
    <xf numFmtId="0" fontId="2" fillId="0" borderId="5" xfId="1" applyFont="1" applyBorder="1">
      <alignment vertical="center"/>
    </xf>
    <xf numFmtId="0" fontId="18" fillId="0" borderId="0" xfId="1" applyFont="1">
      <alignment vertical="center"/>
    </xf>
    <xf numFmtId="38" fontId="18" fillId="0" borderId="0" xfId="3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" xfId="0" quotePrefix="1" applyBorder="1">
      <alignment vertical="center"/>
    </xf>
    <xf numFmtId="0" fontId="2" fillId="0" borderId="3" xfId="0" applyFont="1" applyBorder="1">
      <alignment vertical="center"/>
    </xf>
    <xf numFmtId="0" fontId="25" fillId="0" borderId="0" xfId="0" applyFont="1">
      <alignment vertical="center"/>
    </xf>
    <xf numFmtId="176" fontId="2" fillId="0" borderId="0" xfId="0" applyNumberFormat="1" applyFont="1" applyAlignment="1"/>
    <xf numFmtId="1" fontId="2" fillId="0" borderId="0" xfId="0" applyNumberFormat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176" fontId="2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1" applyFont="1">
      <alignment vertical="center"/>
    </xf>
    <xf numFmtId="0" fontId="10" fillId="0" borderId="0" xfId="0" applyFont="1">
      <alignment vertical="center"/>
    </xf>
    <xf numFmtId="0" fontId="2" fillId="0" borderId="5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3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>
      <alignment vertical="center"/>
    </xf>
    <xf numFmtId="0" fontId="12" fillId="0" borderId="4" xfId="0" applyFont="1" applyBorder="1">
      <alignment vertical="center"/>
    </xf>
    <xf numFmtId="0" fontId="2" fillId="0" borderId="8" xfId="1" applyFont="1" applyBorder="1">
      <alignment vertical="center"/>
    </xf>
    <xf numFmtId="0" fontId="3" fillId="0" borderId="0" xfId="0" applyFont="1" applyAlignment="1">
      <alignment horizontal="right" vertical="center"/>
    </xf>
    <xf numFmtId="0" fontId="18" fillId="0" borderId="5" xfId="1" applyFont="1" applyBorder="1">
      <alignment vertical="center"/>
    </xf>
    <xf numFmtId="176" fontId="0" fillId="0" borderId="9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0" xfId="0" applyNumberFormat="1">
      <alignment vertical="center"/>
    </xf>
    <xf numFmtId="0" fontId="18" fillId="0" borderId="8" xfId="0" applyFont="1" applyBorder="1" applyAlignment="1"/>
    <xf numFmtId="0" fontId="3" fillId="0" borderId="5" xfId="0" applyFont="1" applyBorder="1" applyAlignment="1"/>
    <xf numFmtId="177" fontId="2" fillId="0" borderId="0" xfId="0" applyNumberFormat="1" applyFont="1" applyProtection="1">
      <alignment vertical="center"/>
      <protection locked="0"/>
    </xf>
    <xf numFmtId="176" fontId="2" fillId="0" borderId="8" xfId="0" applyNumberFormat="1" applyFont="1" applyBorder="1">
      <alignment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2" fillId="0" borderId="0" xfId="1" applyFont="1">
      <alignment vertical="center"/>
    </xf>
    <xf numFmtId="0" fontId="32" fillId="0" borderId="0" xfId="0" applyFont="1" applyAlignment="1">
      <alignment horizontal="center"/>
    </xf>
    <xf numFmtId="0" fontId="32" fillId="0" borderId="9" xfId="0" applyFont="1" applyBorder="1" applyAlignment="1">
      <alignment horizontal="center"/>
    </xf>
    <xf numFmtId="177" fontId="2" fillId="0" borderId="0" xfId="0" applyNumberFormat="1" applyFont="1" applyAlignment="1">
      <alignment horizontal="center"/>
    </xf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176" fontId="2" fillId="0" borderId="0" xfId="1" quotePrefix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2" fontId="2" fillId="0" borderId="0" xfId="1" applyNumberFormat="1" applyFont="1">
      <alignment vertical="center"/>
    </xf>
    <xf numFmtId="0" fontId="12" fillId="0" borderId="5" xfId="1" applyFont="1" applyBorder="1">
      <alignment vertical="center"/>
    </xf>
    <xf numFmtId="0" fontId="2" fillId="0" borderId="5" xfId="0" applyFont="1" applyBorder="1" applyAlignment="1"/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/>
    </xf>
    <xf numFmtId="0" fontId="7" fillId="0" borderId="12" xfId="1" applyBorder="1" applyAlignment="1">
      <alignment horizontal="center" vertical="center"/>
    </xf>
    <xf numFmtId="0" fontId="7" fillId="0" borderId="0" xfId="1" applyAlignment="1">
      <alignment horizontal="center"/>
    </xf>
    <xf numFmtId="0" fontId="3" fillId="0" borderId="8" xfId="0" applyFont="1" applyBorder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" fontId="2" fillId="0" borderId="5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2" fillId="0" borderId="0" xfId="0" applyFont="1" applyAlignment="1">
      <alignment horizontal="center"/>
    </xf>
    <xf numFmtId="0" fontId="32" fillId="0" borderId="9" xfId="0" applyFont="1" applyBorder="1" applyAlignment="1">
      <alignment horizontal="center"/>
    </xf>
    <xf numFmtId="0" fontId="18" fillId="2" borderId="6" xfId="0" applyFont="1" applyFill="1" applyBorder="1" applyAlignment="1" applyProtection="1">
      <alignment horizontal="center"/>
      <protection locked="0"/>
    </xf>
    <xf numFmtId="0" fontId="18" fillId="2" borderId="12" xfId="0" applyFont="1" applyFill="1" applyBorder="1" applyAlignment="1" applyProtection="1">
      <alignment horizont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176" fontId="2" fillId="2" borderId="1" xfId="0" applyNumberFormat="1" applyFont="1" applyFill="1" applyBorder="1" applyAlignment="1" applyProtection="1">
      <alignment horizontal="center"/>
      <protection locked="0"/>
    </xf>
    <xf numFmtId="176" fontId="2" fillId="2" borderId="2" xfId="0" applyNumberFormat="1" applyFont="1" applyFill="1" applyBorder="1" applyAlignment="1" applyProtection="1">
      <alignment horizontal="center"/>
      <protection locked="0"/>
    </xf>
    <xf numFmtId="176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/>
      <protection locked="0"/>
    </xf>
    <xf numFmtId="0" fontId="18" fillId="2" borderId="2" xfId="0" applyFont="1" applyFill="1" applyBorder="1" applyAlignment="1" applyProtection="1">
      <alignment horizontal="center"/>
      <protection locked="0"/>
    </xf>
    <xf numFmtId="0" fontId="18" fillId="2" borderId="3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176" fontId="2" fillId="2" borderId="3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177" fontId="2" fillId="2" borderId="10" xfId="0" applyNumberFormat="1" applyFont="1" applyFill="1" applyBorder="1" applyAlignment="1" applyProtection="1">
      <alignment horizontal="center" vertical="center"/>
      <protection locked="0"/>
    </xf>
    <xf numFmtId="177" fontId="2" fillId="2" borderId="5" xfId="0" applyNumberFormat="1" applyFont="1" applyFill="1" applyBorder="1" applyAlignment="1" applyProtection="1">
      <alignment horizontal="center" vertical="center"/>
      <protection locked="0"/>
    </xf>
    <xf numFmtId="177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8" xfId="0" quotePrefix="1" applyFont="1" applyBorder="1" applyAlignment="1">
      <alignment horizontal="center" shrinkToFit="1"/>
    </xf>
    <xf numFmtId="0" fontId="2" fillId="0" borderId="0" xfId="0" quotePrefix="1" applyFont="1" applyAlignment="1">
      <alignment horizontal="center" shrinkToFi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0" fillId="2" borderId="1" xfId="0" quotePrefix="1" applyFill="1" applyBorder="1" applyAlignment="1" applyProtection="1">
      <alignment horizontal="right"/>
      <protection locked="0"/>
    </xf>
    <xf numFmtId="0" fontId="0" fillId="2" borderId="2" xfId="0" quotePrefix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176" fontId="2" fillId="0" borderId="0" xfId="0" applyNumberFormat="1" applyFont="1" applyAlignment="1">
      <alignment horizont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7" fillId="0" borderId="0" xfId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176" fontId="2" fillId="0" borderId="5" xfId="1" applyNumberFormat="1" applyFont="1" applyBorder="1" applyAlignment="1">
      <alignment horizontal="center" vertical="center"/>
    </xf>
    <xf numFmtId="178" fontId="2" fillId="0" borderId="5" xfId="1" quotePrefix="1" applyNumberFormat="1" applyFont="1" applyBorder="1" applyAlignment="1">
      <alignment horizontal="center" vertical="center"/>
    </xf>
    <xf numFmtId="38" fontId="18" fillId="0" borderId="0" xfId="3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176" fontId="2" fillId="0" borderId="0" xfId="1" quotePrefix="1" applyNumberFormat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2" fillId="0" borderId="12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76" fontId="2" fillId="0" borderId="15" xfId="0" applyNumberFormat="1" applyFont="1" applyBorder="1" applyAlignment="1">
      <alignment horizontal="center"/>
    </xf>
    <xf numFmtId="176" fontId="2" fillId="0" borderId="2" xfId="0" applyNumberFormat="1" applyFont="1" applyBorder="1" applyAlignment="1">
      <alignment horizontal="center"/>
    </xf>
    <xf numFmtId="176" fontId="2" fillId="0" borderId="3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2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/>
    </xf>
    <xf numFmtId="177" fontId="2" fillId="0" borderId="3" xfId="0" applyNumberFormat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/>
    </xf>
    <xf numFmtId="0" fontId="8" fillId="0" borderId="1" xfId="1" applyFont="1" applyBorder="1" applyAlignment="1">
      <alignment horizontal="right" vertical="center"/>
    </xf>
    <xf numFmtId="0" fontId="8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7" fontId="2" fillId="0" borderId="1" xfId="0" quotePrefix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176" fontId="2" fillId="0" borderId="5" xfId="1" quotePrefix="1" applyNumberFormat="1" applyFont="1" applyBorder="1" applyAlignment="1">
      <alignment horizontal="center" vertical="center"/>
    </xf>
    <xf numFmtId="0" fontId="2" fillId="0" borderId="5" xfId="1" quotePrefix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1" applyFont="1" applyBorder="1" applyAlignment="1">
      <alignment horizontal="center" vertical="center"/>
    </xf>
    <xf numFmtId="2" fontId="2" fillId="0" borderId="12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" fontId="2" fillId="0" borderId="5" xfId="0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/>
    </xf>
    <xf numFmtId="176" fontId="2" fillId="0" borderId="9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6" fontId="2" fillId="0" borderId="12" xfId="0" applyNumberFormat="1" applyFont="1" applyBorder="1" applyAlignment="1">
      <alignment horizontal="center"/>
    </xf>
    <xf numFmtId="176" fontId="2" fillId="0" borderId="7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6" fontId="2" fillId="0" borderId="1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7" fillId="0" borderId="12" xfId="1" applyBorder="1" applyAlignment="1">
      <alignment horizontal="center" vertical="center"/>
    </xf>
    <xf numFmtId="0" fontId="7" fillId="0" borderId="7" xfId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1" quotePrefix="1" applyFont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25" fillId="0" borderId="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2" fontId="2" fillId="0" borderId="0" xfId="0" applyNumberFormat="1" applyFont="1" applyAlignment="1">
      <alignment horizontal="center"/>
    </xf>
    <xf numFmtId="0" fontId="29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176" fontId="2" fillId="0" borderId="0" xfId="0" applyNumberFormat="1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4">
    <cellStyle name="ハイパーリンク" xfId="2" builtinId="8"/>
    <cellStyle name="桁区切り" xfId="3" builtinId="6"/>
    <cellStyle name="標準" xfId="0" builtinId="0"/>
    <cellStyle name="標準 2" xfId="1" xr:uid="{8E0747D7-A74F-4653-B57C-390658CA8266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microsoft.com/office/2017/10/relationships/person" Target="persons/person2.xml"/><Relationship Id="rId26" Type="http://schemas.microsoft.com/office/2017/10/relationships/person" Target="persons/person8.xml"/><Relationship Id="rId39" Type="http://schemas.microsoft.com/office/2017/10/relationships/person" Target="persons/person21.xml"/><Relationship Id="rId21" Type="http://schemas.microsoft.com/office/2017/10/relationships/person" Target="persons/person0.xml"/><Relationship Id="rId34" Type="http://schemas.microsoft.com/office/2017/10/relationships/person" Target="persons/person16.xml"/><Relationship Id="rId42" Type="http://schemas.microsoft.com/office/2017/10/relationships/person" Target="persons/person2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9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40" Type="http://schemas.microsoft.com/office/2017/10/relationships/person" Target="persons/person24.xml"/><Relationship Id="rId24" Type="http://schemas.microsoft.com/office/2017/10/relationships/person" Target="persons/person5.xml"/><Relationship Id="rId32" Type="http://schemas.microsoft.com/office/2017/10/relationships/person" Target="persons/person13.xml"/><Relationship Id="rId37" Type="http://schemas.microsoft.com/office/2017/10/relationships/person" Target="persons/person18.xml"/><Relationship Id="rId45" Type="http://schemas.microsoft.com/office/2017/10/relationships/person" Target="persons/person2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schemas.microsoft.com/office/2017/10/relationships/person" Target="persons/person4.xml"/><Relationship Id="rId28" Type="http://schemas.microsoft.com/office/2017/10/relationships/person" Target="persons/person9.xml"/><Relationship Id="rId36" Type="http://schemas.microsoft.com/office/2017/10/relationships/person" Target="persons/person17.xml"/><Relationship Id="rId10" Type="http://schemas.openxmlformats.org/officeDocument/2006/relationships/worksheet" Target="worksheets/sheet10.xml"/><Relationship Id="rId19" Type="http://schemas.microsoft.com/office/2017/10/relationships/person" Target="persons/person3.xml"/><Relationship Id="rId31" Type="http://schemas.microsoft.com/office/2017/10/relationships/person" Target="persons/person11.xml"/><Relationship Id="rId44" Type="http://schemas.microsoft.com/office/2017/10/relationships/person" Target="persons/person2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43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5.xml"/><Relationship Id="rId30" Type="http://schemas.microsoft.com/office/2017/10/relationships/person" Target="persons/person12.xml"/><Relationship Id="rId22" Type="http://schemas.microsoft.com/office/2017/10/relationships/person" Target="persons/person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46" Type="http://schemas.microsoft.com/office/2017/10/relationships/person" Target="persons/person27.xml"/><Relationship Id="rId25" Type="http://schemas.microsoft.com/office/2017/10/relationships/person" Target="persons/person6.xml"/><Relationship Id="rId33" Type="http://schemas.microsoft.com/office/2017/10/relationships/person" Target="persons/person14.xml"/><Relationship Id="rId38" Type="http://schemas.microsoft.com/office/2017/10/relationships/person" Target="persons/person19.xml"/><Relationship Id="rId20" Type="http://schemas.microsoft.com/office/2017/10/relationships/person" Target="persons/person1.xml"/><Relationship Id="rId41" Type="http://schemas.microsoft.com/office/2017/10/relationships/person" Target="persons/person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77813</xdr:colOff>
      <xdr:row>4</xdr:row>
      <xdr:rowOff>90166</xdr:rowOff>
    </xdr:from>
    <xdr:to>
      <xdr:col>33</xdr:col>
      <xdr:colOff>63678</xdr:colOff>
      <xdr:row>4</xdr:row>
      <xdr:rowOff>90166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7A5D2B62-C182-17B4-6299-EC3C72D5E1A6}"/>
            </a:ext>
          </a:extLst>
        </xdr:cNvPr>
        <xdr:cNvCxnSpPr/>
      </xdr:nvCxnSpPr>
      <xdr:spPr>
        <a:xfrm>
          <a:off x="7393013" y="1004566"/>
          <a:ext cx="214465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209174</xdr:colOff>
      <xdr:row>8</xdr:row>
      <xdr:rowOff>61190</xdr:rowOff>
    </xdr:from>
    <xdr:ext cx="224998" cy="36195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297209-E1F2-460C-B377-8B5E7332D1F4}"/>
            </a:ext>
          </a:extLst>
        </xdr:cNvPr>
        <xdr:cNvSpPr txBox="1"/>
      </xdr:nvSpPr>
      <xdr:spPr>
        <a:xfrm rot="16200000">
          <a:off x="5627093" y="1958471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31</xdr:col>
      <xdr:colOff>112102</xdr:colOff>
      <xdr:row>4</xdr:row>
      <xdr:rowOff>90166</xdr:rowOff>
    </xdr:from>
    <xdr:to>
      <xdr:col>32</xdr:col>
      <xdr:colOff>171502</xdr:colOff>
      <xdr:row>4</xdr:row>
      <xdr:rowOff>90166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201090E-9A6D-46CC-919B-BF4221026973}"/>
            </a:ext>
          </a:extLst>
        </xdr:cNvPr>
        <xdr:cNvCxnSpPr/>
      </xdr:nvCxnSpPr>
      <xdr:spPr>
        <a:xfrm>
          <a:off x="7198702" y="1004566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198931</xdr:colOff>
      <xdr:row>5</xdr:row>
      <xdr:rowOff>223087</xdr:rowOff>
    </xdr:from>
    <xdr:ext cx="285527" cy="74347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347CEAD-C090-4920-AC57-0081772F08D0}"/>
            </a:ext>
          </a:extLst>
        </xdr:cNvPr>
        <xdr:cNvSpPr txBox="1"/>
      </xdr:nvSpPr>
      <xdr:spPr>
        <a:xfrm rot="17760000">
          <a:off x="6370758" y="1595060"/>
          <a:ext cx="743473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twoCellAnchor editAs="oneCell">
    <xdr:from>
      <xdr:col>29</xdr:col>
      <xdr:colOff>47144</xdr:colOff>
      <xdr:row>3</xdr:row>
      <xdr:rowOff>197584</xdr:rowOff>
    </xdr:from>
    <xdr:to>
      <xdr:col>29</xdr:col>
      <xdr:colOff>47144</xdr:colOff>
      <xdr:row>14</xdr:row>
      <xdr:rowOff>65453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62037E3-C5B9-40C2-BA4F-782BDDBAF730}"/>
            </a:ext>
          </a:extLst>
        </xdr:cNvPr>
        <xdr:cNvCxnSpPr/>
      </xdr:nvCxnSpPr>
      <xdr:spPr>
        <a:xfrm rot="6960000">
          <a:off x="5485309" y="2074619"/>
          <a:ext cx="238246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96236</xdr:colOff>
      <xdr:row>1</xdr:row>
      <xdr:rowOff>216993</xdr:rowOff>
    </xdr:from>
    <xdr:ext cx="336311" cy="2249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81DD694-31DF-4242-BCEB-EEDE42993FA2}"/>
            </a:ext>
          </a:extLst>
        </xdr:cNvPr>
        <xdr:cNvSpPr txBox="1"/>
      </xdr:nvSpPr>
      <xdr:spPr>
        <a:xfrm>
          <a:off x="6954236" y="445593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30</xdr:col>
      <xdr:colOff>213805</xdr:colOff>
      <xdr:row>6</xdr:row>
      <xdr:rowOff>181727</xdr:rowOff>
    </xdr:from>
    <xdr:ext cx="285527" cy="75629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FCD89E0-816F-4E2E-BDCE-46859D342C99}"/>
            </a:ext>
          </a:extLst>
        </xdr:cNvPr>
        <xdr:cNvSpPr txBox="1"/>
      </xdr:nvSpPr>
      <xdr:spPr>
        <a:xfrm rot="17460000">
          <a:off x="6836420" y="1788712"/>
          <a:ext cx="756297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twoCellAnchor editAs="oneCell">
    <xdr:from>
      <xdr:col>25</xdr:col>
      <xdr:colOff>132767</xdr:colOff>
      <xdr:row>4</xdr:row>
      <xdr:rowOff>93883</xdr:rowOff>
    </xdr:from>
    <xdr:to>
      <xdr:col>31</xdr:col>
      <xdr:colOff>1208</xdr:colOff>
      <xdr:row>4</xdr:row>
      <xdr:rowOff>93883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0833B48-7C17-47F6-99AE-729235BC659D}"/>
            </a:ext>
          </a:extLst>
        </xdr:cNvPr>
        <xdr:cNvCxnSpPr/>
      </xdr:nvCxnSpPr>
      <xdr:spPr>
        <a:xfrm>
          <a:off x="5847767" y="1008283"/>
          <a:ext cx="1240041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196667</xdr:colOff>
      <xdr:row>4</xdr:row>
      <xdr:rowOff>94710</xdr:rowOff>
    </xdr:from>
    <xdr:to>
      <xdr:col>25</xdr:col>
      <xdr:colOff>196667</xdr:colOff>
      <xdr:row>13</xdr:row>
      <xdr:rowOff>165824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77D3586-2D47-4E50-94FF-50321DB41375}"/>
            </a:ext>
          </a:extLst>
        </xdr:cNvPr>
        <xdr:cNvCxnSpPr/>
      </xdr:nvCxnSpPr>
      <xdr:spPr>
        <a:xfrm>
          <a:off x="5911667" y="1009110"/>
          <a:ext cx="0" cy="2128514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112516</xdr:colOff>
      <xdr:row>2</xdr:row>
      <xdr:rowOff>162856</xdr:rowOff>
    </xdr:from>
    <xdr:to>
      <xdr:col>31</xdr:col>
      <xdr:colOff>112516</xdr:colOff>
      <xdr:row>3</xdr:row>
      <xdr:rowOff>41165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BA0B772-DFDD-44F8-9465-87F4CEE1FAB6}"/>
            </a:ext>
          </a:extLst>
        </xdr:cNvPr>
        <xdr:cNvCxnSpPr/>
      </xdr:nvCxnSpPr>
      <xdr:spPr>
        <a:xfrm>
          <a:off x="7199116" y="620056"/>
          <a:ext cx="0" cy="10690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153306</xdr:colOff>
      <xdr:row>13</xdr:row>
      <xdr:rowOff>167650</xdr:rowOff>
    </xdr:from>
    <xdr:to>
      <xdr:col>26</xdr:col>
      <xdr:colOff>86717</xdr:colOff>
      <xdr:row>13</xdr:row>
      <xdr:rowOff>167650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BA1B1774-2453-42A4-A54C-06806A9FBB69}"/>
            </a:ext>
          </a:extLst>
        </xdr:cNvPr>
        <xdr:cNvCxnSpPr/>
      </xdr:nvCxnSpPr>
      <xdr:spPr>
        <a:xfrm>
          <a:off x="5868306" y="3139450"/>
          <a:ext cx="162011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172074</xdr:colOff>
      <xdr:row>2</xdr:row>
      <xdr:rowOff>162856</xdr:rowOff>
    </xdr:from>
    <xdr:to>
      <xdr:col>32</xdr:col>
      <xdr:colOff>172074</xdr:colOff>
      <xdr:row>3</xdr:row>
      <xdr:rowOff>52667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BF6EC74-0780-4DC5-B05B-11B1E1736596}"/>
            </a:ext>
          </a:extLst>
        </xdr:cNvPr>
        <xdr:cNvCxnSpPr/>
      </xdr:nvCxnSpPr>
      <xdr:spPr>
        <a:xfrm>
          <a:off x="7487274" y="620056"/>
          <a:ext cx="0" cy="11841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112029</xdr:colOff>
      <xdr:row>2</xdr:row>
      <xdr:rowOff>200251</xdr:rowOff>
    </xdr:from>
    <xdr:to>
      <xdr:col>32</xdr:col>
      <xdr:colOff>171429</xdr:colOff>
      <xdr:row>2</xdr:row>
      <xdr:rowOff>200251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2009254-2BF6-4EE7-B095-B4CFC53CF420}"/>
            </a:ext>
          </a:extLst>
        </xdr:cNvPr>
        <xdr:cNvCxnSpPr/>
      </xdr:nvCxnSpPr>
      <xdr:spPr>
        <a:xfrm>
          <a:off x="7198629" y="657451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162857</xdr:colOff>
      <xdr:row>14</xdr:row>
      <xdr:rowOff>29956</xdr:rowOff>
    </xdr:from>
    <xdr:ext cx="349135" cy="224998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D93F6A2-13DE-401A-9741-459827CD6BCD}"/>
            </a:ext>
          </a:extLst>
        </xdr:cNvPr>
        <xdr:cNvSpPr txBox="1"/>
      </xdr:nvSpPr>
      <xdr:spPr>
        <a:xfrm>
          <a:off x="6106457" y="3230356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26</xdr:col>
      <xdr:colOff>196237</xdr:colOff>
      <xdr:row>14</xdr:row>
      <xdr:rowOff>61101</xdr:rowOff>
    </xdr:from>
    <xdr:to>
      <xdr:col>29</xdr:col>
      <xdr:colOff>42863</xdr:colOff>
      <xdr:row>14</xdr:row>
      <xdr:rowOff>61101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A050B6B0-7EF3-4C8D-8EF5-98A73E8C34BE}"/>
            </a:ext>
          </a:extLst>
        </xdr:cNvPr>
        <xdr:cNvCxnSpPr/>
      </xdr:nvCxnSpPr>
      <xdr:spPr>
        <a:xfrm>
          <a:off x="6181990" y="3284199"/>
          <a:ext cx="53729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198189</xdr:colOff>
      <xdr:row>13</xdr:row>
      <xdr:rowOff>223882</xdr:rowOff>
    </xdr:from>
    <xdr:to>
      <xdr:col>26</xdr:col>
      <xdr:colOff>198189</xdr:colOff>
      <xdr:row>14</xdr:row>
      <xdr:rowOff>118285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F2D87373-3E50-4CE8-A196-8D917932EE1D}"/>
            </a:ext>
          </a:extLst>
        </xdr:cNvPr>
        <xdr:cNvCxnSpPr/>
      </xdr:nvCxnSpPr>
      <xdr:spPr>
        <a:xfrm>
          <a:off x="6141789" y="3195682"/>
          <a:ext cx="0" cy="123003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225572</xdr:colOff>
      <xdr:row>13</xdr:row>
      <xdr:rowOff>164169</xdr:rowOff>
    </xdr:from>
    <xdr:to>
      <xdr:col>29</xdr:col>
      <xdr:colOff>43772</xdr:colOff>
      <xdr:row>13</xdr:row>
      <xdr:rowOff>164169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847D17D2-3958-44F7-98B2-61EDEB3CCAAC}"/>
            </a:ext>
          </a:extLst>
        </xdr:cNvPr>
        <xdr:cNvCxnSpPr/>
      </xdr:nvCxnSpPr>
      <xdr:spPr>
        <a:xfrm>
          <a:off x="6169172" y="3135969"/>
          <a:ext cx="504000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4632</xdr:colOff>
      <xdr:row>3</xdr:row>
      <xdr:rowOff>67920</xdr:rowOff>
    </xdr:from>
    <xdr:to>
      <xdr:col>32</xdr:col>
      <xdr:colOff>44232</xdr:colOff>
      <xdr:row>4</xdr:row>
      <xdr:rowOff>91320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190C7E22-F95B-6888-D418-44B6252395E8}"/>
            </a:ext>
          </a:extLst>
        </xdr:cNvPr>
        <xdr:cNvSpPr/>
      </xdr:nvSpPr>
      <xdr:spPr>
        <a:xfrm>
          <a:off x="7319832" y="753720"/>
          <a:ext cx="39600" cy="252000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32</xdr:col>
      <xdr:colOff>54915</xdr:colOff>
      <xdr:row>3</xdr:row>
      <xdr:rowOff>84384</xdr:rowOff>
    </xdr:from>
    <xdr:to>
      <xdr:col>32</xdr:col>
      <xdr:colOff>54915</xdr:colOff>
      <xdr:row>3</xdr:row>
      <xdr:rowOff>123166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EA1277D1-E427-43AA-B774-1DDF788A9CA4}"/>
            </a:ext>
          </a:extLst>
        </xdr:cNvPr>
        <xdr:cNvCxnSpPr/>
      </xdr:nvCxnSpPr>
      <xdr:spPr>
        <a:xfrm>
          <a:off x="7370115" y="770184"/>
          <a:ext cx="0" cy="3878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77775</xdr:colOff>
      <xdr:row>3</xdr:row>
      <xdr:rowOff>46284</xdr:rowOff>
    </xdr:from>
    <xdr:to>
      <xdr:col>32</xdr:col>
      <xdr:colOff>77775</xdr:colOff>
      <xdr:row>3</xdr:row>
      <xdr:rowOff>75084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CB9ADF71-8ADC-4391-B8FE-ACE34FB98EC4}"/>
            </a:ext>
          </a:extLst>
        </xdr:cNvPr>
        <xdr:cNvCxnSpPr/>
      </xdr:nvCxnSpPr>
      <xdr:spPr>
        <a:xfrm>
          <a:off x="7392975" y="732084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54490</xdr:colOff>
      <xdr:row>3</xdr:row>
      <xdr:rowOff>82693</xdr:rowOff>
    </xdr:from>
    <xdr:to>
      <xdr:col>32</xdr:col>
      <xdr:colOff>83290</xdr:colOff>
      <xdr:row>3</xdr:row>
      <xdr:rowOff>82693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8C3B6DD3-440D-4C4A-B716-9A11BDB1BCBB}"/>
            </a:ext>
          </a:extLst>
        </xdr:cNvPr>
        <xdr:cNvCxnSpPr/>
      </xdr:nvCxnSpPr>
      <xdr:spPr>
        <a:xfrm rot="2700000">
          <a:off x="7384090" y="754093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67609</xdr:colOff>
      <xdr:row>3</xdr:row>
      <xdr:rowOff>24478</xdr:rowOff>
    </xdr:from>
    <xdr:to>
      <xdr:col>32</xdr:col>
      <xdr:colOff>67609</xdr:colOff>
      <xdr:row>3</xdr:row>
      <xdr:rowOff>53278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A3F8ADA5-6595-4138-9D32-935FD483D4A8}"/>
            </a:ext>
          </a:extLst>
        </xdr:cNvPr>
        <xdr:cNvCxnSpPr/>
      </xdr:nvCxnSpPr>
      <xdr:spPr>
        <a:xfrm rot="18900000">
          <a:off x="7382809" y="710278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79680</xdr:colOff>
      <xdr:row>3</xdr:row>
      <xdr:rowOff>135819</xdr:rowOff>
    </xdr:from>
    <xdr:to>
      <xdr:col>32</xdr:col>
      <xdr:colOff>79680</xdr:colOff>
      <xdr:row>3</xdr:row>
      <xdr:rowOff>161306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46B0D864-DA04-451C-A950-2AF3C82122BF}"/>
            </a:ext>
          </a:extLst>
        </xdr:cNvPr>
        <xdr:cNvCxnSpPr/>
      </xdr:nvCxnSpPr>
      <xdr:spPr>
        <a:xfrm>
          <a:off x="7394880" y="821619"/>
          <a:ext cx="0" cy="25487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56395</xdr:colOff>
      <xdr:row>3</xdr:row>
      <xdr:rowOff>168915</xdr:rowOff>
    </xdr:from>
    <xdr:to>
      <xdr:col>32</xdr:col>
      <xdr:colOff>85195</xdr:colOff>
      <xdr:row>3</xdr:row>
      <xdr:rowOff>168915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2EF42AEC-1C4E-40C0-8EC3-BF82B59BD5D3}"/>
            </a:ext>
          </a:extLst>
        </xdr:cNvPr>
        <xdr:cNvCxnSpPr/>
      </xdr:nvCxnSpPr>
      <xdr:spPr>
        <a:xfrm rot="2700000">
          <a:off x="7385995" y="840315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69514</xdr:colOff>
      <xdr:row>3</xdr:row>
      <xdr:rowOff>114013</xdr:rowOff>
    </xdr:from>
    <xdr:to>
      <xdr:col>32</xdr:col>
      <xdr:colOff>69514</xdr:colOff>
      <xdr:row>3</xdr:row>
      <xdr:rowOff>142813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0ADF0373-6C34-4A12-984A-BC435E4ADF07}"/>
            </a:ext>
          </a:extLst>
        </xdr:cNvPr>
        <xdr:cNvCxnSpPr/>
      </xdr:nvCxnSpPr>
      <xdr:spPr>
        <a:xfrm rot="18900000">
          <a:off x="7384714" y="799813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220113</xdr:colOff>
      <xdr:row>3</xdr:row>
      <xdr:rowOff>101454</xdr:rowOff>
    </xdr:from>
    <xdr:to>
      <xdr:col>32</xdr:col>
      <xdr:colOff>220113</xdr:colOff>
      <xdr:row>4</xdr:row>
      <xdr:rowOff>78008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3CDA327E-5BDD-4CB5-9404-3470EDDB52B5}"/>
            </a:ext>
          </a:extLst>
        </xdr:cNvPr>
        <xdr:cNvCxnSpPr/>
      </xdr:nvCxnSpPr>
      <xdr:spPr>
        <a:xfrm>
          <a:off x="7535313" y="787254"/>
          <a:ext cx="0" cy="205154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128588</xdr:colOff>
      <xdr:row>3</xdr:row>
      <xdr:rowOff>101738</xdr:rowOff>
    </xdr:from>
    <xdr:to>
      <xdr:col>33</xdr:col>
      <xdr:colOff>42238</xdr:colOff>
      <xdr:row>3</xdr:row>
      <xdr:rowOff>101738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9268582F-9B74-2C91-65D1-133E07D3B717}"/>
            </a:ext>
          </a:extLst>
        </xdr:cNvPr>
        <xdr:cNvCxnSpPr/>
      </xdr:nvCxnSpPr>
      <xdr:spPr>
        <a:xfrm>
          <a:off x="7443788" y="787538"/>
          <a:ext cx="14225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33</xdr:col>
      <xdr:colOff>48685</xdr:colOff>
      <xdr:row>3</xdr:row>
      <xdr:rowOff>219284</xdr:rowOff>
    </xdr:from>
    <xdr:ext cx="224998" cy="374783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77E2E9F9-8CB8-8A33-2AFD-68CAE87FA6D5}"/>
            </a:ext>
          </a:extLst>
        </xdr:cNvPr>
        <xdr:cNvSpPr txBox="1"/>
      </xdr:nvSpPr>
      <xdr:spPr>
        <a:xfrm rot="16200000">
          <a:off x="7484935" y="977008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49888</xdr:colOff>
      <xdr:row>13</xdr:row>
      <xdr:rowOff>226758</xdr:rowOff>
    </xdr:from>
    <xdr:to>
      <xdr:col>29</xdr:col>
      <xdr:colOff>49888</xdr:colOff>
      <xdr:row>14</xdr:row>
      <xdr:rowOff>98406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34B6906-C876-A019-4A9D-506FA9B3C889}"/>
            </a:ext>
          </a:extLst>
        </xdr:cNvPr>
        <xdr:cNvCxnSpPr/>
      </xdr:nvCxnSpPr>
      <xdr:spPr>
        <a:xfrm>
          <a:off x="6679288" y="3198558"/>
          <a:ext cx="0" cy="100248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66928</xdr:colOff>
      <xdr:row>1</xdr:row>
      <xdr:rowOff>203831</xdr:rowOff>
    </xdr:from>
    <xdr:ext cx="444352" cy="224998"/>
    <xdr:sp macro="" textlink="$T$7">
      <xdr:nvSpPr>
        <xdr:cNvPr id="3" name="テキスト ボックス 2">
          <a:extLst>
            <a:ext uri="{FF2B5EF4-FFF2-40B4-BE49-F238E27FC236}">
              <a16:creationId xmlns:a16="http://schemas.microsoft.com/office/drawing/2014/main" id="{58343286-AE61-49B4-A0B4-55D50AAE561B}"/>
            </a:ext>
          </a:extLst>
        </xdr:cNvPr>
        <xdr:cNvSpPr txBox="1"/>
      </xdr:nvSpPr>
      <xdr:spPr>
        <a:xfrm>
          <a:off x="7153528" y="432431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02039B9-AF44-4577-8EB5-B7C97DB22B4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33</xdr:col>
      <xdr:colOff>44200</xdr:colOff>
      <xdr:row>2</xdr:row>
      <xdr:rowOff>163078</xdr:rowOff>
    </xdr:from>
    <xdr:ext cx="224998" cy="444352"/>
    <xdr:sp macro="" textlink="$BH$5">
      <xdr:nvSpPr>
        <xdr:cNvPr id="14" name="テキスト ボックス 13">
          <a:extLst>
            <a:ext uri="{FF2B5EF4-FFF2-40B4-BE49-F238E27FC236}">
              <a16:creationId xmlns:a16="http://schemas.microsoft.com/office/drawing/2014/main" id="{1FEBC937-E6E4-4E93-A228-C05E8FD9225A}"/>
            </a:ext>
          </a:extLst>
        </xdr:cNvPr>
        <xdr:cNvSpPr txBox="1"/>
      </xdr:nvSpPr>
      <xdr:spPr>
        <a:xfrm rot="16200000">
          <a:off x="7478323" y="72995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CEB0B4A-0E87-4431-AD23-7B4E225B92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0.600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24</xdr:col>
      <xdr:colOff>200209</xdr:colOff>
      <xdr:row>6</xdr:row>
      <xdr:rowOff>204938</xdr:rowOff>
    </xdr:from>
    <xdr:ext cx="224998" cy="444352"/>
    <xdr:sp macro="" textlink="$T$6">
      <xdr:nvSpPr>
        <xdr:cNvPr id="16" name="テキスト ボックス 15">
          <a:extLst>
            <a:ext uri="{FF2B5EF4-FFF2-40B4-BE49-F238E27FC236}">
              <a16:creationId xmlns:a16="http://schemas.microsoft.com/office/drawing/2014/main" id="{D05684AC-E1DF-4F56-BF57-51B1A11F7900}"/>
            </a:ext>
          </a:extLst>
        </xdr:cNvPr>
        <xdr:cNvSpPr txBox="1"/>
      </xdr:nvSpPr>
      <xdr:spPr>
        <a:xfrm rot="16200000">
          <a:off x="5576932" y="168621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AFBE514-9F7D-492E-9CA5-B9FAD3C28E95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29</xdr:col>
      <xdr:colOff>184372</xdr:colOff>
      <xdr:row>4</xdr:row>
      <xdr:rowOff>224728</xdr:rowOff>
    </xdr:from>
    <xdr:ext cx="224998" cy="444352"/>
    <xdr:sp macro="" textlink="$T$9">
      <xdr:nvSpPr>
        <xdr:cNvPr id="17" name="テキスト ボックス 16">
          <a:extLst>
            <a:ext uri="{FF2B5EF4-FFF2-40B4-BE49-F238E27FC236}">
              <a16:creationId xmlns:a16="http://schemas.microsoft.com/office/drawing/2014/main" id="{CC3F802D-9A85-46B3-8843-48FE4989A63C}"/>
            </a:ext>
          </a:extLst>
        </xdr:cNvPr>
        <xdr:cNvSpPr txBox="1"/>
      </xdr:nvSpPr>
      <xdr:spPr>
        <a:xfrm rot="17760000">
          <a:off x="6704095" y="124880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9647149-AC15-4517-B343-FE63B44F922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31</xdr:col>
      <xdr:colOff>165627</xdr:colOff>
      <xdr:row>5</xdr:row>
      <xdr:rowOff>176335</xdr:rowOff>
    </xdr:from>
    <xdr:ext cx="224998" cy="444352"/>
    <xdr:sp macro="" textlink="$T$10">
      <xdr:nvSpPr>
        <xdr:cNvPr id="18" name="テキスト ボックス 17">
          <a:extLst>
            <a:ext uri="{FF2B5EF4-FFF2-40B4-BE49-F238E27FC236}">
              <a16:creationId xmlns:a16="http://schemas.microsoft.com/office/drawing/2014/main" id="{D7E4913B-7F3F-4E1B-96A4-7F34BF9A288F}"/>
            </a:ext>
          </a:extLst>
        </xdr:cNvPr>
        <xdr:cNvSpPr txBox="1"/>
      </xdr:nvSpPr>
      <xdr:spPr>
        <a:xfrm rot="17460000">
          <a:off x="7142550" y="1429012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49ECCEB-79EE-4872-B205-BD49D7CC93E3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27</xdr:col>
      <xdr:colOff>124700</xdr:colOff>
      <xdr:row>14</xdr:row>
      <xdr:rowOff>29956</xdr:rowOff>
    </xdr:from>
    <xdr:ext cx="444352" cy="224998"/>
    <xdr:sp macro="" textlink="$T$8">
      <xdr:nvSpPr>
        <xdr:cNvPr id="20" name="テキスト ボックス 19">
          <a:extLst>
            <a:ext uri="{FF2B5EF4-FFF2-40B4-BE49-F238E27FC236}">
              <a16:creationId xmlns:a16="http://schemas.microsoft.com/office/drawing/2014/main" id="{FD966C05-DD1C-4001-84DB-DBB5A6F57F00}"/>
            </a:ext>
          </a:extLst>
        </xdr:cNvPr>
        <xdr:cNvSpPr txBox="1"/>
      </xdr:nvSpPr>
      <xdr:spPr>
        <a:xfrm>
          <a:off x="6296900" y="3230356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4FEA699-A535-489F-9D6A-24EDBB96E7B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41250</xdr:colOff>
      <xdr:row>4</xdr:row>
      <xdr:rowOff>100980</xdr:rowOff>
    </xdr:from>
    <xdr:to>
      <xdr:col>32</xdr:col>
      <xdr:colOff>168530</xdr:colOff>
      <xdr:row>13</xdr:row>
      <xdr:rowOff>158410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4DDB5588-DF5F-8BD6-22B1-FDC2003A3F7C}"/>
            </a:ext>
          </a:extLst>
        </xdr:cNvPr>
        <xdr:cNvCxnSpPr/>
      </xdr:nvCxnSpPr>
      <xdr:spPr>
        <a:xfrm flipH="1">
          <a:off x="6670650" y="1015380"/>
          <a:ext cx="813080" cy="211483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209213</xdr:colOff>
      <xdr:row>6</xdr:row>
      <xdr:rowOff>47143</xdr:rowOff>
    </xdr:from>
    <xdr:to>
      <xdr:col>31</xdr:col>
      <xdr:colOff>18750</xdr:colOff>
      <xdr:row>15</xdr:row>
      <xdr:rowOff>124373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730CD51C-566D-4C79-9BF3-A94F6F34910D}"/>
            </a:ext>
          </a:extLst>
        </xdr:cNvPr>
        <xdr:cNvCxnSpPr/>
      </xdr:nvCxnSpPr>
      <xdr:spPr>
        <a:xfrm flipH="1">
          <a:off x="6152813" y="1418743"/>
          <a:ext cx="952537" cy="2134630"/>
        </a:xfrm>
        <a:prstGeom prst="line">
          <a:avLst/>
        </a:prstGeom>
        <a:ln w="63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225066</xdr:colOff>
      <xdr:row>12</xdr:row>
      <xdr:rowOff>119866</xdr:rowOff>
    </xdr:from>
    <xdr:to>
      <xdr:col>63</xdr:col>
      <xdr:colOff>34603</xdr:colOff>
      <xdr:row>21</xdr:row>
      <xdr:rowOff>197096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23E5642A-C90C-4B28-8BF9-84404273192F}"/>
            </a:ext>
          </a:extLst>
        </xdr:cNvPr>
        <xdr:cNvCxnSpPr/>
      </xdr:nvCxnSpPr>
      <xdr:spPr>
        <a:xfrm flipH="1">
          <a:off x="13500671" y="2866543"/>
          <a:ext cx="953985" cy="2137237"/>
        </a:xfrm>
        <a:prstGeom prst="line">
          <a:avLst/>
        </a:prstGeom>
        <a:ln w="63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207814</xdr:colOff>
      <xdr:row>12</xdr:row>
      <xdr:rowOff>105297</xdr:rowOff>
    </xdr:from>
    <xdr:to>
      <xdr:col>63</xdr:col>
      <xdr:colOff>103156</xdr:colOff>
      <xdr:row>17</xdr:row>
      <xdr:rowOff>48433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B24C9BCD-E7D1-4DD4-9625-B587767051D5}"/>
            </a:ext>
          </a:extLst>
        </xdr:cNvPr>
        <xdr:cNvSpPr/>
      </xdr:nvSpPr>
      <xdr:spPr>
        <a:xfrm rot="6720000">
          <a:off x="13899917" y="3329594"/>
          <a:ext cx="1086136" cy="123942"/>
        </a:xfrm>
        <a:prstGeom prst="triangle">
          <a:avLst>
            <a:gd name="adj" fmla="val 96246"/>
          </a:avLst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65</xdr:col>
      <xdr:colOff>130569</xdr:colOff>
      <xdr:row>18</xdr:row>
      <xdr:rowOff>161614</xdr:rowOff>
    </xdr:from>
    <xdr:ext cx="300082" cy="224998"/>
    <xdr:sp macro="" textlink="'1.条件'!T24">
      <xdr:nvSpPr>
        <xdr:cNvPr id="4" name="テキスト ボックス 3">
          <a:extLst>
            <a:ext uri="{FF2B5EF4-FFF2-40B4-BE49-F238E27FC236}">
              <a16:creationId xmlns:a16="http://schemas.microsoft.com/office/drawing/2014/main" id="{987AF926-F38A-4029-B28A-021FF8D3EEAE}"/>
            </a:ext>
          </a:extLst>
        </xdr:cNvPr>
        <xdr:cNvSpPr txBox="1"/>
      </xdr:nvSpPr>
      <xdr:spPr>
        <a:xfrm>
          <a:off x="14989569" y="4276414"/>
          <a:ext cx="30008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B156A8-7A46-4F04-94B6-50B77D094B7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30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56</xdr:col>
      <xdr:colOff>9536</xdr:colOff>
      <xdr:row>17</xdr:row>
      <xdr:rowOff>15517</xdr:rowOff>
    </xdr:from>
    <xdr:ext cx="224998" cy="36195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D06AE59-98F0-40AC-8A83-378513E87570}"/>
            </a:ext>
          </a:extLst>
        </xdr:cNvPr>
        <xdr:cNvSpPr txBox="1"/>
      </xdr:nvSpPr>
      <xdr:spPr>
        <a:xfrm rot="16200000">
          <a:off x="12742655" y="3970198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226</xdr:colOff>
      <xdr:row>18</xdr:row>
      <xdr:rowOff>199020</xdr:rowOff>
    </xdr:from>
    <xdr:ext cx="285527" cy="35779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DE3583-760A-405F-82F7-06B386F7D7B9}"/>
            </a:ext>
          </a:extLst>
        </xdr:cNvPr>
        <xdr:cNvSpPr txBox="1"/>
      </xdr:nvSpPr>
      <xdr:spPr>
        <a:xfrm rot="17760000">
          <a:off x="13222895" y="4349951"/>
          <a:ext cx="35779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twoCellAnchor editAs="oneCell">
    <xdr:from>
      <xdr:col>57</xdr:col>
      <xdr:colOff>218023</xdr:colOff>
      <xdr:row>12</xdr:row>
      <xdr:rowOff>123571</xdr:rowOff>
    </xdr:from>
    <xdr:to>
      <xdr:col>62</xdr:col>
      <xdr:colOff>134238</xdr:colOff>
      <xdr:row>21</xdr:row>
      <xdr:rowOff>225318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2DD257A-4EB4-437B-94BA-1DB5F6221106}"/>
            </a:ext>
          </a:extLst>
        </xdr:cNvPr>
        <xdr:cNvCxnSpPr/>
      </xdr:nvCxnSpPr>
      <xdr:spPr>
        <a:xfrm flipH="1">
          <a:off x="13248223" y="2866771"/>
          <a:ext cx="1059215" cy="215914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66766</xdr:colOff>
      <xdr:row>19</xdr:row>
      <xdr:rowOff>172021</xdr:rowOff>
    </xdr:from>
    <xdr:ext cx="285527" cy="35779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4ED1F5A-8113-495A-886E-C532A86DC134}"/>
            </a:ext>
          </a:extLst>
        </xdr:cNvPr>
        <xdr:cNvSpPr txBox="1"/>
      </xdr:nvSpPr>
      <xdr:spPr>
        <a:xfrm rot="17460000">
          <a:off x="13746635" y="4551552"/>
          <a:ext cx="35779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twoCellAnchor editAs="oneCell">
    <xdr:from>
      <xdr:col>56</xdr:col>
      <xdr:colOff>171352</xdr:colOff>
      <xdr:row>12</xdr:row>
      <xdr:rowOff>123925</xdr:rowOff>
    </xdr:from>
    <xdr:to>
      <xdr:col>62</xdr:col>
      <xdr:colOff>48260</xdr:colOff>
      <xdr:row>12</xdr:row>
      <xdr:rowOff>123925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E821731-E349-49B8-8BE7-6598474866F9}"/>
            </a:ext>
          </a:extLst>
        </xdr:cNvPr>
        <xdr:cNvCxnSpPr/>
      </xdr:nvCxnSpPr>
      <xdr:spPr>
        <a:xfrm>
          <a:off x="12972952" y="2867125"/>
          <a:ext cx="124850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56</xdr:col>
      <xdr:colOff>225870</xdr:colOff>
      <xdr:row>12</xdr:row>
      <xdr:rowOff>124752</xdr:rowOff>
    </xdr:from>
    <xdr:to>
      <xdr:col>56</xdr:col>
      <xdr:colOff>225870</xdr:colOff>
      <xdr:row>21</xdr:row>
      <xdr:rowOff>208953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7FA5874-5D17-4D56-A175-544FF04F7B4A}"/>
            </a:ext>
          </a:extLst>
        </xdr:cNvPr>
        <xdr:cNvCxnSpPr/>
      </xdr:nvCxnSpPr>
      <xdr:spPr>
        <a:xfrm>
          <a:off x="13027470" y="2867952"/>
          <a:ext cx="0" cy="2141601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56</xdr:col>
      <xdr:colOff>194612</xdr:colOff>
      <xdr:row>21</xdr:row>
      <xdr:rowOff>199892</xdr:rowOff>
    </xdr:from>
    <xdr:to>
      <xdr:col>57</xdr:col>
      <xdr:colOff>121095</xdr:colOff>
      <xdr:row>21</xdr:row>
      <xdr:rowOff>199892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69B462F-D671-4B5D-9054-A557DDF671C5}"/>
            </a:ext>
          </a:extLst>
        </xdr:cNvPr>
        <xdr:cNvCxnSpPr/>
      </xdr:nvCxnSpPr>
      <xdr:spPr>
        <a:xfrm>
          <a:off x="12996212" y="5000492"/>
          <a:ext cx="15508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199957</xdr:colOff>
      <xdr:row>22</xdr:row>
      <xdr:rowOff>227161</xdr:rowOff>
    </xdr:from>
    <xdr:ext cx="349135" cy="2249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2375DC4-E464-4C50-882A-6335DF4F008E}"/>
            </a:ext>
          </a:extLst>
        </xdr:cNvPr>
        <xdr:cNvSpPr txBox="1"/>
      </xdr:nvSpPr>
      <xdr:spPr>
        <a:xfrm>
          <a:off x="13230157" y="5256361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57</xdr:col>
      <xdr:colOff>206960</xdr:colOff>
      <xdr:row>23</xdr:row>
      <xdr:rowOff>34687</xdr:rowOff>
    </xdr:from>
    <xdr:to>
      <xdr:col>60</xdr:col>
      <xdr:colOff>28915</xdr:colOff>
      <xdr:row>23</xdr:row>
      <xdr:rowOff>34687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DB2D98B6-DB5C-42A8-A9F8-D10CB1386872}"/>
            </a:ext>
          </a:extLst>
        </xdr:cNvPr>
        <xdr:cNvCxnSpPr/>
      </xdr:nvCxnSpPr>
      <xdr:spPr>
        <a:xfrm>
          <a:off x="13237160" y="5292487"/>
          <a:ext cx="50775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213291</xdr:colOff>
      <xdr:row>22</xdr:row>
      <xdr:rowOff>979</xdr:rowOff>
    </xdr:from>
    <xdr:to>
      <xdr:col>57</xdr:col>
      <xdr:colOff>213291</xdr:colOff>
      <xdr:row>23</xdr:row>
      <xdr:rowOff>84014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9D9D53D5-8D65-4EC9-97B7-115E60349A1A}"/>
            </a:ext>
          </a:extLst>
        </xdr:cNvPr>
        <xdr:cNvCxnSpPr/>
      </xdr:nvCxnSpPr>
      <xdr:spPr>
        <a:xfrm>
          <a:off x="13243491" y="5030179"/>
          <a:ext cx="0" cy="31163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213629</xdr:colOff>
      <xdr:row>21</xdr:row>
      <xdr:rowOff>200790</xdr:rowOff>
    </xdr:from>
    <xdr:to>
      <xdr:col>60</xdr:col>
      <xdr:colOff>26381</xdr:colOff>
      <xdr:row>21</xdr:row>
      <xdr:rowOff>200790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D8C4D62F-36B0-44A5-814D-E99EA5A8102F}"/>
            </a:ext>
          </a:extLst>
        </xdr:cNvPr>
        <xdr:cNvCxnSpPr/>
      </xdr:nvCxnSpPr>
      <xdr:spPr>
        <a:xfrm>
          <a:off x="13243829" y="5001390"/>
          <a:ext cx="498552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20595</xdr:colOff>
      <xdr:row>11</xdr:row>
      <xdr:rowOff>81758</xdr:rowOff>
    </xdr:from>
    <xdr:to>
      <xdr:col>63</xdr:col>
      <xdr:colOff>62916</xdr:colOff>
      <xdr:row>12</xdr:row>
      <xdr:rowOff>121362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565C32C1-6049-4789-B50A-C5B2124BB25B}"/>
            </a:ext>
          </a:extLst>
        </xdr:cNvPr>
        <xdr:cNvSpPr/>
      </xdr:nvSpPr>
      <xdr:spPr>
        <a:xfrm>
          <a:off x="14422395" y="2596358"/>
          <a:ext cx="42321" cy="268204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63</xdr:col>
      <xdr:colOff>69117</xdr:colOff>
      <xdr:row>11</xdr:row>
      <xdr:rowOff>114550</xdr:rowOff>
    </xdr:from>
    <xdr:to>
      <xdr:col>63</xdr:col>
      <xdr:colOff>69117</xdr:colOff>
      <xdr:row>11</xdr:row>
      <xdr:rowOff>153332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6A809C2-0C79-4B71-A4F9-84A1A28B4FBE}"/>
            </a:ext>
          </a:extLst>
        </xdr:cNvPr>
        <xdr:cNvCxnSpPr/>
      </xdr:nvCxnSpPr>
      <xdr:spPr>
        <a:xfrm>
          <a:off x="14470917" y="2629150"/>
          <a:ext cx="0" cy="3878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91977</xdr:colOff>
      <xdr:row>11</xdr:row>
      <xdr:rowOff>72476</xdr:rowOff>
    </xdr:from>
    <xdr:to>
      <xdr:col>63</xdr:col>
      <xdr:colOff>91977</xdr:colOff>
      <xdr:row>11</xdr:row>
      <xdr:rowOff>101276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77D32986-27D1-4D49-BF02-08B6931FE851}"/>
            </a:ext>
          </a:extLst>
        </xdr:cNvPr>
        <xdr:cNvCxnSpPr/>
      </xdr:nvCxnSpPr>
      <xdr:spPr>
        <a:xfrm>
          <a:off x="14493777" y="2587076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68692</xdr:colOff>
      <xdr:row>11</xdr:row>
      <xdr:rowOff>112859</xdr:rowOff>
    </xdr:from>
    <xdr:to>
      <xdr:col>63</xdr:col>
      <xdr:colOff>97492</xdr:colOff>
      <xdr:row>11</xdr:row>
      <xdr:rowOff>112859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BBE1CE6-2BBA-4183-8B76-F79BFE33F0AF}"/>
            </a:ext>
          </a:extLst>
        </xdr:cNvPr>
        <xdr:cNvCxnSpPr/>
      </xdr:nvCxnSpPr>
      <xdr:spPr>
        <a:xfrm rot="2700000">
          <a:off x="14484892" y="2613059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81811</xdr:colOff>
      <xdr:row>11</xdr:row>
      <xdr:rowOff>48611</xdr:rowOff>
    </xdr:from>
    <xdr:to>
      <xdr:col>63</xdr:col>
      <xdr:colOff>81811</xdr:colOff>
      <xdr:row>11</xdr:row>
      <xdr:rowOff>77411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98A54D40-7EC8-4121-9D9B-F83458F5FC12}"/>
            </a:ext>
          </a:extLst>
        </xdr:cNvPr>
        <xdr:cNvCxnSpPr/>
      </xdr:nvCxnSpPr>
      <xdr:spPr>
        <a:xfrm rot="18900000">
          <a:off x="14483611" y="2563211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93882</xdr:colOff>
      <xdr:row>11</xdr:row>
      <xdr:rowOff>165985</xdr:rowOff>
    </xdr:from>
    <xdr:to>
      <xdr:col>63</xdr:col>
      <xdr:colOff>93882</xdr:colOff>
      <xdr:row>11</xdr:row>
      <xdr:rowOff>194785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B3C3DBD2-0C41-445F-B806-E772149E19C5}"/>
            </a:ext>
          </a:extLst>
        </xdr:cNvPr>
        <xdr:cNvCxnSpPr/>
      </xdr:nvCxnSpPr>
      <xdr:spPr>
        <a:xfrm>
          <a:off x="14495682" y="2680585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74715</xdr:colOff>
      <xdr:row>11</xdr:row>
      <xdr:rowOff>202394</xdr:rowOff>
    </xdr:from>
    <xdr:to>
      <xdr:col>63</xdr:col>
      <xdr:colOff>95895</xdr:colOff>
      <xdr:row>11</xdr:row>
      <xdr:rowOff>202394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1E4DC599-7E3A-4050-AC24-185205132599}"/>
            </a:ext>
          </a:extLst>
        </xdr:cNvPr>
        <xdr:cNvCxnSpPr/>
      </xdr:nvCxnSpPr>
      <xdr:spPr>
        <a:xfrm rot="2700000">
          <a:off x="14487105" y="2706404"/>
          <a:ext cx="0" cy="2118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83716</xdr:colOff>
      <xdr:row>11</xdr:row>
      <xdr:rowOff>144179</xdr:rowOff>
    </xdr:from>
    <xdr:to>
      <xdr:col>63</xdr:col>
      <xdr:colOff>83716</xdr:colOff>
      <xdr:row>11</xdr:row>
      <xdr:rowOff>172979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BB6BD78C-61CB-4086-BA4E-AB2DCAF9EB7B}"/>
            </a:ext>
          </a:extLst>
        </xdr:cNvPr>
        <xdr:cNvCxnSpPr/>
      </xdr:nvCxnSpPr>
      <xdr:spPr>
        <a:xfrm rot="18900000">
          <a:off x="14485516" y="2658779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23794</xdr:colOff>
      <xdr:row>21</xdr:row>
      <xdr:rowOff>219225</xdr:rowOff>
    </xdr:from>
    <xdr:to>
      <xdr:col>60</xdr:col>
      <xdr:colOff>23794</xdr:colOff>
      <xdr:row>23</xdr:row>
      <xdr:rowOff>71062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834876EC-AA43-46F8-BA86-E7F60DA8A5A4}"/>
            </a:ext>
          </a:extLst>
        </xdr:cNvPr>
        <xdr:cNvCxnSpPr/>
      </xdr:nvCxnSpPr>
      <xdr:spPr>
        <a:xfrm>
          <a:off x="13739794" y="5019825"/>
          <a:ext cx="0" cy="309037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125892</xdr:colOff>
      <xdr:row>12</xdr:row>
      <xdr:rowOff>120844</xdr:rowOff>
    </xdr:from>
    <xdr:to>
      <xdr:col>63</xdr:col>
      <xdr:colOff>187043</xdr:colOff>
      <xdr:row>12</xdr:row>
      <xdr:rowOff>120844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5A83A139-3439-4C8A-8645-28C98C614D78}"/>
            </a:ext>
          </a:extLst>
        </xdr:cNvPr>
        <xdr:cNvCxnSpPr/>
      </xdr:nvCxnSpPr>
      <xdr:spPr>
        <a:xfrm>
          <a:off x="14299092" y="2864044"/>
          <a:ext cx="28975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104455</xdr:colOff>
      <xdr:row>10</xdr:row>
      <xdr:rowOff>1</xdr:rowOff>
    </xdr:from>
    <xdr:ext cx="336311" cy="22499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150B96A-B698-45DE-A041-B804405764BF}"/>
            </a:ext>
          </a:extLst>
        </xdr:cNvPr>
        <xdr:cNvSpPr txBox="1"/>
      </xdr:nvSpPr>
      <xdr:spPr>
        <a:xfrm>
          <a:off x="14049055" y="2286001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140581</xdr:colOff>
      <xdr:row>10</xdr:row>
      <xdr:rowOff>206532</xdr:rowOff>
    </xdr:from>
    <xdr:to>
      <xdr:col>62</xdr:col>
      <xdr:colOff>140581</xdr:colOff>
      <xdr:row>11</xdr:row>
      <xdr:rowOff>160981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ED075D48-F9A0-4CAC-BC9B-759F096FCA82}"/>
            </a:ext>
          </a:extLst>
        </xdr:cNvPr>
        <xdr:cNvCxnSpPr/>
      </xdr:nvCxnSpPr>
      <xdr:spPr>
        <a:xfrm>
          <a:off x="14313781" y="2492532"/>
          <a:ext cx="0" cy="18304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212282</xdr:colOff>
      <xdr:row>10</xdr:row>
      <xdr:rowOff>206532</xdr:rowOff>
    </xdr:from>
    <xdr:to>
      <xdr:col>63</xdr:col>
      <xdr:colOff>212282</xdr:colOff>
      <xdr:row>11</xdr:row>
      <xdr:rowOff>160981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93117D9D-6A68-4611-9F90-DFF61DEE2018}"/>
            </a:ext>
          </a:extLst>
        </xdr:cNvPr>
        <xdr:cNvCxnSpPr/>
      </xdr:nvCxnSpPr>
      <xdr:spPr>
        <a:xfrm>
          <a:off x="14614082" y="2492532"/>
          <a:ext cx="0" cy="18304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156789</xdr:colOff>
      <xdr:row>11</xdr:row>
      <xdr:rowOff>6005</xdr:rowOff>
    </xdr:from>
    <xdr:to>
      <xdr:col>63</xdr:col>
      <xdr:colOff>205304</xdr:colOff>
      <xdr:row>11</xdr:row>
      <xdr:rowOff>6005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9BB0C375-7F5B-44C8-B387-F5FA39885456}"/>
            </a:ext>
          </a:extLst>
        </xdr:cNvPr>
        <xdr:cNvCxnSpPr/>
      </xdr:nvCxnSpPr>
      <xdr:spPr>
        <a:xfrm>
          <a:off x="14329989" y="2520605"/>
          <a:ext cx="27711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27041</xdr:colOff>
      <xdr:row>12</xdr:row>
      <xdr:rowOff>153629</xdr:rowOff>
    </xdr:from>
    <xdr:to>
      <xdr:col>68</xdr:col>
      <xdr:colOff>145972</xdr:colOff>
      <xdr:row>21</xdr:row>
      <xdr:rowOff>209083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B6DB2FC5-9B99-4097-B903-455548A34D60}"/>
            </a:ext>
          </a:extLst>
        </xdr:cNvPr>
        <xdr:cNvCxnSpPr/>
      </xdr:nvCxnSpPr>
      <xdr:spPr>
        <a:xfrm flipV="1">
          <a:off x="13743041" y="2896829"/>
          <a:ext cx="1947731" cy="2112854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94583</xdr:colOff>
      <xdr:row>12</xdr:row>
      <xdr:rowOff>120844</xdr:rowOff>
    </xdr:from>
    <xdr:to>
      <xdr:col>69</xdr:col>
      <xdr:colOff>87684</xdr:colOff>
      <xdr:row>12</xdr:row>
      <xdr:rowOff>120844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DC7EDD00-90BE-4FD7-8F7C-AB413A5292AC}"/>
            </a:ext>
          </a:extLst>
        </xdr:cNvPr>
        <xdr:cNvCxnSpPr/>
      </xdr:nvCxnSpPr>
      <xdr:spPr>
        <a:xfrm>
          <a:off x="14496383" y="2864044"/>
          <a:ext cx="1364701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206386</xdr:colOff>
      <xdr:row>10</xdr:row>
      <xdr:rowOff>1</xdr:rowOff>
    </xdr:from>
    <xdr:ext cx="374783" cy="224998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F51D9DB7-2CB8-430D-BFD9-14351EC8FFFB}"/>
            </a:ext>
          </a:extLst>
        </xdr:cNvPr>
        <xdr:cNvSpPr txBox="1"/>
      </xdr:nvSpPr>
      <xdr:spPr>
        <a:xfrm>
          <a:off x="14836786" y="2286001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u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59</xdr:col>
      <xdr:colOff>207231</xdr:colOff>
      <xdr:row>21</xdr:row>
      <xdr:rowOff>57416</xdr:rowOff>
    </xdr:from>
    <xdr:to>
      <xdr:col>60</xdr:col>
      <xdr:colOff>225235</xdr:colOff>
      <xdr:row>22</xdr:row>
      <xdr:rowOff>59447</xdr:rowOff>
    </xdr:to>
    <xdr:sp macro="" textlink="">
      <xdr:nvSpPr>
        <xdr:cNvPr id="33" name="円弧 32">
          <a:extLst>
            <a:ext uri="{FF2B5EF4-FFF2-40B4-BE49-F238E27FC236}">
              <a16:creationId xmlns:a16="http://schemas.microsoft.com/office/drawing/2014/main" id="{71257FD2-7FD4-4D3B-8C0C-409EAB4FE5AA}"/>
            </a:ext>
          </a:extLst>
        </xdr:cNvPr>
        <xdr:cNvSpPr/>
      </xdr:nvSpPr>
      <xdr:spPr>
        <a:xfrm rot="1800000">
          <a:off x="13694631" y="4858016"/>
          <a:ext cx="246604" cy="230631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60</xdr:col>
      <xdr:colOff>31696</xdr:colOff>
      <xdr:row>21</xdr:row>
      <xdr:rowOff>196360</xdr:rowOff>
    </xdr:from>
    <xdr:to>
      <xdr:col>62</xdr:col>
      <xdr:colOff>152958</xdr:colOff>
      <xdr:row>21</xdr:row>
      <xdr:rowOff>196360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E1A800F2-7F1E-4D33-93AB-0963E8FE0F39}"/>
            </a:ext>
          </a:extLst>
        </xdr:cNvPr>
        <xdr:cNvCxnSpPr/>
      </xdr:nvCxnSpPr>
      <xdr:spPr>
        <a:xfrm>
          <a:off x="13747696" y="4996960"/>
          <a:ext cx="578462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183646</xdr:colOff>
      <xdr:row>20</xdr:row>
      <xdr:rowOff>192398</xdr:rowOff>
    </xdr:from>
    <xdr:ext cx="355097" cy="242374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3FE016B-7F79-4FC0-BCBD-BA16EE056A6F}"/>
            </a:ext>
          </a:extLst>
        </xdr:cNvPr>
        <xdr:cNvSpPr txBox="1"/>
      </xdr:nvSpPr>
      <xdr:spPr>
        <a:xfrm>
          <a:off x="13899646" y="4764398"/>
          <a:ext cx="355097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ω=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39516</xdr:colOff>
      <xdr:row>13</xdr:row>
      <xdr:rowOff>3352</xdr:rowOff>
    </xdr:from>
    <xdr:to>
      <xdr:col>64</xdr:col>
      <xdr:colOff>55247</xdr:colOff>
      <xdr:row>14</xdr:row>
      <xdr:rowOff>9267</xdr:rowOff>
    </xdr:to>
    <xdr:sp macro="" textlink="">
      <xdr:nvSpPr>
        <xdr:cNvPr id="36" name="円弧 35">
          <a:extLst>
            <a:ext uri="{FF2B5EF4-FFF2-40B4-BE49-F238E27FC236}">
              <a16:creationId xmlns:a16="http://schemas.microsoft.com/office/drawing/2014/main" id="{04F394E2-3AAE-4A23-B77D-FEBD7D402CE1}"/>
            </a:ext>
          </a:extLst>
        </xdr:cNvPr>
        <xdr:cNvSpPr/>
      </xdr:nvSpPr>
      <xdr:spPr>
        <a:xfrm rot="9761260">
          <a:off x="14441316" y="2975152"/>
          <a:ext cx="244331" cy="234515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63</xdr:col>
      <xdr:colOff>190551</xdr:colOff>
      <xdr:row>12</xdr:row>
      <xdr:rowOff>121671</xdr:rowOff>
    </xdr:from>
    <xdr:to>
      <xdr:col>63</xdr:col>
      <xdr:colOff>190551</xdr:colOff>
      <xdr:row>15</xdr:row>
      <xdr:rowOff>111063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97017824-871C-480A-947D-E98EB1231310}"/>
            </a:ext>
          </a:extLst>
        </xdr:cNvPr>
        <xdr:cNvCxnSpPr/>
      </xdr:nvCxnSpPr>
      <xdr:spPr>
        <a:xfrm>
          <a:off x="14592351" y="2864871"/>
          <a:ext cx="0" cy="675192"/>
        </a:xfrm>
        <a:prstGeom prst="line">
          <a:avLst/>
        </a:prstGeom>
        <a:ln w="3175">
          <a:solidFill>
            <a:schemeClr val="tx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219265</xdr:colOff>
      <xdr:row>13</xdr:row>
      <xdr:rowOff>197569</xdr:rowOff>
    </xdr:from>
    <xdr:ext cx="300082" cy="242374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67DF8C61-2CB4-46C2-B41C-28715469760E}"/>
            </a:ext>
          </a:extLst>
        </xdr:cNvPr>
        <xdr:cNvSpPr txBox="1"/>
      </xdr:nvSpPr>
      <xdr:spPr>
        <a:xfrm>
          <a:off x="14392465" y="3169369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α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209341</xdr:colOff>
      <xdr:row>11</xdr:row>
      <xdr:rowOff>6005</xdr:rowOff>
    </xdr:from>
    <xdr:to>
      <xdr:col>68</xdr:col>
      <xdr:colOff>191824</xdr:colOff>
      <xdr:row>11</xdr:row>
      <xdr:rowOff>6005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C1AB6588-B305-4EC3-89F6-A745FBEDCCEC}"/>
            </a:ext>
          </a:extLst>
        </xdr:cNvPr>
        <xdr:cNvCxnSpPr/>
      </xdr:nvCxnSpPr>
      <xdr:spPr>
        <a:xfrm>
          <a:off x="14611141" y="2520605"/>
          <a:ext cx="1125483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68</xdr:col>
      <xdr:colOff>191292</xdr:colOff>
      <xdr:row>10</xdr:row>
      <xdr:rowOff>206532</xdr:rowOff>
    </xdr:from>
    <xdr:to>
      <xdr:col>68</xdr:col>
      <xdr:colOff>191292</xdr:colOff>
      <xdr:row>11</xdr:row>
      <xdr:rowOff>160981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589E11E4-4073-4E93-A690-200E8895CA6D}"/>
            </a:ext>
          </a:extLst>
        </xdr:cNvPr>
        <xdr:cNvCxnSpPr/>
      </xdr:nvCxnSpPr>
      <xdr:spPr>
        <a:xfrm>
          <a:off x="15736092" y="2492532"/>
          <a:ext cx="0" cy="18304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191206</xdr:colOff>
      <xdr:row>13</xdr:row>
      <xdr:rowOff>193996</xdr:rowOff>
    </xdr:from>
    <xdr:to>
      <xdr:col>64</xdr:col>
      <xdr:colOff>191206</xdr:colOff>
      <xdr:row>16</xdr:row>
      <xdr:rowOff>108197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9360FD69-90F9-4346-BD6D-8DBD8C4ACD7A}"/>
            </a:ext>
          </a:extLst>
        </xdr:cNvPr>
        <xdr:cNvCxnSpPr/>
      </xdr:nvCxnSpPr>
      <xdr:spPr>
        <a:xfrm>
          <a:off x="14821606" y="3165796"/>
          <a:ext cx="0" cy="600001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24796</xdr:colOff>
      <xdr:row>13</xdr:row>
      <xdr:rowOff>29282</xdr:rowOff>
    </xdr:from>
    <xdr:ext cx="374718" cy="224998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B4126C7-592D-4D65-A78D-E333A13D5BD4}"/>
            </a:ext>
          </a:extLst>
        </xdr:cNvPr>
        <xdr:cNvSpPr txBox="1"/>
      </xdr:nvSpPr>
      <xdr:spPr>
        <a:xfrm>
          <a:off x="14655196" y="3001082"/>
          <a:ext cx="37471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206563</xdr:colOff>
      <xdr:row>18</xdr:row>
      <xdr:rowOff>27806</xdr:rowOff>
    </xdr:from>
    <xdr:to>
      <xdr:col>65</xdr:col>
      <xdr:colOff>213023</xdr:colOff>
      <xdr:row>18</xdr:row>
      <xdr:rowOff>27806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FCFF01BD-3C35-4B05-9678-27AC085F5CEF}"/>
            </a:ext>
          </a:extLst>
        </xdr:cNvPr>
        <xdr:cNvCxnSpPr/>
      </xdr:nvCxnSpPr>
      <xdr:spPr>
        <a:xfrm rot="2460000">
          <a:off x="14608363" y="4142606"/>
          <a:ext cx="463660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126430</xdr:colOff>
      <xdr:row>17</xdr:row>
      <xdr:rowOff>110110</xdr:rowOff>
    </xdr:from>
    <xdr:to>
      <xdr:col>64</xdr:col>
      <xdr:colOff>126430</xdr:colOff>
      <xdr:row>20</xdr:row>
      <xdr:rowOff>1333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E7F0422A-6A9A-4E65-9F26-B9E6C7658523}"/>
            </a:ext>
          </a:extLst>
        </xdr:cNvPr>
        <xdr:cNvCxnSpPr/>
      </xdr:nvCxnSpPr>
      <xdr:spPr>
        <a:xfrm rot="4260000">
          <a:off x="14468318" y="4284822"/>
          <a:ext cx="577023" cy="0"/>
        </a:xfrm>
        <a:prstGeom prst="line">
          <a:avLst/>
        </a:prstGeom>
        <a:ln w="25400">
          <a:solidFill>
            <a:schemeClr val="tx1"/>
          </a:solidFill>
          <a:prstDash val="solid"/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224135</xdr:colOff>
      <xdr:row>17</xdr:row>
      <xdr:rowOff>163310</xdr:rowOff>
    </xdr:from>
    <xdr:to>
      <xdr:col>65</xdr:col>
      <xdr:colOff>8451</xdr:colOff>
      <xdr:row>18</xdr:row>
      <xdr:rowOff>168151</xdr:rowOff>
    </xdr:to>
    <xdr:sp macro="" textlink="">
      <xdr:nvSpPr>
        <xdr:cNvPr id="45" name="円弧 44">
          <a:extLst>
            <a:ext uri="{FF2B5EF4-FFF2-40B4-BE49-F238E27FC236}">
              <a16:creationId xmlns:a16="http://schemas.microsoft.com/office/drawing/2014/main" id="{EAADDDFD-160A-4765-A93B-7F9F9F9401D9}"/>
            </a:ext>
          </a:extLst>
        </xdr:cNvPr>
        <xdr:cNvSpPr/>
      </xdr:nvSpPr>
      <xdr:spPr>
        <a:xfrm rot="5940764">
          <a:off x="14629972" y="4045473"/>
          <a:ext cx="233441" cy="241516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64</xdr:col>
      <xdr:colOff>126425</xdr:colOff>
      <xdr:row>18</xdr:row>
      <xdr:rowOff>136176</xdr:rowOff>
    </xdr:from>
    <xdr:ext cx="300082" cy="242374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89A45537-CAA3-47B0-AF03-870504952122}"/>
            </a:ext>
          </a:extLst>
        </xdr:cNvPr>
        <xdr:cNvSpPr txBox="1"/>
      </xdr:nvSpPr>
      <xdr:spPr>
        <a:xfrm>
          <a:off x="14756825" y="4250976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φ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95487</xdr:colOff>
      <xdr:row>18</xdr:row>
      <xdr:rowOff>180195</xdr:rowOff>
    </xdr:from>
    <xdr:to>
      <xdr:col>61</xdr:col>
      <xdr:colOff>72495</xdr:colOff>
      <xdr:row>18</xdr:row>
      <xdr:rowOff>180195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50893D9-2A62-42F1-8C63-FBA9C2178957}"/>
            </a:ext>
          </a:extLst>
        </xdr:cNvPr>
        <xdr:cNvCxnSpPr/>
      </xdr:nvCxnSpPr>
      <xdr:spPr>
        <a:xfrm rot="5160000">
          <a:off x="13914291" y="4192191"/>
          <a:ext cx="0" cy="205608"/>
        </a:xfrm>
        <a:prstGeom prst="line">
          <a:avLst/>
        </a:prstGeom>
        <a:ln w="25400">
          <a:solidFill>
            <a:schemeClr val="tx1"/>
          </a:solidFill>
          <a:prstDash val="solid"/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53266</xdr:colOff>
      <xdr:row>18</xdr:row>
      <xdr:rowOff>95744</xdr:rowOff>
    </xdr:from>
    <xdr:to>
      <xdr:col>61</xdr:col>
      <xdr:colOff>80245</xdr:colOff>
      <xdr:row>18</xdr:row>
      <xdr:rowOff>169547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2789CDB9-BEB1-4550-96DD-CDC6DF637BF1}"/>
            </a:ext>
          </a:extLst>
        </xdr:cNvPr>
        <xdr:cNvCxnSpPr/>
      </xdr:nvCxnSpPr>
      <xdr:spPr>
        <a:xfrm rot="240000">
          <a:off x="13769266" y="4210544"/>
          <a:ext cx="255579" cy="73803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146423</xdr:colOff>
      <xdr:row>17</xdr:row>
      <xdr:rowOff>68250</xdr:rowOff>
    </xdr:from>
    <xdr:ext cx="355097" cy="242374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E39D93EF-1D40-4664-A283-49552654CEBF}"/>
            </a:ext>
          </a:extLst>
        </xdr:cNvPr>
        <xdr:cNvSpPr txBox="1"/>
      </xdr:nvSpPr>
      <xdr:spPr>
        <a:xfrm>
          <a:off x="13633823" y="3954450"/>
          <a:ext cx="355097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δ=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122313</xdr:colOff>
      <xdr:row>18</xdr:row>
      <xdr:rowOff>65629</xdr:rowOff>
    </xdr:from>
    <xdr:to>
      <xdr:col>61</xdr:col>
      <xdr:colOff>158455</xdr:colOff>
      <xdr:row>19</xdr:row>
      <xdr:rowOff>65011</xdr:rowOff>
    </xdr:to>
    <xdr:sp macro="" textlink="">
      <xdr:nvSpPr>
        <xdr:cNvPr id="50" name="円弧 49">
          <a:extLst>
            <a:ext uri="{FF2B5EF4-FFF2-40B4-BE49-F238E27FC236}">
              <a16:creationId xmlns:a16="http://schemas.microsoft.com/office/drawing/2014/main" id="{6C865292-3C10-4621-8792-8921E50A787D}"/>
            </a:ext>
          </a:extLst>
        </xdr:cNvPr>
        <xdr:cNvSpPr/>
      </xdr:nvSpPr>
      <xdr:spPr>
        <a:xfrm rot="11882846">
          <a:off x="13838313" y="4180429"/>
          <a:ext cx="264742" cy="227982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60</xdr:col>
      <xdr:colOff>127567</xdr:colOff>
      <xdr:row>18</xdr:row>
      <xdr:rowOff>439</xdr:rowOff>
    </xdr:from>
    <xdr:to>
      <xdr:col>61</xdr:col>
      <xdr:colOff>144197</xdr:colOff>
      <xdr:row>19</xdr:row>
      <xdr:rowOff>12382</xdr:rowOff>
    </xdr:to>
    <xdr:sp macro="" textlink="">
      <xdr:nvSpPr>
        <xdr:cNvPr id="51" name="円弧 50">
          <a:extLst>
            <a:ext uri="{FF2B5EF4-FFF2-40B4-BE49-F238E27FC236}">
              <a16:creationId xmlns:a16="http://schemas.microsoft.com/office/drawing/2014/main" id="{9FDA6D54-CE95-497A-A660-9D972EEB1D7B}"/>
            </a:ext>
          </a:extLst>
        </xdr:cNvPr>
        <xdr:cNvSpPr/>
      </xdr:nvSpPr>
      <xdr:spPr>
        <a:xfrm rot="16419954">
          <a:off x="13845910" y="4112896"/>
          <a:ext cx="240543" cy="245230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59</xdr:col>
      <xdr:colOff>48919</xdr:colOff>
      <xdr:row>18</xdr:row>
      <xdr:rowOff>102855</xdr:rowOff>
    </xdr:from>
    <xdr:ext cx="255198" cy="224998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2AE3A94C-9FD7-47A9-BD01-5BF74842B96C}"/>
            </a:ext>
          </a:extLst>
        </xdr:cNvPr>
        <xdr:cNvSpPr txBox="1"/>
      </xdr:nvSpPr>
      <xdr:spPr>
        <a:xfrm>
          <a:off x="13536319" y="4217655"/>
          <a:ext cx="25519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89765</xdr:colOff>
      <xdr:row>17</xdr:row>
      <xdr:rowOff>58808</xdr:rowOff>
    </xdr:from>
    <xdr:to>
      <xdr:col>64</xdr:col>
      <xdr:colOff>138458</xdr:colOff>
      <xdr:row>17</xdr:row>
      <xdr:rowOff>105178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E5C65A41-57C2-48FA-BEBD-CD892A39E738}"/>
            </a:ext>
          </a:extLst>
        </xdr:cNvPr>
        <xdr:cNvCxnSpPr/>
      </xdr:nvCxnSpPr>
      <xdr:spPr>
        <a:xfrm>
          <a:off x="14720165" y="3945008"/>
          <a:ext cx="48693" cy="46370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91818</xdr:colOff>
      <xdr:row>17</xdr:row>
      <xdr:rowOff>106923</xdr:rowOff>
    </xdr:from>
    <xdr:to>
      <xdr:col>64</xdr:col>
      <xdr:colOff>137383</xdr:colOff>
      <xdr:row>17</xdr:row>
      <xdr:rowOff>152195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9104EC2-32B6-459F-A293-F9F2BB9C238B}"/>
            </a:ext>
          </a:extLst>
        </xdr:cNvPr>
        <xdr:cNvCxnSpPr/>
      </xdr:nvCxnSpPr>
      <xdr:spPr>
        <a:xfrm rot="5400000">
          <a:off x="14722365" y="3992976"/>
          <a:ext cx="45272" cy="45565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14026</xdr:colOff>
      <xdr:row>18</xdr:row>
      <xdr:rowOff>78479</xdr:rowOff>
    </xdr:from>
    <xdr:to>
      <xdr:col>61</xdr:col>
      <xdr:colOff>85942</xdr:colOff>
      <xdr:row>18</xdr:row>
      <xdr:rowOff>99612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05ABE5B4-423B-4A42-A198-08EC9CFA4473}"/>
            </a:ext>
          </a:extLst>
        </xdr:cNvPr>
        <xdr:cNvCxnSpPr/>
      </xdr:nvCxnSpPr>
      <xdr:spPr>
        <a:xfrm rot="240000">
          <a:off x="13958626" y="4193279"/>
          <a:ext cx="71916" cy="21133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225701</xdr:colOff>
      <xdr:row>18</xdr:row>
      <xdr:rowOff>78556</xdr:rowOff>
    </xdr:from>
    <xdr:to>
      <xdr:col>61</xdr:col>
      <xdr:colOff>14498</xdr:colOff>
      <xdr:row>18</xdr:row>
      <xdr:rowOff>134544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AB6F4E55-70EB-443B-BB71-442DD3E74E3E}"/>
            </a:ext>
          </a:extLst>
        </xdr:cNvPr>
        <xdr:cNvCxnSpPr/>
      </xdr:nvCxnSpPr>
      <xdr:spPr>
        <a:xfrm rot="240000" flipH="1">
          <a:off x="13941701" y="4193356"/>
          <a:ext cx="17397" cy="55988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56</xdr:col>
      <xdr:colOff>9535</xdr:colOff>
      <xdr:row>15</xdr:row>
      <xdr:rowOff>162099</xdr:rowOff>
    </xdr:from>
    <xdr:ext cx="224998" cy="444352"/>
    <xdr:sp macro="" textlink="'1.条件'!T6">
      <xdr:nvSpPr>
        <xdr:cNvPr id="69" name="テキスト ボックス 68">
          <a:extLst>
            <a:ext uri="{FF2B5EF4-FFF2-40B4-BE49-F238E27FC236}">
              <a16:creationId xmlns:a16="http://schemas.microsoft.com/office/drawing/2014/main" id="{4D4C83C5-0BA0-4DC7-B133-6CF2F237DF4C}"/>
            </a:ext>
          </a:extLst>
        </xdr:cNvPr>
        <xdr:cNvSpPr txBox="1"/>
      </xdr:nvSpPr>
      <xdr:spPr>
        <a:xfrm rot="16200000">
          <a:off x="12701458" y="3700776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150FA9F-C979-434C-B24E-705E253846D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6.000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62</xdr:col>
      <xdr:colOff>74520</xdr:colOff>
      <xdr:row>10</xdr:row>
      <xdr:rowOff>0</xdr:rowOff>
    </xdr:from>
    <xdr:ext cx="444352" cy="224998"/>
    <xdr:sp macro="" textlink="'1.条件'!T7">
      <xdr:nvSpPr>
        <xdr:cNvPr id="70" name="テキスト ボックス 69">
          <a:extLst>
            <a:ext uri="{FF2B5EF4-FFF2-40B4-BE49-F238E27FC236}">
              <a16:creationId xmlns:a16="http://schemas.microsoft.com/office/drawing/2014/main" id="{E623F8F2-591E-4FE3-9CBD-043B860C14E0}"/>
            </a:ext>
          </a:extLst>
        </xdr:cNvPr>
        <xdr:cNvSpPr txBox="1"/>
      </xdr:nvSpPr>
      <xdr:spPr>
        <a:xfrm>
          <a:off x="14247720" y="2286000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9C3E346-BB4E-4DE1-8AF6-EC2E07846450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129824</xdr:colOff>
      <xdr:row>17</xdr:row>
      <xdr:rowOff>193838</xdr:rowOff>
    </xdr:from>
    <xdr:ext cx="224998" cy="444352"/>
    <xdr:sp macro="" textlink="'1.条件'!T9">
      <xdr:nvSpPr>
        <xdr:cNvPr id="71" name="テキスト ボックス 70">
          <a:extLst>
            <a:ext uri="{FF2B5EF4-FFF2-40B4-BE49-F238E27FC236}">
              <a16:creationId xmlns:a16="http://schemas.microsoft.com/office/drawing/2014/main" id="{D92B7342-1481-4114-BFCC-48F367B013CD}"/>
            </a:ext>
          </a:extLst>
        </xdr:cNvPr>
        <xdr:cNvSpPr txBox="1"/>
      </xdr:nvSpPr>
      <xdr:spPr>
        <a:xfrm rot="17760000">
          <a:off x="13278947" y="418971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DEF5E5E-65E4-4B68-982A-EE6EA8E0C3E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60</xdr:col>
      <xdr:colOff>174159</xdr:colOff>
      <xdr:row>18</xdr:row>
      <xdr:rowOff>158347</xdr:rowOff>
    </xdr:from>
    <xdr:ext cx="224998" cy="444352"/>
    <xdr:sp macro="" textlink="'1.条件'!T10">
      <xdr:nvSpPr>
        <xdr:cNvPr id="72" name="テキスト ボックス 71">
          <a:extLst>
            <a:ext uri="{FF2B5EF4-FFF2-40B4-BE49-F238E27FC236}">
              <a16:creationId xmlns:a16="http://schemas.microsoft.com/office/drawing/2014/main" id="{5092159F-99C8-4083-B1F4-DCC1A8DCDBCA}"/>
            </a:ext>
          </a:extLst>
        </xdr:cNvPr>
        <xdr:cNvSpPr txBox="1"/>
      </xdr:nvSpPr>
      <xdr:spPr>
        <a:xfrm rot="17460000">
          <a:off x="13780482" y="4382824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22FD523-5332-486C-9DA7-7C2CB95F7C0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159661</xdr:colOff>
      <xdr:row>23</xdr:row>
      <xdr:rowOff>7542</xdr:rowOff>
    </xdr:from>
    <xdr:ext cx="444352" cy="224998"/>
    <xdr:sp macro="" textlink="'1.条件'!T8">
      <xdr:nvSpPr>
        <xdr:cNvPr id="73" name="テキスト ボックス 72">
          <a:extLst>
            <a:ext uri="{FF2B5EF4-FFF2-40B4-BE49-F238E27FC236}">
              <a16:creationId xmlns:a16="http://schemas.microsoft.com/office/drawing/2014/main" id="{1CC8154D-E6ED-4AC0-877A-3463F631377E}"/>
            </a:ext>
          </a:extLst>
        </xdr:cNvPr>
        <xdr:cNvSpPr txBox="1"/>
      </xdr:nvSpPr>
      <xdr:spPr>
        <a:xfrm>
          <a:off x="13418461" y="5265342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F2F7B346-EE5D-4F5C-8401-AA4E9B0FF16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57160</xdr:colOff>
      <xdr:row>13</xdr:row>
      <xdr:rowOff>19050</xdr:rowOff>
    </xdr:from>
    <xdr:ext cx="559769" cy="224998"/>
    <xdr:sp macro="" textlink="'2.土-衝'!BM9">
      <xdr:nvSpPr>
        <xdr:cNvPr id="74" name="テキスト ボックス 73">
          <a:extLst>
            <a:ext uri="{FF2B5EF4-FFF2-40B4-BE49-F238E27FC236}">
              <a16:creationId xmlns:a16="http://schemas.microsoft.com/office/drawing/2014/main" id="{FA2D85A1-D885-4672-87BD-8B9624959680}"/>
            </a:ext>
          </a:extLst>
        </xdr:cNvPr>
        <xdr:cNvSpPr txBox="1"/>
      </xdr:nvSpPr>
      <xdr:spPr>
        <a:xfrm>
          <a:off x="14916160" y="2990850"/>
          <a:ext cx="55976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B7A5165-9110-4652-B5AD-714162D295A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182.120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63</xdr:col>
      <xdr:colOff>3474</xdr:colOff>
      <xdr:row>14</xdr:row>
      <xdr:rowOff>71005</xdr:rowOff>
    </xdr:from>
    <xdr:ext cx="425053" cy="224998"/>
    <xdr:sp macro="" textlink="$AV$17">
      <xdr:nvSpPr>
        <xdr:cNvPr id="75" name="テキスト ボックス 74">
          <a:extLst>
            <a:ext uri="{FF2B5EF4-FFF2-40B4-BE49-F238E27FC236}">
              <a16:creationId xmlns:a16="http://schemas.microsoft.com/office/drawing/2014/main" id="{187036B5-47F4-4043-855E-292E8D7BDC4E}"/>
            </a:ext>
          </a:extLst>
        </xdr:cNvPr>
        <xdr:cNvSpPr txBox="1"/>
      </xdr:nvSpPr>
      <xdr:spPr>
        <a:xfrm>
          <a:off x="14405274" y="3271405"/>
          <a:ext cx="42505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32612CB-453C-4536-B7AE-9E757FEB58B5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-21.8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63</xdr:col>
      <xdr:colOff>111386</xdr:colOff>
      <xdr:row>13</xdr:row>
      <xdr:rowOff>218915</xdr:rowOff>
    </xdr:from>
    <xdr:ext cx="249748" cy="224998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47E5BD8E-EEAA-4A57-BDAD-8F01BF25736D}"/>
            </a:ext>
          </a:extLst>
        </xdr:cNvPr>
        <xdr:cNvSpPr txBox="1"/>
      </xdr:nvSpPr>
      <xdr:spPr>
        <a:xfrm>
          <a:off x="14513186" y="3190715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29109</xdr:colOff>
      <xdr:row>18</xdr:row>
      <xdr:rowOff>146996</xdr:rowOff>
    </xdr:from>
    <xdr:ext cx="249748" cy="224998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D58FC5E2-DA11-44DA-A71F-852B774014CE}"/>
            </a:ext>
          </a:extLst>
        </xdr:cNvPr>
        <xdr:cNvSpPr txBox="1"/>
      </xdr:nvSpPr>
      <xdr:spPr>
        <a:xfrm>
          <a:off x="14888109" y="4261796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61</xdr:col>
      <xdr:colOff>165744</xdr:colOff>
      <xdr:row>20</xdr:row>
      <xdr:rowOff>194079</xdr:rowOff>
    </xdr:from>
    <xdr:ext cx="300082" cy="224998"/>
    <xdr:sp macro="" textlink="'2.土-衝'!BM5">
      <xdr:nvSpPr>
        <xdr:cNvPr id="78" name="テキスト ボックス 77">
          <a:extLst>
            <a:ext uri="{FF2B5EF4-FFF2-40B4-BE49-F238E27FC236}">
              <a16:creationId xmlns:a16="http://schemas.microsoft.com/office/drawing/2014/main" id="{2CD837D9-BD82-4BDA-ADF7-B82B1997CF03}"/>
            </a:ext>
          </a:extLst>
        </xdr:cNvPr>
        <xdr:cNvSpPr txBox="1"/>
      </xdr:nvSpPr>
      <xdr:spPr>
        <a:xfrm>
          <a:off x="14110344" y="4766079"/>
          <a:ext cx="30008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6874725-48F2-4126-B52E-671B498BA7B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47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26895</xdr:colOff>
      <xdr:row>10</xdr:row>
      <xdr:rowOff>0</xdr:rowOff>
    </xdr:from>
    <xdr:ext cx="444352" cy="224998"/>
    <xdr:sp macro="" textlink="'2.土-衝'!BM7">
      <xdr:nvSpPr>
        <xdr:cNvPr id="79" name="テキスト ボックス 78">
          <a:extLst>
            <a:ext uri="{FF2B5EF4-FFF2-40B4-BE49-F238E27FC236}">
              <a16:creationId xmlns:a16="http://schemas.microsoft.com/office/drawing/2014/main" id="{14A8B6AB-4383-44C2-A61E-6EA674CF3819}"/>
            </a:ext>
          </a:extLst>
        </xdr:cNvPr>
        <xdr:cNvSpPr txBox="1"/>
      </xdr:nvSpPr>
      <xdr:spPr>
        <a:xfrm>
          <a:off x="15114495" y="2286000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E30AF48-0507-4203-A8CC-B3D1D29F9A23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3.195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60</xdr:col>
      <xdr:colOff>108509</xdr:colOff>
      <xdr:row>17</xdr:row>
      <xdr:rowOff>72540</xdr:rowOff>
    </xdr:from>
    <xdr:ext cx="300082" cy="224998"/>
    <xdr:sp macro="" textlink="'2.土-常'!$P$23">
      <xdr:nvSpPr>
        <xdr:cNvPr id="80" name="テキスト ボックス 79">
          <a:extLst>
            <a:ext uri="{FF2B5EF4-FFF2-40B4-BE49-F238E27FC236}">
              <a16:creationId xmlns:a16="http://schemas.microsoft.com/office/drawing/2014/main" id="{87F2220C-2C42-469E-9185-8387FC5BF658}"/>
            </a:ext>
          </a:extLst>
        </xdr:cNvPr>
        <xdr:cNvSpPr txBox="1"/>
      </xdr:nvSpPr>
      <xdr:spPr>
        <a:xfrm>
          <a:off x="13824509" y="3958740"/>
          <a:ext cx="30008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A4317-8654-4260-A586-52995751738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20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59</xdr:col>
      <xdr:colOff>144430</xdr:colOff>
      <xdr:row>18</xdr:row>
      <xdr:rowOff>114245</xdr:rowOff>
    </xdr:from>
    <xdr:ext cx="249748" cy="224998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BC6C7BEF-76B1-4A65-ABD7-2FEAFE13EA13}"/>
            </a:ext>
          </a:extLst>
        </xdr:cNvPr>
        <xdr:cNvSpPr txBox="1"/>
      </xdr:nvSpPr>
      <xdr:spPr>
        <a:xfrm>
          <a:off x="13631830" y="4229045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225857</xdr:colOff>
      <xdr:row>18</xdr:row>
      <xdr:rowOff>207795</xdr:rowOff>
    </xdr:from>
    <xdr:ext cx="502061" cy="224998"/>
    <xdr:sp macro="" textlink="'2.土-衝'!BM11">
      <xdr:nvSpPr>
        <xdr:cNvPr id="82" name="テキスト ボックス 81">
          <a:extLst>
            <a:ext uri="{FF2B5EF4-FFF2-40B4-BE49-F238E27FC236}">
              <a16:creationId xmlns:a16="http://schemas.microsoft.com/office/drawing/2014/main" id="{47221089-4FF1-43A3-A337-4AF4B408D70F}"/>
            </a:ext>
          </a:extLst>
        </xdr:cNvPr>
        <xdr:cNvSpPr txBox="1"/>
      </xdr:nvSpPr>
      <xdr:spPr>
        <a:xfrm>
          <a:off x="13484657" y="4322595"/>
          <a:ext cx="50206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FEC26FD5-4E21-4231-BEF1-5CA2AC2DD91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56.248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61</xdr:col>
      <xdr:colOff>65713</xdr:colOff>
      <xdr:row>14</xdr:row>
      <xdr:rowOff>1075</xdr:rowOff>
    </xdr:from>
    <xdr:ext cx="286104" cy="224998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32335E28-83C0-4D6C-92CA-73E2BCD9CF20}"/>
            </a:ext>
          </a:extLst>
        </xdr:cNvPr>
        <xdr:cNvSpPr txBox="1"/>
      </xdr:nvSpPr>
      <xdr:spPr>
        <a:xfrm>
          <a:off x="14027987" y="3205531"/>
          <a:ext cx="28610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46360</xdr:colOff>
      <xdr:row>14</xdr:row>
      <xdr:rowOff>204853</xdr:rowOff>
    </xdr:from>
    <xdr:to>
      <xdr:col>62</xdr:col>
      <xdr:colOff>100623</xdr:colOff>
      <xdr:row>14</xdr:row>
      <xdr:rowOff>204853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BE5A610F-66CD-4301-81E1-B86980038008}"/>
            </a:ext>
          </a:extLst>
        </xdr:cNvPr>
        <xdr:cNvCxnSpPr/>
      </xdr:nvCxnSpPr>
      <xdr:spPr>
        <a:xfrm>
          <a:off x="14008634" y="3409309"/>
          <a:ext cx="283152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50571</xdr:colOff>
      <xdr:row>14</xdr:row>
      <xdr:rowOff>173334</xdr:rowOff>
    </xdr:from>
    <xdr:to>
      <xdr:col>61</xdr:col>
      <xdr:colOff>50571</xdr:colOff>
      <xdr:row>15</xdr:row>
      <xdr:rowOff>122074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CC01D2A7-9A32-40C6-85A1-8DE7E40C2166}"/>
            </a:ext>
          </a:extLst>
        </xdr:cNvPr>
        <xdr:cNvCxnSpPr/>
      </xdr:nvCxnSpPr>
      <xdr:spPr>
        <a:xfrm>
          <a:off x="14012845" y="3377790"/>
          <a:ext cx="0" cy="17763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169893</xdr:colOff>
      <xdr:row>15</xdr:row>
      <xdr:rowOff>137572</xdr:rowOff>
    </xdr:from>
    <xdr:ext cx="224998" cy="286104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B7D36930-48E6-4497-A5EC-7ECF45753714}"/>
            </a:ext>
          </a:extLst>
        </xdr:cNvPr>
        <xdr:cNvSpPr txBox="1"/>
      </xdr:nvSpPr>
      <xdr:spPr>
        <a:xfrm rot="16200000">
          <a:off x="13398140" y="3597125"/>
          <a:ext cx="28610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59</xdr:col>
      <xdr:colOff>122392</xdr:colOff>
      <xdr:row>15</xdr:row>
      <xdr:rowOff>148775</xdr:rowOff>
    </xdr:from>
    <xdr:to>
      <xdr:col>60</xdr:col>
      <xdr:colOff>20817</xdr:colOff>
      <xdr:row>15</xdr:row>
      <xdr:rowOff>148775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3717CEE0-E12E-4FAC-BBE6-1D5C020B052C}"/>
            </a:ext>
          </a:extLst>
        </xdr:cNvPr>
        <xdr:cNvCxnSpPr/>
      </xdr:nvCxnSpPr>
      <xdr:spPr>
        <a:xfrm>
          <a:off x="13609792" y="3577775"/>
          <a:ext cx="127025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112376</xdr:colOff>
      <xdr:row>12</xdr:row>
      <xdr:rowOff>130416</xdr:rowOff>
    </xdr:from>
    <xdr:to>
      <xdr:col>58</xdr:col>
      <xdr:colOff>112376</xdr:colOff>
      <xdr:row>16</xdr:row>
      <xdr:rowOff>219984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989E85FF-AD96-4FD2-AB3E-F04E3CFD7E82}"/>
            </a:ext>
          </a:extLst>
        </xdr:cNvPr>
        <xdr:cNvCxnSpPr/>
      </xdr:nvCxnSpPr>
      <xdr:spPr>
        <a:xfrm>
          <a:off x="13371176" y="2873616"/>
          <a:ext cx="0" cy="1003968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220206</xdr:colOff>
      <xdr:row>16</xdr:row>
      <xdr:rowOff>212173</xdr:rowOff>
    </xdr:from>
    <xdr:to>
      <xdr:col>62</xdr:col>
      <xdr:colOff>140059</xdr:colOff>
      <xdr:row>16</xdr:row>
      <xdr:rowOff>212173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025F3E27-862E-421C-BDCA-98C3259B689E}"/>
            </a:ext>
          </a:extLst>
        </xdr:cNvPr>
        <xdr:cNvCxnSpPr/>
      </xdr:nvCxnSpPr>
      <xdr:spPr>
        <a:xfrm>
          <a:off x="14164806" y="3869773"/>
          <a:ext cx="148453" cy="0"/>
        </a:xfrm>
        <a:prstGeom prst="line">
          <a:avLst/>
        </a:prstGeom>
        <a:ln w="12700">
          <a:solidFill>
            <a:srgbClr val="FF0000"/>
          </a:solidFill>
          <a:headEnd type="triangle" w="sm" len="med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147071</xdr:colOff>
      <xdr:row>16</xdr:row>
      <xdr:rowOff>52033</xdr:rowOff>
    </xdr:from>
    <xdr:ext cx="263727" cy="224998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DB711C44-8FF8-4379-B18D-355399B0CE11}"/>
            </a:ext>
          </a:extLst>
        </xdr:cNvPr>
        <xdr:cNvSpPr txBox="1"/>
      </xdr:nvSpPr>
      <xdr:spPr>
        <a:xfrm>
          <a:off x="14320271" y="3709633"/>
          <a:ext cx="26372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57</xdr:col>
      <xdr:colOff>125512</xdr:colOff>
      <xdr:row>14</xdr:row>
      <xdr:rowOff>57296</xdr:rowOff>
    </xdr:from>
    <xdr:ext cx="224998" cy="292581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83F32335-410C-4B14-BEFF-104B045E836D}"/>
            </a:ext>
          </a:extLst>
        </xdr:cNvPr>
        <xdr:cNvSpPr txBox="1"/>
      </xdr:nvSpPr>
      <xdr:spPr>
        <a:xfrm rot="16200000">
          <a:off x="13121920" y="3291488"/>
          <a:ext cx="29258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62</xdr:col>
      <xdr:colOff>124607</xdr:colOff>
      <xdr:row>15</xdr:row>
      <xdr:rowOff>128626</xdr:rowOff>
    </xdr:from>
    <xdr:to>
      <xdr:col>63</xdr:col>
      <xdr:colOff>127283</xdr:colOff>
      <xdr:row>15</xdr:row>
      <xdr:rowOff>146626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CFAD5D64-DEAE-40D5-AB60-9BE6716DE357}"/>
            </a:ext>
          </a:extLst>
        </xdr:cNvPr>
        <xdr:cNvCxnSpPr/>
      </xdr:nvCxnSpPr>
      <xdr:spPr>
        <a:xfrm>
          <a:off x="14297807" y="3557626"/>
          <a:ext cx="231276" cy="18000"/>
        </a:xfrm>
        <a:prstGeom prst="line">
          <a:avLst/>
        </a:prstGeom>
        <a:ln w="25400">
          <a:solidFill>
            <a:srgbClr val="FF0000"/>
          </a:solidFill>
          <a:headEnd type="triangle" w="med" len="med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83806</xdr:colOff>
      <xdr:row>15</xdr:row>
      <xdr:rowOff>26035</xdr:rowOff>
    </xdr:from>
    <xdr:ext cx="276551" cy="224998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71457A1-B6E3-49B1-BEF1-02874B9A459D}"/>
            </a:ext>
          </a:extLst>
        </xdr:cNvPr>
        <xdr:cNvSpPr txBox="1"/>
      </xdr:nvSpPr>
      <xdr:spPr>
        <a:xfrm>
          <a:off x="14485606" y="3455035"/>
          <a:ext cx="27655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61</xdr:col>
      <xdr:colOff>13922</xdr:colOff>
      <xdr:row>16</xdr:row>
      <xdr:rowOff>185608</xdr:rowOff>
    </xdr:from>
    <xdr:to>
      <xdr:col>61</xdr:col>
      <xdr:colOff>66321</xdr:colOff>
      <xdr:row>17</xdr:row>
      <xdr:rowOff>6440</xdr:rowOff>
    </xdr:to>
    <xdr:sp macro="" textlink="">
      <xdr:nvSpPr>
        <xdr:cNvPr id="94" name="楕円 93">
          <a:extLst>
            <a:ext uri="{FF2B5EF4-FFF2-40B4-BE49-F238E27FC236}">
              <a16:creationId xmlns:a16="http://schemas.microsoft.com/office/drawing/2014/main" id="{5D2390E4-74F6-4CBF-AED1-B387D9732686}"/>
            </a:ext>
          </a:extLst>
        </xdr:cNvPr>
        <xdr:cNvSpPr/>
      </xdr:nvSpPr>
      <xdr:spPr>
        <a:xfrm>
          <a:off x="13976196" y="3847844"/>
          <a:ext cx="52399" cy="49721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58</xdr:col>
      <xdr:colOff>52746</xdr:colOff>
      <xdr:row>16</xdr:row>
      <xdr:rowOff>213826</xdr:rowOff>
    </xdr:from>
    <xdr:to>
      <xdr:col>60</xdr:col>
      <xdr:colOff>33239</xdr:colOff>
      <xdr:row>16</xdr:row>
      <xdr:rowOff>213826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BEECF641-0FBC-486B-8D91-4FB9471DF586}"/>
            </a:ext>
          </a:extLst>
        </xdr:cNvPr>
        <xdr:cNvCxnSpPr/>
      </xdr:nvCxnSpPr>
      <xdr:spPr>
        <a:xfrm>
          <a:off x="13311546" y="3871426"/>
          <a:ext cx="437693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168132</xdr:colOff>
      <xdr:row>15</xdr:row>
      <xdr:rowOff>144965</xdr:rowOff>
    </xdr:from>
    <xdr:to>
      <xdr:col>59</xdr:col>
      <xdr:colOff>168132</xdr:colOff>
      <xdr:row>16</xdr:row>
      <xdr:rowOff>209097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F7DEEE15-B9F0-414E-9606-02A25C6C451E}"/>
            </a:ext>
          </a:extLst>
        </xdr:cNvPr>
        <xdr:cNvCxnSpPr/>
      </xdr:nvCxnSpPr>
      <xdr:spPr>
        <a:xfrm>
          <a:off x="13655532" y="3573965"/>
          <a:ext cx="0" cy="292732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102176</xdr:colOff>
      <xdr:row>14</xdr:row>
      <xdr:rowOff>173334</xdr:rowOff>
    </xdr:from>
    <xdr:to>
      <xdr:col>62</xdr:col>
      <xdr:colOff>102176</xdr:colOff>
      <xdr:row>15</xdr:row>
      <xdr:rowOff>122074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59277949-F89F-4E2F-83E8-A9DF81614B03}"/>
            </a:ext>
          </a:extLst>
        </xdr:cNvPr>
        <xdr:cNvCxnSpPr/>
      </xdr:nvCxnSpPr>
      <xdr:spPr>
        <a:xfrm>
          <a:off x="14275376" y="3373734"/>
          <a:ext cx="0" cy="17734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10570</xdr:colOff>
      <xdr:row>12</xdr:row>
      <xdr:rowOff>113812</xdr:rowOff>
    </xdr:from>
    <xdr:to>
      <xdr:col>63</xdr:col>
      <xdr:colOff>186858</xdr:colOff>
      <xdr:row>22</xdr:row>
      <xdr:rowOff>0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CCB12D06-F94A-46FF-9B10-E0EB16A01974}"/>
            </a:ext>
          </a:extLst>
        </xdr:cNvPr>
        <xdr:cNvCxnSpPr/>
      </xdr:nvCxnSpPr>
      <xdr:spPr>
        <a:xfrm flipH="1">
          <a:off x="13726570" y="2857012"/>
          <a:ext cx="862088" cy="21721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210003</xdr:colOff>
      <xdr:row>5</xdr:row>
      <xdr:rowOff>74151</xdr:rowOff>
    </xdr:from>
    <xdr:ext cx="369460" cy="224998"/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D1399F3A-14D5-4ECD-BB10-27769B8199E1}"/>
            </a:ext>
          </a:extLst>
        </xdr:cNvPr>
        <xdr:cNvSpPr txBox="1"/>
      </xdr:nvSpPr>
      <xdr:spPr>
        <a:xfrm>
          <a:off x="7068003" y="1217151"/>
          <a:ext cx="36946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gi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31</xdr:col>
      <xdr:colOff>170241</xdr:colOff>
      <xdr:row>6</xdr:row>
      <xdr:rowOff>45097</xdr:rowOff>
    </xdr:from>
    <xdr:to>
      <xdr:col>32</xdr:col>
      <xdr:colOff>172929</xdr:colOff>
      <xdr:row>6</xdr:row>
      <xdr:rowOff>45097</xdr:rowOff>
    </xdr:to>
    <xdr:cxnSp macro="">
      <xdr:nvCxnSpPr>
        <xdr:cNvPr id="143" name="直線コネクタ 142">
          <a:extLst>
            <a:ext uri="{FF2B5EF4-FFF2-40B4-BE49-F238E27FC236}">
              <a16:creationId xmlns:a16="http://schemas.microsoft.com/office/drawing/2014/main" id="{E79D87C2-629B-4ED1-A40C-AD29E704E6BA}"/>
            </a:ext>
          </a:extLst>
        </xdr:cNvPr>
        <xdr:cNvCxnSpPr/>
      </xdr:nvCxnSpPr>
      <xdr:spPr>
        <a:xfrm>
          <a:off x="7256841" y="1416697"/>
          <a:ext cx="231288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95580</xdr:colOff>
      <xdr:row>10</xdr:row>
      <xdr:rowOff>173045</xdr:rowOff>
    </xdr:from>
    <xdr:ext cx="224998" cy="361959"/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5117B277-0EED-4A54-ADF3-53F202D9015A}"/>
            </a:ext>
          </a:extLst>
        </xdr:cNvPr>
        <xdr:cNvSpPr txBox="1"/>
      </xdr:nvSpPr>
      <xdr:spPr>
        <a:xfrm rot="16200000">
          <a:off x="7342299" y="2527526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30</xdr:col>
      <xdr:colOff>96946</xdr:colOff>
      <xdr:row>6</xdr:row>
      <xdr:rowOff>45097</xdr:rowOff>
    </xdr:from>
    <xdr:to>
      <xdr:col>31</xdr:col>
      <xdr:colOff>157336</xdr:colOff>
      <xdr:row>6</xdr:row>
      <xdr:rowOff>45097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AECE2811-B58E-4172-9466-67BD3C0B8CB0}"/>
            </a:ext>
          </a:extLst>
        </xdr:cNvPr>
        <xdr:cNvCxnSpPr/>
      </xdr:nvCxnSpPr>
      <xdr:spPr>
        <a:xfrm>
          <a:off x="6954946" y="1416697"/>
          <a:ext cx="28899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151179</xdr:colOff>
      <xdr:row>12</xdr:row>
      <xdr:rowOff>51177</xdr:rowOff>
    </xdr:from>
    <xdr:ext cx="285527" cy="743473"/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B1296A1C-BA49-4D1F-9B00-5DC7E853E0B8}"/>
            </a:ext>
          </a:extLst>
        </xdr:cNvPr>
        <xdr:cNvSpPr txBox="1"/>
      </xdr:nvSpPr>
      <xdr:spPr>
        <a:xfrm rot="17760000">
          <a:off x="5637206" y="3023350"/>
          <a:ext cx="743473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twoCellAnchor editAs="oneCell">
    <xdr:from>
      <xdr:col>28</xdr:col>
      <xdr:colOff>35663</xdr:colOff>
      <xdr:row>5</xdr:row>
      <xdr:rowOff>155828</xdr:rowOff>
    </xdr:from>
    <xdr:to>
      <xdr:col>28</xdr:col>
      <xdr:colOff>35663</xdr:colOff>
      <xdr:row>16</xdr:row>
      <xdr:rowOff>20384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F2B00689-BC14-4E08-B44E-8D5D44A4F57C}"/>
            </a:ext>
          </a:extLst>
        </xdr:cNvPr>
        <xdr:cNvCxnSpPr/>
      </xdr:nvCxnSpPr>
      <xdr:spPr>
        <a:xfrm rot="6960000">
          <a:off x="5246885" y="2488406"/>
          <a:ext cx="237915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128566</xdr:colOff>
      <xdr:row>12</xdr:row>
      <xdr:rowOff>96518</xdr:rowOff>
    </xdr:from>
    <xdr:ext cx="285527" cy="756297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A7F14DE1-55AE-4274-B86D-5B1461B03039}"/>
            </a:ext>
          </a:extLst>
        </xdr:cNvPr>
        <xdr:cNvSpPr txBox="1"/>
      </xdr:nvSpPr>
      <xdr:spPr>
        <a:xfrm rot="17460000">
          <a:off x="6293981" y="3075103"/>
          <a:ext cx="756297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twoCellAnchor editAs="oneCell">
    <xdr:from>
      <xdr:col>26</xdr:col>
      <xdr:colOff>115038</xdr:colOff>
      <xdr:row>6</xdr:row>
      <xdr:rowOff>48814</xdr:rowOff>
    </xdr:from>
    <xdr:to>
      <xdr:col>30</xdr:col>
      <xdr:colOff>46328</xdr:colOff>
      <xdr:row>6</xdr:row>
      <xdr:rowOff>48814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2CDFBFA8-476D-47C2-91A1-067AC3DB9303}"/>
            </a:ext>
          </a:extLst>
        </xdr:cNvPr>
        <xdr:cNvCxnSpPr/>
      </xdr:nvCxnSpPr>
      <xdr:spPr>
        <a:xfrm>
          <a:off x="6058638" y="1420414"/>
          <a:ext cx="84569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33</xdr:col>
      <xdr:colOff>66878</xdr:colOff>
      <xdr:row>6</xdr:row>
      <xdr:rowOff>49641</xdr:rowOff>
    </xdr:from>
    <xdr:to>
      <xdr:col>33</xdr:col>
      <xdr:colOff>66878</xdr:colOff>
      <xdr:row>15</xdr:row>
      <xdr:rowOff>119923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C96364B4-B1C4-4F10-AEDB-32AECEDB7F9E}"/>
            </a:ext>
          </a:extLst>
        </xdr:cNvPr>
        <xdr:cNvCxnSpPr/>
      </xdr:nvCxnSpPr>
      <xdr:spPr>
        <a:xfrm>
          <a:off x="7610678" y="1421241"/>
          <a:ext cx="0" cy="2127682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185281</xdr:colOff>
      <xdr:row>15</xdr:row>
      <xdr:rowOff>115371</xdr:rowOff>
    </xdr:from>
    <xdr:to>
      <xdr:col>33</xdr:col>
      <xdr:colOff>146216</xdr:colOff>
      <xdr:row>15</xdr:row>
      <xdr:rowOff>115371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6412DC91-16BE-4745-AB2B-FF6BB20A1DEF}"/>
            </a:ext>
          </a:extLst>
        </xdr:cNvPr>
        <xdr:cNvCxnSpPr/>
      </xdr:nvCxnSpPr>
      <xdr:spPr>
        <a:xfrm>
          <a:off x="6814681" y="3544371"/>
          <a:ext cx="875335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214299</xdr:colOff>
      <xdr:row>15</xdr:row>
      <xdr:rowOff>112557</xdr:rowOff>
    </xdr:from>
    <xdr:to>
      <xdr:col>28</xdr:col>
      <xdr:colOff>34478</xdr:colOff>
      <xdr:row>15</xdr:row>
      <xdr:rowOff>112557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611D3BD4-316D-478F-AE7F-DC5ABAD68E9C}"/>
            </a:ext>
          </a:extLst>
        </xdr:cNvPr>
        <xdr:cNvCxnSpPr/>
      </xdr:nvCxnSpPr>
      <xdr:spPr>
        <a:xfrm>
          <a:off x="5929299" y="3541557"/>
          <a:ext cx="505979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221742</xdr:colOff>
      <xdr:row>5</xdr:row>
      <xdr:rowOff>22851</xdr:rowOff>
    </xdr:from>
    <xdr:to>
      <xdr:col>31</xdr:col>
      <xdr:colOff>32742</xdr:colOff>
      <xdr:row>6</xdr:row>
      <xdr:rowOff>46251</xdr:rowOff>
    </xdr:to>
    <xdr:sp macro="" textlink="">
      <xdr:nvSpPr>
        <xdr:cNvPr id="159" name="正方形/長方形 158">
          <a:extLst>
            <a:ext uri="{FF2B5EF4-FFF2-40B4-BE49-F238E27FC236}">
              <a16:creationId xmlns:a16="http://schemas.microsoft.com/office/drawing/2014/main" id="{15902F44-BDBE-4379-9F95-815E8862FD11}"/>
            </a:ext>
          </a:extLst>
        </xdr:cNvPr>
        <xdr:cNvSpPr/>
      </xdr:nvSpPr>
      <xdr:spPr>
        <a:xfrm>
          <a:off x="7079742" y="1165851"/>
          <a:ext cx="39600" cy="252000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31</xdr:col>
      <xdr:colOff>43425</xdr:colOff>
      <xdr:row>5</xdr:row>
      <xdr:rowOff>39315</xdr:rowOff>
    </xdr:from>
    <xdr:to>
      <xdr:col>31</xdr:col>
      <xdr:colOff>43425</xdr:colOff>
      <xdr:row>5</xdr:row>
      <xdr:rowOff>85024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D53DD290-9250-4FB7-99D4-1652DC489B59}"/>
            </a:ext>
          </a:extLst>
        </xdr:cNvPr>
        <xdr:cNvCxnSpPr/>
      </xdr:nvCxnSpPr>
      <xdr:spPr>
        <a:xfrm>
          <a:off x="7130025" y="1182315"/>
          <a:ext cx="0" cy="4570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66285</xdr:colOff>
      <xdr:row>5</xdr:row>
      <xdr:rowOff>1215</xdr:rowOff>
    </xdr:from>
    <xdr:to>
      <xdr:col>31</xdr:col>
      <xdr:colOff>66285</xdr:colOff>
      <xdr:row>5</xdr:row>
      <xdr:rowOff>30015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93E2A2F2-50F0-4B51-9B18-280A5A991D9F}"/>
            </a:ext>
          </a:extLst>
        </xdr:cNvPr>
        <xdr:cNvCxnSpPr/>
      </xdr:nvCxnSpPr>
      <xdr:spPr>
        <a:xfrm>
          <a:off x="7152885" y="1144215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43000</xdr:colOff>
      <xdr:row>5</xdr:row>
      <xdr:rowOff>37624</xdr:rowOff>
    </xdr:from>
    <xdr:to>
      <xdr:col>31</xdr:col>
      <xdr:colOff>71800</xdr:colOff>
      <xdr:row>5</xdr:row>
      <xdr:rowOff>37624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E1388BD6-5675-46CE-B211-B9B9F291FABE}"/>
            </a:ext>
          </a:extLst>
        </xdr:cNvPr>
        <xdr:cNvCxnSpPr/>
      </xdr:nvCxnSpPr>
      <xdr:spPr>
        <a:xfrm rot="2700000">
          <a:off x="7144000" y="1166224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56119</xdr:colOff>
      <xdr:row>4</xdr:row>
      <xdr:rowOff>206672</xdr:rowOff>
    </xdr:from>
    <xdr:to>
      <xdr:col>31</xdr:col>
      <xdr:colOff>56119</xdr:colOff>
      <xdr:row>5</xdr:row>
      <xdr:rowOff>8209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3C7FF116-0E85-49BC-9F63-39ED2332D9C1}"/>
            </a:ext>
          </a:extLst>
        </xdr:cNvPr>
        <xdr:cNvCxnSpPr/>
      </xdr:nvCxnSpPr>
      <xdr:spPr>
        <a:xfrm rot="18900000">
          <a:off x="7142719" y="1121072"/>
          <a:ext cx="0" cy="30137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68190</xdr:colOff>
      <xdr:row>5</xdr:row>
      <xdr:rowOff>97677</xdr:rowOff>
    </xdr:from>
    <xdr:to>
      <xdr:col>31</xdr:col>
      <xdr:colOff>68190</xdr:colOff>
      <xdr:row>5</xdr:row>
      <xdr:rowOff>126477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F3FE84A2-618E-48A9-AFDE-4600FA81F551}"/>
            </a:ext>
          </a:extLst>
        </xdr:cNvPr>
        <xdr:cNvCxnSpPr/>
      </xdr:nvCxnSpPr>
      <xdr:spPr>
        <a:xfrm>
          <a:off x="7154790" y="1240677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44905</xdr:colOff>
      <xdr:row>5</xdr:row>
      <xdr:rowOff>134086</xdr:rowOff>
    </xdr:from>
    <xdr:to>
      <xdr:col>31</xdr:col>
      <xdr:colOff>73705</xdr:colOff>
      <xdr:row>5</xdr:row>
      <xdr:rowOff>134086</xdr:rowOff>
    </xdr:to>
    <xdr:cxnSp macro="">
      <xdr:nvCxnSpPr>
        <xdr:cNvPr id="165" name="直線コネクタ 164">
          <a:extLst>
            <a:ext uri="{FF2B5EF4-FFF2-40B4-BE49-F238E27FC236}">
              <a16:creationId xmlns:a16="http://schemas.microsoft.com/office/drawing/2014/main" id="{FF9CA924-56C8-48C6-9578-A815224BB338}"/>
            </a:ext>
          </a:extLst>
        </xdr:cNvPr>
        <xdr:cNvCxnSpPr/>
      </xdr:nvCxnSpPr>
      <xdr:spPr>
        <a:xfrm rot="2700000">
          <a:off x="7145905" y="1262686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58024</xdr:colOff>
      <xdr:row>5</xdr:row>
      <xdr:rowOff>75871</xdr:rowOff>
    </xdr:from>
    <xdr:to>
      <xdr:col>31</xdr:col>
      <xdr:colOff>58024</xdr:colOff>
      <xdr:row>5</xdr:row>
      <xdr:rowOff>104671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442F4C23-F4B6-40CE-99F3-33A652C75132}"/>
            </a:ext>
          </a:extLst>
        </xdr:cNvPr>
        <xdr:cNvCxnSpPr/>
      </xdr:nvCxnSpPr>
      <xdr:spPr>
        <a:xfrm rot="18900000">
          <a:off x="7144624" y="1218871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57433</xdr:colOff>
      <xdr:row>5</xdr:row>
      <xdr:rowOff>56043</xdr:rowOff>
    </xdr:from>
    <xdr:to>
      <xdr:col>32</xdr:col>
      <xdr:colOff>60714</xdr:colOff>
      <xdr:row>5</xdr:row>
      <xdr:rowOff>56043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EA00246D-CA10-4B4F-B447-29BC82BAFFEE}"/>
            </a:ext>
          </a:extLst>
        </xdr:cNvPr>
        <xdr:cNvCxnSpPr/>
      </xdr:nvCxnSpPr>
      <xdr:spPr>
        <a:xfrm>
          <a:off x="7144033" y="1199043"/>
          <a:ext cx="231881" cy="0"/>
        </a:xfrm>
        <a:prstGeom prst="line">
          <a:avLst/>
        </a:prstGeom>
        <a:ln w="28575">
          <a:solidFill>
            <a:srgbClr val="FF0000"/>
          </a:solidFill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58647</xdr:colOff>
      <xdr:row>4</xdr:row>
      <xdr:rowOff>59505</xdr:rowOff>
    </xdr:from>
    <xdr:ext cx="343877" cy="224998"/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1042A45E-3205-4B11-863D-97971CF5FA8E}"/>
            </a:ext>
          </a:extLst>
        </xdr:cNvPr>
        <xdr:cNvSpPr txBox="1"/>
      </xdr:nvSpPr>
      <xdr:spPr>
        <a:xfrm>
          <a:off x="7145247" y="973905"/>
          <a:ext cx="34387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gi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26</xdr:col>
      <xdr:colOff>178672</xdr:colOff>
      <xdr:row>5</xdr:row>
      <xdr:rowOff>64388</xdr:rowOff>
    </xdr:from>
    <xdr:to>
      <xdr:col>26</xdr:col>
      <xdr:colOff>179901</xdr:colOff>
      <xdr:row>6</xdr:row>
      <xdr:rowOff>54085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015E5635-4689-4C62-B60A-994AF5258C7F}"/>
            </a:ext>
          </a:extLst>
        </xdr:cNvPr>
        <xdr:cNvCxnSpPr/>
      </xdr:nvCxnSpPr>
      <xdr:spPr>
        <a:xfrm>
          <a:off x="6122272" y="1207388"/>
          <a:ext cx="1229" cy="218297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128504</xdr:colOff>
      <xdr:row>5</xdr:row>
      <xdr:rowOff>64672</xdr:rowOff>
    </xdr:from>
    <xdr:to>
      <xdr:col>30</xdr:col>
      <xdr:colOff>113563</xdr:colOff>
      <xdr:row>5</xdr:row>
      <xdr:rowOff>64672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B17E787E-BB1D-459E-BFEE-4E55FB4670C5}"/>
            </a:ext>
          </a:extLst>
        </xdr:cNvPr>
        <xdr:cNvCxnSpPr/>
      </xdr:nvCxnSpPr>
      <xdr:spPr>
        <a:xfrm>
          <a:off x="5614904" y="1207672"/>
          <a:ext cx="135665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51323</xdr:colOff>
      <xdr:row>5</xdr:row>
      <xdr:rowOff>91424</xdr:rowOff>
    </xdr:from>
    <xdr:ext cx="224998" cy="374783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23AAF436-D7C7-46A2-A536-465EF4AB7032}"/>
            </a:ext>
          </a:extLst>
        </xdr:cNvPr>
        <xdr:cNvSpPr txBox="1"/>
      </xdr:nvSpPr>
      <xdr:spPr>
        <a:xfrm rot="16200000">
          <a:off x="5691430" y="1309317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31</xdr:col>
      <xdr:colOff>26679</xdr:colOff>
      <xdr:row>5</xdr:row>
      <xdr:rowOff>141145</xdr:rowOff>
    </xdr:from>
    <xdr:to>
      <xdr:col>31</xdr:col>
      <xdr:colOff>26679</xdr:colOff>
      <xdr:row>6</xdr:row>
      <xdr:rowOff>55521</xdr:rowOff>
    </xdr:to>
    <xdr:cxnSp macro="">
      <xdr:nvCxnSpPr>
        <xdr:cNvPr id="220" name="直線コネクタ 219">
          <a:extLst>
            <a:ext uri="{FF2B5EF4-FFF2-40B4-BE49-F238E27FC236}">
              <a16:creationId xmlns:a16="http://schemas.microsoft.com/office/drawing/2014/main" id="{C9A2DBA7-E08A-4D4D-970B-F7372D5598DC}"/>
            </a:ext>
          </a:extLst>
        </xdr:cNvPr>
        <xdr:cNvCxnSpPr/>
      </xdr:nvCxnSpPr>
      <xdr:spPr>
        <a:xfrm flipV="1">
          <a:off x="7113279" y="1284145"/>
          <a:ext cx="0" cy="142976"/>
        </a:xfrm>
        <a:prstGeom prst="line">
          <a:avLst/>
        </a:prstGeom>
        <a:ln w="28575">
          <a:solidFill>
            <a:srgbClr val="FF0000"/>
          </a:solidFill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173820</xdr:colOff>
      <xdr:row>5</xdr:row>
      <xdr:rowOff>2463</xdr:rowOff>
    </xdr:from>
    <xdr:ext cx="224998" cy="444352"/>
    <xdr:sp macro="" textlink="$Y$27">
      <xdr:nvSpPr>
        <xdr:cNvPr id="224" name="テキスト ボックス 223">
          <a:extLst>
            <a:ext uri="{FF2B5EF4-FFF2-40B4-BE49-F238E27FC236}">
              <a16:creationId xmlns:a16="http://schemas.microsoft.com/office/drawing/2014/main" id="{2D46344B-FD85-432A-8A00-93BB031C72C6}"/>
            </a:ext>
          </a:extLst>
        </xdr:cNvPr>
        <xdr:cNvSpPr txBox="1"/>
      </xdr:nvSpPr>
      <xdr:spPr>
        <a:xfrm rot="16200000">
          <a:off x="5779143" y="1255140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CD0C4D0-D851-4F62-97E9-90F8BDD7833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/>
              <a:cs typeface="Times New Roman"/>
            </a:rPr>
            <a:pPr/>
            <a:t>0.600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32</xdr:col>
      <xdr:colOff>98549</xdr:colOff>
      <xdr:row>9</xdr:row>
      <xdr:rowOff>89643</xdr:rowOff>
    </xdr:from>
    <xdr:ext cx="224998" cy="444352"/>
    <xdr:sp macro="" textlink="'1.条件'!T6">
      <xdr:nvSpPr>
        <xdr:cNvPr id="225" name="テキスト ボックス 224">
          <a:extLst>
            <a:ext uri="{FF2B5EF4-FFF2-40B4-BE49-F238E27FC236}">
              <a16:creationId xmlns:a16="http://schemas.microsoft.com/office/drawing/2014/main" id="{85372EDA-735A-4204-B3DC-DBC8553EBF71}"/>
            </a:ext>
          </a:extLst>
        </xdr:cNvPr>
        <xdr:cNvSpPr txBox="1"/>
      </xdr:nvSpPr>
      <xdr:spPr>
        <a:xfrm rot="16200000">
          <a:off x="7304072" y="2256720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4C5533E-042F-47F1-8638-63F39C128CA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26</xdr:col>
      <xdr:colOff>119312</xdr:colOff>
      <xdr:row>11</xdr:row>
      <xdr:rowOff>65248</xdr:rowOff>
    </xdr:from>
    <xdr:ext cx="224998" cy="444352"/>
    <xdr:sp macro="" textlink="'1.条件'!T9">
      <xdr:nvSpPr>
        <xdr:cNvPr id="228" name="テキスト ボックス 227">
          <a:extLst>
            <a:ext uri="{FF2B5EF4-FFF2-40B4-BE49-F238E27FC236}">
              <a16:creationId xmlns:a16="http://schemas.microsoft.com/office/drawing/2014/main" id="{EA4B73D9-5B1A-4843-A18E-D6AF18327E4F}"/>
            </a:ext>
          </a:extLst>
        </xdr:cNvPr>
        <xdr:cNvSpPr txBox="1"/>
      </xdr:nvSpPr>
      <xdr:spPr>
        <a:xfrm rot="17760000">
          <a:off x="5953235" y="268952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6619DE5-23D7-4357-9940-E7BA21DF701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29</xdr:col>
      <xdr:colOff>79725</xdr:colOff>
      <xdr:row>11</xdr:row>
      <xdr:rowOff>97986</xdr:rowOff>
    </xdr:from>
    <xdr:ext cx="224998" cy="444352"/>
    <xdr:sp macro="" textlink="'1.条件'!T10">
      <xdr:nvSpPr>
        <xdr:cNvPr id="229" name="テキスト ボックス 228">
          <a:extLst>
            <a:ext uri="{FF2B5EF4-FFF2-40B4-BE49-F238E27FC236}">
              <a16:creationId xmlns:a16="http://schemas.microsoft.com/office/drawing/2014/main" id="{B461FDD5-8804-40E3-AA7F-FF1B1201AD9D}"/>
            </a:ext>
          </a:extLst>
        </xdr:cNvPr>
        <xdr:cNvSpPr txBox="1"/>
      </xdr:nvSpPr>
      <xdr:spPr>
        <a:xfrm rot="17460000">
          <a:off x="6599448" y="2722263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F068432D-B626-4A7B-91D7-B09CB50C585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39609</xdr:colOff>
      <xdr:row>6</xdr:row>
      <xdr:rowOff>43345</xdr:rowOff>
    </xdr:from>
    <xdr:to>
      <xdr:col>31</xdr:col>
      <xdr:colOff>167374</xdr:colOff>
      <xdr:row>15</xdr:row>
      <xdr:rowOff>103098</xdr:rowOff>
    </xdr:to>
    <xdr:cxnSp macro="">
      <xdr:nvCxnSpPr>
        <xdr:cNvPr id="242" name="直線コネクタ 241">
          <a:extLst>
            <a:ext uri="{FF2B5EF4-FFF2-40B4-BE49-F238E27FC236}">
              <a16:creationId xmlns:a16="http://schemas.microsoft.com/office/drawing/2014/main" id="{B9B5AD1B-D4D7-4E42-AF93-2CB59635674C}"/>
            </a:ext>
          </a:extLst>
        </xdr:cNvPr>
        <xdr:cNvCxnSpPr/>
      </xdr:nvCxnSpPr>
      <xdr:spPr>
        <a:xfrm flipH="1">
          <a:off x="6440409" y="1414945"/>
          <a:ext cx="813565" cy="211715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181472</xdr:colOff>
      <xdr:row>6</xdr:row>
      <xdr:rowOff>41909</xdr:rowOff>
    </xdr:from>
    <xdr:to>
      <xdr:col>26</xdr:col>
      <xdr:colOff>181472</xdr:colOff>
      <xdr:row>10</xdr:row>
      <xdr:rowOff>131477</xdr:rowOff>
    </xdr:to>
    <xdr:cxnSp macro="">
      <xdr:nvCxnSpPr>
        <xdr:cNvPr id="245" name="直線コネクタ 244">
          <a:extLst>
            <a:ext uri="{FF2B5EF4-FFF2-40B4-BE49-F238E27FC236}">
              <a16:creationId xmlns:a16="http://schemas.microsoft.com/office/drawing/2014/main" id="{7BEFB264-70AA-4679-AED4-EF724F346333}"/>
            </a:ext>
          </a:extLst>
        </xdr:cNvPr>
        <xdr:cNvCxnSpPr/>
      </xdr:nvCxnSpPr>
      <xdr:spPr>
        <a:xfrm>
          <a:off x="6125072" y="1413509"/>
          <a:ext cx="0" cy="1003968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1411</xdr:colOff>
      <xdr:row>10</xdr:row>
      <xdr:rowOff>97101</xdr:rowOff>
    </xdr:from>
    <xdr:to>
      <xdr:col>29</xdr:col>
      <xdr:colOff>53810</xdr:colOff>
      <xdr:row>10</xdr:row>
      <xdr:rowOff>147153</xdr:rowOff>
    </xdr:to>
    <xdr:sp macro="" textlink="">
      <xdr:nvSpPr>
        <xdr:cNvPr id="246" name="楕円 245">
          <a:extLst>
            <a:ext uri="{FF2B5EF4-FFF2-40B4-BE49-F238E27FC236}">
              <a16:creationId xmlns:a16="http://schemas.microsoft.com/office/drawing/2014/main" id="{9595C2D2-747F-4D08-BB0B-2C82552C92BB}"/>
            </a:ext>
          </a:extLst>
        </xdr:cNvPr>
        <xdr:cNvSpPr/>
      </xdr:nvSpPr>
      <xdr:spPr>
        <a:xfrm>
          <a:off x="6657435" y="2392282"/>
          <a:ext cx="52399" cy="50052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24</xdr:col>
      <xdr:colOff>135975</xdr:colOff>
      <xdr:row>10</xdr:row>
      <xdr:rowOff>125319</xdr:rowOff>
    </xdr:from>
    <xdr:to>
      <xdr:col>28</xdr:col>
      <xdr:colOff>15677</xdr:colOff>
      <xdr:row>10</xdr:row>
      <xdr:rowOff>125319</xdr:rowOff>
    </xdr:to>
    <xdr:cxnSp macro="">
      <xdr:nvCxnSpPr>
        <xdr:cNvPr id="247" name="直線コネクタ 246">
          <a:extLst>
            <a:ext uri="{FF2B5EF4-FFF2-40B4-BE49-F238E27FC236}">
              <a16:creationId xmlns:a16="http://schemas.microsoft.com/office/drawing/2014/main" id="{9B05C68B-1597-47B6-A6D1-2402E03AD932}"/>
            </a:ext>
          </a:extLst>
        </xdr:cNvPr>
        <xdr:cNvCxnSpPr/>
      </xdr:nvCxnSpPr>
      <xdr:spPr>
        <a:xfrm>
          <a:off x="5622375" y="2411319"/>
          <a:ext cx="794102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198661</xdr:colOff>
      <xdr:row>7</xdr:row>
      <xdr:rowOff>162027</xdr:rowOff>
    </xdr:from>
    <xdr:ext cx="224998" cy="292581"/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BD601309-78C2-60A8-1C42-680F15F34A3A}"/>
            </a:ext>
          </a:extLst>
        </xdr:cNvPr>
        <xdr:cNvSpPr txBox="1"/>
      </xdr:nvSpPr>
      <xdr:spPr>
        <a:xfrm rot="16200000">
          <a:off x="5879869" y="1796019"/>
          <a:ext cx="29258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23</xdr:col>
      <xdr:colOff>205131</xdr:colOff>
      <xdr:row>7</xdr:row>
      <xdr:rowOff>1470</xdr:rowOff>
    </xdr:from>
    <xdr:ext cx="224998" cy="324576"/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85B30451-59B3-45C2-B2F1-E96D8ECCC109}"/>
            </a:ext>
          </a:extLst>
        </xdr:cNvPr>
        <xdr:cNvSpPr txBox="1"/>
      </xdr:nvSpPr>
      <xdr:spPr>
        <a:xfrm rot="16200000">
          <a:off x="5413142" y="1651459"/>
          <a:ext cx="32457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gi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24</xdr:col>
      <xdr:colOff>210842</xdr:colOff>
      <xdr:row>5</xdr:row>
      <xdr:rowOff>62218</xdr:rowOff>
    </xdr:from>
    <xdr:to>
      <xdr:col>24</xdr:col>
      <xdr:colOff>210842</xdr:colOff>
      <xdr:row>10</xdr:row>
      <xdr:rowOff>129721</xdr:rowOff>
    </xdr:to>
    <xdr:cxnSp macro="">
      <xdr:nvCxnSpPr>
        <xdr:cNvPr id="255" name="直線コネクタ 254">
          <a:extLst>
            <a:ext uri="{FF2B5EF4-FFF2-40B4-BE49-F238E27FC236}">
              <a16:creationId xmlns:a16="http://schemas.microsoft.com/office/drawing/2014/main" id="{463AFB0D-4578-4C4F-B8F2-E099FC74BDBA}"/>
            </a:ext>
          </a:extLst>
        </xdr:cNvPr>
        <xdr:cNvCxnSpPr/>
      </xdr:nvCxnSpPr>
      <xdr:spPr>
        <a:xfrm>
          <a:off x="5697242" y="1205218"/>
          <a:ext cx="0" cy="1210503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194226</xdr:colOff>
      <xdr:row>6</xdr:row>
      <xdr:rowOff>48814</xdr:rowOff>
    </xdr:from>
    <xdr:to>
      <xdr:col>33</xdr:col>
      <xdr:colOff>150916</xdr:colOff>
      <xdr:row>6</xdr:row>
      <xdr:rowOff>48814</xdr:rowOff>
    </xdr:to>
    <xdr:cxnSp macro="">
      <xdr:nvCxnSpPr>
        <xdr:cNvPr id="263" name="直線コネクタ 262">
          <a:extLst>
            <a:ext uri="{FF2B5EF4-FFF2-40B4-BE49-F238E27FC236}">
              <a16:creationId xmlns:a16="http://schemas.microsoft.com/office/drawing/2014/main" id="{6392ACEF-1751-5DFE-2F72-15EB40B3AF9E}"/>
            </a:ext>
          </a:extLst>
        </xdr:cNvPr>
        <xdr:cNvCxnSpPr/>
      </xdr:nvCxnSpPr>
      <xdr:spPr>
        <a:xfrm>
          <a:off x="7509426" y="1420414"/>
          <a:ext cx="18529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130082</xdr:colOff>
      <xdr:row>3</xdr:row>
      <xdr:rowOff>56603</xdr:rowOff>
    </xdr:from>
    <xdr:ext cx="324576" cy="224998"/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77B30DDE-7F01-4B2D-8521-CF238E679FF3}"/>
            </a:ext>
          </a:extLst>
        </xdr:cNvPr>
        <xdr:cNvSpPr txBox="1"/>
      </xdr:nvSpPr>
      <xdr:spPr>
        <a:xfrm>
          <a:off x="6759482" y="742403"/>
          <a:ext cx="32457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gi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41313</xdr:colOff>
      <xdr:row>4</xdr:row>
      <xdr:rowOff>58824</xdr:rowOff>
    </xdr:from>
    <xdr:to>
      <xdr:col>31</xdr:col>
      <xdr:colOff>11832</xdr:colOff>
      <xdr:row>4</xdr:row>
      <xdr:rowOff>58824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488CC168-5B6E-F164-DAE4-12B1B83EA5E4}"/>
            </a:ext>
          </a:extLst>
        </xdr:cNvPr>
        <xdr:cNvCxnSpPr/>
      </xdr:nvCxnSpPr>
      <xdr:spPr>
        <a:xfrm>
          <a:off x="6766791" y="986476"/>
          <a:ext cx="434345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35019</xdr:colOff>
      <xdr:row>3</xdr:row>
      <xdr:rowOff>207065</xdr:rowOff>
    </xdr:from>
    <xdr:to>
      <xdr:col>29</xdr:col>
      <xdr:colOff>35019</xdr:colOff>
      <xdr:row>4</xdr:row>
      <xdr:rowOff>212232</xdr:rowOff>
    </xdr:to>
    <xdr:cxnSp macro="">
      <xdr:nvCxnSpPr>
        <xdr:cNvPr id="275" name="直線コネクタ 274">
          <a:extLst>
            <a:ext uri="{FF2B5EF4-FFF2-40B4-BE49-F238E27FC236}">
              <a16:creationId xmlns:a16="http://schemas.microsoft.com/office/drawing/2014/main" id="{290679B1-9721-EA54-FA2E-057C9B7EE487}"/>
            </a:ext>
          </a:extLst>
        </xdr:cNvPr>
        <xdr:cNvCxnSpPr/>
      </xdr:nvCxnSpPr>
      <xdr:spPr>
        <a:xfrm>
          <a:off x="6760497" y="902804"/>
          <a:ext cx="0" cy="23708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110318</xdr:colOff>
      <xdr:row>16</xdr:row>
      <xdr:rowOff>77632</xdr:rowOff>
    </xdr:from>
    <xdr:to>
      <xdr:col>61</xdr:col>
      <xdr:colOff>223686</xdr:colOff>
      <xdr:row>17</xdr:row>
      <xdr:rowOff>200912</xdr:rowOff>
    </xdr:to>
    <xdr:sp macro="" textlink="">
      <xdr:nvSpPr>
        <xdr:cNvPr id="58" name="矢印: 環状 57">
          <a:extLst>
            <a:ext uri="{FF2B5EF4-FFF2-40B4-BE49-F238E27FC236}">
              <a16:creationId xmlns:a16="http://schemas.microsoft.com/office/drawing/2014/main" id="{B224CF6D-9E56-469A-A913-0C6F5803B431}"/>
            </a:ext>
          </a:extLst>
        </xdr:cNvPr>
        <xdr:cNvSpPr/>
      </xdr:nvSpPr>
      <xdr:spPr>
        <a:xfrm rot="20940662">
          <a:off x="13843702" y="3739868"/>
          <a:ext cx="342258" cy="352169"/>
        </a:xfrm>
        <a:prstGeom prst="circularArrow">
          <a:avLst>
            <a:gd name="adj1" fmla="val 9006"/>
            <a:gd name="adj2" fmla="val 1201318"/>
            <a:gd name="adj3" fmla="val 20575211"/>
            <a:gd name="adj4" fmla="val 12777058"/>
            <a:gd name="adj5" fmla="val 1244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60</xdr:col>
      <xdr:colOff>183502</xdr:colOff>
      <xdr:row>16</xdr:row>
      <xdr:rowOff>170783</xdr:rowOff>
    </xdr:from>
    <xdr:ext cx="314958" cy="224998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D1F61EA-8C5A-4A50-8BF7-649BFB36B86B}"/>
            </a:ext>
          </a:extLst>
        </xdr:cNvPr>
        <xdr:cNvSpPr txBox="1"/>
      </xdr:nvSpPr>
      <xdr:spPr>
        <a:xfrm>
          <a:off x="13916886" y="3833019"/>
          <a:ext cx="3149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128691</xdr:colOff>
      <xdr:row>15</xdr:row>
      <xdr:rowOff>202607</xdr:rowOff>
    </xdr:from>
    <xdr:to>
      <xdr:col>62</xdr:col>
      <xdr:colOff>29955</xdr:colOff>
      <xdr:row>17</xdr:row>
      <xdr:rowOff>108701</xdr:rowOff>
    </xdr:to>
    <xdr:sp macro="" textlink="">
      <xdr:nvSpPr>
        <xdr:cNvPr id="60" name="矢印: 環状 59">
          <a:extLst>
            <a:ext uri="{FF2B5EF4-FFF2-40B4-BE49-F238E27FC236}">
              <a16:creationId xmlns:a16="http://schemas.microsoft.com/office/drawing/2014/main" id="{4A4F777B-E45B-46C7-833A-9938F82D8CB2}"/>
            </a:ext>
          </a:extLst>
        </xdr:cNvPr>
        <xdr:cNvSpPr/>
      </xdr:nvSpPr>
      <xdr:spPr>
        <a:xfrm rot="986520" flipH="1">
          <a:off x="13862075" y="3635953"/>
          <a:ext cx="359043" cy="363873"/>
        </a:xfrm>
        <a:prstGeom prst="circularArrow">
          <a:avLst>
            <a:gd name="adj1" fmla="val 9006"/>
            <a:gd name="adj2" fmla="val 1201318"/>
            <a:gd name="adj3" fmla="val 20575211"/>
            <a:gd name="adj4" fmla="val 12777058"/>
            <a:gd name="adj5" fmla="val 1244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61</xdr:col>
      <xdr:colOff>76214</xdr:colOff>
      <xdr:row>15</xdr:row>
      <xdr:rowOff>94096</xdr:rowOff>
    </xdr:from>
    <xdr:ext cx="314958" cy="224998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F263F1EF-AB6A-4AAE-B4F7-83C6EF84157B}"/>
            </a:ext>
          </a:extLst>
        </xdr:cNvPr>
        <xdr:cNvSpPr txBox="1"/>
      </xdr:nvSpPr>
      <xdr:spPr>
        <a:xfrm>
          <a:off x="14038488" y="3527442"/>
          <a:ext cx="3149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31</xdr:col>
      <xdr:colOff>12607</xdr:colOff>
      <xdr:row>3</xdr:row>
      <xdr:rowOff>207065</xdr:rowOff>
    </xdr:from>
    <xdr:to>
      <xdr:col>31</xdr:col>
      <xdr:colOff>12607</xdr:colOff>
      <xdr:row>4</xdr:row>
      <xdr:rowOff>212232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996DA507-E8D6-51F7-DD06-8B62CFC48906}"/>
            </a:ext>
          </a:extLst>
        </xdr:cNvPr>
        <xdr:cNvCxnSpPr/>
      </xdr:nvCxnSpPr>
      <xdr:spPr>
        <a:xfrm>
          <a:off x="7099207" y="892865"/>
          <a:ext cx="0" cy="233767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217031</xdr:colOff>
      <xdr:row>6</xdr:row>
      <xdr:rowOff>109074</xdr:rowOff>
    </xdr:from>
    <xdr:to>
      <xdr:col>29</xdr:col>
      <xdr:colOff>185942</xdr:colOff>
      <xdr:row>12</xdr:row>
      <xdr:rowOff>182814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3278E113-AD6C-49A4-A802-A113CDCEDB7D}"/>
            </a:ext>
          </a:extLst>
        </xdr:cNvPr>
        <xdr:cNvSpPr/>
      </xdr:nvSpPr>
      <xdr:spPr>
        <a:xfrm rot="12060000" flipH="1">
          <a:off x="6617831" y="1491560"/>
          <a:ext cx="197511" cy="1445340"/>
        </a:xfrm>
        <a:prstGeom prst="rtTriangle">
          <a:avLst/>
        </a:prstGeom>
        <a:solidFill>
          <a:schemeClr val="accent2">
            <a:lumMod val="20000"/>
            <a:lumOff val="80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74848</xdr:colOff>
      <xdr:row>9</xdr:row>
      <xdr:rowOff>154727</xdr:rowOff>
    </xdr:from>
    <xdr:to>
      <xdr:col>28</xdr:col>
      <xdr:colOff>160708</xdr:colOff>
      <xdr:row>12</xdr:row>
      <xdr:rowOff>158072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4EA3EF68-5F06-468B-A621-43B73AACF4D7}"/>
            </a:ext>
          </a:extLst>
        </xdr:cNvPr>
        <xdr:cNvSpPr/>
      </xdr:nvSpPr>
      <xdr:spPr>
        <a:xfrm rot="12120000" flipH="1">
          <a:off x="6475648" y="2223013"/>
          <a:ext cx="85860" cy="689145"/>
        </a:xfrm>
        <a:prstGeom prst="rtTriangle">
          <a:avLst/>
        </a:prstGeom>
        <a:solidFill>
          <a:schemeClr val="bg1">
            <a:lumMod val="85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30</xdr:col>
      <xdr:colOff>1696</xdr:colOff>
      <xdr:row>7</xdr:row>
      <xdr:rowOff>84299</xdr:rowOff>
    </xdr:from>
    <xdr:ext cx="386644" cy="224998"/>
    <xdr:sp macro="" textlink="$Q$7">
      <xdr:nvSpPr>
        <xdr:cNvPr id="4" name="テキスト ボックス 3">
          <a:extLst>
            <a:ext uri="{FF2B5EF4-FFF2-40B4-BE49-F238E27FC236}">
              <a16:creationId xmlns:a16="http://schemas.microsoft.com/office/drawing/2014/main" id="{087DB967-DAB8-44DC-B74B-B510F5874940}"/>
            </a:ext>
          </a:extLst>
        </xdr:cNvPr>
        <xdr:cNvSpPr txBox="1"/>
      </xdr:nvSpPr>
      <xdr:spPr>
        <a:xfrm>
          <a:off x="6859696" y="1695385"/>
          <a:ext cx="38664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AB6931D-5735-4CED-9EA2-F777BAE7A9C3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21.8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30</xdr:col>
      <xdr:colOff>15989</xdr:colOff>
      <xdr:row>5</xdr:row>
      <xdr:rowOff>227615</xdr:rowOff>
    </xdr:from>
    <xdr:ext cx="370486" cy="2249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774A889-B9AE-48FF-BD9E-F62AD5C0C0A2}"/>
            </a:ext>
          </a:extLst>
        </xdr:cNvPr>
        <xdr:cNvSpPr txBox="1"/>
      </xdr:nvSpPr>
      <xdr:spPr>
        <a:xfrm rot="1181880">
          <a:off x="6873989" y="1370615"/>
          <a:ext cx="37048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30</xdr:col>
      <xdr:colOff>18471</xdr:colOff>
      <xdr:row>8</xdr:row>
      <xdr:rowOff>161611</xdr:rowOff>
    </xdr:from>
    <xdr:ext cx="396134" cy="2249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53E86F-01CB-4016-AABF-1848C6693853}"/>
            </a:ext>
          </a:extLst>
        </xdr:cNvPr>
        <xdr:cNvSpPr txBox="1"/>
      </xdr:nvSpPr>
      <xdr:spPr>
        <a:xfrm>
          <a:off x="6876471" y="2001297"/>
          <a:ext cx="39613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31</xdr:col>
      <xdr:colOff>24074</xdr:colOff>
      <xdr:row>8</xdr:row>
      <xdr:rowOff>190600</xdr:rowOff>
    </xdr:from>
    <xdr:ext cx="444352" cy="224998"/>
    <xdr:sp macro="" textlink="$Q$5">
      <xdr:nvSpPr>
        <xdr:cNvPr id="7" name="テキスト ボックス 6">
          <a:extLst>
            <a:ext uri="{FF2B5EF4-FFF2-40B4-BE49-F238E27FC236}">
              <a16:creationId xmlns:a16="http://schemas.microsoft.com/office/drawing/2014/main" id="{87B5C2B3-178C-41A9-A4F1-61A0A275455D}"/>
            </a:ext>
          </a:extLst>
        </xdr:cNvPr>
        <xdr:cNvSpPr txBox="1"/>
      </xdr:nvSpPr>
      <xdr:spPr>
        <a:xfrm>
          <a:off x="7110674" y="2030286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7B99935-453C-4799-996C-198A1AD367D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8.400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31</xdr:col>
      <xdr:colOff>59303</xdr:colOff>
      <xdr:row>9</xdr:row>
      <xdr:rowOff>92080</xdr:rowOff>
    </xdr:from>
    <xdr:ext cx="242374" cy="444352"/>
    <xdr:sp macro="" textlink="$G$7">
      <xdr:nvSpPr>
        <xdr:cNvPr id="8" name="テキスト ボックス 7">
          <a:extLst>
            <a:ext uri="{FF2B5EF4-FFF2-40B4-BE49-F238E27FC236}">
              <a16:creationId xmlns:a16="http://schemas.microsoft.com/office/drawing/2014/main" id="{71DE994B-5B4B-4C34-9A07-0D71B9D44EA9}"/>
            </a:ext>
          </a:extLst>
        </xdr:cNvPr>
        <xdr:cNvSpPr txBox="1"/>
      </xdr:nvSpPr>
      <xdr:spPr>
        <a:xfrm rot="17460000">
          <a:off x="7044914" y="2261355"/>
          <a:ext cx="44435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3432FF7-ABBF-4790-8465-7C0004CD2BA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pPr/>
            <a:t>3.877</a:t>
          </a:fld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30</xdr:col>
      <xdr:colOff>226944</xdr:colOff>
      <xdr:row>10</xdr:row>
      <xdr:rowOff>132778</xdr:rowOff>
    </xdr:from>
    <xdr:ext cx="242374" cy="249748"/>
    <xdr:sp macro="" textlink="#REF!">
      <xdr:nvSpPr>
        <xdr:cNvPr id="9" name="テキスト ボックス 8">
          <a:extLst>
            <a:ext uri="{FF2B5EF4-FFF2-40B4-BE49-F238E27FC236}">
              <a16:creationId xmlns:a16="http://schemas.microsoft.com/office/drawing/2014/main" id="{B419E11A-B95F-4829-A124-ADE66FEDC2BE}"/>
            </a:ext>
          </a:extLst>
        </xdr:cNvPr>
        <xdr:cNvSpPr txBox="1"/>
      </xdr:nvSpPr>
      <xdr:spPr>
        <a:xfrm rot="17460000">
          <a:off x="7081257" y="2433351"/>
          <a:ext cx="24974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t>=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31</xdr:col>
      <xdr:colOff>185033</xdr:colOff>
      <xdr:row>11</xdr:row>
      <xdr:rowOff>19615</xdr:rowOff>
    </xdr:from>
    <xdr:ext cx="242374" cy="249748"/>
    <xdr:sp macro="" textlink="#REF!">
      <xdr:nvSpPr>
        <xdr:cNvPr id="10" name="テキスト ボックス 9">
          <a:extLst>
            <a:ext uri="{FF2B5EF4-FFF2-40B4-BE49-F238E27FC236}">
              <a16:creationId xmlns:a16="http://schemas.microsoft.com/office/drawing/2014/main" id="{3A9D5835-2D7F-4EB3-9A01-D6984F30A0C3}"/>
            </a:ext>
          </a:extLst>
        </xdr:cNvPr>
        <xdr:cNvSpPr txBox="1"/>
      </xdr:nvSpPr>
      <xdr:spPr>
        <a:xfrm rot="17460000">
          <a:off x="7267946" y="2548788"/>
          <a:ext cx="24974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t>=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32</xdr:col>
      <xdr:colOff>20114</xdr:colOff>
      <xdr:row>9</xdr:row>
      <xdr:rowOff>199501</xdr:rowOff>
    </xdr:from>
    <xdr:ext cx="242374" cy="444352"/>
    <xdr:sp macro="" textlink="$G$5">
      <xdr:nvSpPr>
        <xdr:cNvPr id="11" name="テキスト ボックス 10">
          <a:extLst>
            <a:ext uri="{FF2B5EF4-FFF2-40B4-BE49-F238E27FC236}">
              <a16:creationId xmlns:a16="http://schemas.microsoft.com/office/drawing/2014/main" id="{644F358F-E83C-4579-99B4-1593669ECDC0}"/>
            </a:ext>
          </a:extLst>
        </xdr:cNvPr>
        <xdr:cNvSpPr txBox="1"/>
      </xdr:nvSpPr>
      <xdr:spPr>
        <a:xfrm rot="17460000">
          <a:off x="7234325" y="2368776"/>
          <a:ext cx="44435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A049E98-120B-4E8B-BC13-87E4438D0DC5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pPr/>
            <a:t>6.462</a:t>
          </a:fld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30</xdr:col>
      <xdr:colOff>215115</xdr:colOff>
      <xdr:row>6</xdr:row>
      <xdr:rowOff>67266</xdr:rowOff>
    </xdr:from>
    <xdr:ext cx="444352" cy="224998"/>
    <xdr:sp macro="" textlink="$Q$6">
      <xdr:nvSpPr>
        <xdr:cNvPr id="12" name="テキスト ボックス 11">
          <a:extLst>
            <a:ext uri="{FF2B5EF4-FFF2-40B4-BE49-F238E27FC236}">
              <a16:creationId xmlns:a16="http://schemas.microsoft.com/office/drawing/2014/main" id="{7A6FB88D-6B64-4956-A8CC-3ACF238CF67E}"/>
            </a:ext>
          </a:extLst>
        </xdr:cNvPr>
        <xdr:cNvSpPr txBox="1"/>
      </xdr:nvSpPr>
      <xdr:spPr>
        <a:xfrm rot="1249213">
          <a:off x="7073115" y="1449752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5FADEDB-F12F-4E05-AC19-CC8DB11B0F2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4.333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29</xdr:col>
      <xdr:colOff>8421</xdr:colOff>
      <xdr:row>9</xdr:row>
      <xdr:rowOff>77248</xdr:rowOff>
    </xdr:from>
    <xdr:ext cx="317266" cy="22499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6A964FB-8372-4A5F-8D11-FF40EDD90DB1}"/>
            </a:ext>
          </a:extLst>
        </xdr:cNvPr>
        <xdr:cNvSpPr txBox="1"/>
      </xdr:nvSpPr>
      <xdr:spPr>
        <a:xfrm rot="1331345">
          <a:off x="6637821" y="2145534"/>
          <a:ext cx="31726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' </a:t>
          </a:r>
          <a:endParaRPr kumimoji="1" lang="ja-JP" altLang="en-US" sz="9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139070</xdr:colOff>
      <xdr:row>7</xdr:row>
      <xdr:rowOff>224843</xdr:rowOff>
    </xdr:from>
    <xdr:to>
      <xdr:col>30</xdr:col>
      <xdr:colOff>110142</xdr:colOff>
      <xdr:row>8</xdr:row>
      <xdr:rowOff>47955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8DE38509-F455-4DB5-A7C4-BA88ED183609}"/>
            </a:ext>
          </a:extLst>
        </xdr:cNvPr>
        <xdr:cNvCxnSpPr/>
      </xdr:nvCxnSpPr>
      <xdr:spPr>
        <a:xfrm rot="240000" flipH="1" flipV="1">
          <a:off x="6768470" y="1835929"/>
          <a:ext cx="199672" cy="51712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37053</xdr:colOff>
      <xdr:row>7</xdr:row>
      <xdr:rowOff>217382</xdr:rowOff>
    </xdr:from>
    <xdr:ext cx="369525" cy="22499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3728017-795B-4644-8380-48CABC1762E7}"/>
            </a:ext>
          </a:extLst>
        </xdr:cNvPr>
        <xdr:cNvSpPr txBox="1"/>
      </xdr:nvSpPr>
      <xdr:spPr>
        <a:xfrm>
          <a:off x="6895053" y="1828468"/>
          <a:ext cx="36952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tzi</a:t>
          </a:r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198188</xdr:colOff>
      <xdr:row>2</xdr:row>
      <xdr:rowOff>149057</xdr:rowOff>
    </xdr:from>
    <xdr:to>
      <xdr:col>64</xdr:col>
      <xdr:colOff>65312</xdr:colOff>
      <xdr:row>2</xdr:row>
      <xdr:rowOff>149057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BB56304-E9D6-4152-B135-EB98E538F4F3}"/>
            </a:ext>
          </a:extLst>
        </xdr:cNvPr>
        <xdr:cNvCxnSpPr/>
      </xdr:nvCxnSpPr>
      <xdr:spPr>
        <a:xfrm>
          <a:off x="14392574" y="606940"/>
          <a:ext cx="325007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65614</xdr:colOff>
      <xdr:row>2</xdr:row>
      <xdr:rowOff>107943</xdr:rowOff>
    </xdr:from>
    <xdr:to>
      <xdr:col>64</xdr:col>
      <xdr:colOff>65614</xdr:colOff>
      <xdr:row>3</xdr:row>
      <xdr:rowOff>37053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3172B38-B163-43EF-B2A7-9772C90705F7}"/>
            </a:ext>
          </a:extLst>
        </xdr:cNvPr>
        <xdr:cNvCxnSpPr/>
      </xdr:nvCxnSpPr>
      <xdr:spPr>
        <a:xfrm>
          <a:off x="14696014" y="565143"/>
          <a:ext cx="0" cy="15771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202466</xdr:colOff>
      <xdr:row>2</xdr:row>
      <xdr:rowOff>107944</xdr:rowOff>
    </xdr:from>
    <xdr:to>
      <xdr:col>62</xdr:col>
      <xdr:colOff>202466</xdr:colOff>
      <xdr:row>3</xdr:row>
      <xdr:rowOff>37054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DDE37B1C-84C3-48CA-AC62-EDA6DC99027D}"/>
            </a:ext>
          </a:extLst>
        </xdr:cNvPr>
        <xdr:cNvCxnSpPr/>
      </xdr:nvCxnSpPr>
      <xdr:spPr>
        <a:xfrm>
          <a:off x="14396852" y="565827"/>
          <a:ext cx="0" cy="158052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14244</xdr:colOff>
      <xdr:row>1</xdr:row>
      <xdr:rowOff>183422</xdr:rowOff>
    </xdr:from>
    <xdr:ext cx="316049" cy="22499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44CEA76-07CE-4BE8-AC65-C9A996B8CCD7}"/>
            </a:ext>
          </a:extLst>
        </xdr:cNvPr>
        <xdr:cNvSpPr txBox="1"/>
      </xdr:nvSpPr>
      <xdr:spPr>
        <a:xfrm>
          <a:off x="14437571" y="412364"/>
          <a:ext cx="31604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zi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148327</xdr:colOff>
      <xdr:row>3</xdr:row>
      <xdr:rowOff>88061</xdr:rowOff>
    </xdr:from>
    <xdr:to>
      <xdr:col>61</xdr:col>
      <xdr:colOff>148327</xdr:colOff>
      <xdr:row>5</xdr:row>
      <xdr:rowOff>41004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D9B5658-380C-4C5D-A20B-41A1CD35EDE2}"/>
            </a:ext>
          </a:extLst>
        </xdr:cNvPr>
        <xdr:cNvCxnSpPr/>
      </xdr:nvCxnSpPr>
      <xdr:spPr>
        <a:xfrm>
          <a:off x="14113771" y="774886"/>
          <a:ext cx="0" cy="410827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47749</xdr:colOff>
      <xdr:row>3</xdr:row>
      <xdr:rowOff>92556</xdr:rowOff>
    </xdr:from>
    <xdr:to>
      <xdr:col>63</xdr:col>
      <xdr:colOff>200935</xdr:colOff>
      <xdr:row>3</xdr:row>
      <xdr:rowOff>92556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71A1D21A-CAF0-4897-B5FD-795239978043}"/>
            </a:ext>
          </a:extLst>
        </xdr:cNvPr>
        <xdr:cNvCxnSpPr/>
      </xdr:nvCxnSpPr>
      <xdr:spPr>
        <a:xfrm>
          <a:off x="13992349" y="778356"/>
          <a:ext cx="610386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172321</xdr:colOff>
      <xdr:row>3</xdr:row>
      <xdr:rowOff>148592</xdr:rowOff>
    </xdr:from>
    <xdr:ext cx="224998" cy="316049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39B7B46-DA48-45B8-A1A2-F038D8BD4FD0}"/>
            </a:ext>
          </a:extLst>
        </xdr:cNvPr>
        <xdr:cNvSpPr txBox="1"/>
      </xdr:nvSpPr>
      <xdr:spPr>
        <a:xfrm rot="16200000">
          <a:off x="13842795" y="879918"/>
          <a:ext cx="31604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zi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55</xdr:col>
      <xdr:colOff>77229</xdr:colOff>
      <xdr:row>18</xdr:row>
      <xdr:rowOff>192772</xdr:rowOff>
    </xdr:from>
    <xdr:ext cx="224998" cy="292581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6C289EB-0FBC-4214-AB9E-EAF9E372B353}"/>
            </a:ext>
          </a:extLst>
        </xdr:cNvPr>
        <xdr:cNvSpPr txBox="1"/>
      </xdr:nvSpPr>
      <xdr:spPr>
        <a:xfrm rot="16200000">
          <a:off x="12616437" y="4402324"/>
          <a:ext cx="29258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28</xdr:col>
      <xdr:colOff>188864</xdr:colOff>
      <xdr:row>6</xdr:row>
      <xdr:rowOff>122575</xdr:rowOff>
    </xdr:from>
    <xdr:to>
      <xdr:col>30</xdr:col>
      <xdr:colOff>23292</xdr:colOff>
      <xdr:row>6</xdr:row>
      <xdr:rowOff>122575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AEAC6148-D7F4-48F1-81D1-45C1C1F9CECB}"/>
            </a:ext>
          </a:extLst>
        </xdr:cNvPr>
        <xdr:cNvCxnSpPr/>
      </xdr:nvCxnSpPr>
      <xdr:spPr>
        <a:xfrm>
          <a:off x="6589664" y="1505061"/>
          <a:ext cx="2916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123959</xdr:colOff>
      <xdr:row>6</xdr:row>
      <xdr:rowOff>7965</xdr:rowOff>
    </xdr:from>
    <xdr:to>
      <xdr:col>26</xdr:col>
      <xdr:colOff>123959</xdr:colOff>
      <xdr:row>16</xdr:row>
      <xdr:rowOff>82441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919BAF06-D2DB-44AF-8190-A7BF23464274}"/>
            </a:ext>
          </a:extLst>
        </xdr:cNvPr>
        <xdr:cNvCxnSpPr/>
      </xdr:nvCxnSpPr>
      <xdr:spPr>
        <a:xfrm rot="6960000">
          <a:off x="4881878" y="2576132"/>
          <a:ext cx="237136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173051</xdr:colOff>
      <xdr:row>4</xdr:row>
      <xdr:rowOff>179379</xdr:rowOff>
    </xdr:from>
    <xdr:ext cx="336311" cy="22499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EA5163D-B445-4CCB-972C-467E111FCE35}"/>
            </a:ext>
          </a:extLst>
        </xdr:cNvPr>
        <xdr:cNvSpPr txBox="1"/>
      </xdr:nvSpPr>
      <xdr:spPr>
        <a:xfrm>
          <a:off x="6345251" y="1093779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193813</xdr:colOff>
      <xdr:row>5</xdr:row>
      <xdr:rowOff>131162</xdr:rowOff>
    </xdr:from>
    <xdr:to>
      <xdr:col>28</xdr:col>
      <xdr:colOff>193813</xdr:colOff>
      <xdr:row>6</xdr:row>
      <xdr:rowOff>52700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C84DFCD0-4557-4F8F-B868-F5A1A546DEDA}"/>
            </a:ext>
          </a:extLst>
        </xdr:cNvPr>
        <xdr:cNvCxnSpPr/>
      </xdr:nvCxnSpPr>
      <xdr:spPr>
        <a:xfrm>
          <a:off x="6594613" y="1274162"/>
          <a:ext cx="0" cy="161024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26860</xdr:colOff>
      <xdr:row>5</xdr:row>
      <xdr:rowOff>131162</xdr:rowOff>
    </xdr:from>
    <xdr:to>
      <xdr:col>30</xdr:col>
      <xdr:colOff>26860</xdr:colOff>
      <xdr:row>6</xdr:row>
      <xdr:rowOff>52700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86F7D66E-93C9-4BF0-8C6F-414D3D31FA6E}"/>
            </a:ext>
          </a:extLst>
        </xdr:cNvPr>
        <xdr:cNvCxnSpPr/>
      </xdr:nvCxnSpPr>
      <xdr:spPr>
        <a:xfrm>
          <a:off x="6884860" y="1274162"/>
          <a:ext cx="0" cy="161024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193327</xdr:colOff>
      <xdr:row>5</xdr:row>
      <xdr:rowOff>168557</xdr:rowOff>
    </xdr:from>
    <xdr:to>
      <xdr:col>30</xdr:col>
      <xdr:colOff>27755</xdr:colOff>
      <xdr:row>5</xdr:row>
      <xdr:rowOff>168557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A63F88ED-3416-41EE-A342-0449219CC432}"/>
            </a:ext>
          </a:extLst>
        </xdr:cNvPr>
        <xdr:cNvCxnSpPr/>
      </xdr:nvCxnSpPr>
      <xdr:spPr>
        <a:xfrm>
          <a:off x="6594127" y="1311557"/>
          <a:ext cx="29162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55135</xdr:colOff>
      <xdr:row>15</xdr:row>
      <xdr:rowOff>205699</xdr:rowOff>
    </xdr:from>
    <xdr:to>
      <xdr:col>26</xdr:col>
      <xdr:colOff>105563</xdr:colOff>
      <xdr:row>15</xdr:row>
      <xdr:rowOff>205699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E10CA0F8-A115-450C-BF0A-635E9C1FFA2F}"/>
            </a:ext>
          </a:extLst>
        </xdr:cNvPr>
        <xdr:cNvCxnSpPr/>
      </xdr:nvCxnSpPr>
      <xdr:spPr>
        <a:xfrm>
          <a:off x="5541535" y="3645585"/>
          <a:ext cx="507628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55345</xdr:colOff>
      <xdr:row>6</xdr:row>
      <xdr:rowOff>218532</xdr:rowOff>
    </xdr:from>
    <xdr:to>
      <xdr:col>33</xdr:col>
      <xdr:colOff>148311</xdr:colOff>
      <xdr:row>7</xdr:row>
      <xdr:rowOff>178308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5410C902-411F-49E8-B018-B01AD7969672}"/>
            </a:ext>
          </a:extLst>
        </xdr:cNvPr>
        <xdr:cNvCxnSpPr/>
      </xdr:nvCxnSpPr>
      <xdr:spPr>
        <a:xfrm>
          <a:off x="7141945" y="1601018"/>
          <a:ext cx="550166" cy="18837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210095</xdr:colOff>
      <xdr:row>7</xdr:row>
      <xdr:rowOff>168912</xdr:rowOff>
    </xdr:from>
    <xdr:to>
      <xdr:col>33</xdr:col>
      <xdr:colOff>107851</xdr:colOff>
      <xdr:row>17</xdr:row>
      <xdr:rowOff>15727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197A6C35-B0CB-4D74-B58D-73326C21799E}"/>
            </a:ext>
          </a:extLst>
        </xdr:cNvPr>
        <xdr:cNvCxnSpPr/>
      </xdr:nvCxnSpPr>
      <xdr:spPr>
        <a:xfrm flipH="1">
          <a:off x="6839495" y="1779998"/>
          <a:ext cx="812156" cy="2154586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6046</xdr:colOff>
      <xdr:row>16</xdr:row>
      <xdr:rowOff>15242</xdr:rowOff>
    </xdr:from>
    <xdr:to>
      <xdr:col>30</xdr:col>
      <xdr:colOff>31025</xdr:colOff>
      <xdr:row>17</xdr:row>
      <xdr:rowOff>28178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E3B09ABA-004D-4BAF-A094-DA21E610C661}"/>
            </a:ext>
          </a:extLst>
        </xdr:cNvPr>
        <xdr:cNvCxnSpPr/>
      </xdr:nvCxnSpPr>
      <xdr:spPr>
        <a:xfrm>
          <a:off x="6178246" y="3694613"/>
          <a:ext cx="710779" cy="25242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153423</xdr:colOff>
      <xdr:row>11</xdr:row>
      <xdr:rowOff>122934</xdr:rowOff>
    </xdr:from>
    <xdr:ext cx="242374" cy="271228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3C59C13-7783-4EA7-A572-D9365913DB25}"/>
            </a:ext>
          </a:extLst>
        </xdr:cNvPr>
        <xdr:cNvSpPr txBox="1"/>
      </xdr:nvSpPr>
      <xdr:spPr>
        <a:xfrm rot="17460000">
          <a:off x="7225596" y="2662847"/>
          <a:ext cx="27122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30</xdr:col>
      <xdr:colOff>118696</xdr:colOff>
      <xdr:row>9</xdr:row>
      <xdr:rowOff>61064</xdr:rowOff>
    </xdr:from>
    <xdr:ext cx="242374" cy="640688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E948399C-F080-41C1-9735-395D1142E24A}"/>
            </a:ext>
          </a:extLst>
        </xdr:cNvPr>
        <xdr:cNvSpPr txBox="1"/>
      </xdr:nvSpPr>
      <xdr:spPr>
        <a:xfrm rot="17460000">
          <a:off x="6777539" y="2328507"/>
          <a:ext cx="64068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₂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κ</a:t>
          </a:r>
          <a:r>
            <a:rPr kumimoji="1" lang="en-US" altLang="ja-JP" sz="900" i="1" baseline="-250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・</a:t>
          </a:r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29</xdr:col>
      <xdr:colOff>28808</xdr:colOff>
      <xdr:row>14</xdr:row>
      <xdr:rowOff>26286</xdr:rowOff>
    </xdr:from>
    <xdr:ext cx="242374" cy="305853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1213D3B0-630D-4264-A2A2-4FBC7B51FAE3}"/>
            </a:ext>
          </a:extLst>
        </xdr:cNvPr>
        <xdr:cNvSpPr txBox="1"/>
      </xdr:nvSpPr>
      <xdr:spPr>
        <a:xfrm rot="17460000">
          <a:off x="6626468" y="3269312"/>
          <a:ext cx="305853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₁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129854</xdr:colOff>
      <xdr:row>13</xdr:row>
      <xdr:rowOff>53679</xdr:rowOff>
    </xdr:from>
    <xdr:to>
      <xdr:col>29</xdr:col>
      <xdr:colOff>192722</xdr:colOff>
      <xdr:row>16</xdr:row>
      <xdr:rowOff>137423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BA045FB3-E95F-4D0D-BA7D-57DE8154247D}"/>
            </a:ext>
          </a:extLst>
        </xdr:cNvPr>
        <xdr:cNvCxnSpPr/>
      </xdr:nvCxnSpPr>
      <xdr:spPr>
        <a:xfrm flipH="1">
          <a:off x="6530654" y="3036365"/>
          <a:ext cx="291468" cy="780429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192983</xdr:colOff>
      <xdr:row>7</xdr:row>
      <xdr:rowOff>51790</xdr:rowOff>
    </xdr:from>
    <xdr:to>
      <xdr:col>32</xdr:col>
      <xdr:colOff>15382</xdr:colOff>
      <xdr:row>13</xdr:row>
      <xdr:rowOff>57541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C01077B-D502-4C29-94C6-6512A0C582A3}"/>
            </a:ext>
          </a:extLst>
        </xdr:cNvPr>
        <xdr:cNvCxnSpPr/>
      </xdr:nvCxnSpPr>
      <xdr:spPr>
        <a:xfrm flipH="1">
          <a:off x="6822383" y="1662876"/>
          <a:ext cx="508199" cy="1377351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76284</xdr:colOff>
      <xdr:row>6</xdr:row>
      <xdr:rowOff>161530</xdr:rowOff>
    </xdr:from>
    <xdr:to>
      <xdr:col>30</xdr:col>
      <xdr:colOff>180811</xdr:colOff>
      <xdr:row>7</xdr:row>
      <xdr:rowOff>165918</xdr:rowOff>
    </xdr:to>
    <xdr:sp macro="" textlink="">
      <xdr:nvSpPr>
        <xdr:cNvPr id="39" name="円弧 38">
          <a:extLst>
            <a:ext uri="{FF2B5EF4-FFF2-40B4-BE49-F238E27FC236}">
              <a16:creationId xmlns:a16="http://schemas.microsoft.com/office/drawing/2014/main" id="{FEF1A58A-17F5-47D9-8002-A3FF29853C53}"/>
            </a:ext>
          </a:extLst>
        </xdr:cNvPr>
        <xdr:cNvSpPr/>
      </xdr:nvSpPr>
      <xdr:spPr>
        <a:xfrm rot="11917365">
          <a:off x="6705684" y="1544016"/>
          <a:ext cx="333127" cy="232988"/>
        </a:xfrm>
        <a:prstGeom prst="arc">
          <a:avLst>
            <a:gd name="adj1" fmla="val 14457045"/>
            <a:gd name="adj2" fmla="val 17459712"/>
          </a:avLst>
        </a:prstGeom>
        <a:noFill/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30</xdr:col>
      <xdr:colOff>30155</xdr:colOff>
      <xdr:row>6</xdr:row>
      <xdr:rowOff>125713</xdr:rowOff>
    </xdr:from>
    <xdr:to>
      <xdr:col>30</xdr:col>
      <xdr:colOff>30155</xdr:colOff>
      <xdr:row>8</xdr:row>
      <xdr:rowOff>16220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6A2C1EA6-F809-4A87-8521-B2C4A9D8A65E}"/>
            </a:ext>
          </a:extLst>
        </xdr:cNvPr>
        <xdr:cNvCxnSpPr/>
      </xdr:nvCxnSpPr>
      <xdr:spPr>
        <a:xfrm>
          <a:off x="6888155" y="1508199"/>
          <a:ext cx="0" cy="347707"/>
        </a:xfrm>
        <a:prstGeom prst="line">
          <a:avLst/>
        </a:prstGeom>
        <a:ln w="3175">
          <a:solidFill>
            <a:schemeClr val="tx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151141</xdr:colOff>
      <xdr:row>6</xdr:row>
      <xdr:rowOff>224783</xdr:rowOff>
    </xdr:from>
    <xdr:ext cx="365165" cy="242374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9F2B809D-E10E-4746-BA05-C11577F2D916}"/>
            </a:ext>
          </a:extLst>
        </xdr:cNvPr>
        <xdr:cNvSpPr txBox="1"/>
      </xdr:nvSpPr>
      <xdr:spPr>
        <a:xfrm>
          <a:off x="6780541" y="1607269"/>
          <a:ext cx="36516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θ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43286</xdr:colOff>
      <xdr:row>8</xdr:row>
      <xdr:rowOff>216152</xdr:rowOff>
    </xdr:from>
    <xdr:to>
      <xdr:col>30</xdr:col>
      <xdr:colOff>88766</xdr:colOff>
      <xdr:row>9</xdr:row>
      <xdr:rowOff>67226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794B78AF-1176-4BE6-90A4-B53E11785172}"/>
            </a:ext>
          </a:extLst>
        </xdr:cNvPr>
        <xdr:cNvCxnSpPr/>
      </xdr:nvCxnSpPr>
      <xdr:spPr>
        <a:xfrm rot="240000" flipH="1" flipV="1">
          <a:off x="6672686" y="2055838"/>
          <a:ext cx="274080" cy="79674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126788</xdr:colOff>
      <xdr:row>4</xdr:row>
      <xdr:rowOff>179379</xdr:rowOff>
    </xdr:from>
    <xdr:ext cx="444352" cy="224998"/>
    <xdr:sp macro="" textlink="'1.条件'!T7">
      <xdr:nvSpPr>
        <xdr:cNvPr id="44" name="テキスト ボックス 43">
          <a:extLst>
            <a:ext uri="{FF2B5EF4-FFF2-40B4-BE49-F238E27FC236}">
              <a16:creationId xmlns:a16="http://schemas.microsoft.com/office/drawing/2014/main" id="{1775EFB7-9E69-4D56-8E63-48853A0D1497}"/>
            </a:ext>
          </a:extLst>
        </xdr:cNvPr>
        <xdr:cNvSpPr txBox="1"/>
      </xdr:nvSpPr>
      <xdr:spPr>
        <a:xfrm>
          <a:off x="6527588" y="1093779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073291F-FF2A-4592-B3E3-08EC9F1BC712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24</xdr:col>
      <xdr:colOff>36379</xdr:colOff>
      <xdr:row>7</xdr:row>
      <xdr:rowOff>54338</xdr:rowOff>
    </xdr:from>
    <xdr:ext cx="224998" cy="290464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BFE5B44D-26B2-4AD1-AB70-64C08921D8DB}"/>
            </a:ext>
          </a:extLst>
        </xdr:cNvPr>
        <xdr:cNvSpPr txBox="1"/>
      </xdr:nvSpPr>
      <xdr:spPr>
        <a:xfrm rot="16200000">
          <a:off x="5490046" y="1698157"/>
          <a:ext cx="29046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24</xdr:col>
      <xdr:colOff>211693</xdr:colOff>
      <xdr:row>6</xdr:row>
      <xdr:rowOff>117875</xdr:rowOff>
    </xdr:from>
    <xdr:to>
      <xdr:col>26</xdr:col>
      <xdr:colOff>145470</xdr:colOff>
      <xdr:row>6</xdr:row>
      <xdr:rowOff>117875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BAAAAF38-8CD5-46B5-BA25-C5F24684EE5B}"/>
            </a:ext>
          </a:extLst>
        </xdr:cNvPr>
        <xdr:cNvCxnSpPr/>
      </xdr:nvCxnSpPr>
      <xdr:spPr>
        <a:xfrm>
          <a:off x="5698093" y="1500361"/>
          <a:ext cx="390977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26603</xdr:colOff>
      <xdr:row>6</xdr:row>
      <xdr:rowOff>119409</xdr:rowOff>
    </xdr:from>
    <xdr:to>
      <xdr:col>25</xdr:col>
      <xdr:colOff>26603</xdr:colOff>
      <xdr:row>9</xdr:row>
      <xdr:rowOff>159659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AB1B811E-9CAF-4D94-937C-02AE229E90CC}"/>
            </a:ext>
          </a:extLst>
        </xdr:cNvPr>
        <xdr:cNvCxnSpPr/>
      </xdr:nvCxnSpPr>
      <xdr:spPr>
        <a:xfrm>
          <a:off x="5741603" y="1501895"/>
          <a:ext cx="0" cy="72605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205868</xdr:colOff>
      <xdr:row>9</xdr:row>
      <xdr:rowOff>161575</xdr:rowOff>
    </xdr:from>
    <xdr:to>
      <xdr:col>26</xdr:col>
      <xdr:colOff>166008</xdr:colOff>
      <xdr:row>9</xdr:row>
      <xdr:rowOff>161575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4460EBA9-E72E-4A6B-844C-977C63287520}"/>
            </a:ext>
          </a:extLst>
        </xdr:cNvPr>
        <xdr:cNvCxnSpPr/>
      </xdr:nvCxnSpPr>
      <xdr:spPr>
        <a:xfrm>
          <a:off x="5692268" y="2229861"/>
          <a:ext cx="417340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13595</xdr:colOff>
      <xdr:row>5</xdr:row>
      <xdr:rowOff>146089</xdr:rowOff>
    </xdr:from>
    <xdr:to>
      <xdr:col>27</xdr:col>
      <xdr:colOff>53648</xdr:colOff>
      <xdr:row>8</xdr:row>
      <xdr:rowOff>161101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1BD10026-A80E-4992-900F-DC50876CD37C}"/>
            </a:ext>
          </a:extLst>
        </xdr:cNvPr>
        <xdr:cNvCxnSpPr/>
      </xdr:nvCxnSpPr>
      <xdr:spPr>
        <a:xfrm flipH="1">
          <a:off x="5957195" y="1289089"/>
          <a:ext cx="268653" cy="711698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178541</xdr:colOff>
      <xdr:row>8</xdr:row>
      <xdr:rowOff>145559</xdr:rowOff>
    </xdr:from>
    <xdr:to>
      <xdr:col>27</xdr:col>
      <xdr:colOff>56881</xdr:colOff>
      <xdr:row>9</xdr:row>
      <xdr:rowOff>30844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6ADBB34-48A9-4060-AA1D-2901D244404F}"/>
            </a:ext>
          </a:extLst>
        </xdr:cNvPr>
        <xdr:cNvCxnSpPr/>
      </xdr:nvCxnSpPr>
      <xdr:spPr>
        <a:xfrm>
          <a:off x="5893541" y="1985245"/>
          <a:ext cx="335540" cy="11388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152952</xdr:colOff>
      <xdr:row>6</xdr:row>
      <xdr:rowOff>127724</xdr:rowOff>
    </xdr:from>
    <xdr:ext cx="224998" cy="286297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C75D71CE-5079-4CCB-BA9B-73773D581893}"/>
            </a:ext>
          </a:extLst>
        </xdr:cNvPr>
        <xdr:cNvSpPr txBox="1"/>
      </xdr:nvSpPr>
      <xdr:spPr>
        <a:xfrm rot="17233223">
          <a:off x="5837302" y="1540860"/>
          <a:ext cx="28629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z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i</a:t>
          </a:r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'</a:t>
          </a:r>
          <a:endParaRPr kumimoji="1" lang="ja-JP" altLang="en-US" sz="900" i="1">
            <a:solidFill>
              <a:srgbClr val="FF0000"/>
            </a:solidFill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27</xdr:col>
      <xdr:colOff>89807</xdr:colOff>
      <xdr:row>9</xdr:row>
      <xdr:rowOff>166111</xdr:rowOff>
    </xdr:from>
    <xdr:to>
      <xdr:col>28</xdr:col>
      <xdr:colOff>161047</xdr:colOff>
      <xdr:row>9</xdr:row>
      <xdr:rowOff>166111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6FC28F94-3CD5-4AE1-865D-8FE7E4DDF6D4}"/>
            </a:ext>
          </a:extLst>
        </xdr:cNvPr>
        <xdr:cNvCxnSpPr/>
      </xdr:nvCxnSpPr>
      <xdr:spPr>
        <a:xfrm>
          <a:off x="6262007" y="2234397"/>
          <a:ext cx="299840" cy="0"/>
        </a:xfrm>
        <a:prstGeom prst="line">
          <a:avLst/>
        </a:prstGeom>
        <a:ln w="31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56</xdr:col>
      <xdr:colOff>65580</xdr:colOff>
      <xdr:row>18</xdr:row>
      <xdr:rowOff>52874</xdr:rowOff>
    </xdr:from>
    <xdr:ext cx="224998" cy="290464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CA5134C-A97F-415E-96E6-1524AB008335}"/>
            </a:ext>
          </a:extLst>
        </xdr:cNvPr>
        <xdr:cNvSpPr txBox="1"/>
      </xdr:nvSpPr>
      <xdr:spPr>
        <a:xfrm rot="16200000">
          <a:off x="12834447" y="4261367"/>
          <a:ext cx="29046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56</xdr:col>
      <xdr:colOff>5979</xdr:colOff>
      <xdr:row>15</xdr:row>
      <xdr:rowOff>143195</xdr:rowOff>
    </xdr:from>
    <xdr:to>
      <xdr:col>59</xdr:col>
      <xdr:colOff>21051</xdr:colOff>
      <xdr:row>15</xdr:row>
      <xdr:rowOff>143195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F7FCF085-EBA1-4C5B-8994-7559D1D1A968}"/>
            </a:ext>
          </a:extLst>
        </xdr:cNvPr>
        <xdr:cNvCxnSpPr/>
      </xdr:nvCxnSpPr>
      <xdr:spPr>
        <a:xfrm flipH="1">
          <a:off x="12807579" y="3633155"/>
          <a:ext cx="700872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89503</xdr:colOff>
      <xdr:row>15</xdr:row>
      <xdr:rowOff>154709</xdr:rowOff>
    </xdr:from>
    <xdr:to>
      <xdr:col>57</xdr:col>
      <xdr:colOff>89503</xdr:colOff>
      <xdr:row>21</xdr:row>
      <xdr:rowOff>197195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F9BC8B5E-2D97-4080-9F45-96A52282A190}"/>
            </a:ext>
          </a:extLst>
        </xdr:cNvPr>
        <xdr:cNvCxnSpPr/>
      </xdr:nvCxnSpPr>
      <xdr:spPr>
        <a:xfrm>
          <a:off x="13119703" y="3644669"/>
          <a:ext cx="0" cy="1435857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102984</xdr:colOff>
      <xdr:row>23</xdr:row>
      <xdr:rowOff>51474</xdr:rowOff>
    </xdr:from>
    <xdr:to>
      <xdr:col>62</xdr:col>
      <xdr:colOff>86824</xdr:colOff>
      <xdr:row>23</xdr:row>
      <xdr:rowOff>51474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B70DF7D9-0BB2-43D5-BEE3-13CA5FF3A81F}"/>
            </a:ext>
          </a:extLst>
        </xdr:cNvPr>
        <xdr:cNvCxnSpPr/>
      </xdr:nvCxnSpPr>
      <xdr:spPr>
        <a:xfrm>
          <a:off x="13818984" y="5370234"/>
          <a:ext cx="441040" cy="0"/>
        </a:xfrm>
        <a:prstGeom prst="line">
          <a:avLst/>
        </a:prstGeom>
        <a:ln w="31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56</xdr:col>
      <xdr:colOff>2262</xdr:colOff>
      <xdr:row>23</xdr:row>
      <xdr:rowOff>58907</xdr:rowOff>
    </xdr:from>
    <xdr:to>
      <xdr:col>60</xdr:col>
      <xdr:colOff>18000</xdr:colOff>
      <xdr:row>23</xdr:row>
      <xdr:rowOff>58907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CFF76B76-CCA6-458E-A5A0-CA5482C118D4}"/>
            </a:ext>
          </a:extLst>
        </xdr:cNvPr>
        <xdr:cNvCxnSpPr/>
      </xdr:nvCxnSpPr>
      <xdr:spPr>
        <a:xfrm>
          <a:off x="12803862" y="5377667"/>
          <a:ext cx="930138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56</xdr:col>
      <xdr:colOff>41747</xdr:colOff>
      <xdr:row>15</xdr:row>
      <xdr:rowOff>150525</xdr:rowOff>
    </xdr:from>
    <xdr:to>
      <xdr:col>56</xdr:col>
      <xdr:colOff>41747</xdr:colOff>
      <xdr:row>23</xdr:row>
      <xdr:rowOff>28005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F1DF9BB3-30A5-446C-9350-5CB636945D78}"/>
            </a:ext>
          </a:extLst>
        </xdr:cNvPr>
        <xdr:cNvCxnSpPr/>
      </xdr:nvCxnSpPr>
      <xdr:spPr>
        <a:xfrm>
          <a:off x="12843347" y="3640485"/>
          <a:ext cx="0" cy="1728051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93436</xdr:colOff>
      <xdr:row>6</xdr:row>
      <xdr:rowOff>117474</xdr:rowOff>
    </xdr:from>
    <xdr:to>
      <xdr:col>30</xdr:col>
      <xdr:colOff>33569</xdr:colOff>
      <xdr:row>15</xdr:row>
      <xdr:rowOff>210410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2C80973B-1359-41F2-B801-345A1425644C}"/>
            </a:ext>
          </a:extLst>
        </xdr:cNvPr>
        <xdr:cNvCxnSpPr/>
      </xdr:nvCxnSpPr>
      <xdr:spPr>
        <a:xfrm flipH="1">
          <a:off x="6037036" y="1499960"/>
          <a:ext cx="854533" cy="215033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35522</xdr:colOff>
      <xdr:row>12</xdr:row>
      <xdr:rowOff>146142</xdr:rowOff>
    </xdr:from>
    <xdr:to>
      <xdr:col>30</xdr:col>
      <xdr:colOff>38645</xdr:colOff>
      <xdr:row>13</xdr:row>
      <xdr:rowOff>81019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15AE6B76-5C45-4825-B20B-C157AEDE19A2}"/>
            </a:ext>
          </a:extLst>
        </xdr:cNvPr>
        <xdr:cNvCxnSpPr/>
      </xdr:nvCxnSpPr>
      <xdr:spPr>
        <a:xfrm>
          <a:off x="6436322" y="2900228"/>
          <a:ext cx="460323" cy="163477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189028</xdr:colOff>
      <xdr:row>5</xdr:row>
      <xdr:rowOff>111580</xdr:rowOff>
    </xdr:from>
    <xdr:to>
      <xdr:col>28</xdr:col>
      <xdr:colOff>102508</xdr:colOff>
      <xdr:row>5</xdr:row>
      <xdr:rowOff>237522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649857DA-C590-4AFC-BFD0-74B3892CC05E}"/>
            </a:ext>
          </a:extLst>
        </xdr:cNvPr>
        <xdr:cNvCxnSpPr/>
      </xdr:nvCxnSpPr>
      <xdr:spPr>
        <a:xfrm>
          <a:off x="6132628" y="1254580"/>
          <a:ext cx="370680" cy="125942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155706</xdr:colOff>
      <xdr:row>1</xdr:row>
      <xdr:rowOff>216085</xdr:rowOff>
    </xdr:from>
    <xdr:to>
      <xdr:col>64</xdr:col>
      <xdr:colOff>124617</xdr:colOff>
      <xdr:row>8</xdr:row>
      <xdr:rowOff>49629</xdr:rowOff>
    </xdr:to>
    <xdr:sp macro="" textlink="">
      <xdr:nvSpPr>
        <xdr:cNvPr id="62" name="直角三角形 61">
          <a:extLst>
            <a:ext uri="{FF2B5EF4-FFF2-40B4-BE49-F238E27FC236}">
              <a16:creationId xmlns:a16="http://schemas.microsoft.com/office/drawing/2014/main" id="{D9CB2993-EC5E-4E2F-95C8-247DC80BBFBF}"/>
            </a:ext>
          </a:extLst>
        </xdr:cNvPr>
        <xdr:cNvSpPr/>
      </xdr:nvSpPr>
      <xdr:spPr>
        <a:xfrm rot="12060000" flipH="1">
          <a:off x="14557506" y="444685"/>
          <a:ext cx="197511" cy="1448984"/>
        </a:xfrm>
        <a:prstGeom prst="rtTriangle">
          <a:avLst/>
        </a:prstGeom>
        <a:solidFill>
          <a:schemeClr val="accent2">
            <a:lumMod val="20000"/>
            <a:lumOff val="80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13523</xdr:colOff>
      <xdr:row>5</xdr:row>
      <xdr:rowOff>21542</xdr:rowOff>
    </xdr:from>
    <xdr:to>
      <xdr:col>63</xdr:col>
      <xdr:colOff>99383</xdr:colOff>
      <xdr:row>8</xdr:row>
      <xdr:rowOff>24887</xdr:rowOff>
    </xdr:to>
    <xdr:sp macro="" textlink="">
      <xdr:nvSpPr>
        <xdr:cNvPr id="63" name="直角三角形 62">
          <a:extLst>
            <a:ext uri="{FF2B5EF4-FFF2-40B4-BE49-F238E27FC236}">
              <a16:creationId xmlns:a16="http://schemas.microsoft.com/office/drawing/2014/main" id="{7C92B31C-7523-41C5-AF64-F535597E6839}"/>
            </a:ext>
          </a:extLst>
        </xdr:cNvPr>
        <xdr:cNvSpPr/>
      </xdr:nvSpPr>
      <xdr:spPr>
        <a:xfrm rot="12120000" flipH="1">
          <a:off x="14415323" y="1179782"/>
          <a:ext cx="85860" cy="689145"/>
        </a:xfrm>
        <a:prstGeom prst="rtTriangle">
          <a:avLst/>
        </a:prstGeom>
        <a:solidFill>
          <a:schemeClr val="bg1">
            <a:lumMod val="85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64</xdr:col>
      <xdr:colOff>171148</xdr:colOff>
      <xdr:row>2</xdr:row>
      <xdr:rowOff>187997</xdr:rowOff>
    </xdr:from>
    <xdr:ext cx="386644" cy="224998"/>
    <xdr:sp macro="" textlink="$L$31">
      <xdr:nvSpPr>
        <xdr:cNvPr id="64" name="テキスト ボックス 63">
          <a:extLst>
            <a:ext uri="{FF2B5EF4-FFF2-40B4-BE49-F238E27FC236}">
              <a16:creationId xmlns:a16="http://schemas.microsoft.com/office/drawing/2014/main" id="{9281025D-B15C-4222-8238-72F12B2A2BED}"/>
            </a:ext>
          </a:extLst>
        </xdr:cNvPr>
        <xdr:cNvSpPr txBox="1"/>
      </xdr:nvSpPr>
      <xdr:spPr>
        <a:xfrm>
          <a:off x="14801548" y="645197"/>
          <a:ext cx="38664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C460DC6-57F9-457A-AE31-8466D0ED43D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21.8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64</xdr:col>
      <xdr:colOff>185441</xdr:colOff>
      <xdr:row>1</xdr:row>
      <xdr:rowOff>91827</xdr:rowOff>
    </xdr:from>
    <xdr:ext cx="370486" cy="224998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09FDB7C-7E4B-4E85-B14D-30CA2C52E669}"/>
            </a:ext>
          </a:extLst>
        </xdr:cNvPr>
        <xdr:cNvSpPr txBox="1"/>
      </xdr:nvSpPr>
      <xdr:spPr>
        <a:xfrm rot="1181880">
          <a:off x="14815841" y="320427"/>
          <a:ext cx="37048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64</xdr:col>
      <xdr:colOff>187923</xdr:colOff>
      <xdr:row>4</xdr:row>
      <xdr:rowOff>36709</xdr:rowOff>
    </xdr:from>
    <xdr:ext cx="396134" cy="224998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647CF03C-9B4B-46F8-894F-3DB9D110BC55}"/>
            </a:ext>
          </a:extLst>
        </xdr:cNvPr>
        <xdr:cNvSpPr txBox="1"/>
      </xdr:nvSpPr>
      <xdr:spPr>
        <a:xfrm>
          <a:off x="14818323" y="951109"/>
          <a:ext cx="39613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193526</xdr:colOff>
      <xdr:row>4</xdr:row>
      <xdr:rowOff>65698</xdr:rowOff>
    </xdr:from>
    <xdr:ext cx="444352" cy="224998"/>
    <xdr:sp macro="" textlink="$Q$5">
      <xdr:nvSpPr>
        <xdr:cNvPr id="67" name="テキスト ボックス 66">
          <a:extLst>
            <a:ext uri="{FF2B5EF4-FFF2-40B4-BE49-F238E27FC236}">
              <a16:creationId xmlns:a16="http://schemas.microsoft.com/office/drawing/2014/main" id="{50E0BB3C-A94A-4005-9D6F-1E7C43BE1FA5}"/>
            </a:ext>
          </a:extLst>
        </xdr:cNvPr>
        <xdr:cNvSpPr txBox="1"/>
      </xdr:nvSpPr>
      <xdr:spPr>
        <a:xfrm>
          <a:off x="15052526" y="98009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7B99935-453C-4799-996C-198A1AD367D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8.400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228755</xdr:colOff>
      <xdr:row>4</xdr:row>
      <xdr:rowOff>199091</xdr:rowOff>
    </xdr:from>
    <xdr:ext cx="242374" cy="444352"/>
    <xdr:sp macro="" textlink="$G$7">
      <xdr:nvSpPr>
        <xdr:cNvPr id="68" name="テキスト ボックス 67">
          <a:extLst>
            <a:ext uri="{FF2B5EF4-FFF2-40B4-BE49-F238E27FC236}">
              <a16:creationId xmlns:a16="http://schemas.microsoft.com/office/drawing/2014/main" id="{4D21A227-A777-4BE2-B7CD-3E5B1854C1B2}"/>
            </a:ext>
          </a:extLst>
        </xdr:cNvPr>
        <xdr:cNvSpPr txBox="1"/>
      </xdr:nvSpPr>
      <xdr:spPr>
        <a:xfrm rot="17460000">
          <a:off x="14986766" y="1214480"/>
          <a:ext cx="44435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3432FF7-ABBF-4790-8465-7C0004CD2BA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pPr/>
            <a:t>3.877</a:t>
          </a:fld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167796</xdr:colOff>
      <xdr:row>6</xdr:row>
      <xdr:rowOff>729</xdr:rowOff>
    </xdr:from>
    <xdr:ext cx="242374" cy="249748"/>
    <xdr:sp macro="" textlink="#REF!">
      <xdr:nvSpPr>
        <xdr:cNvPr id="69" name="テキスト ボックス 68">
          <a:extLst>
            <a:ext uri="{FF2B5EF4-FFF2-40B4-BE49-F238E27FC236}">
              <a16:creationId xmlns:a16="http://schemas.microsoft.com/office/drawing/2014/main" id="{B810ABDD-55C1-4E40-BF20-933D7CC9424C}"/>
            </a:ext>
          </a:extLst>
        </xdr:cNvPr>
        <xdr:cNvSpPr txBox="1"/>
      </xdr:nvSpPr>
      <xdr:spPr>
        <a:xfrm rot="17460000">
          <a:off x="15023109" y="1391256"/>
          <a:ext cx="24974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t>=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123708</xdr:colOff>
      <xdr:row>6</xdr:row>
      <xdr:rowOff>115030</xdr:rowOff>
    </xdr:from>
    <xdr:ext cx="242374" cy="249748"/>
    <xdr:sp macro="" textlink="#REF!">
      <xdr:nvSpPr>
        <xdr:cNvPr id="70" name="テキスト ボックス 69">
          <a:extLst>
            <a:ext uri="{FF2B5EF4-FFF2-40B4-BE49-F238E27FC236}">
              <a16:creationId xmlns:a16="http://schemas.microsoft.com/office/drawing/2014/main" id="{97DE22D9-23EF-4655-A7CD-E75E60708EB1}"/>
            </a:ext>
          </a:extLst>
        </xdr:cNvPr>
        <xdr:cNvSpPr txBox="1"/>
      </xdr:nvSpPr>
      <xdr:spPr>
        <a:xfrm rot="17460000">
          <a:off x="15207621" y="1505557"/>
          <a:ext cx="24974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t>=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189566</xdr:colOff>
      <xdr:row>5</xdr:row>
      <xdr:rowOff>66316</xdr:rowOff>
    </xdr:from>
    <xdr:ext cx="242374" cy="444352"/>
    <xdr:sp macro="" textlink="$G$5">
      <xdr:nvSpPr>
        <xdr:cNvPr id="71" name="テキスト ボックス 70">
          <a:extLst>
            <a:ext uri="{FF2B5EF4-FFF2-40B4-BE49-F238E27FC236}">
              <a16:creationId xmlns:a16="http://schemas.microsoft.com/office/drawing/2014/main" id="{B883C2FF-05A1-4F2B-99BE-B6AA8D948438}"/>
            </a:ext>
          </a:extLst>
        </xdr:cNvPr>
        <xdr:cNvSpPr txBox="1"/>
      </xdr:nvSpPr>
      <xdr:spPr>
        <a:xfrm rot="17460000">
          <a:off x="15176177" y="1325545"/>
          <a:ext cx="44435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A049E98-120B-4E8B-BC13-87E4438D0DC5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pPr/>
            <a:t>6.462</a:t>
          </a:fld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153790</xdr:colOff>
      <xdr:row>1</xdr:row>
      <xdr:rowOff>170964</xdr:rowOff>
    </xdr:from>
    <xdr:ext cx="444352" cy="224998"/>
    <xdr:sp macro="" textlink="$Q$6">
      <xdr:nvSpPr>
        <xdr:cNvPr id="72" name="テキスト ボックス 71">
          <a:extLst>
            <a:ext uri="{FF2B5EF4-FFF2-40B4-BE49-F238E27FC236}">
              <a16:creationId xmlns:a16="http://schemas.microsoft.com/office/drawing/2014/main" id="{A4B85F33-93BD-4D13-84F8-802E7B02A2B8}"/>
            </a:ext>
          </a:extLst>
        </xdr:cNvPr>
        <xdr:cNvSpPr txBox="1"/>
      </xdr:nvSpPr>
      <xdr:spPr>
        <a:xfrm rot="1249213">
          <a:off x="15012790" y="399564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5FADEDB-F12F-4E05-AC19-CC8DB11B0F2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4.333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63</xdr:col>
      <xdr:colOff>177873</xdr:colOff>
      <xdr:row>4</xdr:row>
      <xdr:rowOff>180946</xdr:rowOff>
    </xdr:from>
    <xdr:ext cx="317266" cy="224998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513540D6-1BA1-4820-89AC-76FA6D1DC1C7}"/>
            </a:ext>
          </a:extLst>
        </xdr:cNvPr>
        <xdr:cNvSpPr txBox="1"/>
      </xdr:nvSpPr>
      <xdr:spPr>
        <a:xfrm rot="1331345">
          <a:off x="14579673" y="1095346"/>
          <a:ext cx="31726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' </a:t>
          </a:r>
          <a:endParaRPr kumimoji="1" lang="ja-JP" altLang="en-US" sz="9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77745</xdr:colOff>
      <xdr:row>3</xdr:row>
      <xdr:rowOff>99941</xdr:rowOff>
    </xdr:from>
    <xdr:to>
      <xdr:col>65</xdr:col>
      <xdr:colOff>48817</xdr:colOff>
      <xdr:row>3</xdr:row>
      <xdr:rowOff>151653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C93AFB02-6E51-4DE3-BBCD-C44036C4635F}"/>
            </a:ext>
          </a:extLst>
        </xdr:cNvPr>
        <xdr:cNvCxnSpPr/>
      </xdr:nvCxnSpPr>
      <xdr:spPr>
        <a:xfrm rot="240000" flipH="1" flipV="1">
          <a:off x="14708145" y="785741"/>
          <a:ext cx="199672" cy="51712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206505</xdr:colOff>
      <xdr:row>3</xdr:row>
      <xdr:rowOff>92480</xdr:rowOff>
    </xdr:from>
    <xdr:ext cx="369525" cy="224998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32B9CB99-509F-45C4-8C33-48C1FD7E6DB5}"/>
            </a:ext>
          </a:extLst>
        </xdr:cNvPr>
        <xdr:cNvSpPr txBox="1"/>
      </xdr:nvSpPr>
      <xdr:spPr>
        <a:xfrm>
          <a:off x="14836905" y="778280"/>
          <a:ext cx="36952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tzi</a:t>
          </a:r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127539</xdr:colOff>
      <xdr:row>1</xdr:row>
      <xdr:rowOff>229586</xdr:rowOff>
    </xdr:from>
    <xdr:to>
      <xdr:col>64</xdr:col>
      <xdr:colOff>192744</xdr:colOff>
      <xdr:row>2</xdr:row>
      <xdr:rowOff>4710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676D7C8A-FFF9-4B02-B513-3F45F00996ED}"/>
            </a:ext>
          </a:extLst>
        </xdr:cNvPr>
        <xdr:cNvCxnSpPr/>
      </xdr:nvCxnSpPr>
      <xdr:spPr>
        <a:xfrm>
          <a:off x="14529339" y="458186"/>
          <a:ext cx="293805" cy="192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62633</xdr:colOff>
      <xdr:row>1</xdr:row>
      <xdr:rowOff>111663</xdr:rowOff>
    </xdr:from>
    <xdr:to>
      <xdr:col>61</xdr:col>
      <xdr:colOff>62633</xdr:colOff>
      <xdr:row>11</xdr:row>
      <xdr:rowOff>194657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B176BE53-4BF6-456D-A895-CC8DBCB0F0B8}"/>
            </a:ext>
          </a:extLst>
        </xdr:cNvPr>
        <xdr:cNvCxnSpPr/>
      </xdr:nvCxnSpPr>
      <xdr:spPr>
        <a:xfrm rot="6960000">
          <a:off x="12812938" y="1534558"/>
          <a:ext cx="238858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111725</xdr:colOff>
      <xdr:row>0</xdr:row>
      <xdr:rowOff>43591</xdr:rowOff>
    </xdr:from>
    <xdr:ext cx="336311" cy="224998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BBD1FC81-F355-4E3F-A353-785B32DD889B}"/>
            </a:ext>
          </a:extLst>
        </xdr:cNvPr>
        <xdr:cNvSpPr txBox="1"/>
      </xdr:nvSpPr>
      <xdr:spPr>
        <a:xfrm>
          <a:off x="14284925" y="43591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132488</xdr:colOff>
      <xdr:row>0</xdr:row>
      <xdr:rowOff>227287</xdr:rowOff>
    </xdr:from>
    <xdr:to>
      <xdr:col>63</xdr:col>
      <xdr:colOff>132488</xdr:colOff>
      <xdr:row>1</xdr:row>
      <xdr:rowOff>156398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61E1D736-B5FD-4143-8447-30E6A302375A}"/>
            </a:ext>
          </a:extLst>
        </xdr:cNvPr>
        <xdr:cNvCxnSpPr/>
      </xdr:nvCxnSpPr>
      <xdr:spPr>
        <a:xfrm>
          <a:off x="14534288" y="227287"/>
          <a:ext cx="0" cy="15771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196312</xdr:colOff>
      <xdr:row>0</xdr:row>
      <xdr:rowOff>227287</xdr:rowOff>
    </xdr:from>
    <xdr:to>
      <xdr:col>64</xdr:col>
      <xdr:colOff>196312</xdr:colOff>
      <xdr:row>1</xdr:row>
      <xdr:rowOff>156398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411C22A4-6F98-437D-B667-C5362F6174F2}"/>
            </a:ext>
          </a:extLst>
        </xdr:cNvPr>
        <xdr:cNvCxnSpPr/>
      </xdr:nvCxnSpPr>
      <xdr:spPr>
        <a:xfrm>
          <a:off x="14826712" y="227287"/>
          <a:ext cx="0" cy="15771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132002</xdr:colOff>
      <xdr:row>1</xdr:row>
      <xdr:rowOff>32769</xdr:rowOff>
    </xdr:from>
    <xdr:to>
      <xdr:col>64</xdr:col>
      <xdr:colOff>197207</xdr:colOff>
      <xdr:row>1</xdr:row>
      <xdr:rowOff>32769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36498E87-0DED-47F5-8AD1-CB16C2D3B952}"/>
            </a:ext>
          </a:extLst>
        </xdr:cNvPr>
        <xdr:cNvCxnSpPr/>
      </xdr:nvCxnSpPr>
      <xdr:spPr>
        <a:xfrm>
          <a:off x="14533802" y="261369"/>
          <a:ext cx="29380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224587</xdr:colOff>
      <xdr:row>11</xdr:row>
      <xdr:rowOff>64232</xdr:rowOff>
    </xdr:from>
    <xdr:to>
      <xdr:col>61</xdr:col>
      <xdr:colOff>44237</xdr:colOff>
      <xdr:row>11</xdr:row>
      <xdr:rowOff>64232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AEE81EC7-5CC5-411E-BD1E-29F25DEE4261}"/>
            </a:ext>
          </a:extLst>
        </xdr:cNvPr>
        <xdr:cNvCxnSpPr/>
      </xdr:nvCxnSpPr>
      <xdr:spPr>
        <a:xfrm>
          <a:off x="13483387" y="2609312"/>
          <a:ext cx="505450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224797</xdr:colOff>
      <xdr:row>2</xdr:row>
      <xdr:rowOff>93630</xdr:rowOff>
    </xdr:from>
    <xdr:to>
      <xdr:col>68</xdr:col>
      <xdr:colOff>86985</xdr:colOff>
      <xdr:row>3</xdr:row>
      <xdr:rowOff>53406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18229AE0-EDBF-476C-BE08-CFB318A3C0D5}"/>
            </a:ext>
          </a:extLst>
        </xdr:cNvPr>
        <xdr:cNvCxnSpPr/>
      </xdr:nvCxnSpPr>
      <xdr:spPr>
        <a:xfrm>
          <a:off x="15083797" y="550830"/>
          <a:ext cx="547988" cy="18837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148770</xdr:colOff>
      <xdr:row>3</xdr:row>
      <xdr:rowOff>44010</xdr:rowOff>
    </xdr:from>
    <xdr:to>
      <xdr:col>68</xdr:col>
      <xdr:colOff>46525</xdr:colOff>
      <xdr:row>12</xdr:row>
      <xdr:rowOff>135516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989FECE0-E630-4F10-AF31-682C055A452C}"/>
            </a:ext>
          </a:extLst>
        </xdr:cNvPr>
        <xdr:cNvCxnSpPr/>
      </xdr:nvCxnSpPr>
      <xdr:spPr>
        <a:xfrm flipH="1">
          <a:off x="14779170" y="729810"/>
          <a:ext cx="812155" cy="2168501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175497</xdr:colOff>
      <xdr:row>11</xdr:row>
      <xdr:rowOff>113260</xdr:rowOff>
    </xdr:from>
    <xdr:to>
      <xdr:col>64</xdr:col>
      <xdr:colOff>200477</xdr:colOff>
      <xdr:row>12</xdr:row>
      <xdr:rowOff>137082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B465D887-5A8B-4C51-B884-FE5D6D638318}"/>
            </a:ext>
          </a:extLst>
        </xdr:cNvPr>
        <xdr:cNvCxnSpPr/>
      </xdr:nvCxnSpPr>
      <xdr:spPr>
        <a:xfrm>
          <a:off x="14120097" y="2658340"/>
          <a:ext cx="710780" cy="25242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66</xdr:col>
      <xdr:colOff>92098</xdr:colOff>
      <xdr:row>6</xdr:row>
      <xdr:rowOff>221662</xdr:rowOff>
    </xdr:from>
    <xdr:ext cx="242374" cy="271228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BCD1D8CF-7CD4-411E-8A65-B80E39BD7CCE}"/>
            </a:ext>
          </a:extLst>
        </xdr:cNvPr>
        <xdr:cNvSpPr txBox="1"/>
      </xdr:nvSpPr>
      <xdr:spPr>
        <a:xfrm rot="17460000">
          <a:off x="15165271" y="1622929"/>
          <a:ext cx="27122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65</xdr:col>
      <xdr:colOff>57371</xdr:colOff>
      <xdr:row>4</xdr:row>
      <xdr:rowOff>164762</xdr:rowOff>
    </xdr:from>
    <xdr:ext cx="242374" cy="640688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7B7837CD-018E-41B2-8BAF-40E253F94D0F}"/>
            </a:ext>
          </a:extLst>
        </xdr:cNvPr>
        <xdr:cNvSpPr txBox="1"/>
      </xdr:nvSpPr>
      <xdr:spPr>
        <a:xfrm rot="17460000">
          <a:off x="14717214" y="1278319"/>
          <a:ext cx="64068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₂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κ</a:t>
          </a:r>
          <a:r>
            <a:rPr kumimoji="1" lang="en-US" altLang="ja-JP" sz="900" i="1" baseline="-250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・</a:t>
          </a:r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63</xdr:col>
      <xdr:colOff>198260</xdr:colOff>
      <xdr:row>9</xdr:row>
      <xdr:rowOff>121702</xdr:rowOff>
    </xdr:from>
    <xdr:ext cx="242374" cy="305853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4EC2A317-C135-462F-B956-A3BF9D917D5B}"/>
            </a:ext>
          </a:extLst>
        </xdr:cNvPr>
        <xdr:cNvSpPr txBox="1"/>
      </xdr:nvSpPr>
      <xdr:spPr>
        <a:xfrm rot="17460000">
          <a:off x="14568320" y="2226082"/>
          <a:ext cx="305853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₁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68529</xdr:colOff>
      <xdr:row>8</xdr:row>
      <xdr:rowOff>149094</xdr:rowOff>
    </xdr:from>
    <xdr:to>
      <xdr:col>64</xdr:col>
      <xdr:colOff>131397</xdr:colOff>
      <xdr:row>12</xdr:row>
      <xdr:rowOff>18862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22418CCC-A266-48A0-A182-5D8A16978C51}"/>
            </a:ext>
          </a:extLst>
        </xdr:cNvPr>
        <xdr:cNvCxnSpPr/>
      </xdr:nvCxnSpPr>
      <xdr:spPr>
        <a:xfrm flipH="1">
          <a:off x="14470329" y="1993134"/>
          <a:ext cx="291468" cy="788523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131658</xdr:colOff>
      <xdr:row>2</xdr:row>
      <xdr:rowOff>155488</xdr:rowOff>
    </xdr:from>
    <xdr:to>
      <xdr:col>66</xdr:col>
      <xdr:colOff>184834</xdr:colOff>
      <xdr:row>8</xdr:row>
      <xdr:rowOff>152956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ECE72E75-BDB5-436B-B645-175307E5163A}"/>
            </a:ext>
          </a:extLst>
        </xdr:cNvPr>
        <xdr:cNvCxnSpPr/>
      </xdr:nvCxnSpPr>
      <xdr:spPr>
        <a:xfrm flipH="1">
          <a:off x="14762058" y="612688"/>
          <a:ext cx="510376" cy="1384308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14959</xdr:colOff>
      <xdr:row>2</xdr:row>
      <xdr:rowOff>36628</xdr:rowOff>
    </xdr:from>
    <xdr:to>
      <xdr:col>65</xdr:col>
      <xdr:colOff>119486</xdr:colOff>
      <xdr:row>3</xdr:row>
      <xdr:rowOff>41016</xdr:rowOff>
    </xdr:to>
    <xdr:sp macro="" textlink="">
      <xdr:nvSpPr>
        <xdr:cNvPr id="91" name="円弧 90">
          <a:extLst>
            <a:ext uri="{FF2B5EF4-FFF2-40B4-BE49-F238E27FC236}">
              <a16:creationId xmlns:a16="http://schemas.microsoft.com/office/drawing/2014/main" id="{7ACBB3A4-2838-495B-B377-FF7876AA7B38}"/>
            </a:ext>
          </a:extLst>
        </xdr:cNvPr>
        <xdr:cNvSpPr/>
      </xdr:nvSpPr>
      <xdr:spPr>
        <a:xfrm rot="11917365">
          <a:off x="14645359" y="493828"/>
          <a:ext cx="333127" cy="232988"/>
        </a:xfrm>
        <a:prstGeom prst="arc">
          <a:avLst>
            <a:gd name="adj1" fmla="val 14457045"/>
            <a:gd name="adj2" fmla="val 17459712"/>
          </a:avLst>
        </a:prstGeom>
        <a:noFill/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64</xdr:col>
      <xdr:colOff>199607</xdr:colOff>
      <xdr:row>2</xdr:row>
      <xdr:rowOff>1947</xdr:rowOff>
    </xdr:from>
    <xdr:to>
      <xdr:col>64</xdr:col>
      <xdr:colOff>199607</xdr:colOff>
      <xdr:row>3</xdr:row>
      <xdr:rowOff>119918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62F42679-12C9-42C5-8F2A-A2C38938BD9A}"/>
            </a:ext>
          </a:extLst>
        </xdr:cNvPr>
        <xdr:cNvCxnSpPr/>
      </xdr:nvCxnSpPr>
      <xdr:spPr>
        <a:xfrm>
          <a:off x="14830007" y="459147"/>
          <a:ext cx="0" cy="346571"/>
        </a:xfrm>
        <a:prstGeom prst="line">
          <a:avLst/>
        </a:prstGeom>
        <a:ln w="3175">
          <a:solidFill>
            <a:schemeClr val="tx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89816</xdr:colOff>
      <xdr:row>2</xdr:row>
      <xdr:rowOff>99881</xdr:rowOff>
    </xdr:from>
    <xdr:ext cx="365165" cy="242374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7CF45C16-E7CC-4FCA-A4BA-22A00581C732}"/>
            </a:ext>
          </a:extLst>
        </xdr:cNvPr>
        <xdr:cNvSpPr txBox="1"/>
      </xdr:nvSpPr>
      <xdr:spPr>
        <a:xfrm>
          <a:off x="14720216" y="557081"/>
          <a:ext cx="36516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θ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212738</xdr:colOff>
      <xdr:row>4</xdr:row>
      <xdr:rowOff>91250</xdr:rowOff>
    </xdr:from>
    <xdr:to>
      <xdr:col>65</xdr:col>
      <xdr:colOff>27441</xdr:colOff>
      <xdr:row>4</xdr:row>
      <xdr:rowOff>170924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0F504F04-FC49-41DA-B4EB-A0E887D39FE1}"/>
            </a:ext>
          </a:extLst>
        </xdr:cNvPr>
        <xdr:cNvCxnSpPr/>
      </xdr:nvCxnSpPr>
      <xdr:spPr>
        <a:xfrm rot="240000" flipH="1" flipV="1">
          <a:off x="14614538" y="1005650"/>
          <a:ext cx="271903" cy="79674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65463</xdr:colOff>
      <xdr:row>0</xdr:row>
      <xdr:rowOff>43591</xdr:rowOff>
    </xdr:from>
    <xdr:ext cx="444352" cy="224998"/>
    <xdr:sp macro="" textlink="'1.条件'!T7">
      <xdr:nvSpPr>
        <xdr:cNvPr id="96" name="テキスト ボックス 95">
          <a:extLst>
            <a:ext uri="{FF2B5EF4-FFF2-40B4-BE49-F238E27FC236}">
              <a16:creationId xmlns:a16="http://schemas.microsoft.com/office/drawing/2014/main" id="{0BF2FEFD-369C-4487-9745-1D1F00140D69}"/>
            </a:ext>
          </a:extLst>
        </xdr:cNvPr>
        <xdr:cNvSpPr txBox="1"/>
      </xdr:nvSpPr>
      <xdr:spPr>
        <a:xfrm>
          <a:off x="14467263" y="43591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073291F-FF2A-4592-B3E3-08EC9F1BC712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205831</xdr:colOff>
      <xdr:row>2</xdr:row>
      <xdr:rowOff>158036</xdr:rowOff>
    </xdr:from>
    <xdr:ext cx="224998" cy="290464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F0CBD8F7-9621-4C66-8241-9EA6C64248A7}"/>
            </a:ext>
          </a:extLst>
        </xdr:cNvPr>
        <xdr:cNvSpPr txBox="1"/>
      </xdr:nvSpPr>
      <xdr:spPr>
        <a:xfrm rot="16200000">
          <a:off x="13431898" y="647969"/>
          <a:ext cx="29046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59</xdr:col>
      <xdr:colOff>150368</xdr:colOff>
      <xdr:row>1</xdr:row>
      <xdr:rowOff>224886</xdr:rowOff>
    </xdr:from>
    <xdr:to>
      <xdr:col>61</xdr:col>
      <xdr:colOff>84144</xdr:colOff>
      <xdr:row>1</xdr:row>
      <xdr:rowOff>224886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E7909C37-7A37-456E-9BA2-FD0F48DD1DE0}"/>
            </a:ext>
          </a:extLst>
        </xdr:cNvPr>
        <xdr:cNvCxnSpPr/>
      </xdr:nvCxnSpPr>
      <xdr:spPr>
        <a:xfrm>
          <a:off x="13637768" y="453486"/>
          <a:ext cx="390976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196055</xdr:colOff>
      <xdr:row>1</xdr:row>
      <xdr:rowOff>226420</xdr:rowOff>
    </xdr:from>
    <xdr:to>
      <xdr:col>59</xdr:col>
      <xdr:colOff>196055</xdr:colOff>
      <xdr:row>5</xdr:row>
      <xdr:rowOff>37360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EBDF4C01-A9DF-492A-973C-958BBF58AA59}"/>
            </a:ext>
          </a:extLst>
        </xdr:cNvPr>
        <xdr:cNvCxnSpPr/>
      </xdr:nvCxnSpPr>
      <xdr:spPr>
        <a:xfrm>
          <a:off x="13683455" y="455020"/>
          <a:ext cx="0" cy="729694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161118</xdr:colOff>
      <xdr:row>5</xdr:row>
      <xdr:rowOff>28390</xdr:rowOff>
    </xdr:from>
    <xdr:to>
      <xdr:col>61</xdr:col>
      <xdr:colOff>183068</xdr:colOff>
      <xdr:row>5</xdr:row>
      <xdr:rowOff>28390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F1B90F13-96A5-4A9D-9C99-CACA99EADDB6}"/>
            </a:ext>
          </a:extLst>
        </xdr:cNvPr>
        <xdr:cNvCxnSpPr/>
      </xdr:nvCxnSpPr>
      <xdr:spPr>
        <a:xfrm>
          <a:off x="13648518" y="1186630"/>
          <a:ext cx="479150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183046</xdr:colOff>
      <xdr:row>1</xdr:row>
      <xdr:rowOff>11437</xdr:rowOff>
    </xdr:from>
    <xdr:to>
      <xdr:col>61</xdr:col>
      <xdr:colOff>223099</xdr:colOff>
      <xdr:row>4</xdr:row>
      <xdr:rowOff>36199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105A691E-14CF-4ABF-B710-99691CF76A3D}"/>
            </a:ext>
          </a:extLst>
        </xdr:cNvPr>
        <xdr:cNvCxnSpPr/>
      </xdr:nvCxnSpPr>
      <xdr:spPr>
        <a:xfrm flipH="1">
          <a:off x="13899046" y="240037"/>
          <a:ext cx="268653" cy="710562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95279</xdr:colOff>
      <xdr:row>4</xdr:row>
      <xdr:rowOff>13059</xdr:rowOff>
    </xdr:from>
    <xdr:to>
      <xdr:col>61</xdr:col>
      <xdr:colOff>30120</xdr:colOff>
      <xdr:row>4</xdr:row>
      <xdr:rowOff>68551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F1E7AA1B-65F2-476F-842D-B6DADBDD0A08}"/>
            </a:ext>
          </a:extLst>
        </xdr:cNvPr>
        <xdr:cNvCxnSpPr/>
      </xdr:nvCxnSpPr>
      <xdr:spPr>
        <a:xfrm flipH="1" flipV="1">
          <a:off x="13811279" y="927459"/>
          <a:ext cx="163441" cy="55492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91626</xdr:colOff>
      <xdr:row>2</xdr:row>
      <xdr:rowOff>3958</xdr:rowOff>
    </xdr:from>
    <xdr:ext cx="224998" cy="286297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1CFF6109-FA7E-4E54-A233-D9CDC3FC3BA0}"/>
            </a:ext>
          </a:extLst>
        </xdr:cNvPr>
        <xdr:cNvSpPr txBox="1"/>
      </xdr:nvSpPr>
      <xdr:spPr>
        <a:xfrm rot="17233223">
          <a:off x="13776976" y="491808"/>
          <a:ext cx="28629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z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i</a:t>
          </a:r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'</a:t>
          </a:r>
          <a:endParaRPr kumimoji="1" lang="ja-JP" altLang="en-US" sz="900" i="1">
            <a:solidFill>
              <a:srgbClr val="FF0000"/>
            </a:solidFill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40002</xdr:colOff>
      <xdr:row>5</xdr:row>
      <xdr:rowOff>32926</xdr:rowOff>
    </xdr:from>
    <xdr:to>
      <xdr:col>63</xdr:col>
      <xdr:colOff>111243</xdr:colOff>
      <xdr:row>5</xdr:row>
      <xdr:rowOff>32926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B8F17943-2835-45A3-B77B-8A7A0809E8D8}"/>
            </a:ext>
          </a:extLst>
        </xdr:cNvPr>
        <xdr:cNvCxnSpPr/>
      </xdr:nvCxnSpPr>
      <xdr:spPr>
        <a:xfrm>
          <a:off x="14234388" y="1177635"/>
          <a:ext cx="300182" cy="0"/>
        </a:xfrm>
        <a:prstGeom prst="line">
          <a:avLst/>
        </a:prstGeom>
        <a:ln w="31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32110</xdr:colOff>
      <xdr:row>1</xdr:row>
      <xdr:rowOff>224485</xdr:rowOff>
    </xdr:from>
    <xdr:to>
      <xdr:col>64</xdr:col>
      <xdr:colOff>203021</xdr:colOff>
      <xdr:row>11</xdr:row>
      <xdr:rowOff>79828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76CA8090-0EC3-4619-B3A5-8D8366302A9D}"/>
            </a:ext>
          </a:extLst>
        </xdr:cNvPr>
        <xdr:cNvCxnSpPr/>
      </xdr:nvCxnSpPr>
      <xdr:spPr>
        <a:xfrm flipH="1">
          <a:off x="13976710" y="453085"/>
          <a:ext cx="856711" cy="21609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204974</xdr:colOff>
      <xdr:row>8</xdr:row>
      <xdr:rowOff>14093</xdr:rowOff>
    </xdr:from>
    <xdr:to>
      <xdr:col>64</xdr:col>
      <xdr:colOff>208097</xdr:colOff>
      <xdr:row>8</xdr:row>
      <xdr:rowOff>176434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D3DEC30A-B5F2-4B93-9A52-B9AA01969FFF}"/>
            </a:ext>
          </a:extLst>
        </xdr:cNvPr>
        <xdr:cNvCxnSpPr/>
      </xdr:nvCxnSpPr>
      <xdr:spPr>
        <a:xfrm>
          <a:off x="14378174" y="1858133"/>
          <a:ext cx="460323" cy="16234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127702</xdr:colOff>
      <xdr:row>0</xdr:row>
      <xdr:rowOff>207705</xdr:rowOff>
    </xdr:from>
    <xdr:to>
      <xdr:col>63</xdr:col>
      <xdr:colOff>41183</xdr:colOff>
      <xdr:row>1</xdr:row>
      <xdr:rowOff>101734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C4E6E007-8B41-4C3D-8E2A-988A7D911484}"/>
            </a:ext>
          </a:extLst>
        </xdr:cNvPr>
        <xdr:cNvCxnSpPr/>
      </xdr:nvCxnSpPr>
      <xdr:spPr>
        <a:xfrm>
          <a:off x="14072302" y="207705"/>
          <a:ext cx="370681" cy="122629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34834</xdr:colOff>
      <xdr:row>17</xdr:row>
      <xdr:rowOff>27732</xdr:rowOff>
    </xdr:from>
    <xdr:to>
      <xdr:col>64</xdr:col>
      <xdr:colOff>61913</xdr:colOff>
      <xdr:row>17</xdr:row>
      <xdr:rowOff>27732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2B8D2D86-0005-4242-88BF-0D1BD46C89EC}"/>
            </a:ext>
          </a:extLst>
        </xdr:cNvPr>
        <xdr:cNvCxnSpPr/>
      </xdr:nvCxnSpPr>
      <xdr:spPr>
        <a:xfrm>
          <a:off x="14112240" y="3990132"/>
          <a:ext cx="719410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69894</xdr:colOff>
      <xdr:row>16</xdr:row>
      <xdr:rowOff>209135</xdr:rowOff>
    </xdr:from>
    <xdr:to>
      <xdr:col>64</xdr:col>
      <xdr:colOff>69894</xdr:colOff>
      <xdr:row>17</xdr:row>
      <xdr:rowOff>223929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E1520615-B1DD-44F2-9F65-DCE4114C0258}"/>
            </a:ext>
          </a:extLst>
        </xdr:cNvPr>
        <xdr:cNvCxnSpPr/>
      </xdr:nvCxnSpPr>
      <xdr:spPr>
        <a:xfrm>
          <a:off x="14700294" y="3927695"/>
          <a:ext cx="0" cy="25428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36502</xdr:colOff>
      <xdr:row>16</xdr:row>
      <xdr:rowOff>52571</xdr:rowOff>
    </xdr:from>
    <xdr:ext cx="316049" cy="224998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5A284395-A96B-4BAE-A3D5-CBBB7D465D21}"/>
            </a:ext>
          </a:extLst>
        </xdr:cNvPr>
        <xdr:cNvSpPr txBox="1"/>
      </xdr:nvSpPr>
      <xdr:spPr>
        <a:xfrm>
          <a:off x="14344685" y="3771131"/>
          <a:ext cx="31604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zi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59</xdr:col>
      <xdr:colOff>185945</xdr:colOff>
      <xdr:row>18</xdr:row>
      <xdr:rowOff>58185</xdr:rowOff>
    </xdr:from>
    <xdr:to>
      <xdr:col>59</xdr:col>
      <xdr:colOff>185945</xdr:colOff>
      <xdr:row>23</xdr:row>
      <xdr:rowOff>53201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5F5FCE2A-4D7C-4500-BD67-A67262F5820F}"/>
            </a:ext>
          </a:extLst>
        </xdr:cNvPr>
        <xdr:cNvCxnSpPr/>
      </xdr:nvCxnSpPr>
      <xdr:spPr>
        <a:xfrm>
          <a:off x="13673345" y="4233945"/>
          <a:ext cx="0" cy="1138016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142875</xdr:colOff>
      <xdr:row>18</xdr:row>
      <xdr:rowOff>47430</xdr:rowOff>
    </xdr:from>
    <xdr:to>
      <xdr:col>60</xdr:col>
      <xdr:colOff>100013</xdr:colOff>
      <xdr:row>18</xdr:row>
      <xdr:rowOff>47430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184BB038-02EE-4654-8F96-3FAEA2C1F6B7}"/>
            </a:ext>
          </a:extLst>
        </xdr:cNvPr>
        <xdr:cNvCxnSpPr/>
      </xdr:nvCxnSpPr>
      <xdr:spPr>
        <a:xfrm>
          <a:off x="13630275" y="4223190"/>
          <a:ext cx="185738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195654</xdr:colOff>
      <xdr:row>20</xdr:row>
      <xdr:rowOff>144879</xdr:rowOff>
    </xdr:from>
    <xdr:ext cx="224998" cy="316049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D0FB1F30-0648-428A-9E82-434AF07031A1}"/>
            </a:ext>
          </a:extLst>
        </xdr:cNvPr>
        <xdr:cNvSpPr txBox="1"/>
      </xdr:nvSpPr>
      <xdr:spPr>
        <a:xfrm rot="16200000">
          <a:off x="13408928" y="4823365"/>
          <a:ext cx="31604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zi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64</xdr:col>
      <xdr:colOff>17111</xdr:colOff>
      <xdr:row>15</xdr:row>
      <xdr:rowOff>188560</xdr:rowOff>
    </xdr:from>
    <xdr:to>
      <xdr:col>64</xdr:col>
      <xdr:colOff>214622</xdr:colOff>
      <xdr:row>22</xdr:row>
      <xdr:rowOff>36376</xdr:rowOff>
    </xdr:to>
    <xdr:sp macro="" textlink="">
      <xdr:nvSpPr>
        <xdr:cNvPr id="115" name="直角三角形 114">
          <a:extLst>
            <a:ext uri="{FF2B5EF4-FFF2-40B4-BE49-F238E27FC236}">
              <a16:creationId xmlns:a16="http://schemas.microsoft.com/office/drawing/2014/main" id="{AAB4F0FA-F3EE-4489-B9C3-7BED0DC983F7}"/>
            </a:ext>
          </a:extLst>
        </xdr:cNvPr>
        <xdr:cNvSpPr/>
      </xdr:nvSpPr>
      <xdr:spPr>
        <a:xfrm rot="12060000" flipH="1">
          <a:off x="14647511" y="3678520"/>
          <a:ext cx="197511" cy="1448016"/>
        </a:xfrm>
        <a:prstGeom prst="rtTriangle">
          <a:avLst/>
        </a:prstGeom>
        <a:solidFill>
          <a:schemeClr val="accent2">
            <a:lumMod val="20000"/>
            <a:lumOff val="80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65</xdr:col>
      <xdr:colOff>32553</xdr:colOff>
      <xdr:row>16</xdr:row>
      <xdr:rowOff>160472</xdr:rowOff>
    </xdr:from>
    <xdr:ext cx="386644" cy="224998"/>
    <xdr:sp macro="" textlink="$L$31">
      <xdr:nvSpPr>
        <xdr:cNvPr id="116" name="テキスト ボックス 115">
          <a:extLst>
            <a:ext uri="{FF2B5EF4-FFF2-40B4-BE49-F238E27FC236}">
              <a16:creationId xmlns:a16="http://schemas.microsoft.com/office/drawing/2014/main" id="{EC4660F4-8045-4F81-8EA9-60DFDCBCF8D4}"/>
            </a:ext>
          </a:extLst>
        </xdr:cNvPr>
        <xdr:cNvSpPr txBox="1"/>
      </xdr:nvSpPr>
      <xdr:spPr>
        <a:xfrm>
          <a:off x="14891553" y="3850729"/>
          <a:ext cx="38664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C460DC6-57F9-457A-AE31-8466D0ED43D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21.8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46846</xdr:colOff>
      <xdr:row>15</xdr:row>
      <xdr:rowOff>60989</xdr:rowOff>
    </xdr:from>
    <xdr:ext cx="370486" cy="224998"/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15820F84-F88B-49E8-9291-6F3382FAC5DA}"/>
            </a:ext>
          </a:extLst>
        </xdr:cNvPr>
        <xdr:cNvSpPr txBox="1"/>
      </xdr:nvSpPr>
      <xdr:spPr>
        <a:xfrm rot="1181880">
          <a:off x="14905846" y="3550949"/>
          <a:ext cx="37048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49328</xdr:colOff>
      <xdr:row>18</xdr:row>
      <xdr:rowOff>5871</xdr:rowOff>
    </xdr:from>
    <xdr:ext cx="447430" cy="224998"/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69B93838-1D7B-4AD8-A5E6-D265B229444D}"/>
            </a:ext>
          </a:extLst>
        </xdr:cNvPr>
        <xdr:cNvSpPr txBox="1"/>
      </xdr:nvSpPr>
      <xdr:spPr>
        <a:xfrm>
          <a:off x="14908328" y="4181631"/>
          <a:ext cx="44743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tzi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101827</xdr:colOff>
      <xdr:row>18</xdr:row>
      <xdr:rowOff>17274</xdr:rowOff>
    </xdr:from>
    <xdr:ext cx="444352" cy="224998"/>
    <xdr:sp macro="" textlink="$Q$5">
      <xdr:nvSpPr>
        <xdr:cNvPr id="119" name="テキスト ボックス 118">
          <a:extLst>
            <a:ext uri="{FF2B5EF4-FFF2-40B4-BE49-F238E27FC236}">
              <a16:creationId xmlns:a16="http://schemas.microsoft.com/office/drawing/2014/main" id="{5C8C4AEB-6942-4211-9E90-704F98D6F46F}"/>
            </a:ext>
          </a:extLst>
        </xdr:cNvPr>
        <xdr:cNvSpPr txBox="1"/>
      </xdr:nvSpPr>
      <xdr:spPr>
        <a:xfrm>
          <a:off x="15189427" y="4193034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7B99935-453C-4799-996C-198A1AD367D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8.400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90160</xdr:colOff>
      <xdr:row>18</xdr:row>
      <xdr:rowOff>171566</xdr:rowOff>
    </xdr:from>
    <xdr:ext cx="242374" cy="444352"/>
    <xdr:sp macro="" textlink="$G$7">
      <xdr:nvSpPr>
        <xdr:cNvPr id="120" name="テキスト ボックス 119">
          <a:extLst>
            <a:ext uri="{FF2B5EF4-FFF2-40B4-BE49-F238E27FC236}">
              <a16:creationId xmlns:a16="http://schemas.microsoft.com/office/drawing/2014/main" id="{F6EE4BF2-2EB1-4294-A4CD-6FF398FCA3FE}"/>
            </a:ext>
          </a:extLst>
        </xdr:cNvPr>
        <xdr:cNvSpPr txBox="1"/>
      </xdr:nvSpPr>
      <xdr:spPr>
        <a:xfrm rot="17460000">
          <a:off x="15076771" y="4448315"/>
          <a:ext cx="44435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3432FF7-ABBF-4790-8465-7C0004CD2BA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pPr/>
            <a:t>3.877</a:t>
          </a:fld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29201</xdr:colOff>
      <xdr:row>19</xdr:row>
      <xdr:rowOff>219389</xdr:rowOff>
    </xdr:from>
    <xdr:ext cx="242374" cy="249748"/>
    <xdr:sp macro="" textlink="#REF!">
      <xdr:nvSpPr>
        <xdr:cNvPr id="121" name="テキスト ボックス 120">
          <a:extLst>
            <a:ext uri="{FF2B5EF4-FFF2-40B4-BE49-F238E27FC236}">
              <a16:creationId xmlns:a16="http://schemas.microsoft.com/office/drawing/2014/main" id="{0B365918-1842-495A-8471-E0FFDA5D1DEE}"/>
            </a:ext>
          </a:extLst>
        </xdr:cNvPr>
        <xdr:cNvSpPr txBox="1"/>
      </xdr:nvSpPr>
      <xdr:spPr>
        <a:xfrm rot="17460000">
          <a:off x="15113114" y="4627436"/>
          <a:ext cx="24974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t>=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213713</xdr:colOff>
      <xdr:row>20</xdr:row>
      <xdr:rowOff>105090</xdr:rowOff>
    </xdr:from>
    <xdr:ext cx="242374" cy="249748"/>
    <xdr:sp macro="" textlink="#REF!">
      <xdr:nvSpPr>
        <xdr:cNvPr id="122" name="テキスト ボックス 121">
          <a:extLst>
            <a:ext uri="{FF2B5EF4-FFF2-40B4-BE49-F238E27FC236}">
              <a16:creationId xmlns:a16="http://schemas.microsoft.com/office/drawing/2014/main" id="{1665DB6D-3DC6-46D0-B7D9-DE7CCCA828BF}"/>
            </a:ext>
          </a:extLst>
        </xdr:cNvPr>
        <xdr:cNvSpPr txBox="1"/>
      </xdr:nvSpPr>
      <xdr:spPr>
        <a:xfrm rot="17460000">
          <a:off x="15297626" y="4741737"/>
          <a:ext cx="24974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t>=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67</xdr:col>
      <xdr:colOff>50971</xdr:colOff>
      <xdr:row>19</xdr:row>
      <xdr:rowOff>53062</xdr:rowOff>
    </xdr:from>
    <xdr:ext cx="242374" cy="444352"/>
    <xdr:sp macro="" textlink="$G$5">
      <xdr:nvSpPr>
        <xdr:cNvPr id="123" name="テキスト ボックス 122">
          <a:extLst>
            <a:ext uri="{FF2B5EF4-FFF2-40B4-BE49-F238E27FC236}">
              <a16:creationId xmlns:a16="http://schemas.microsoft.com/office/drawing/2014/main" id="{CD8FCC00-6BBE-4A2F-9729-4363074CDA9A}"/>
            </a:ext>
          </a:extLst>
        </xdr:cNvPr>
        <xdr:cNvSpPr txBox="1"/>
      </xdr:nvSpPr>
      <xdr:spPr>
        <a:xfrm rot="17460000">
          <a:off x="15266182" y="4558411"/>
          <a:ext cx="44435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A049E98-120B-4E8B-BC13-87E4438D0DC5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pPr/>
            <a:t>6.462</a:t>
          </a:fld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15195</xdr:colOff>
      <xdr:row>15</xdr:row>
      <xdr:rowOff>143439</xdr:rowOff>
    </xdr:from>
    <xdr:ext cx="444352" cy="224998"/>
    <xdr:sp macro="" textlink="$Q$6">
      <xdr:nvSpPr>
        <xdr:cNvPr id="124" name="テキスト ボックス 123">
          <a:extLst>
            <a:ext uri="{FF2B5EF4-FFF2-40B4-BE49-F238E27FC236}">
              <a16:creationId xmlns:a16="http://schemas.microsoft.com/office/drawing/2014/main" id="{8723168A-E3D5-4E8B-B768-DD34C8E08DDE}"/>
            </a:ext>
          </a:extLst>
        </xdr:cNvPr>
        <xdr:cNvSpPr txBox="1"/>
      </xdr:nvSpPr>
      <xdr:spPr>
        <a:xfrm rot="1249213">
          <a:off x="15102795" y="3633399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5FADEDB-F12F-4E05-AC19-CC8DB11B0F2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4.333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217544</xdr:colOff>
      <xdr:row>15</xdr:row>
      <xdr:rowOff>202061</xdr:rowOff>
    </xdr:from>
    <xdr:to>
      <xdr:col>65</xdr:col>
      <xdr:colOff>54149</xdr:colOff>
      <xdr:row>15</xdr:row>
      <xdr:rowOff>202061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6CAC4F3A-FB4D-4C73-97D5-53129BE10D5E}"/>
            </a:ext>
          </a:extLst>
        </xdr:cNvPr>
        <xdr:cNvCxnSpPr/>
      </xdr:nvCxnSpPr>
      <xdr:spPr>
        <a:xfrm>
          <a:off x="14619344" y="3692021"/>
          <a:ext cx="29380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152638</xdr:colOff>
      <xdr:row>15</xdr:row>
      <xdr:rowOff>84138</xdr:rowOff>
    </xdr:from>
    <xdr:to>
      <xdr:col>61</xdr:col>
      <xdr:colOff>152638</xdr:colOff>
      <xdr:row>25</xdr:row>
      <xdr:rowOff>169645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FF4B00C8-9CCD-45D6-AE11-5EC6EEAF9264}"/>
            </a:ext>
          </a:extLst>
        </xdr:cNvPr>
        <xdr:cNvCxnSpPr/>
      </xdr:nvCxnSpPr>
      <xdr:spPr>
        <a:xfrm rot="6960000">
          <a:off x="12900599" y="4770737"/>
          <a:ext cx="239327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201730</xdr:colOff>
      <xdr:row>14</xdr:row>
      <xdr:rowOff>17085</xdr:rowOff>
    </xdr:from>
    <xdr:ext cx="336311" cy="224998"/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EA4B2260-B764-4793-A832-D18AA331A48D}"/>
            </a:ext>
          </a:extLst>
        </xdr:cNvPr>
        <xdr:cNvSpPr txBox="1"/>
      </xdr:nvSpPr>
      <xdr:spPr>
        <a:xfrm>
          <a:off x="14374930" y="3278445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222493</xdr:colOff>
      <xdr:row>14</xdr:row>
      <xdr:rowOff>199762</xdr:rowOff>
    </xdr:from>
    <xdr:to>
      <xdr:col>63</xdr:col>
      <xdr:colOff>222493</xdr:colOff>
      <xdr:row>15</xdr:row>
      <xdr:rowOff>128873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D4003A17-3A1F-48D5-9C51-8100875EF530}"/>
            </a:ext>
          </a:extLst>
        </xdr:cNvPr>
        <xdr:cNvCxnSpPr/>
      </xdr:nvCxnSpPr>
      <xdr:spPr>
        <a:xfrm>
          <a:off x="14624293" y="3461122"/>
          <a:ext cx="0" cy="15771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57717</xdr:colOff>
      <xdr:row>14</xdr:row>
      <xdr:rowOff>199762</xdr:rowOff>
    </xdr:from>
    <xdr:to>
      <xdr:col>65</xdr:col>
      <xdr:colOff>57717</xdr:colOff>
      <xdr:row>15</xdr:row>
      <xdr:rowOff>128873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DB9984A2-3017-42B8-B156-D55BA016EA54}"/>
            </a:ext>
          </a:extLst>
        </xdr:cNvPr>
        <xdr:cNvCxnSpPr/>
      </xdr:nvCxnSpPr>
      <xdr:spPr>
        <a:xfrm>
          <a:off x="14916717" y="3461122"/>
          <a:ext cx="0" cy="15771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222007</xdr:colOff>
      <xdr:row>15</xdr:row>
      <xdr:rowOff>1931</xdr:rowOff>
    </xdr:from>
    <xdr:to>
      <xdr:col>65</xdr:col>
      <xdr:colOff>58612</xdr:colOff>
      <xdr:row>15</xdr:row>
      <xdr:rowOff>1931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0428AEEF-B9C9-41B4-B778-F1C22573F96C}"/>
            </a:ext>
          </a:extLst>
        </xdr:cNvPr>
        <xdr:cNvCxnSpPr/>
      </xdr:nvCxnSpPr>
      <xdr:spPr>
        <a:xfrm>
          <a:off x="14623807" y="3491891"/>
          <a:ext cx="29380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85992</xdr:colOff>
      <xdr:row>25</xdr:row>
      <xdr:rowOff>71876</xdr:rowOff>
    </xdr:from>
    <xdr:to>
      <xdr:col>61</xdr:col>
      <xdr:colOff>134242</xdr:colOff>
      <xdr:row>25</xdr:row>
      <xdr:rowOff>71876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5EDA4A48-052A-4C91-8FF7-69F518127602}"/>
            </a:ext>
          </a:extLst>
        </xdr:cNvPr>
        <xdr:cNvCxnSpPr/>
      </xdr:nvCxnSpPr>
      <xdr:spPr>
        <a:xfrm>
          <a:off x="13573392" y="5847836"/>
          <a:ext cx="505450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86202</xdr:colOff>
      <xdr:row>16</xdr:row>
      <xdr:rowOff>62792</xdr:rowOff>
    </xdr:from>
    <xdr:to>
      <xdr:col>68</xdr:col>
      <xdr:colOff>176990</xdr:colOff>
      <xdr:row>17</xdr:row>
      <xdr:rowOff>11682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59E388AC-BDDF-4149-86A0-76C8CCF6C070}"/>
            </a:ext>
          </a:extLst>
        </xdr:cNvPr>
        <xdr:cNvCxnSpPr/>
      </xdr:nvCxnSpPr>
      <xdr:spPr>
        <a:xfrm>
          <a:off x="15173802" y="3781352"/>
          <a:ext cx="547988" cy="18837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10175</xdr:colOff>
      <xdr:row>17</xdr:row>
      <xdr:rowOff>13172</xdr:rowOff>
    </xdr:from>
    <xdr:to>
      <xdr:col>68</xdr:col>
      <xdr:colOff>136530</xdr:colOff>
      <xdr:row>26</xdr:row>
      <xdr:rowOff>132275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41A03717-05E7-4204-86B8-33469CC62C5A}"/>
            </a:ext>
          </a:extLst>
        </xdr:cNvPr>
        <xdr:cNvCxnSpPr/>
      </xdr:nvCxnSpPr>
      <xdr:spPr>
        <a:xfrm flipH="1">
          <a:off x="14869175" y="3960332"/>
          <a:ext cx="812155" cy="2176503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36902</xdr:colOff>
      <xdr:row>25</xdr:row>
      <xdr:rowOff>120904</xdr:rowOff>
    </xdr:from>
    <xdr:to>
      <xdr:col>65</xdr:col>
      <xdr:colOff>61882</xdr:colOff>
      <xdr:row>26</xdr:row>
      <xdr:rowOff>144726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DEDBA263-1613-4DD3-AF66-24715867FD2B}"/>
            </a:ext>
          </a:extLst>
        </xdr:cNvPr>
        <xdr:cNvCxnSpPr/>
      </xdr:nvCxnSpPr>
      <xdr:spPr>
        <a:xfrm>
          <a:off x="14210102" y="5896864"/>
          <a:ext cx="710780" cy="25242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66</xdr:col>
      <xdr:colOff>182103</xdr:colOff>
      <xdr:row>20</xdr:row>
      <xdr:rowOff>211722</xdr:rowOff>
    </xdr:from>
    <xdr:ext cx="242374" cy="271228"/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AD0B828A-C862-4FF1-BF92-501A9099FFDF}"/>
            </a:ext>
          </a:extLst>
        </xdr:cNvPr>
        <xdr:cNvSpPr txBox="1"/>
      </xdr:nvSpPr>
      <xdr:spPr>
        <a:xfrm rot="17460000">
          <a:off x="15255276" y="4859109"/>
          <a:ext cx="27122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65</xdr:col>
      <xdr:colOff>147376</xdr:colOff>
      <xdr:row>18</xdr:row>
      <xdr:rowOff>137237</xdr:rowOff>
    </xdr:from>
    <xdr:ext cx="242374" cy="640688"/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5A99EE64-307B-4887-9CF0-A6D7D8ED73BA}"/>
            </a:ext>
          </a:extLst>
        </xdr:cNvPr>
        <xdr:cNvSpPr txBox="1"/>
      </xdr:nvSpPr>
      <xdr:spPr>
        <a:xfrm rot="17460000">
          <a:off x="14807219" y="4512154"/>
          <a:ext cx="64068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₂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κ</a:t>
          </a:r>
          <a:r>
            <a:rPr kumimoji="1" lang="en-US" altLang="ja-JP" sz="900" i="1" baseline="-250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・</a:t>
          </a:r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64</xdr:col>
      <xdr:colOff>59665</xdr:colOff>
      <xdr:row>23</xdr:row>
      <xdr:rowOff>111762</xdr:rowOff>
    </xdr:from>
    <xdr:ext cx="242374" cy="305853"/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3546F63D-2B21-40F2-92C2-7B3C10C0E24D}"/>
            </a:ext>
          </a:extLst>
        </xdr:cNvPr>
        <xdr:cNvSpPr txBox="1"/>
      </xdr:nvSpPr>
      <xdr:spPr>
        <a:xfrm rot="17460000">
          <a:off x="14658325" y="5462262"/>
          <a:ext cx="305853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₁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158534</xdr:colOff>
      <xdr:row>22</xdr:row>
      <xdr:rowOff>139154</xdr:rowOff>
    </xdr:from>
    <xdr:to>
      <xdr:col>64</xdr:col>
      <xdr:colOff>221402</xdr:colOff>
      <xdr:row>26</xdr:row>
      <xdr:rowOff>12308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3A628F41-4B81-4A73-8B7B-1199FB831635}"/>
            </a:ext>
          </a:extLst>
        </xdr:cNvPr>
        <xdr:cNvCxnSpPr/>
      </xdr:nvCxnSpPr>
      <xdr:spPr>
        <a:xfrm flipH="1">
          <a:off x="14560334" y="5229314"/>
          <a:ext cx="291468" cy="787554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221663</xdr:colOff>
      <xdr:row>16</xdr:row>
      <xdr:rowOff>127963</xdr:rowOff>
    </xdr:from>
    <xdr:to>
      <xdr:col>67</xdr:col>
      <xdr:colOff>46239</xdr:colOff>
      <xdr:row>22</xdr:row>
      <xdr:rowOff>132130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DEBCEA42-F173-4F88-A706-0996DD74E788}"/>
            </a:ext>
          </a:extLst>
        </xdr:cNvPr>
        <xdr:cNvCxnSpPr/>
      </xdr:nvCxnSpPr>
      <xdr:spPr>
        <a:xfrm flipH="1">
          <a:off x="14852063" y="3846523"/>
          <a:ext cx="510376" cy="1386653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104964</xdr:colOff>
      <xdr:row>16</xdr:row>
      <xdr:rowOff>5790</xdr:rowOff>
    </xdr:from>
    <xdr:to>
      <xdr:col>65</xdr:col>
      <xdr:colOff>209491</xdr:colOff>
      <xdr:row>16</xdr:row>
      <xdr:rowOff>238778</xdr:rowOff>
    </xdr:to>
    <xdr:sp macro="" textlink="">
      <xdr:nvSpPr>
        <xdr:cNvPr id="140" name="円弧 139">
          <a:extLst>
            <a:ext uri="{FF2B5EF4-FFF2-40B4-BE49-F238E27FC236}">
              <a16:creationId xmlns:a16="http://schemas.microsoft.com/office/drawing/2014/main" id="{679BD74C-0787-4107-B7FF-0CF5D2FABD5F}"/>
            </a:ext>
          </a:extLst>
        </xdr:cNvPr>
        <xdr:cNvSpPr/>
      </xdr:nvSpPr>
      <xdr:spPr>
        <a:xfrm rot="11917365">
          <a:off x="14735364" y="3724350"/>
          <a:ext cx="333127" cy="232988"/>
        </a:xfrm>
        <a:prstGeom prst="arc">
          <a:avLst>
            <a:gd name="adj1" fmla="val 14457045"/>
            <a:gd name="adj2" fmla="val 17459712"/>
          </a:avLst>
        </a:prstGeom>
        <a:noFill/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65</xdr:col>
      <xdr:colOff>61012</xdr:colOff>
      <xdr:row>15</xdr:row>
      <xdr:rowOff>203022</xdr:rowOff>
    </xdr:from>
    <xdr:to>
      <xdr:col>65</xdr:col>
      <xdr:colOff>61012</xdr:colOff>
      <xdr:row>17</xdr:row>
      <xdr:rowOff>70622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0535E735-CDF1-4C85-857D-FBD046903875}"/>
            </a:ext>
          </a:extLst>
        </xdr:cNvPr>
        <xdr:cNvCxnSpPr/>
      </xdr:nvCxnSpPr>
      <xdr:spPr>
        <a:xfrm>
          <a:off x="14920012" y="3692982"/>
          <a:ext cx="0" cy="346571"/>
        </a:xfrm>
        <a:prstGeom prst="line">
          <a:avLst/>
        </a:prstGeom>
        <a:ln w="3175">
          <a:solidFill>
            <a:schemeClr val="tx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179821</xdr:colOff>
      <xdr:row>16</xdr:row>
      <xdr:rowOff>72356</xdr:rowOff>
    </xdr:from>
    <xdr:ext cx="365165" cy="242374"/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299A311D-60C8-4609-9A8D-5151633AC375}"/>
            </a:ext>
          </a:extLst>
        </xdr:cNvPr>
        <xdr:cNvSpPr txBox="1"/>
      </xdr:nvSpPr>
      <xdr:spPr>
        <a:xfrm>
          <a:off x="14810221" y="3762613"/>
          <a:ext cx="36516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θ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74143</xdr:colOff>
      <xdr:row>18</xdr:row>
      <xdr:rowOff>60412</xdr:rowOff>
    </xdr:from>
    <xdr:to>
      <xdr:col>65</xdr:col>
      <xdr:colOff>117446</xdr:colOff>
      <xdr:row>18</xdr:row>
      <xdr:rowOff>143399</xdr:rowOff>
    </xdr:to>
    <xdr:cxnSp macro="">
      <xdr:nvCxnSpPr>
        <xdr:cNvPr id="143" name="直線コネクタ 142">
          <a:extLst>
            <a:ext uri="{FF2B5EF4-FFF2-40B4-BE49-F238E27FC236}">
              <a16:creationId xmlns:a16="http://schemas.microsoft.com/office/drawing/2014/main" id="{6422EA66-6E28-4E4F-870B-085643A2D55A}"/>
            </a:ext>
          </a:extLst>
        </xdr:cNvPr>
        <xdr:cNvCxnSpPr/>
      </xdr:nvCxnSpPr>
      <xdr:spPr>
        <a:xfrm rot="240000" flipH="1" flipV="1">
          <a:off x="14704543" y="4236172"/>
          <a:ext cx="271903" cy="82987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155468</xdr:colOff>
      <xdr:row>14</xdr:row>
      <xdr:rowOff>17085</xdr:rowOff>
    </xdr:from>
    <xdr:ext cx="444352" cy="224998"/>
    <xdr:sp macro="" textlink="'1.条件'!T7">
      <xdr:nvSpPr>
        <xdr:cNvPr id="144" name="テキスト ボックス 143">
          <a:extLst>
            <a:ext uri="{FF2B5EF4-FFF2-40B4-BE49-F238E27FC236}">
              <a16:creationId xmlns:a16="http://schemas.microsoft.com/office/drawing/2014/main" id="{D75431C1-E25C-4DC7-BA64-FC1734336B94}"/>
            </a:ext>
          </a:extLst>
        </xdr:cNvPr>
        <xdr:cNvSpPr txBox="1"/>
      </xdr:nvSpPr>
      <xdr:spPr>
        <a:xfrm>
          <a:off x="14557268" y="327844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073291F-FF2A-4592-B3E3-08EC9F1BC712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58</xdr:col>
      <xdr:colOff>70223</xdr:colOff>
      <xdr:row>14</xdr:row>
      <xdr:rowOff>79162</xdr:rowOff>
    </xdr:from>
    <xdr:to>
      <xdr:col>60</xdr:col>
      <xdr:colOff>132129</xdr:colOff>
      <xdr:row>20</xdr:row>
      <xdr:rowOff>58777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CC34ABD2-2998-4813-A410-B0DFC0145C7A}"/>
            </a:ext>
          </a:extLst>
        </xdr:cNvPr>
        <xdr:cNvCxnSpPr/>
      </xdr:nvCxnSpPr>
      <xdr:spPr>
        <a:xfrm flipH="1">
          <a:off x="13329023" y="3340522"/>
          <a:ext cx="519106" cy="1372986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223838</xdr:colOff>
      <xdr:row>20</xdr:row>
      <xdr:rowOff>47357</xdr:rowOff>
    </xdr:from>
    <xdr:to>
      <xdr:col>58</xdr:col>
      <xdr:colOff>200025</xdr:colOff>
      <xdr:row>20</xdr:row>
      <xdr:rowOff>120200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4EC18C13-5426-46B2-B8AA-DE4B846401F4}"/>
            </a:ext>
          </a:extLst>
        </xdr:cNvPr>
        <xdr:cNvCxnSpPr/>
      </xdr:nvCxnSpPr>
      <xdr:spPr>
        <a:xfrm flipH="1" flipV="1">
          <a:off x="13254038" y="4680317"/>
          <a:ext cx="204787" cy="72843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57806</xdr:colOff>
      <xdr:row>16</xdr:row>
      <xdr:rowOff>105021</xdr:rowOff>
    </xdr:from>
    <xdr:ext cx="224998" cy="286297"/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078A73EC-2830-4D04-A883-8F7A6CF96201}"/>
            </a:ext>
          </a:extLst>
        </xdr:cNvPr>
        <xdr:cNvSpPr txBox="1"/>
      </xdr:nvSpPr>
      <xdr:spPr>
        <a:xfrm rot="17233223">
          <a:off x="13285956" y="3854231"/>
          <a:ext cx="28629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z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i</a:t>
          </a:r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'</a:t>
          </a:r>
          <a:endParaRPr kumimoji="1" lang="ja-JP" altLang="en-US" sz="900" i="1">
            <a:solidFill>
              <a:srgbClr val="FF0000"/>
            </a:solidFill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122115</xdr:colOff>
      <xdr:row>15</xdr:row>
      <xdr:rowOff>196960</xdr:rowOff>
    </xdr:from>
    <xdr:to>
      <xdr:col>65</xdr:col>
      <xdr:colOff>64426</xdr:colOff>
      <xdr:row>25</xdr:row>
      <xdr:rowOff>54816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BC30EB3A-F3FA-4CEA-A794-B22E323724C1}"/>
            </a:ext>
          </a:extLst>
        </xdr:cNvPr>
        <xdr:cNvCxnSpPr/>
      </xdr:nvCxnSpPr>
      <xdr:spPr>
        <a:xfrm flipH="1">
          <a:off x="14066715" y="3686920"/>
          <a:ext cx="856711" cy="216562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66379</xdr:colOff>
      <xdr:row>22</xdr:row>
      <xdr:rowOff>840</xdr:rowOff>
    </xdr:from>
    <xdr:to>
      <xdr:col>65</xdr:col>
      <xdr:colOff>69502</xdr:colOff>
      <xdr:row>22</xdr:row>
      <xdr:rowOff>166494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1D483521-364F-4735-AEE1-BFE79D0255FA}"/>
            </a:ext>
          </a:extLst>
        </xdr:cNvPr>
        <xdr:cNvCxnSpPr/>
      </xdr:nvCxnSpPr>
      <xdr:spPr>
        <a:xfrm>
          <a:off x="14468179" y="5091000"/>
          <a:ext cx="460323" cy="16565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44367</xdr:colOff>
      <xdr:row>14</xdr:row>
      <xdr:rowOff>44932</xdr:rowOff>
    </xdr:from>
    <xdr:to>
      <xdr:col>63</xdr:col>
      <xdr:colOff>131188</xdr:colOff>
      <xdr:row>15</xdr:row>
      <xdr:rowOff>74209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055D1AB8-53A8-4507-BA41-20762A01E915}"/>
            </a:ext>
          </a:extLst>
        </xdr:cNvPr>
        <xdr:cNvCxnSpPr/>
      </xdr:nvCxnSpPr>
      <xdr:spPr>
        <a:xfrm>
          <a:off x="13760367" y="3306292"/>
          <a:ext cx="772621" cy="257877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19050</xdr:colOff>
      <xdr:row>21</xdr:row>
      <xdr:rowOff>219396</xdr:rowOff>
    </xdr:from>
    <xdr:to>
      <xdr:col>59</xdr:col>
      <xdr:colOff>21051</xdr:colOff>
      <xdr:row>21</xdr:row>
      <xdr:rowOff>219396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D804074F-3D55-49A4-B7A6-A9D6BEFAA082}"/>
            </a:ext>
          </a:extLst>
        </xdr:cNvPr>
        <xdr:cNvCxnSpPr/>
      </xdr:nvCxnSpPr>
      <xdr:spPr>
        <a:xfrm flipH="1">
          <a:off x="13049250" y="5080956"/>
          <a:ext cx="459201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218035</xdr:colOff>
      <xdr:row>1</xdr:row>
      <xdr:rowOff>223796</xdr:rowOff>
    </xdr:from>
    <xdr:to>
      <xdr:col>64</xdr:col>
      <xdr:colOff>37911</xdr:colOff>
      <xdr:row>11</xdr:row>
      <xdr:rowOff>74664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81DF4709-ED3D-46FA-BA91-E79CCA035120}"/>
            </a:ext>
          </a:extLst>
        </xdr:cNvPr>
        <xdr:cNvCxnSpPr/>
      </xdr:nvCxnSpPr>
      <xdr:spPr>
        <a:xfrm flipH="1">
          <a:off x="13771550" y="453517"/>
          <a:ext cx="968479" cy="2164882"/>
        </a:xfrm>
        <a:prstGeom prst="line">
          <a:avLst/>
        </a:prstGeom>
        <a:ln w="63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140412</xdr:colOff>
      <xdr:row>5</xdr:row>
      <xdr:rowOff>3625</xdr:rowOff>
    </xdr:from>
    <xdr:to>
      <xdr:col>62</xdr:col>
      <xdr:colOff>194286</xdr:colOff>
      <xdr:row>5</xdr:row>
      <xdr:rowOff>59210</xdr:rowOff>
    </xdr:to>
    <xdr:sp macro="" textlink="">
      <xdr:nvSpPr>
        <xdr:cNvPr id="154" name="楕円 153">
          <a:extLst>
            <a:ext uri="{FF2B5EF4-FFF2-40B4-BE49-F238E27FC236}">
              <a16:creationId xmlns:a16="http://schemas.microsoft.com/office/drawing/2014/main" id="{5660353E-53EA-44E9-B902-D3FC03E6F87C}"/>
            </a:ext>
          </a:extLst>
        </xdr:cNvPr>
        <xdr:cNvSpPr/>
      </xdr:nvSpPr>
      <xdr:spPr>
        <a:xfrm>
          <a:off x="14334798" y="1148334"/>
          <a:ext cx="53874" cy="55585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61</xdr:col>
      <xdr:colOff>37292</xdr:colOff>
      <xdr:row>16</xdr:row>
      <xdr:rowOff>207701</xdr:rowOff>
    </xdr:from>
    <xdr:to>
      <xdr:col>61</xdr:col>
      <xdr:colOff>37292</xdr:colOff>
      <xdr:row>17</xdr:row>
      <xdr:rowOff>171532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3D989592-A8D6-46AA-A76D-D0DC6E5FC56A}"/>
            </a:ext>
          </a:extLst>
        </xdr:cNvPr>
        <xdr:cNvCxnSpPr/>
      </xdr:nvCxnSpPr>
      <xdr:spPr>
        <a:xfrm>
          <a:off x="14114698" y="3926261"/>
          <a:ext cx="0" cy="207671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87340</xdr:colOff>
      <xdr:row>15</xdr:row>
      <xdr:rowOff>201309</xdr:rowOff>
    </xdr:from>
    <xdr:to>
      <xdr:col>64</xdr:col>
      <xdr:colOff>132330</xdr:colOff>
      <xdr:row>25</xdr:row>
      <xdr:rowOff>34828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8B78937A-7D24-4F65-A844-64C127C449B5}"/>
            </a:ext>
          </a:extLst>
        </xdr:cNvPr>
        <xdr:cNvCxnSpPr/>
      </xdr:nvCxnSpPr>
      <xdr:spPr>
        <a:xfrm flipH="1">
          <a:off x="13933969" y="3676029"/>
          <a:ext cx="968098" cy="2167416"/>
        </a:xfrm>
        <a:prstGeom prst="line">
          <a:avLst/>
        </a:prstGeom>
        <a:ln w="63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9482</xdr:colOff>
      <xdr:row>23</xdr:row>
      <xdr:rowOff>25976</xdr:rowOff>
    </xdr:from>
    <xdr:to>
      <xdr:col>61</xdr:col>
      <xdr:colOff>72991</xdr:colOff>
      <xdr:row>23</xdr:row>
      <xdr:rowOff>91435</xdr:rowOff>
    </xdr:to>
    <xdr:sp macro="" textlink="">
      <xdr:nvSpPr>
        <xdr:cNvPr id="160" name="楕円 159">
          <a:extLst>
            <a:ext uri="{FF2B5EF4-FFF2-40B4-BE49-F238E27FC236}">
              <a16:creationId xmlns:a16="http://schemas.microsoft.com/office/drawing/2014/main" id="{6561AFEA-7D8C-4656-88BB-65F68E0199CC}"/>
            </a:ext>
          </a:extLst>
        </xdr:cNvPr>
        <xdr:cNvSpPr/>
      </xdr:nvSpPr>
      <xdr:spPr>
        <a:xfrm>
          <a:off x="14086888" y="5373039"/>
          <a:ext cx="63509" cy="65459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60</xdr:col>
      <xdr:colOff>102427</xdr:colOff>
      <xdr:row>22</xdr:row>
      <xdr:rowOff>142829</xdr:rowOff>
    </xdr:from>
    <xdr:to>
      <xdr:col>61</xdr:col>
      <xdr:colOff>224252</xdr:colOff>
      <xdr:row>24</xdr:row>
      <xdr:rowOff>44019</xdr:rowOff>
    </xdr:to>
    <xdr:sp macro="" textlink="">
      <xdr:nvSpPr>
        <xdr:cNvPr id="161" name="矢印: 環状 160">
          <a:extLst>
            <a:ext uri="{FF2B5EF4-FFF2-40B4-BE49-F238E27FC236}">
              <a16:creationId xmlns:a16="http://schemas.microsoft.com/office/drawing/2014/main" id="{63D7045B-713D-4E21-BE78-504E03C0044B}"/>
            </a:ext>
          </a:extLst>
        </xdr:cNvPr>
        <xdr:cNvSpPr/>
      </xdr:nvSpPr>
      <xdr:spPr>
        <a:xfrm rot="20940662">
          <a:off x="13949056" y="5259115"/>
          <a:ext cx="352602" cy="362744"/>
        </a:xfrm>
        <a:prstGeom prst="circularArrow">
          <a:avLst>
            <a:gd name="adj1" fmla="val 9006"/>
            <a:gd name="adj2" fmla="val 1201318"/>
            <a:gd name="adj3" fmla="val 20575211"/>
            <a:gd name="adj4" fmla="val 12777058"/>
            <a:gd name="adj5" fmla="val 1244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60</xdr:col>
      <xdr:colOff>209560</xdr:colOff>
      <xdr:row>23</xdr:row>
      <xdr:rowOff>19385</xdr:rowOff>
    </xdr:from>
    <xdr:ext cx="314958" cy="224998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886C9D7F-C793-4A42-9137-8496A0B599D3}"/>
            </a:ext>
          </a:extLst>
        </xdr:cNvPr>
        <xdr:cNvSpPr txBox="1"/>
      </xdr:nvSpPr>
      <xdr:spPr>
        <a:xfrm>
          <a:off x="14056189" y="5366448"/>
          <a:ext cx="3149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120459</xdr:colOff>
      <xdr:row>22</xdr:row>
      <xdr:rowOff>37310</xdr:rowOff>
    </xdr:from>
    <xdr:to>
      <xdr:col>62</xdr:col>
      <xdr:colOff>30810</xdr:colOff>
      <xdr:row>23</xdr:row>
      <xdr:rowOff>178269</xdr:rowOff>
    </xdr:to>
    <xdr:sp macro="" textlink="">
      <xdr:nvSpPr>
        <xdr:cNvPr id="163" name="矢印: 環状 162">
          <a:extLst>
            <a:ext uri="{FF2B5EF4-FFF2-40B4-BE49-F238E27FC236}">
              <a16:creationId xmlns:a16="http://schemas.microsoft.com/office/drawing/2014/main" id="{EE1B12C8-BF8E-4FDD-87A4-8A4A67390393}"/>
            </a:ext>
          </a:extLst>
        </xdr:cNvPr>
        <xdr:cNvSpPr/>
      </xdr:nvSpPr>
      <xdr:spPr>
        <a:xfrm rot="986520" flipH="1">
          <a:off x="13967088" y="5153596"/>
          <a:ext cx="371905" cy="371736"/>
        </a:xfrm>
        <a:prstGeom prst="circularArrow">
          <a:avLst>
            <a:gd name="adj1" fmla="val 9006"/>
            <a:gd name="adj2" fmla="val 1201318"/>
            <a:gd name="adj3" fmla="val 20575211"/>
            <a:gd name="adj4" fmla="val 12777058"/>
            <a:gd name="adj5" fmla="val 1244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61</xdr:col>
      <xdr:colOff>72697</xdr:colOff>
      <xdr:row>21</xdr:row>
      <xdr:rowOff>154918</xdr:rowOff>
    </xdr:from>
    <xdr:ext cx="314958" cy="224998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4CEF3A3E-2B4C-42CB-9A50-F75326B3AB41}"/>
            </a:ext>
          </a:extLst>
        </xdr:cNvPr>
        <xdr:cNvSpPr txBox="1"/>
      </xdr:nvSpPr>
      <xdr:spPr>
        <a:xfrm>
          <a:off x="14150103" y="5040427"/>
          <a:ext cx="3149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62</xdr:col>
      <xdr:colOff>89244</xdr:colOff>
      <xdr:row>4</xdr:row>
      <xdr:rowOff>227933</xdr:rowOff>
    </xdr:from>
    <xdr:ext cx="314958" cy="224998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991833D6-4502-69CA-1AAA-9AB915221538}"/>
            </a:ext>
          </a:extLst>
        </xdr:cNvPr>
        <xdr:cNvSpPr txBox="1"/>
      </xdr:nvSpPr>
      <xdr:spPr>
        <a:xfrm>
          <a:off x="14262444" y="1142333"/>
          <a:ext cx="3149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143</xdr:colOff>
      <xdr:row>4</xdr:row>
      <xdr:rowOff>17258</xdr:rowOff>
    </xdr:from>
    <xdr:to>
      <xdr:col>63</xdr:col>
      <xdr:colOff>139094</xdr:colOff>
      <xdr:row>5</xdr:row>
      <xdr:rowOff>158217</xdr:rowOff>
    </xdr:to>
    <xdr:sp macro="" textlink="">
      <xdr:nvSpPr>
        <xdr:cNvPr id="167" name="矢印: 環状 166">
          <a:extLst>
            <a:ext uri="{FF2B5EF4-FFF2-40B4-BE49-F238E27FC236}">
              <a16:creationId xmlns:a16="http://schemas.microsoft.com/office/drawing/2014/main" id="{B0F12561-C6B6-74B2-9731-23305252A4F6}"/>
            </a:ext>
          </a:extLst>
        </xdr:cNvPr>
        <xdr:cNvSpPr/>
      </xdr:nvSpPr>
      <xdr:spPr>
        <a:xfrm rot="986520" flipH="1">
          <a:off x="14173343" y="931658"/>
          <a:ext cx="367551" cy="369559"/>
        </a:xfrm>
        <a:prstGeom prst="circularArrow">
          <a:avLst>
            <a:gd name="adj1" fmla="val 9006"/>
            <a:gd name="adj2" fmla="val 1201318"/>
            <a:gd name="adj3" fmla="val 20575211"/>
            <a:gd name="adj4" fmla="val 12777058"/>
            <a:gd name="adj5" fmla="val 1244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62</xdr:col>
      <xdr:colOff>180981</xdr:colOff>
      <xdr:row>3</xdr:row>
      <xdr:rowOff>134866</xdr:rowOff>
    </xdr:from>
    <xdr:ext cx="314958" cy="224998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110481EB-EF56-BD68-9E71-7023BCFB19EE}"/>
            </a:ext>
          </a:extLst>
        </xdr:cNvPr>
        <xdr:cNvSpPr txBox="1"/>
      </xdr:nvSpPr>
      <xdr:spPr>
        <a:xfrm>
          <a:off x="14354181" y="820666"/>
          <a:ext cx="3149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10185</xdr:colOff>
      <xdr:row>4</xdr:row>
      <xdr:rowOff>106734</xdr:rowOff>
    </xdr:from>
    <xdr:to>
      <xdr:col>63</xdr:col>
      <xdr:colOff>132010</xdr:colOff>
      <xdr:row>5</xdr:row>
      <xdr:rowOff>236524</xdr:rowOff>
    </xdr:to>
    <xdr:sp macro="" textlink="">
      <xdr:nvSpPr>
        <xdr:cNvPr id="169" name="矢印: 環状 168">
          <a:extLst>
            <a:ext uri="{FF2B5EF4-FFF2-40B4-BE49-F238E27FC236}">
              <a16:creationId xmlns:a16="http://schemas.microsoft.com/office/drawing/2014/main" id="{D1283292-84AC-1F9F-0221-753E6B60681D}"/>
            </a:ext>
          </a:extLst>
        </xdr:cNvPr>
        <xdr:cNvSpPr/>
      </xdr:nvSpPr>
      <xdr:spPr>
        <a:xfrm rot="20940662">
          <a:off x="14183385" y="1021134"/>
          <a:ext cx="350425" cy="358390"/>
        </a:xfrm>
        <a:prstGeom prst="circularArrow">
          <a:avLst>
            <a:gd name="adj1" fmla="val 9006"/>
            <a:gd name="adj2" fmla="val 1201318"/>
            <a:gd name="adj3" fmla="val 20575211"/>
            <a:gd name="adj4" fmla="val 12777058"/>
            <a:gd name="adj5" fmla="val 1244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37991</xdr:colOff>
      <xdr:row>12</xdr:row>
      <xdr:rowOff>44955</xdr:rowOff>
    </xdr:from>
    <xdr:to>
      <xdr:col>32</xdr:col>
      <xdr:colOff>45252</xdr:colOff>
      <xdr:row>12</xdr:row>
      <xdr:rowOff>44955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9B705165-0406-43FA-A7E3-C3A64DC35ED5}"/>
            </a:ext>
          </a:extLst>
        </xdr:cNvPr>
        <xdr:cNvCxnSpPr/>
      </xdr:nvCxnSpPr>
      <xdr:spPr>
        <a:xfrm>
          <a:off x="6667391" y="2788155"/>
          <a:ext cx="693061" cy="0"/>
        </a:xfrm>
        <a:prstGeom prst="line">
          <a:avLst/>
        </a:prstGeom>
        <a:ln w="3175">
          <a:solidFill>
            <a:srgbClr val="FF0000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23752</xdr:colOff>
      <xdr:row>6</xdr:row>
      <xdr:rowOff>78786</xdr:rowOff>
    </xdr:from>
    <xdr:to>
      <xdr:col>34</xdr:col>
      <xdr:colOff>142552</xdr:colOff>
      <xdr:row>6</xdr:row>
      <xdr:rowOff>78786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454D2768-D452-490B-95F0-3AC1E8E232FC}"/>
            </a:ext>
          </a:extLst>
        </xdr:cNvPr>
        <xdr:cNvCxnSpPr/>
      </xdr:nvCxnSpPr>
      <xdr:spPr>
        <a:xfrm>
          <a:off x="7338952" y="1450386"/>
          <a:ext cx="57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208151</xdr:colOff>
      <xdr:row>4</xdr:row>
      <xdr:rowOff>123701</xdr:rowOff>
    </xdr:from>
    <xdr:ext cx="336311" cy="224998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FEC5F042-463F-4488-99D8-45F2257B0455}"/>
            </a:ext>
          </a:extLst>
        </xdr:cNvPr>
        <xdr:cNvSpPr txBox="1"/>
      </xdr:nvSpPr>
      <xdr:spPr>
        <a:xfrm>
          <a:off x="7294751" y="1038101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27</xdr:col>
      <xdr:colOff>172883</xdr:colOff>
      <xdr:row>6</xdr:row>
      <xdr:rowOff>75173</xdr:rowOff>
    </xdr:from>
    <xdr:to>
      <xdr:col>31</xdr:col>
      <xdr:colOff>20347</xdr:colOff>
      <xdr:row>6</xdr:row>
      <xdr:rowOff>75173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3ECD6D83-0AB0-41AF-8946-B69802637572}"/>
            </a:ext>
          </a:extLst>
        </xdr:cNvPr>
        <xdr:cNvCxnSpPr/>
      </xdr:nvCxnSpPr>
      <xdr:spPr>
        <a:xfrm>
          <a:off x="6345083" y="1446773"/>
          <a:ext cx="76186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27376</xdr:colOff>
      <xdr:row>5</xdr:row>
      <xdr:rowOff>81609</xdr:rowOff>
    </xdr:from>
    <xdr:to>
      <xdr:col>32</xdr:col>
      <xdr:colOff>27376</xdr:colOff>
      <xdr:row>5</xdr:row>
      <xdr:rowOff>228325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7E75FEB3-645C-4A86-9F80-246B112AB9D9}"/>
            </a:ext>
          </a:extLst>
        </xdr:cNvPr>
        <xdr:cNvCxnSpPr/>
      </xdr:nvCxnSpPr>
      <xdr:spPr>
        <a:xfrm>
          <a:off x="7342576" y="1224609"/>
          <a:ext cx="0" cy="146716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26277</xdr:colOff>
      <xdr:row>5</xdr:row>
      <xdr:rowOff>121245</xdr:rowOff>
    </xdr:from>
    <xdr:to>
      <xdr:col>34</xdr:col>
      <xdr:colOff>143815</xdr:colOff>
      <xdr:row>5</xdr:row>
      <xdr:rowOff>121245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16118AC5-6C4A-416A-90C4-9C69945A346B}"/>
            </a:ext>
          </a:extLst>
        </xdr:cNvPr>
        <xdr:cNvCxnSpPr/>
      </xdr:nvCxnSpPr>
      <xdr:spPr>
        <a:xfrm>
          <a:off x="7341477" y="1264245"/>
          <a:ext cx="57473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20346</xdr:colOff>
      <xdr:row>6</xdr:row>
      <xdr:rowOff>82878</xdr:rowOff>
    </xdr:from>
    <xdr:to>
      <xdr:col>32</xdr:col>
      <xdr:colOff>28162</xdr:colOff>
      <xdr:row>12</xdr:row>
      <xdr:rowOff>126647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AE986274-B10A-46A9-85A7-CDD6908EBF08}"/>
            </a:ext>
          </a:extLst>
        </xdr:cNvPr>
        <xdr:cNvCxnSpPr/>
      </xdr:nvCxnSpPr>
      <xdr:spPr>
        <a:xfrm flipH="1">
          <a:off x="6649746" y="1454478"/>
          <a:ext cx="693616" cy="14153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139549</xdr:colOff>
      <xdr:row>12</xdr:row>
      <xdr:rowOff>23544</xdr:rowOff>
    </xdr:from>
    <xdr:to>
      <xdr:col>30</xdr:col>
      <xdr:colOff>185268</xdr:colOff>
      <xdr:row>12</xdr:row>
      <xdr:rowOff>69263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F5A77266-8731-438B-BAFA-2F2FF81F4C09}"/>
            </a:ext>
          </a:extLst>
        </xdr:cNvPr>
        <xdr:cNvSpPr/>
      </xdr:nvSpPr>
      <xdr:spPr>
        <a:xfrm>
          <a:off x="6997549" y="2766744"/>
          <a:ext cx="45719" cy="45719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190231</xdr:colOff>
      <xdr:row>4</xdr:row>
      <xdr:rowOff>119745</xdr:rowOff>
    </xdr:from>
    <xdr:ext cx="444352" cy="224998"/>
    <xdr:sp macro="" textlink="'1.条件'!T7">
      <xdr:nvSpPr>
        <xdr:cNvPr id="58" name="テキスト ボックス 57">
          <a:extLst>
            <a:ext uri="{FF2B5EF4-FFF2-40B4-BE49-F238E27FC236}">
              <a16:creationId xmlns:a16="http://schemas.microsoft.com/office/drawing/2014/main" id="{115C9D4E-6ABA-4244-A1AD-025EF11C8013}"/>
            </a:ext>
          </a:extLst>
        </xdr:cNvPr>
        <xdr:cNvSpPr txBox="1"/>
      </xdr:nvSpPr>
      <xdr:spPr>
        <a:xfrm>
          <a:off x="7505431" y="103414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34F48A0-FA92-45EF-BC48-C832F3EBF19C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34758</xdr:colOff>
      <xdr:row>6</xdr:row>
      <xdr:rowOff>77104</xdr:rowOff>
    </xdr:from>
    <xdr:to>
      <xdr:col>28</xdr:col>
      <xdr:colOff>34758</xdr:colOff>
      <xdr:row>12</xdr:row>
      <xdr:rowOff>60339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F70DF9A5-FD18-4829-A39D-AC376430E069}"/>
            </a:ext>
          </a:extLst>
        </xdr:cNvPr>
        <xdr:cNvCxnSpPr/>
      </xdr:nvCxnSpPr>
      <xdr:spPr>
        <a:xfrm>
          <a:off x="6435558" y="1448704"/>
          <a:ext cx="0" cy="1354835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21772</xdr:colOff>
      <xdr:row>8</xdr:row>
      <xdr:rowOff>153340</xdr:rowOff>
    </xdr:from>
    <xdr:ext cx="224998" cy="292581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EAF2F6AE-36ED-44E2-AF62-851018B20389}"/>
            </a:ext>
          </a:extLst>
        </xdr:cNvPr>
        <xdr:cNvSpPr txBox="1"/>
      </xdr:nvSpPr>
      <xdr:spPr>
        <a:xfrm rot="16200000">
          <a:off x="6160180" y="2015932"/>
          <a:ext cx="29258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27</xdr:col>
      <xdr:colOff>164496</xdr:colOff>
      <xdr:row>12</xdr:row>
      <xdr:rowOff>38329</xdr:rowOff>
    </xdr:from>
    <xdr:to>
      <xdr:col>28</xdr:col>
      <xdr:colOff>213937</xdr:colOff>
      <xdr:row>12</xdr:row>
      <xdr:rowOff>38329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679BA8F-1A51-43AD-A25D-7D824E098022}"/>
            </a:ext>
          </a:extLst>
        </xdr:cNvPr>
        <xdr:cNvCxnSpPr/>
      </xdr:nvCxnSpPr>
      <xdr:spPr>
        <a:xfrm>
          <a:off x="6336696" y="2781529"/>
          <a:ext cx="278041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52759</xdr:colOff>
      <xdr:row>12</xdr:row>
      <xdr:rowOff>163330</xdr:rowOff>
    </xdr:from>
    <xdr:to>
      <xdr:col>32</xdr:col>
      <xdr:colOff>52759</xdr:colOff>
      <xdr:row>13</xdr:row>
      <xdr:rowOff>130575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A97809AA-C051-4501-B9D4-37973BFDB41D}"/>
            </a:ext>
          </a:extLst>
        </xdr:cNvPr>
        <xdr:cNvCxnSpPr/>
      </xdr:nvCxnSpPr>
      <xdr:spPr>
        <a:xfrm>
          <a:off x="7367959" y="2906530"/>
          <a:ext cx="0" cy="195845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30875</xdr:colOff>
      <xdr:row>13</xdr:row>
      <xdr:rowOff>81259</xdr:rowOff>
    </xdr:from>
    <xdr:to>
      <xdr:col>32</xdr:col>
      <xdr:colOff>57273</xdr:colOff>
      <xdr:row>13</xdr:row>
      <xdr:rowOff>81259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2F6FA574-259A-4D18-868E-3DC6C236069F}"/>
            </a:ext>
          </a:extLst>
        </xdr:cNvPr>
        <xdr:cNvCxnSpPr/>
      </xdr:nvCxnSpPr>
      <xdr:spPr>
        <a:xfrm>
          <a:off x="6660275" y="3053059"/>
          <a:ext cx="71219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35508</xdr:colOff>
      <xdr:row>12</xdr:row>
      <xdr:rowOff>163330</xdr:rowOff>
    </xdr:from>
    <xdr:to>
      <xdr:col>29</xdr:col>
      <xdr:colOff>35508</xdr:colOff>
      <xdr:row>13</xdr:row>
      <xdr:rowOff>130575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10A42D2-144E-4063-8D96-532F9471102F}"/>
            </a:ext>
          </a:extLst>
        </xdr:cNvPr>
        <xdr:cNvCxnSpPr/>
      </xdr:nvCxnSpPr>
      <xdr:spPr>
        <a:xfrm>
          <a:off x="6664908" y="2906530"/>
          <a:ext cx="0" cy="195845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5155</xdr:colOff>
      <xdr:row>13</xdr:row>
      <xdr:rowOff>69168</xdr:rowOff>
    </xdr:from>
    <xdr:ext cx="305405" cy="224998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F414F6A-ED23-48C0-8176-736E7B6D2E30}"/>
            </a:ext>
          </a:extLst>
        </xdr:cNvPr>
        <xdr:cNvSpPr txBox="1"/>
      </xdr:nvSpPr>
      <xdr:spPr>
        <a:xfrm>
          <a:off x="6863155" y="3040968"/>
          <a:ext cx="30540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en-US" altLang="ja-JP" sz="9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29</xdr:col>
      <xdr:colOff>99941</xdr:colOff>
      <xdr:row>8</xdr:row>
      <xdr:rowOff>179644</xdr:rowOff>
    </xdr:from>
    <xdr:ext cx="285527" cy="35779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FE34ECC9-2A09-47E1-98E0-5633E6B30A41}"/>
            </a:ext>
          </a:extLst>
        </xdr:cNvPr>
        <xdr:cNvSpPr txBox="1"/>
      </xdr:nvSpPr>
      <xdr:spPr>
        <a:xfrm rot="17760000">
          <a:off x="6693210" y="2044575"/>
          <a:ext cx="35779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oneCellAnchor>
    <xdr:from>
      <xdr:col>30</xdr:col>
      <xdr:colOff>6727</xdr:colOff>
      <xdr:row>7</xdr:row>
      <xdr:rowOff>163577</xdr:rowOff>
    </xdr:from>
    <xdr:ext cx="224998" cy="444352"/>
    <xdr:sp macro="" textlink="'1.条件'!T9">
      <xdr:nvSpPr>
        <xdr:cNvPr id="67" name="テキスト ボックス 66">
          <a:extLst>
            <a:ext uri="{FF2B5EF4-FFF2-40B4-BE49-F238E27FC236}">
              <a16:creationId xmlns:a16="http://schemas.microsoft.com/office/drawing/2014/main" id="{09CD99E5-4329-4653-B77D-ADDC82DF047A}"/>
            </a:ext>
          </a:extLst>
        </xdr:cNvPr>
        <xdr:cNvSpPr txBox="1"/>
      </xdr:nvSpPr>
      <xdr:spPr>
        <a:xfrm rot="17760000">
          <a:off x="6755050" y="1873454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DEF5E5E-65E4-4B68-982A-EE6EA8E0C3E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32</xdr:col>
      <xdr:colOff>219442</xdr:colOff>
      <xdr:row>9</xdr:row>
      <xdr:rowOff>137905</xdr:rowOff>
    </xdr:from>
    <xdr:ext cx="285527" cy="35779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2CE86035-295B-48A2-BB92-96420CEE9695}"/>
            </a:ext>
          </a:extLst>
        </xdr:cNvPr>
        <xdr:cNvSpPr txBox="1"/>
      </xdr:nvSpPr>
      <xdr:spPr>
        <a:xfrm rot="17460000">
          <a:off x="7498511" y="2231436"/>
          <a:ext cx="35779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oneCellAnchor>
    <xdr:from>
      <xdr:col>33</xdr:col>
      <xdr:colOff>94977</xdr:colOff>
      <xdr:row>8</xdr:row>
      <xdr:rowOff>81561</xdr:rowOff>
    </xdr:from>
    <xdr:ext cx="224998" cy="444352"/>
    <xdr:sp macro="" textlink="'1.条件'!T10">
      <xdr:nvSpPr>
        <xdr:cNvPr id="69" name="テキスト ボックス 68">
          <a:extLst>
            <a:ext uri="{FF2B5EF4-FFF2-40B4-BE49-F238E27FC236}">
              <a16:creationId xmlns:a16="http://schemas.microsoft.com/office/drawing/2014/main" id="{ADFDA8B2-3232-4B35-BD6A-07E97BA3B937}"/>
            </a:ext>
          </a:extLst>
        </xdr:cNvPr>
        <xdr:cNvSpPr txBox="1"/>
      </xdr:nvSpPr>
      <xdr:spPr>
        <a:xfrm rot="17460000">
          <a:off x="7529100" y="202003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22FD523-5332-486C-9DA7-7C2CB95F7C0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32</xdr:col>
      <xdr:colOff>34722</xdr:colOff>
      <xdr:row>6</xdr:row>
      <xdr:rowOff>77791</xdr:rowOff>
    </xdr:from>
    <xdr:to>
      <xdr:col>34</xdr:col>
      <xdr:colOff>141988</xdr:colOff>
      <xdr:row>12</xdr:row>
      <xdr:rowOff>134713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A53AC670-4614-45CF-BBD2-3AF8C62FD35E}"/>
            </a:ext>
          </a:extLst>
        </xdr:cNvPr>
        <xdr:cNvCxnSpPr/>
      </xdr:nvCxnSpPr>
      <xdr:spPr>
        <a:xfrm flipH="1">
          <a:off x="7349922" y="1449391"/>
          <a:ext cx="564466" cy="142852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125894</xdr:colOff>
      <xdr:row>6</xdr:row>
      <xdr:rowOff>83772</xdr:rowOff>
    </xdr:from>
    <xdr:to>
      <xdr:col>33</xdr:col>
      <xdr:colOff>57865</xdr:colOff>
      <xdr:row>12</xdr:row>
      <xdr:rowOff>136489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EDEFDDBF-8CA9-4172-8BC1-FC8F2FF225F4}"/>
            </a:ext>
          </a:extLst>
        </xdr:cNvPr>
        <xdr:cNvCxnSpPr/>
      </xdr:nvCxnSpPr>
      <xdr:spPr>
        <a:xfrm flipV="1">
          <a:off x="6983894" y="1455372"/>
          <a:ext cx="617771" cy="1424317"/>
        </a:xfrm>
        <a:prstGeom prst="line">
          <a:avLst/>
        </a:prstGeom>
        <a:ln w="12700">
          <a:solidFill>
            <a:schemeClr val="bg1">
              <a:lumMod val="65000"/>
            </a:schemeClr>
          </a:solidFill>
          <a:prstDash val="dashDot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165062</xdr:colOff>
      <xdr:row>10</xdr:row>
      <xdr:rowOff>211529</xdr:rowOff>
    </xdr:from>
    <xdr:to>
      <xdr:col>30</xdr:col>
      <xdr:colOff>168488</xdr:colOff>
      <xdr:row>12</xdr:row>
      <xdr:rowOff>13669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D43113F2-29AD-4BC4-8E5A-1A13E8E5A45B}"/>
            </a:ext>
          </a:extLst>
        </xdr:cNvPr>
        <xdr:cNvCxnSpPr/>
      </xdr:nvCxnSpPr>
      <xdr:spPr>
        <a:xfrm>
          <a:off x="7023062" y="2497529"/>
          <a:ext cx="3426" cy="259340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217655</xdr:colOff>
      <xdr:row>10</xdr:row>
      <xdr:rowOff>17619</xdr:rowOff>
    </xdr:from>
    <xdr:ext cx="322396" cy="224998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73FB951-C2A7-4AED-B175-7059679D248A}"/>
            </a:ext>
          </a:extLst>
        </xdr:cNvPr>
        <xdr:cNvSpPr txBox="1"/>
      </xdr:nvSpPr>
      <xdr:spPr>
        <a:xfrm>
          <a:off x="6847055" y="2303619"/>
          <a:ext cx="32239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V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202554</xdr:colOff>
      <xdr:row>12</xdr:row>
      <xdr:rowOff>39791</xdr:rowOff>
    </xdr:from>
    <xdr:to>
      <xdr:col>30</xdr:col>
      <xdr:colOff>130863</xdr:colOff>
      <xdr:row>12</xdr:row>
      <xdr:rowOff>39791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C29BE7F4-D147-4E29-A7ED-AD7750FA2787}"/>
            </a:ext>
          </a:extLst>
        </xdr:cNvPr>
        <xdr:cNvCxnSpPr/>
      </xdr:nvCxnSpPr>
      <xdr:spPr>
        <a:xfrm flipH="1">
          <a:off x="6831954" y="2782991"/>
          <a:ext cx="156909" cy="0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78877</xdr:colOff>
      <xdr:row>12</xdr:row>
      <xdr:rowOff>49715</xdr:rowOff>
    </xdr:from>
    <xdr:ext cx="335220" cy="224998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ED51B4B1-D93B-45CF-92EA-E1C8F2399A2F}"/>
            </a:ext>
          </a:extLst>
        </xdr:cNvPr>
        <xdr:cNvSpPr txBox="1"/>
      </xdr:nvSpPr>
      <xdr:spPr>
        <a:xfrm>
          <a:off x="6708277" y="2792915"/>
          <a:ext cx="33522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30</xdr:col>
      <xdr:colOff>228312</xdr:colOff>
      <xdr:row>11</xdr:row>
      <xdr:rowOff>93743</xdr:rowOff>
    </xdr:from>
    <xdr:ext cx="319255" cy="224998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4BEE7423-61D3-4048-B59E-9DE129D48073}"/>
            </a:ext>
          </a:extLst>
        </xdr:cNvPr>
        <xdr:cNvSpPr txBox="1"/>
      </xdr:nvSpPr>
      <xdr:spPr>
        <a:xfrm>
          <a:off x="7086312" y="2608343"/>
          <a:ext cx="31925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endParaRPr kumimoji="1" lang="ja-JP" altLang="en-US" sz="900" baseline="-25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34211</xdr:colOff>
      <xdr:row>16</xdr:row>
      <xdr:rowOff>152597</xdr:rowOff>
    </xdr:from>
    <xdr:to>
      <xdr:col>32</xdr:col>
      <xdr:colOff>64053</xdr:colOff>
      <xdr:row>19</xdr:row>
      <xdr:rowOff>83676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D68A968E-CD13-4CD5-A5DB-0B1B435246A5}"/>
            </a:ext>
          </a:extLst>
        </xdr:cNvPr>
        <xdr:cNvSpPr/>
      </xdr:nvSpPr>
      <xdr:spPr>
        <a:xfrm>
          <a:off x="6663611" y="3810197"/>
          <a:ext cx="715642" cy="616879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63862</xdr:colOff>
      <xdr:row>15</xdr:row>
      <xdr:rowOff>107994</xdr:rowOff>
    </xdr:from>
    <xdr:ext cx="0" cy="161293"/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6054ED64-C00B-4BE0-9BD3-9C189500A19E}"/>
            </a:ext>
          </a:extLst>
        </xdr:cNvPr>
        <xdr:cNvCxnSpPr/>
      </xdr:nvCxnSpPr>
      <xdr:spPr>
        <a:xfrm>
          <a:off x="7379062" y="3536994"/>
          <a:ext cx="0" cy="161293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29</xdr:col>
      <xdr:colOff>32482</xdr:colOff>
      <xdr:row>15</xdr:row>
      <xdr:rowOff>107994</xdr:rowOff>
    </xdr:from>
    <xdr:ext cx="0" cy="161293"/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C608F3EB-319A-4FB6-BF7C-759D179A2663}"/>
            </a:ext>
          </a:extLst>
        </xdr:cNvPr>
        <xdr:cNvCxnSpPr/>
      </xdr:nvCxnSpPr>
      <xdr:spPr>
        <a:xfrm>
          <a:off x="6661882" y="3536994"/>
          <a:ext cx="0" cy="161293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30</xdr:col>
      <xdr:colOff>161538</xdr:colOff>
      <xdr:row>16</xdr:row>
      <xdr:rowOff>57939</xdr:rowOff>
    </xdr:from>
    <xdr:ext cx="0" cy="829183"/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624877F9-2D5C-4559-A9F2-4EB6C341049D}"/>
            </a:ext>
          </a:extLst>
        </xdr:cNvPr>
        <xdr:cNvCxnSpPr/>
      </xdr:nvCxnSpPr>
      <xdr:spPr>
        <a:xfrm>
          <a:off x="7019538" y="3715539"/>
          <a:ext cx="0" cy="829183"/>
        </a:xfrm>
        <a:prstGeom prst="line">
          <a:avLst/>
        </a:prstGeom>
        <a:ln w="12700">
          <a:solidFill>
            <a:schemeClr val="bg1">
              <a:lumMod val="65000"/>
            </a:schemeClr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27</xdr:col>
      <xdr:colOff>74967</xdr:colOff>
      <xdr:row>17</xdr:row>
      <xdr:rowOff>39372</xdr:rowOff>
    </xdr:from>
    <xdr:ext cx="224998" cy="444352"/>
    <xdr:sp macro="" textlink="$N$20">
      <xdr:nvSpPr>
        <xdr:cNvPr id="81" name="テキスト ボックス 80">
          <a:extLst>
            <a:ext uri="{FF2B5EF4-FFF2-40B4-BE49-F238E27FC236}">
              <a16:creationId xmlns:a16="http://schemas.microsoft.com/office/drawing/2014/main" id="{839E7655-E273-414D-AF43-60561D8A6F31}"/>
            </a:ext>
          </a:extLst>
        </xdr:cNvPr>
        <xdr:cNvSpPr txBox="1"/>
      </xdr:nvSpPr>
      <xdr:spPr>
        <a:xfrm rot="16200000">
          <a:off x="6137490" y="4035249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DAA0F91-41DC-480C-A5D5-06178BE35482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27</xdr:col>
      <xdr:colOff>223614</xdr:colOff>
      <xdr:row>19</xdr:row>
      <xdr:rowOff>79519</xdr:rowOff>
    </xdr:from>
    <xdr:to>
      <xdr:col>28</xdr:col>
      <xdr:colOff>143319</xdr:colOff>
      <xdr:row>19</xdr:row>
      <xdr:rowOff>79519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7D1CE5D8-A608-4E62-8C1F-2F31B37246A8}"/>
            </a:ext>
          </a:extLst>
        </xdr:cNvPr>
        <xdr:cNvCxnSpPr/>
      </xdr:nvCxnSpPr>
      <xdr:spPr>
        <a:xfrm>
          <a:off x="6395814" y="4422919"/>
          <a:ext cx="148305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53746</xdr:colOff>
      <xdr:row>16</xdr:row>
      <xdr:rowOff>164103</xdr:rowOff>
    </xdr:from>
    <xdr:to>
      <xdr:col>28</xdr:col>
      <xdr:colOff>53746</xdr:colOff>
      <xdr:row>19</xdr:row>
      <xdr:rowOff>77347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EF41F797-63A0-4F7C-8729-0A3008E3E9E3}"/>
            </a:ext>
          </a:extLst>
        </xdr:cNvPr>
        <xdr:cNvCxnSpPr/>
      </xdr:nvCxnSpPr>
      <xdr:spPr>
        <a:xfrm>
          <a:off x="6454546" y="3821703"/>
          <a:ext cx="0" cy="599044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8996</xdr:colOff>
      <xdr:row>16</xdr:row>
      <xdr:rowOff>163360</xdr:rowOff>
    </xdr:from>
    <xdr:to>
      <xdr:col>28</xdr:col>
      <xdr:colOff>143319</xdr:colOff>
      <xdr:row>16</xdr:row>
      <xdr:rowOff>163360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462FDB2E-CA4C-44A3-9BE3-DA62BECFE129}"/>
            </a:ext>
          </a:extLst>
        </xdr:cNvPr>
        <xdr:cNvCxnSpPr/>
      </xdr:nvCxnSpPr>
      <xdr:spPr>
        <a:xfrm>
          <a:off x="6409796" y="3820960"/>
          <a:ext cx="13432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5954</xdr:colOff>
      <xdr:row>15</xdr:row>
      <xdr:rowOff>7039</xdr:rowOff>
    </xdr:from>
    <xdr:ext cx="305405" cy="224998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200CCEBF-BDBA-4713-90D1-E2531D8CBCD3}"/>
            </a:ext>
          </a:extLst>
        </xdr:cNvPr>
        <xdr:cNvSpPr txBox="1"/>
      </xdr:nvSpPr>
      <xdr:spPr>
        <a:xfrm>
          <a:off x="6863954" y="3436039"/>
          <a:ext cx="30540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en-US" altLang="ja-JP" sz="9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34</xdr:col>
      <xdr:colOff>136913</xdr:colOff>
      <xdr:row>5</xdr:row>
      <xdr:rowOff>81609</xdr:rowOff>
    </xdr:from>
    <xdr:to>
      <xdr:col>34</xdr:col>
      <xdr:colOff>136913</xdr:colOff>
      <xdr:row>5</xdr:row>
      <xdr:rowOff>228325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96E94F26-0B2C-4E40-9DD9-635C0B80BC94}"/>
            </a:ext>
          </a:extLst>
        </xdr:cNvPr>
        <xdr:cNvCxnSpPr/>
      </xdr:nvCxnSpPr>
      <xdr:spPr>
        <a:xfrm>
          <a:off x="7909313" y="1224609"/>
          <a:ext cx="0" cy="146716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33355</xdr:colOff>
      <xdr:row>15</xdr:row>
      <xdr:rowOff>198578</xdr:rowOff>
    </xdr:from>
    <xdr:to>
      <xdr:col>32</xdr:col>
      <xdr:colOff>63461</xdr:colOff>
      <xdr:row>15</xdr:row>
      <xdr:rowOff>198578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B6B2ACEF-7149-49D3-A555-AD281E71FA30}"/>
            </a:ext>
          </a:extLst>
        </xdr:cNvPr>
        <xdr:cNvCxnSpPr/>
      </xdr:nvCxnSpPr>
      <xdr:spPr>
        <a:xfrm>
          <a:off x="6662755" y="3627578"/>
          <a:ext cx="71590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5968</xdr:colOff>
      <xdr:row>11</xdr:row>
      <xdr:rowOff>28642</xdr:rowOff>
    </xdr:from>
    <xdr:to>
      <xdr:col>31</xdr:col>
      <xdr:colOff>133462</xdr:colOff>
      <xdr:row>12</xdr:row>
      <xdr:rowOff>160967</xdr:rowOff>
    </xdr:to>
    <xdr:sp macro="" textlink="">
      <xdr:nvSpPr>
        <xdr:cNvPr id="88" name="矢印: 環状 87">
          <a:extLst>
            <a:ext uri="{FF2B5EF4-FFF2-40B4-BE49-F238E27FC236}">
              <a16:creationId xmlns:a16="http://schemas.microsoft.com/office/drawing/2014/main" id="{002B1485-26E9-4024-84FB-925DFEBBC5E9}"/>
            </a:ext>
          </a:extLst>
        </xdr:cNvPr>
        <xdr:cNvSpPr/>
      </xdr:nvSpPr>
      <xdr:spPr>
        <a:xfrm rot="986520" flipH="1">
          <a:off x="6863968" y="2543242"/>
          <a:ext cx="356094" cy="360925"/>
        </a:xfrm>
        <a:prstGeom prst="circularArrow">
          <a:avLst>
            <a:gd name="adj1" fmla="val 9006"/>
            <a:gd name="adj2" fmla="val 1201318"/>
            <a:gd name="adj3" fmla="val 20575211"/>
            <a:gd name="adj4" fmla="val 12777058"/>
            <a:gd name="adj5" fmla="val 12447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103909</xdr:colOff>
      <xdr:row>6</xdr:row>
      <xdr:rowOff>45348</xdr:rowOff>
    </xdr:from>
    <xdr:to>
      <xdr:col>11</xdr:col>
      <xdr:colOff>10657</xdr:colOff>
      <xdr:row>15</xdr:row>
      <xdr:rowOff>109930</xdr:rowOff>
    </xdr:to>
    <xdr:sp macro="" textlink="">
      <xdr:nvSpPr>
        <xdr:cNvPr id="76" name="直角三角形 75">
          <a:extLst>
            <a:ext uri="{FF2B5EF4-FFF2-40B4-BE49-F238E27FC236}">
              <a16:creationId xmlns:a16="http://schemas.microsoft.com/office/drawing/2014/main" id="{F8B5D86B-3933-4FC2-9EA6-083F7F98EBD9}"/>
            </a:ext>
          </a:extLst>
        </xdr:cNvPr>
        <xdr:cNvSpPr/>
      </xdr:nvSpPr>
      <xdr:spPr>
        <a:xfrm flipH="1">
          <a:off x="1707839" y="1420145"/>
          <a:ext cx="823280" cy="2126778"/>
        </a:xfrm>
        <a:prstGeom prst="rtTriangle">
          <a:avLst/>
        </a:prstGeom>
        <a:solidFill>
          <a:schemeClr val="accent6">
            <a:lumMod val="20000"/>
            <a:lumOff val="80000"/>
          </a:schemeClr>
        </a:solidFill>
        <a:ln w="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44117</xdr:colOff>
      <xdr:row>6</xdr:row>
      <xdr:rowOff>35092</xdr:rowOff>
    </xdr:from>
    <xdr:to>
      <xdr:col>9</xdr:col>
      <xdr:colOff>164329</xdr:colOff>
      <xdr:row>15</xdr:row>
      <xdr:rowOff>109929</xdr:rowOff>
    </xdr:to>
    <xdr:sp macro="" textlink="">
      <xdr:nvSpPr>
        <xdr:cNvPr id="75" name="直角三角形 74">
          <a:extLst>
            <a:ext uri="{FF2B5EF4-FFF2-40B4-BE49-F238E27FC236}">
              <a16:creationId xmlns:a16="http://schemas.microsoft.com/office/drawing/2014/main" id="{19339A5B-34AD-9AF1-0AAF-F4EA44CB852C}"/>
            </a:ext>
          </a:extLst>
        </xdr:cNvPr>
        <xdr:cNvSpPr/>
      </xdr:nvSpPr>
      <xdr:spPr>
        <a:xfrm flipV="1">
          <a:off x="1209529" y="1433586"/>
          <a:ext cx="1052541" cy="2172578"/>
        </a:xfrm>
        <a:prstGeom prst="rtTriangle">
          <a:avLst/>
        </a:prstGeom>
        <a:solidFill>
          <a:schemeClr val="accent1">
            <a:lumMod val="20000"/>
            <a:lumOff val="80000"/>
          </a:schemeClr>
        </a:solidFill>
        <a:ln w="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48126</xdr:colOff>
      <xdr:row>6</xdr:row>
      <xdr:rowOff>36702</xdr:rowOff>
    </xdr:from>
    <xdr:to>
      <xdr:col>11</xdr:col>
      <xdr:colOff>7993</xdr:colOff>
      <xdr:row>15</xdr:row>
      <xdr:rowOff>113941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E2F98C88-666D-5C22-8D94-C7F3041BF852}"/>
            </a:ext>
          </a:extLst>
        </xdr:cNvPr>
        <xdr:cNvSpPr/>
      </xdr:nvSpPr>
      <xdr:spPr>
        <a:xfrm>
          <a:off x="1193790" y="1411499"/>
          <a:ext cx="1334665" cy="213943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49873</xdr:colOff>
      <xdr:row>9</xdr:row>
      <xdr:rowOff>181701</xdr:rowOff>
    </xdr:from>
    <xdr:ext cx="224998" cy="39081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7A9793-E50B-4D85-A928-D6A4659D7035}"/>
            </a:ext>
          </a:extLst>
        </xdr:cNvPr>
        <xdr:cNvSpPr txBox="1"/>
      </xdr:nvSpPr>
      <xdr:spPr>
        <a:xfrm rot="16200000">
          <a:off x="652765" y="2322009"/>
          <a:ext cx="39081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</xdr:col>
      <xdr:colOff>23583</xdr:colOff>
      <xdr:row>4</xdr:row>
      <xdr:rowOff>69100</xdr:rowOff>
    </xdr:from>
    <xdr:ext cx="368371" cy="2249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BAECB8-60CF-4B04-A49A-17B4E288DE85}"/>
            </a:ext>
          </a:extLst>
        </xdr:cNvPr>
        <xdr:cNvSpPr txBox="1"/>
      </xdr:nvSpPr>
      <xdr:spPr>
        <a:xfrm>
          <a:off x="1415061" y="996752"/>
          <a:ext cx="3683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9</xdr:col>
      <xdr:colOff>172448</xdr:colOff>
      <xdr:row>6</xdr:row>
      <xdr:rowOff>36435</xdr:rowOff>
    </xdr:from>
    <xdr:to>
      <xdr:col>11</xdr:col>
      <xdr:colOff>4219</xdr:colOff>
      <xdr:row>6</xdr:row>
      <xdr:rowOff>36435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C0EC6B0-586E-465C-9E0D-91F74D75240D}"/>
            </a:ext>
          </a:extLst>
        </xdr:cNvPr>
        <xdr:cNvCxnSpPr/>
      </xdr:nvCxnSpPr>
      <xdr:spPr>
        <a:xfrm>
          <a:off x="2225480" y="1405123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89817</xdr:colOff>
      <xdr:row>4</xdr:row>
      <xdr:rowOff>64880</xdr:rowOff>
    </xdr:from>
    <xdr:ext cx="336311" cy="2249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8F87B7A-8309-4A1E-B7E0-AE4287971898}"/>
            </a:ext>
          </a:extLst>
        </xdr:cNvPr>
        <xdr:cNvSpPr txBox="1"/>
      </xdr:nvSpPr>
      <xdr:spPr>
        <a:xfrm>
          <a:off x="2152013" y="981411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4</xdr:col>
      <xdr:colOff>11589</xdr:colOff>
      <xdr:row>6</xdr:row>
      <xdr:rowOff>44280</xdr:rowOff>
    </xdr:from>
    <xdr:to>
      <xdr:col>4</xdr:col>
      <xdr:colOff>212139</xdr:colOff>
      <xdr:row>6</xdr:row>
      <xdr:rowOff>46217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8FE17B1D-D58A-45A1-A485-18EC790E9427}"/>
            </a:ext>
          </a:extLst>
        </xdr:cNvPr>
        <xdr:cNvCxnSpPr/>
      </xdr:nvCxnSpPr>
      <xdr:spPr>
        <a:xfrm>
          <a:off x="943918" y="1442774"/>
          <a:ext cx="200550" cy="1937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52029</xdr:colOff>
      <xdr:row>6</xdr:row>
      <xdr:rowOff>45107</xdr:rowOff>
    </xdr:from>
    <xdr:to>
      <xdr:col>4</xdr:col>
      <xdr:colOff>52029</xdr:colOff>
      <xdr:row>15</xdr:row>
      <xdr:rowOff>143433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DFAA122F-5AEB-4ECE-BE2F-A88C38F725CB}"/>
            </a:ext>
          </a:extLst>
        </xdr:cNvPr>
        <xdr:cNvCxnSpPr/>
      </xdr:nvCxnSpPr>
      <xdr:spPr>
        <a:xfrm>
          <a:off x="984358" y="1443601"/>
          <a:ext cx="0" cy="2196067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152982</xdr:colOff>
      <xdr:row>4</xdr:row>
      <xdr:rowOff>213392</xdr:rowOff>
    </xdr:from>
    <xdr:to>
      <xdr:col>9</xdr:col>
      <xdr:colOff>152982</xdr:colOff>
      <xdr:row>5</xdr:row>
      <xdr:rowOff>146789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3EDD90CB-8FCD-49FB-82DE-805A63FF4526}"/>
            </a:ext>
          </a:extLst>
        </xdr:cNvPr>
        <xdr:cNvCxnSpPr/>
      </xdr:nvCxnSpPr>
      <xdr:spPr>
        <a:xfrm>
          <a:off x="2250723" y="1145721"/>
          <a:ext cx="0" cy="16648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11589</xdr:colOff>
      <xdr:row>15</xdr:row>
      <xdr:rowOff>135496</xdr:rowOff>
    </xdr:from>
    <xdr:to>
      <xdr:col>4</xdr:col>
      <xdr:colOff>182305</xdr:colOff>
      <xdr:row>15</xdr:row>
      <xdr:rowOff>135496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BC11997F-C484-4281-B7D5-E26A38F0F177}"/>
            </a:ext>
          </a:extLst>
        </xdr:cNvPr>
        <xdr:cNvCxnSpPr/>
      </xdr:nvCxnSpPr>
      <xdr:spPr>
        <a:xfrm>
          <a:off x="943918" y="3631731"/>
          <a:ext cx="17071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2602</xdr:colOff>
      <xdr:row>4</xdr:row>
      <xdr:rowOff>213392</xdr:rowOff>
    </xdr:from>
    <xdr:to>
      <xdr:col>11</xdr:col>
      <xdr:colOff>2602</xdr:colOff>
      <xdr:row>5</xdr:row>
      <xdr:rowOff>146789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3EAC731E-0050-4208-A01A-326F9D7E172F}"/>
            </a:ext>
          </a:extLst>
        </xdr:cNvPr>
        <xdr:cNvCxnSpPr/>
      </xdr:nvCxnSpPr>
      <xdr:spPr>
        <a:xfrm>
          <a:off x="2523064" y="1129923"/>
          <a:ext cx="0" cy="16253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53736</xdr:colOff>
      <xdr:row>4</xdr:row>
      <xdr:rowOff>213392</xdr:rowOff>
    </xdr:from>
    <xdr:to>
      <xdr:col>5</xdr:col>
      <xdr:colOff>53736</xdr:colOff>
      <xdr:row>5</xdr:row>
      <xdr:rowOff>146084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16A91AB3-216A-49BD-A22F-F99172A14559}"/>
            </a:ext>
          </a:extLst>
        </xdr:cNvPr>
        <xdr:cNvCxnSpPr/>
      </xdr:nvCxnSpPr>
      <xdr:spPr>
        <a:xfrm>
          <a:off x="1196736" y="1127792"/>
          <a:ext cx="0" cy="16129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47625</xdr:colOff>
      <xdr:row>5</xdr:row>
      <xdr:rowOff>17704</xdr:rowOff>
    </xdr:from>
    <xdr:to>
      <xdr:col>9</xdr:col>
      <xdr:colOff>157731</xdr:colOff>
      <xdr:row>5</xdr:row>
      <xdr:rowOff>17704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7188452C-5858-49FE-A573-DCA50A1CBD54}"/>
            </a:ext>
          </a:extLst>
        </xdr:cNvPr>
        <xdr:cNvCxnSpPr/>
      </xdr:nvCxnSpPr>
      <xdr:spPr>
        <a:xfrm>
          <a:off x="1190625" y="1160704"/>
          <a:ext cx="102450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9243</xdr:colOff>
      <xdr:row>16</xdr:row>
      <xdr:rowOff>53235</xdr:rowOff>
    </xdr:from>
    <xdr:to>
      <xdr:col>11</xdr:col>
      <xdr:colOff>9243</xdr:colOff>
      <xdr:row>16</xdr:row>
      <xdr:rowOff>207720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4C603F44-3304-49D2-A6DF-6F1A3E650C52}"/>
            </a:ext>
          </a:extLst>
        </xdr:cNvPr>
        <xdr:cNvCxnSpPr/>
      </xdr:nvCxnSpPr>
      <xdr:spPr>
        <a:xfrm>
          <a:off x="2529705" y="3719361"/>
          <a:ext cx="0" cy="15448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152496</xdr:colOff>
      <xdr:row>5</xdr:row>
      <xdr:rowOff>17704</xdr:rowOff>
    </xdr:from>
    <xdr:to>
      <xdr:col>11</xdr:col>
      <xdr:colOff>5328</xdr:colOff>
      <xdr:row>5</xdr:row>
      <xdr:rowOff>17704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AC2D7714-B141-45F2-842D-6443D6D13ECD}"/>
            </a:ext>
          </a:extLst>
        </xdr:cNvPr>
        <xdr:cNvCxnSpPr/>
      </xdr:nvCxnSpPr>
      <xdr:spPr>
        <a:xfrm>
          <a:off x="2214692" y="1163368"/>
          <a:ext cx="31109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117830</xdr:colOff>
      <xdr:row>16</xdr:row>
      <xdr:rowOff>153642</xdr:rowOff>
    </xdr:from>
    <xdr:to>
      <xdr:col>11</xdr:col>
      <xdr:colOff>7993</xdr:colOff>
      <xdr:row>16</xdr:row>
      <xdr:rowOff>153642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A6BD079A-8CAF-4B59-A8D1-A88064DEB8CE}"/>
            </a:ext>
          </a:extLst>
        </xdr:cNvPr>
        <xdr:cNvCxnSpPr/>
      </xdr:nvCxnSpPr>
      <xdr:spPr>
        <a:xfrm>
          <a:off x="1721760" y="3819768"/>
          <a:ext cx="80669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114983</xdr:colOff>
      <xdr:row>16</xdr:row>
      <xdr:rowOff>53235</xdr:rowOff>
    </xdr:from>
    <xdr:to>
      <xdr:col>7</xdr:col>
      <xdr:colOff>114983</xdr:colOff>
      <xdr:row>16</xdr:row>
      <xdr:rowOff>207720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3272391D-1CD9-4A4F-B80D-174A303DF9BE}"/>
            </a:ext>
          </a:extLst>
        </xdr:cNvPr>
        <xdr:cNvCxnSpPr/>
      </xdr:nvCxnSpPr>
      <xdr:spPr>
        <a:xfrm>
          <a:off x="1718913" y="3719361"/>
          <a:ext cx="0" cy="15448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3381</xdr:colOff>
      <xdr:row>16</xdr:row>
      <xdr:rowOff>137546</xdr:rowOff>
    </xdr:from>
    <xdr:ext cx="350224" cy="224998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BE993D8-E460-44EF-8118-430A56567A83}"/>
            </a:ext>
          </a:extLst>
        </xdr:cNvPr>
        <xdr:cNvSpPr txBox="1"/>
      </xdr:nvSpPr>
      <xdr:spPr>
        <a:xfrm>
          <a:off x="1858685" y="3848155"/>
          <a:ext cx="35022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4</xdr:col>
      <xdr:colOff>215112</xdr:colOff>
      <xdr:row>16</xdr:row>
      <xdr:rowOff>147754</xdr:rowOff>
    </xdr:from>
    <xdr:ext cx="349135" cy="224998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DAB307A0-F001-4804-88E8-A3CE3AFB958E}"/>
            </a:ext>
          </a:extLst>
        </xdr:cNvPr>
        <xdr:cNvSpPr txBox="1"/>
      </xdr:nvSpPr>
      <xdr:spPr>
        <a:xfrm>
          <a:off x="1132976" y="3819209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</xdr:col>
      <xdr:colOff>75635</xdr:colOff>
      <xdr:row>16</xdr:row>
      <xdr:rowOff>153642</xdr:rowOff>
    </xdr:from>
    <xdr:to>
      <xdr:col>7</xdr:col>
      <xdr:colOff>121369</xdr:colOff>
      <xdr:row>16</xdr:row>
      <xdr:rowOff>153642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DAA662A1-1E83-4A09-9E59-31C1CF29F7E2}"/>
            </a:ext>
          </a:extLst>
        </xdr:cNvPr>
        <xdr:cNvCxnSpPr/>
      </xdr:nvCxnSpPr>
      <xdr:spPr>
        <a:xfrm>
          <a:off x="1221299" y="3819768"/>
          <a:ext cx="504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70600</xdr:colOff>
      <xdr:row>16</xdr:row>
      <xdr:rowOff>53235</xdr:rowOff>
    </xdr:from>
    <xdr:to>
      <xdr:col>5</xdr:col>
      <xdr:colOff>71873</xdr:colOff>
      <xdr:row>16</xdr:row>
      <xdr:rowOff>207720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9D821B5A-F3CC-444A-B3DB-99474441F4EF}"/>
            </a:ext>
          </a:extLst>
        </xdr:cNvPr>
        <xdr:cNvCxnSpPr/>
      </xdr:nvCxnSpPr>
      <xdr:spPr>
        <a:xfrm>
          <a:off x="1213600" y="3710835"/>
          <a:ext cx="1273" cy="15448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110081</xdr:colOff>
      <xdr:row>9</xdr:row>
      <xdr:rowOff>211064</xdr:rowOff>
    </xdr:from>
    <xdr:ext cx="300082" cy="285527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6FD7E6C1-632B-A622-518E-2A0D27899331}"/>
            </a:ext>
          </a:extLst>
        </xdr:cNvPr>
        <xdr:cNvSpPr txBox="1"/>
      </xdr:nvSpPr>
      <xdr:spPr>
        <a:xfrm>
          <a:off x="1716342" y="2276257"/>
          <a:ext cx="300082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①</a:t>
          </a:r>
        </a:p>
      </xdr:txBody>
    </xdr:sp>
    <xdr:clientData/>
  </xdr:oneCellAnchor>
  <xdr:oneCellAnchor>
    <xdr:from>
      <xdr:col>6</xdr:col>
      <xdr:colOff>47788</xdr:colOff>
      <xdr:row>7</xdr:row>
      <xdr:rowOff>78091</xdr:rowOff>
    </xdr:from>
    <xdr:ext cx="300082" cy="285527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65DF231E-222E-47B3-A7E6-94B738825D33}"/>
            </a:ext>
          </a:extLst>
        </xdr:cNvPr>
        <xdr:cNvSpPr txBox="1"/>
      </xdr:nvSpPr>
      <xdr:spPr>
        <a:xfrm>
          <a:off x="1439266" y="1701482"/>
          <a:ext cx="300082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i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②</a:t>
          </a:r>
        </a:p>
      </xdr:txBody>
    </xdr:sp>
    <xdr:clientData/>
  </xdr:oneCellAnchor>
  <xdr:oneCellAnchor>
    <xdr:from>
      <xdr:col>4</xdr:col>
      <xdr:colOff>116074</xdr:colOff>
      <xdr:row>15</xdr:row>
      <xdr:rowOff>78352</xdr:rowOff>
    </xdr:from>
    <xdr:ext cx="357790" cy="285527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7ABA9700-090C-487B-A278-A16C2AE61EAE}"/>
            </a:ext>
          </a:extLst>
        </xdr:cNvPr>
        <xdr:cNvSpPr txBox="1"/>
      </xdr:nvSpPr>
      <xdr:spPr>
        <a:xfrm>
          <a:off x="1030474" y="3507352"/>
          <a:ext cx="35779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kumimoji="1" lang="ja-JP" altLang="en-US" sz="900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点</a:t>
          </a:r>
        </a:p>
      </xdr:txBody>
    </xdr:sp>
    <xdr:clientData/>
  </xdr:oneCellAnchor>
  <xdr:oneCellAnchor>
    <xdr:from>
      <xdr:col>9</xdr:col>
      <xdr:colOff>14635</xdr:colOff>
      <xdr:row>12</xdr:row>
      <xdr:rowOff>154796</xdr:rowOff>
    </xdr:from>
    <xdr:ext cx="300082" cy="285527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DC7E3455-3788-93F9-693E-4022908C54E4}"/>
            </a:ext>
          </a:extLst>
        </xdr:cNvPr>
        <xdr:cNvSpPr txBox="1"/>
      </xdr:nvSpPr>
      <xdr:spPr>
        <a:xfrm>
          <a:off x="2101852" y="2937753"/>
          <a:ext cx="300082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i="0">
              <a:solidFill>
                <a:schemeClr val="accent6">
                  <a:lumMod val="7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③</a:t>
          </a:r>
        </a:p>
      </xdr:txBody>
    </xdr:sp>
    <xdr:clientData/>
  </xdr:oneCellAnchor>
  <xdr:oneCellAnchor>
    <xdr:from>
      <xdr:col>6</xdr:col>
      <xdr:colOff>101933</xdr:colOff>
      <xdr:row>17</xdr:row>
      <xdr:rowOff>162781</xdr:rowOff>
    </xdr:from>
    <xdr:ext cx="383759" cy="224998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ABBD0B1A-CAA0-4F60-921D-5A621EBBA690}"/>
            </a:ext>
          </a:extLst>
        </xdr:cNvPr>
        <xdr:cNvSpPr txBox="1"/>
      </xdr:nvSpPr>
      <xdr:spPr>
        <a:xfrm>
          <a:off x="1473533" y="4048981"/>
          <a:ext cx="3837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₀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</xdr:col>
      <xdr:colOff>72536</xdr:colOff>
      <xdr:row>17</xdr:row>
      <xdr:rowOff>189484</xdr:rowOff>
    </xdr:from>
    <xdr:to>
      <xdr:col>11</xdr:col>
      <xdr:colOff>7993</xdr:colOff>
      <xdr:row>17</xdr:row>
      <xdr:rowOff>189484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9A04927C-449D-E603-3D62-9D10D773A9BF}"/>
            </a:ext>
          </a:extLst>
        </xdr:cNvPr>
        <xdr:cNvCxnSpPr/>
      </xdr:nvCxnSpPr>
      <xdr:spPr>
        <a:xfrm>
          <a:off x="1218200" y="4084743"/>
          <a:ext cx="131025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11341</xdr:colOff>
      <xdr:row>17</xdr:row>
      <xdr:rowOff>91895</xdr:rowOff>
    </xdr:from>
    <xdr:to>
      <xdr:col>11</xdr:col>
      <xdr:colOff>11341</xdr:colOff>
      <xdr:row>18</xdr:row>
      <xdr:rowOff>19723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F0BDE51C-650E-1046-09C7-55A11AE7BFA8}"/>
            </a:ext>
          </a:extLst>
        </xdr:cNvPr>
        <xdr:cNvCxnSpPr/>
      </xdr:nvCxnSpPr>
      <xdr:spPr>
        <a:xfrm>
          <a:off x="2531803" y="3987154"/>
          <a:ext cx="0" cy="15696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69505</xdr:colOff>
      <xdr:row>17</xdr:row>
      <xdr:rowOff>91895</xdr:rowOff>
    </xdr:from>
    <xdr:to>
      <xdr:col>5</xdr:col>
      <xdr:colOff>69505</xdr:colOff>
      <xdr:row>18</xdr:row>
      <xdr:rowOff>19723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3A4529E2-BD7C-5433-FBE9-877404C44411}"/>
            </a:ext>
          </a:extLst>
        </xdr:cNvPr>
        <xdr:cNvCxnSpPr/>
      </xdr:nvCxnSpPr>
      <xdr:spPr>
        <a:xfrm>
          <a:off x="1229070" y="4034417"/>
          <a:ext cx="0" cy="15974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65</xdr:col>
      <xdr:colOff>48055</xdr:colOff>
      <xdr:row>24</xdr:row>
      <xdr:rowOff>187699</xdr:rowOff>
    </xdr:from>
    <xdr:ext cx="394082" cy="224998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C4DC5028-05E3-657A-B8B5-836DB82A62C2}"/>
            </a:ext>
          </a:extLst>
        </xdr:cNvPr>
        <xdr:cNvSpPr txBox="1"/>
      </xdr:nvSpPr>
      <xdr:spPr>
        <a:xfrm>
          <a:off x="14932718" y="5683575"/>
          <a:ext cx="39408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66</xdr:col>
      <xdr:colOff>8293</xdr:colOff>
      <xdr:row>8</xdr:row>
      <xdr:rowOff>128762</xdr:rowOff>
    </xdr:from>
    <xdr:to>
      <xdr:col>67</xdr:col>
      <xdr:colOff>10981</xdr:colOff>
      <xdr:row>8</xdr:row>
      <xdr:rowOff>128762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AE8BFDB1-7EF0-4197-B4E5-7F683898FB33}"/>
            </a:ext>
          </a:extLst>
        </xdr:cNvPr>
        <xdr:cNvCxnSpPr/>
      </xdr:nvCxnSpPr>
      <xdr:spPr>
        <a:xfrm>
          <a:off x="14694111" y="2012980"/>
          <a:ext cx="221392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154762</xdr:colOff>
      <xdr:row>13</xdr:row>
      <xdr:rowOff>29447</xdr:rowOff>
    </xdr:from>
    <xdr:ext cx="224998" cy="361959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940130AB-144F-43FB-B649-2E7069E11E2C}"/>
            </a:ext>
          </a:extLst>
        </xdr:cNvPr>
        <xdr:cNvSpPr txBox="1"/>
      </xdr:nvSpPr>
      <xdr:spPr>
        <a:xfrm rot="16200000">
          <a:off x="12876995" y="3069728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163598</xdr:colOff>
      <xdr:row>8</xdr:row>
      <xdr:rowOff>128762</xdr:rowOff>
    </xdr:from>
    <xdr:to>
      <xdr:col>65</xdr:col>
      <xdr:colOff>223988</xdr:colOff>
      <xdr:row>8</xdr:row>
      <xdr:rowOff>128762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5DAD156E-B776-4C4C-BA53-E0DA1044C674}"/>
            </a:ext>
          </a:extLst>
        </xdr:cNvPr>
        <xdr:cNvCxnSpPr/>
      </xdr:nvCxnSpPr>
      <xdr:spPr>
        <a:xfrm>
          <a:off x="14730663" y="1949645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138318</xdr:colOff>
      <xdr:row>11</xdr:row>
      <xdr:rowOff>25511</xdr:rowOff>
    </xdr:from>
    <xdr:ext cx="285527" cy="743473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6B513F40-D74B-48F8-B7DF-7465E57847EA}"/>
            </a:ext>
          </a:extLst>
        </xdr:cNvPr>
        <xdr:cNvSpPr txBox="1"/>
      </xdr:nvSpPr>
      <xdr:spPr>
        <a:xfrm rot="17760000">
          <a:off x="13728318" y="2746430"/>
          <a:ext cx="743473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twoCellAnchor editAs="oneCell">
    <xdr:from>
      <xdr:col>62</xdr:col>
      <xdr:colOff>102315</xdr:colOff>
      <xdr:row>8</xdr:row>
      <xdr:rowOff>10893</xdr:rowOff>
    </xdr:from>
    <xdr:to>
      <xdr:col>62</xdr:col>
      <xdr:colOff>102315</xdr:colOff>
      <xdr:row>18</xdr:row>
      <xdr:rowOff>104049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75C563D1-1350-4234-8276-67FF886FD3FF}"/>
            </a:ext>
          </a:extLst>
        </xdr:cNvPr>
        <xdr:cNvCxnSpPr/>
      </xdr:nvCxnSpPr>
      <xdr:spPr>
        <a:xfrm rot="6960000">
          <a:off x="12732645" y="3119326"/>
          <a:ext cx="244842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179115</xdr:colOff>
      <xdr:row>4</xdr:row>
      <xdr:rowOff>36614</xdr:rowOff>
    </xdr:from>
    <xdr:ext cx="336311" cy="224998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F8FE14D3-011D-4135-849F-BF37BF635F55}"/>
            </a:ext>
          </a:extLst>
        </xdr:cNvPr>
        <xdr:cNvSpPr txBox="1"/>
      </xdr:nvSpPr>
      <xdr:spPr>
        <a:xfrm>
          <a:off x="14276115" y="951014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63</xdr:col>
      <xdr:colOff>201844</xdr:colOff>
      <xdr:row>11</xdr:row>
      <xdr:rowOff>206687</xdr:rowOff>
    </xdr:from>
    <xdr:ext cx="285527" cy="756297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F6743D9E-5A44-4023-9BF1-16DE7B1AE651}"/>
            </a:ext>
          </a:extLst>
        </xdr:cNvPr>
        <xdr:cNvSpPr txBox="1"/>
      </xdr:nvSpPr>
      <xdr:spPr>
        <a:xfrm rot="17460000">
          <a:off x="14238513" y="2934018"/>
          <a:ext cx="756297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twoCellAnchor editAs="oneCell">
    <xdr:from>
      <xdr:col>58</xdr:col>
      <xdr:colOff>77101</xdr:colOff>
      <xdr:row>8</xdr:row>
      <xdr:rowOff>132479</xdr:rowOff>
    </xdr:from>
    <xdr:to>
      <xdr:col>64</xdr:col>
      <xdr:colOff>39554</xdr:colOff>
      <xdr:row>8</xdr:row>
      <xdr:rowOff>132479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3F8F6063-2135-4FC5-AD40-23E3E2E7EA10}"/>
            </a:ext>
          </a:extLst>
        </xdr:cNvPr>
        <xdr:cNvCxnSpPr/>
      </xdr:nvCxnSpPr>
      <xdr:spPr>
        <a:xfrm>
          <a:off x="13100374" y="2016697"/>
          <a:ext cx="1274677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141001</xdr:colOff>
      <xdr:row>8</xdr:row>
      <xdr:rowOff>133306</xdr:rowOff>
    </xdr:from>
    <xdr:to>
      <xdr:col>58</xdr:col>
      <xdr:colOff>141001</xdr:colOff>
      <xdr:row>17</xdr:row>
      <xdr:rowOff>203588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1D267030-064B-49C2-A2AE-2B4E406DED54}"/>
            </a:ext>
          </a:extLst>
        </xdr:cNvPr>
        <xdr:cNvCxnSpPr/>
      </xdr:nvCxnSpPr>
      <xdr:spPr>
        <a:xfrm>
          <a:off x="13411047" y="1963657"/>
          <a:ext cx="0" cy="2129427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181147</xdr:colOff>
      <xdr:row>4</xdr:row>
      <xdr:rowOff>211823</xdr:rowOff>
    </xdr:from>
    <xdr:to>
      <xdr:col>64</xdr:col>
      <xdr:colOff>181147</xdr:colOff>
      <xdr:row>5</xdr:row>
      <xdr:rowOff>152842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4BDBB023-673B-471C-91AF-961634E5D51D}"/>
            </a:ext>
          </a:extLst>
        </xdr:cNvPr>
        <xdr:cNvCxnSpPr/>
      </xdr:nvCxnSpPr>
      <xdr:spPr>
        <a:xfrm>
          <a:off x="14796163" y="1125261"/>
          <a:ext cx="0" cy="16937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56</xdr:col>
      <xdr:colOff>177446</xdr:colOff>
      <xdr:row>17</xdr:row>
      <xdr:rowOff>199036</xdr:rowOff>
    </xdr:from>
    <xdr:to>
      <xdr:col>59</xdr:col>
      <xdr:colOff>26103</xdr:colOff>
      <xdr:row>17</xdr:row>
      <xdr:rowOff>199036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6ACAC3F3-FEED-4CFD-B44D-041E47FB3C2A}"/>
            </a:ext>
          </a:extLst>
        </xdr:cNvPr>
        <xdr:cNvCxnSpPr/>
      </xdr:nvCxnSpPr>
      <xdr:spPr>
        <a:xfrm>
          <a:off x="12989904" y="4088532"/>
          <a:ext cx="53503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12057</xdr:colOff>
      <xdr:row>4</xdr:row>
      <xdr:rowOff>211823</xdr:rowOff>
    </xdr:from>
    <xdr:to>
      <xdr:col>66</xdr:col>
      <xdr:colOff>12057</xdr:colOff>
      <xdr:row>5</xdr:row>
      <xdr:rowOff>152842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A739ED66-BA11-447D-9950-DFFEBEAD0DD2}"/>
            </a:ext>
          </a:extLst>
        </xdr:cNvPr>
        <xdr:cNvCxnSpPr/>
      </xdr:nvCxnSpPr>
      <xdr:spPr>
        <a:xfrm>
          <a:off x="14697875" y="1153932"/>
          <a:ext cx="0" cy="176546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180284</xdr:colOff>
      <xdr:row>5</xdr:row>
      <xdr:rowOff>21311</xdr:rowOff>
    </xdr:from>
    <xdr:to>
      <xdr:col>66</xdr:col>
      <xdr:colOff>3457</xdr:colOff>
      <xdr:row>5</xdr:row>
      <xdr:rowOff>21311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43433617-8CE8-44CF-BAE4-9444E9C7633E}"/>
            </a:ext>
          </a:extLst>
        </xdr:cNvPr>
        <xdr:cNvCxnSpPr/>
      </xdr:nvCxnSpPr>
      <xdr:spPr>
        <a:xfrm>
          <a:off x="14795300" y="1163109"/>
          <a:ext cx="279892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12747</xdr:colOff>
      <xdr:row>18</xdr:row>
      <xdr:rowOff>182719</xdr:rowOff>
    </xdr:from>
    <xdr:ext cx="349135" cy="224998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31485F56-D59D-4238-984B-B3F0E9ED2FBD}"/>
            </a:ext>
          </a:extLst>
        </xdr:cNvPr>
        <xdr:cNvSpPr txBox="1"/>
      </xdr:nvSpPr>
      <xdr:spPr>
        <a:xfrm>
          <a:off x="13740381" y="4301009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48066</xdr:colOff>
      <xdr:row>18</xdr:row>
      <xdr:rowOff>205239</xdr:rowOff>
    </xdr:from>
    <xdr:to>
      <xdr:col>62</xdr:col>
      <xdr:colOff>94479</xdr:colOff>
      <xdr:row>18</xdr:row>
      <xdr:rowOff>205239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A8E94E33-A287-4DEE-85B1-2921FEF01697}"/>
            </a:ext>
          </a:extLst>
        </xdr:cNvPr>
        <xdr:cNvCxnSpPr/>
      </xdr:nvCxnSpPr>
      <xdr:spPr>
        <a:xfrm>
          <a:off x="13775700" y="4323529"/>
          <a:ext cx="504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52351</xdr:colOff>
      <xdr:row>17</xdr:row>
      <xdr:rowOff>196222</xdr:rowOff>
    </xdr:from>
    <xdr:to>
      <xdr:col>62</xdr:col>
      <xdr:colOff>101130</xdr:colOff>
      <xdr:row>17</xdr:row>
      <xdr:rowOff>196222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AB0128D1-2F18-41CF-89BF-DC9958096A2F}"/>
            </a:ext>
          </a:extLst>
        </xdr:cNvPr>
        <xdr:cNvCxnSpPr/>
      </xdr:nvCxnSpPr>
      <xdr:spPr>
        <a:xfrm>
          <a:off x="13779985" y="4085718"/>
          <a:ext cx="506366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59794</xdr:colOff>
      <xdr:row>7</xdr:row>
      <xdr:rowOff>106516</xdr:rowOff>
    </xdr:from>
    <xdr:to>
      <xdr:col>65</xdr:col>
      <xdr:colOff>99394</xdr:colOff>
      <xdr:row>8</xdr:row>
      <xdr:rowOff>129916</xdr:rowOff>
    </xdr:to>
    <xdr:sp macro="" textlink="">
      <xdr:nvSpPr>
        <xdr:cNvPr id="119" name="正方形/長方形 118">
          <a:extLst>
            <a:ext uri="{FF2B5EF4-FFF2-40B4-BE49-F238E27FC236}">
              <a16:creationId xmlns:a16="http://schemas.microsoft.com/office/drawing/2014/main" id="{A80720C0-A0D7-4C1C-8514-CCEFA752C914}"/>
            </a:ext>
          </a:extLst>
        </xdr:cNvPr>
        <xdr:cNvSpPr/>
      </xdr:nvSpPr>
      <xdr:spPr>
        <a:xfrm>
          <a:off x="14537794" y="1755207"/>
          <a:ext cx="39600" cy="258927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65</xdr:col>
      <xdr:colOff>110077</xdr:colOff>
      <xdr:row>7</xdr:row>
      <xdr:rowOff>122980</xdr:rowOff>
    </xdr:from>
    <xdr:to>
      <xdr:col>65</xdr:col>
      <xdr:colOff>110077</xdr:colOff>
      <xdr:row>7</xdr:row>
      <xdr:rowOff>168689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72C640FE-CB0C-4A40-BDD7-BECE3ED2D664}"/>
            </a:ext>
          </a:extLst>
        </xdr:cNvPr>
        <xdr:cNvCxnSpPr/>
      </xdr:nvCxnSpPr>
      <xdr:spPr>
        <a:xfrm>
          <a:off x="14588077" y="1771671"/>
          <a:ext cx="0" cy="4570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132937</xdr:colOff>
      <xdr:row>7</xdr:row>
      <xdr:rowOff>84880</xdr:rowOff>
    </xdr:from>
    <xdr:to>
      <xdr:col>65</xdr:col>
      <xdr:colOff>132937</xdr:colOff>
      <xdr:row>7</xdr:row>
      <xdr:rowOff>113680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DAC02320-A8B4-41E8-92C9-8687A216DE4A}"/>
            </a:ext>
          </a:extLst>
        </xdr:cNvPr>
        <xdr:cNvCxnSpPr/>
      </xdr:nvCxnSpPr>
      <xdr:spPr>
        <a:xfrm>
          <a:off x="14610937" y="1733571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109652</xdr:colOff>
      <xdr:row>7</xdr:row>
      <xdr:rowOff>121289</xdr:rowOff>
    </xdr:from>
    <xdr:to>
      <xdr:col>65</xdr:col>
      <xdr:colOff>138452</xdr:colOff>
      <xdr:row>7</xdr:row>
      <xdr:rowOff>121289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55B50A0F-C976-47E8-85B0-D00928A33473}"/>
            </a:ext>
          </a:extLst>
        </xdr:cNvPr>
        <xdr:cNvCxnSpPr/>
      </xdr:nvCxnSpPr>
      <xdr:spPr>
        <a:xfrm rot="2700000">
          <a:off x="14602052" y="1755580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122771</xdr:colOff>
      <xdr:row>7</xdr:row>
      <xdr:rowOff>63074</xdr:rowOff>
    </xdr:from>
    <xdr:to>
      <xdr:col>65</xdr:col>
      <xdr:colOff>122771</xdr:colOff>
      <xdr:row>7</xdr:row>
      <xdr:rowOff>91874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C0A3CEEE-62A9-4D28-9F5E-CB9FDF7CD43A}"/>
            </a:ext>
          </a:extLst>
        </xdr:cNvPr>
        <xdr:cNvCxnSpPr/>
      </xdr:nvCxnSpPr>
      <xdr:spPr>
        <a:xfrm rot="18900000">
          <a:off x="14600771" y="1711765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134842</xdr:colOff>
      <xdr:row>7</xdr:row>
      <xdr:rowOff>181342</xdr:rowOff>
    </xdr:from>
    <xdr:to>
      <xdr:col>65</xdr:col>
      <xdr:colOff>134842</xdr:colOff>
      <xdr:row>7</xdr:row>
      <xdr:rowOff>210142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A592EB6C-2146-4F0B-964E-39272161BBB5}"/>
            </a:ext>
          </a:extLst>
        </xdr:cNvPr>
        <xdr:cNvCxnSpPr/>
      </xdr:nvCxnSpPr>
      <xdr:spPr>
        <a:xfrm>
          <a:off x="14612842" y="1830033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111557</xdr:colOff>
      <xdr:row>7</xdr:row>
      <xdr:rowOff>217751</xdr:rowOff>
    </xdr:from>
    <xdr:to>
      <xdr:col>65</xdr:col>
      <xdr:colOff>140357</xdr:colOff>
      <xdr:row>7</xdr:row>
      <xdr:rowOff>217751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C225B8B2-D4F5-45B9-9928-22A7E1E1B064}"/>
            </a:ext>
          </a:extLst>
        </xdr:cNvPr>
        <xdr:cNvCxnSpPr/>
      </xdr:nvCxnSpPr>
      <xdr:spPr>
        <a:xfrm rot="2700000">
          <a:off x="14603957" y="1852042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124676</xdr:colOff>
      <xdr:row>7</xdr:row>
      <xdr:rowOff>159536</xdr:rowOff>
    </xdr:from>
    <xdr:to>
      <xdr:col>65</xdr:col>
      <xdr:colOff>124676</xdr:colOff>
      <xdr:row>7</xdr:row>
      <xdr:rowOff>188336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60C23C2C-49EA-4347-83B0-4E5B7DA2652A}"/>
            </a:ext>
          </a:extLst>
        </xdr:cNvPr>
        <xdr:cNvCxnSpPr/>
      </xdr:nvCxnSpPr>
      <xdr:spPr>
        <a:xfrm rot="18900000">
          <a:off x="14602676" y="1808227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181147</xdr:colOff>
      <xdr:row>6</xdr:row>
      <xdr:rowOff>113455</xdr:rowOff>
    </xdr:from>
    <xdr:to>
      <xdr:col>64</xdr:col>
      <xdr:colOff>181147</xdr:colOff>
      <xdr:row>7</xdr:row>
      <xdr:rowOff>46854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140246CB-3D3D-49CF-9664-1E098D790F12}"/>
            </a:ext>
          </a:extLst>
        </xdr:cNvPr>
        <xdr:cNvCxnSpPr/>
      </xdr:nvCxnSpPr>
      <xdr:spPr>
        <a:xfrm>
          <a:off x="14796163" y="1483613"/>
          <a:ext cx="0" cy="161758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178804</xdr:colOff>
      <xdr:row>6</xdr:row>
      <xdr:rowOff>157777</xdr:rowOff>
    </xdr:from>
    <xdr:to>
      <xdr:col>65</xdr:col>
      <xdr:colOff>76922</xdr:colOff>
      <xdr:row>6</xdr:row>
      <xdr:rowOff>157777</xdr:rowOff>
    </xdr:to>
    <xdr:cxnSp macro="">
      <xdr:nvCxnSpPr>
        <xdr:cNvPr id="165" name="直線コネクタ 164">
          <a:extLst>
            <a:ext uri="{FF2B5EF4-FFF2-40B4-BE49-F238E27FC236}">
              <a16:creationId xmlns:a16="http://schemas.microsoft.com/office/drawing/2014/main" id="{582A8087-CFD2-4C2F-8F75-C0C9FB75F325}"/>
            </a:ext>
          </a:extLst>
        </xdr:cNvPr>
        <xdr:cNvCxnSpPr/>
      </xdr:nvCxnSpPr>
      <xdr:spPr>
        <a:xfrm>
          <a:off x="14793820" y="1527935"/>
          <a:ext cx="126477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80056</xdr:colOff>
      <xdr:row>6</xdr:row>
      <xdr:rowOff>113455</xdr:rowOff>
    </xdr:from>
    <xdr:to>
      <xdr:col>65</xdr:col>
      <xdr:colOff>80056</xdr:colOff>
      <xdr:row>7</xdr:row>
      <xdr:rowOff>46854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7DF4EF7C-C720-4F2A-AD3D-60CDCF29CC83}"/>
            </a:ext>
          </a:extLst>
        </xdr:cNvPr>
        <xdr:cNvCxnSpPr/>
      </xdr:nvCxnSpPr>
      <xdr:spPr>
        <a:xfrm>
          <a:off x="14558056" y="1526619"/>
          <a:ext cx="0" cy="168926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82965</xdr:colOff>
      <xdr:row>5</xdr:row>
      <xdr:rowOff>169862</xdr:rowOff>
    </xdr:from>
    <xdr:ext cx="374783" cy="224998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971CA065-E2A7-4F11-9A92-274B918786A7}"/>
            </a:ext>
          </a:extLst>
        </xdr:cNvPr>
        <xdr:cNvSpPr txBox="1"/>
      </xdr:nvSpPr>
      <xdr:spPr>
        <a:xfrm>
          <a:off x="14469621" y="1311660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100335</xdr:colOff>
      <xdr:row>18</xdr:row>
      <xdr:rowOff>21620</xdr:rowOff>
    </xdr:from>
    <xdr:to>
      <xdr:col>62</xdr:col>
      <xdr:colOff>100335</xdr:colOff>
      <xdr:row>19</xdr:row>
      <xdr:rowOff>19389</xdr:rowOff>
    </xdr:to>
    <xdr:cxnSp macro="">
      <xdr:nvCxnSpPr>
        <xdr:cNvPr id="174" name="直線コネクタ 173">
          <a:extLst>
            <a:ext uri="{FF2B5EF4-FFF2-40B4-BE49-F238E27FC236}">
              <a16:creationId xmlns:a16="http://schemas.microsoft.com/office/drawing/2014/main" id="{A711C019-48DF-441F-83B7-BF761AB359AA}"/>
            </a:ext>
          </a:extLst>
        </xdr:cNvPr>
        <xdr:cNvCxnSpPr/>
      </xdr:nvCxnSpPr>
      <xdr:spPr>
        <a:xfrm>
          <a:off x="14285556" y="4139910"/>
          <a:ext cx="0" cy="226563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105078</xdr:colOff>
      <xdr:row>5</xdr:row>
      <xdr:rowOff>148550</xdr:rowOff>
    </xdr:from>
    <xdr:to>
      <xdr:col>7</xdr:col>
      <xdr:colOff>105078</xdr:colOff>
      <xdr:row>16</xdr:row>
      <xdr:rowOff>8624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D80D6ED3-25F6-C7D0-93A4-6989DC1F54AD}"/>
            </a:ext>
          </a:extLst>
        </xdr:cNvPr>
        <xdr:cNvCxnSpPr/>
      </xdr:nvCxnSpPr>
      <xdr:spPr>
        <a:xfrm rot="6960000">
          <a:off x="524664" y="2525952"/>
          <a:ext cx="242398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56038</xdr:colOff>
      <xdr:row>15</xdr:row>
      <xdr:rowOff>112472</xdr:rowOff>
    </xdr:from>
    <xdr:to>
      <xdr:col>7</xdr:col>
      <xdr:colOff>101772</xdr:colOff>
      <xdr:row>15</xdr:row>
      <xdr:rowOff>112472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59F08A81-BB78-3B50-6426-5BD09D919A07}"/>
            </a:ext>
          </a:extLst>
        </xdr:cNvPr>
        <xdr:cNvCxnSpPr/>
      </xdr:nvCxnSpPr>
      <xdr:spPr>
        <a:xfrm>
          <a:off x="1201702" y="3549465"/>
          <a:ext cx="504000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24435</xdr:colOff>
      <xdr:row>15</xdr:row>
      <xdr:rowOff>91877</xdr:rowOff>
    </xdr:from>
    <xdr:to>
      <xdr:col>5</xdr:col>
      <xdr:colOff>67837</xdr:colOff>
      <xdr:row>15</xdr:row>
      <xdr:rowOff>139831</xdr:rowOff>
    </xdr:to>
    <xdr:sp macro="" textlink="">
      <xdr:nvSpPr>
        <xdr:cNvPr id="73" name="楕円 72">
          <a:extLst>
            <a:ext uri="{FF2B5EF4-FFF2-40B4-BE49-F238E27FC236}">
              <a16:creationId xmlns:a16="http://schemas.microsoft.com/office/drawing/2014/main" id="{405F8727-3649-C13C-4C1E-CD22FA8862DE}"/>
            </a:ext>
          </a:extLst>
        </xdr:cNvPr>
        <xdr:cNvSpPr/>
      </xdr:nvSpPr>
      <xdr:spPr>
        <a:xfrm>
          <a:off x="1167435" y="3520877"/>
          <a:ext cx="43402" cy="47954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60</xdr:col>
      <xdr:colOff>164440</xdr:colOff>
      <xdr:row>4</xdr:row>
      <xdr:rowOff>36806</xdr:rowOff>
    </xdr:from>
    <xdr:ext cx="368371" cy="224998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F95C7CA8-6FA1-5ABE-D3C3-4F58357AFCD1}"/>
            </a:ext>
          </a:extLst>
        </xdr:cNvPr>
        <xdr:cNvSpPr txBox="1"/>
      </xdr:nvSpPr>
      <xdr:spPr>
        <a:xfrm>
          <a:off x="13756872" y="942968"/>
          <a:ext cx="3683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59</xdr:col>
      <xdr:colOff>201180</xdr:colOff>
      <xdr:row>4</xdr:row>
      <xdr:rowOff>213858</xdr:rowOff>
    </xdr:from>
    <xdr:to>
      <xdr:col>59</xdr:col>
      <xdr:colOff>201180</xdr:colOff>
      <xdr:row>5</xdr:row>
      <xdr:rowOff>154878</xdr:rowOff>
    </xdr:to>
    <xdr:cxnSp macro="">
      <xdr:nvCxnSpPr>
        <xdr:cNvPr id="188" name="直線コネクタ 187">
          <a:extLst>
            <a:ext uri="{FF2B5EF4-FFF2-40B4-BE49-F238E27FC236}">
              <a16:creationId xmlns:a16="http://schemas.microsoft.com/office/drawing/2014/main" id="{CC9C19D9-1600-12CC-439F-78694E58A3C8}"/>
            </a:ext>
          </a:extLst>
        </xdr:cNvPr>
        <xdr:cNvCxnSpPr/>
      </xdr:nvCxnSpPr>
      <xdr:spPr>
        <a:xfrm>
          <a:off x="13432271" y="1155967"/>
          <a:ext cx="0" cy="176547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195563</xdr:colOff>
      <xdr:row>5</xdr:row>
      <xdr:rowOff>23346</xdr:rowOff>
    </xdr:from>
    <xdr:to>
      <xdr:col>64</xdr:col>
      <xdr:colOff>183300</xdr:colOff>
      <xdr:row>5</xdr:row>
      <xdr:rowOff>23346</xdr:rowOff>
    </xdr:to>
    <xdr:cxnSp macro="">
      <xdr:nvCxnSpPr>
        <xdr:cNvPr id="189" name="直線コネクタ 188">
          <a:extLst>
            <a:ext uri="{FF2B5EF4-FFF2-40B4-BE49-F238E27FC236}">
              <a16:creationId xmlns:a16="http://schemas.microsoft.com/office/drawing/2014/main" id="{652B2E2B-0485-3A55-3449-B46CBBAB9FCC}"/>
            </a:ext>
          </a:extLst>
        </xdr:cNvPr>
        <xdr:cNvCxnSpPr/>
      </xdr:nvCxnSpPr>
      <xdr:spPr>
        <a:xfrm>
          <a:off x="13426654" y="1200982"/>
          <a:ext cx="107136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124085</xdr:colOff>
      <xdr:row>7</xdr:row>
      <xdr:rowOff>139708</xdr:rowOff>
    </xdr:from>
    <xdr:to>
      <xdr:col>66</xdr:col>
      <xdr:colOff>127366</xdr:colOff>
      <xdr:row>7</xdr:row>
      <xdr:rowOff>139708</xdr:rowOff>
    </xdr:to>
    <xdr:cxnSp macro="">
      <xdr:nvCxnSpPr>
        <xdr:cNvPr id="192" name="直線コネクタ 191">
          <a:extLst>
            <a:ext uri="{FF2B5EF4-FFF2-40B4-BE49-F238E27FC236}">
              <a16:creationId xmlns:a16="http://schemas.microsoft.com/office/drawing/2014/main" id="{4D89C955-0E9B-4534-B5DB-06CE8837424B}"/>
            </a:ext>
          </a:extLst>
        </xdr:cNvPr>
        <xdr:cNvCxnSpPr/>
      </xdr:nvCxnSpPr>
      <xdr:spPr>
        <a:xfrm>
          <a:off x="14602085" y="1788399"/>
          <a:ext cx="221985" cy="0"/>
        </a:xfrm>
        <a:prstGeom prst="line">
          <a:avLst/>
        </a:prstGeom>
        <a:ln w="28575">
          <a:solidFill>
            <a:srgbClr val="FF0000"/>
          </a:solidFill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65</xdr:col>
      <xdr:colOff>125299</xdr:colOff>
      <xdr:row>6</xdr:row>
      <xdr:rowOff>143170</xdr:rowOff>
    </xdr:from>
    <xdr:ext cx="374783" cy="224998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A52190CA-3A65-495D-AFC5-6BD6A4E30472}"/>
            </a:ext>
          </a:extLst>
        </xdr:cNvPr>
        <xdr:cNvSpPr txBox="1"/>
      </xdr:nvSpPr>
      <xdr:spPr>
        <a:xfrm>
          <a:off x="15009962" y="1517139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58</xdr:col>
      <xdr:colOff>140735</xdr:colOff>
      <xdr:row>7</xdr:row>
      <xdr:rowOff>148053</xdr:rowOff>
    </xdr:from>
    <xdr:to>
      <xdr:col>58</xdr:col>
      <xdr:colOff>140735</xdr:colOff>
      <xdr:row>8</xdr:row>
      <xdr:rowOff>137750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CFFF7716-9D73-40A0-92D7-AAA71C361D32}"/>
            </a:ext>
          </a:extLst>
        </xdr:cNvPr>
        <xdr:cNvCxnSpPr/>
      </xdr:nvCxnSpPr>
      <xdr:spPr>
        <a:xfrm>
          <a:off x="13164008" y="1796744"/>
          <a:ext cx="0" cy="225224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56</xdr:col>
      <xdr:colOff>165723</xdr:colOff>
      <xdr:row>7</xdr:row>
      <xdr:rowOff>148337</xdr:rowOff>
    </xdr:from>
    <xdr:to>
      <xdr:col>64</xdr:col>
      <xdr:colOff>74373</xdr:colOff>
      <xdr:row>7</xdr:row>
      <xdr:rowOff>148337</xdr:rowOff>
    </xdr:to>
    <xdr:cxnSp macro="">
      <xdr:nvCxnSpPr>
        <xdr:cNvPr id="195" name="直線コネクタ 194">
          <a:extLst>
            <a:ext uri="{FF2B5EF4-FFF2-40B4-BE49-F238E27FC236}">
              <a16:creationId xmlns:a16="http://schemas.microsoft.com/office/drawing/2014/main" id="{9376E522-FBF0-4B1D-B426-73F6FE60B7C3}"/>
            </a:ext>
          </a:extLst>
        </xdr:cNvPr>
        <xdr:cNvCxnSpPr/>
      </xdr:nvCxnSpPr>
      <xdr:spPr>
        <a:xfrm>
          <a:off x="12773359" y="1797028"/>
          <a:ext cx="165828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106980</xdr:colOff>
      <xdr:row>8</xdr:row>
      <xdr:rowOff>137736</xdr:rowOff>
    </xdr:from>
    <xdr:ext cx="224998" cy="374783"/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90040B78-31AD-49F0-9D87-F122BBC55B7D}"/>
            </a:ext>
          </a:extLst>
        </xdr:cNvPr>
        <xdr:cNvSpPr txBox="1"/>
      </xdr:nvSpPr>
      <xdr:spPr>
        <a:xfrm rot="16200000">
          <a:off x="13084792" y="2044588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57</xdr:col>
      <xdr:colOff>32674</xdr:colOff>
      <xdr:row>7</xdr:row>
      <xdr:rowOff>151333</xdr:rowOff>
    </xdr:from>
    <xdr:to>
      <xdr:col>57</xdr:col>
      <xdr:colOff>32674</xdr:colOff>
      <xdr:row>17</xdr:row>
      <xdr:rowOff>197771</xdr:rowOff>
    </xdr:to>
    <xdr:cxnSp macro="">
      <xdr:nvCxnSpPr>
        <xdr:cNvPr id="198" name="直線コネクタ 197">
          <a:extLst>
            <a:ext uri="{FF2B5EF4-FFF2-40B4-BE49-F238E27FC236}">
              <a16:creationId xmlns:a16="http://schemas.microsoft.com/office/drawing/2014/main" id="{B837C5FD-C42B-41B8-BF14-5E22A8651882}"/>
            </a:ext>
          </a:extLst>
        </xdr:cNvPr>
        <xdr:cNvCxnSpPr/>
      </xdr:nvCxnSpPr>
      <xdr:spPr>
        <a:xfrm>
          <a:off x="13073926" y="1752890"/>
          <a:ext cx="0" cy="2334377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56</xdr:col>
      <xdr:colOff>15862</xdr:colOff>
      <xdr:row>11</xdr:row>
      <xdr:rowOff>158309</xdr:rowOff>
    </xdr:from>
    <xdr:ext cx="224998" cy="368306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72081FE9-C263-46D3-A7D3-DD5F1DA35665}"/>
            </a:ext>
          </a:extLst>
        </xdr:cNvPr>
        <xdr:cNvSpPr txBox="1"/>
      </xdr:nvSpPr>
      <xdr:spPr>
        <a:xfrm rot="16200000">
          <a:off x="12767918" y="2748906"/>
          <a:ext cx="36830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213745</xdr:colOff>
      <xdr:row>17</xdr:row>
      <xdr:rowOff>127659</xdr:rowOff>
    </xdr:from>
    <xdr:ext cx="357790" cy="285527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447A8BB9-2F3B-438B-A223-725D5DEE826F}"/>
            </a:ext>
          </a:extLst>
        </xdr:cNvPr>
        <xdr:cNvSpPr txBox="1"/>
      </xdr:nvSpPr>
      <xdr:spPr>
        <a:xfrm>
          <a:off x="13483791" y="4017155"/>
          <a:ext cx="35779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kumimoji="1" lang="ja-JP" altLang="en-US" sz="900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点</a:t>
          </a:r>
        </a:p>
      </xdr:txBody>
    </xdr:sp>
    <xdr:clientData/>
  </xdr:oneCellAnchor>
  <xdr:twoCellAnchor editAs="oneCell">
    <xdr:from>
      <xdr:col>60</xdr:col>
      <xdr:colOff>18281</xdr:colOff>
      <xdr:row>17</xdr:row>
      <xdr:rowOff>171830</xdr:rowOff>
    </xdr:from>
    <xdr:to>
      <xdr:col>60</xdr:col>
      <xdr:colOff>64000</xdr:colOff>
      <xdr:row>17</xdr:row>
      <xdr:rowOff>217549</xdr:rowOff>
    </xdr:to>
    <xdr:sp macro="" textlink="">
      <xdr:nvSpPr>
        <xdr:cNvPr id="207" name="楕円 206">
          <a:extLst>
            <a:ext uri="{FF2B5EF4-FFF2-40B4-BE49-F238E27FC236}">
              <a16:creationId xmlns:a16="http://schemas.microsoft.com/office/drawing/2014/main" id="{A137AD23-F02E-4178-B5BF-8CFDA3E714E3}"/>
            </a:ext>
          </a:extLst>
        </xdr:cNvPr>
        <xdr:cNvSpPr/>
      </xdr:nvSpPr>
      <xdr:spPr>
        <a:xfrm>
          <a:off x="13745915" y="4061326"/>
          <a:ext cx="45719" cy="45719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66</xdr:col>
      <xdr:colOff>8293</xdr:colOff>
      <xdr:row>25</xdr:row>
      <xdr:rowOff>156471</xdr:rowOff>
    </xdr:from>
    <xdr:to>
      <xdr:col>67</xdr:col>
      <xdr:colOff>10981</xdr:colOff>
      <xdr:row>25</xdr:row>
      <xdr:rowOff>156471</xdr:rowOff>
    </xdr:to>
    <xdr:cxnSp macro="">
      <xdr:nvCxnSpPr>
        <xdr:cNvPr id="208" name="直線コネクタ 207">
          <a:extLst>
            <a:ext uri="{FF2B5EF4-FFF2-40B4-BE49-F238E27FC236}">
              <a16:creationId xmlns:a16="http://schemas.microsoft.com/office/drawing/2014/main" id="{7E3D3014-E656-3778-221E-2D4704711E67}"/>
            </a:ext>
          </a:extLst>
        </xdr:cNvPr>
        <xdr:cNvCxnSpPr/>
      </xdr:nvCxnSpPr>
      <xdr:spPr>
        <a:xfrm>
          <a:off x="14694111" y="6044653"/>
          <a:ext cx="221392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165647</xdr:colOff>
      <xdr:row>30</xdr:row>
      <xdr:rowOff>13613</xdr:rowOff>
    </xdr:from>
    <xdr:ext cx="224998" cy="361959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E0E934B3-F061-3695-2EB7-84540C1D284D}"/>
            </a:ext>
          </a:extLst>
        </xdr:cNvPr>
        <xdr:cNvSpPr txBox="1"/>
      </xdr:nvSpPr>
      <xdr:spPr>
        <a:xfrm rot="16200000">
          <a:off x="12887880" y="6940094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166775</xdr:colOff>
      <xdr:row>25</xdr:row>
      <xdr:rowOff>156471</xdr:rowOff>
    </xdr:from>
    <xdr:to>
      <xdr:col>66</xdr:col>
      <xdr:colOff>1483</xdr:colOff>
      <xdr:row>25</xdr:row>
      <xdr:rowOff>156471</xdr:rowOff>
    </xdr:to>
    <xdr:cxnSp macro="">
      <xdr:nvCxnSpPr>
        <xdr:cNvPr id="210" name="直線コネクタ 209">
          <a:extLst>
            <a:ext uri="{FF2B5EF4-FFF2-40B4-BE49-F238E27FC236}">
              <a16:creationId xmlns:a16="http://schemas.microsoft.com/office/drawing/2014/main" id="{085B5E29-45DB-E061-7188-306B3CCD264E}"/>
            </a:ext>
          </a:extLst>
        </xdr:cNvPr>
        <xdr:cNvCxnSpPr/>
      </xdr:nvCxnSpPr>
      <xdr:spPr>
        <a:xfrm>
          <a:off x="14797175" y="5871471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105662</xdr:colOff>
      <xdr:row>28</xdr:row>
      <xdr:rowOff>74991</xdr:rowOff>
    </xdr:from>
    <xdr:ext cx="285527" cy="743473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E1F80704-8F59-4516-961C-4C47AE8AB5D7}"/>
            </a:ext>
          </a:extLst>
        </xdr:cNvPr>
        <xdr:cNvSpPr txBox="1"/>
      </xdr:nvSpPr>
      <xdr:spPr>
        <a:xfrm rot="17760000">
          <a:off x="13695662" y="6647099"/>
          <a:ext cx="743473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twoCellAnchor editAs="oneCell">
    <xdr:from>
      <xdr:col>62</xdr:col>
      <xdr:colOff>102315</xdr:colOff>
      <xdr:row>25</xdr:row>
      <xdr:rowOff>38602</xdr:rowOff>
    </xdr:from>
    <xdr:to>
      <xdr:col>62</xdr:col>
      <xdr:colOff>102315</xdr:colOff>
      <xdr:row>35</xdr:row>
      <xdr:rowOff>131758</xdr:rowOff>
    </xdr:to>
    <xdr:cxnSp macro="">
      <xdr:nvCxnSpPr>
        <xdr:cNvPr id="212" name="直線コネクタ 211">
          <a:extLst>
            <a:ext uri="{FF2B5EF4-FFF2-40B4-BE49-F238E27FC236}">
              <a16:creationId xmlns:a16="http://schemas.microsoft.com/office/drawing/2014/main" id="{51DA90DC-B3BC-9654-AFD0-9D838543485E}"/>
            </a:ext>
          </a:extLst>
        </xdr:cNvPr>
        <xdr:cNvCxnSpPr/>
      </xdr:nvCxnSpPr>
      <xdr:spPr>
        <a:xfrm rot="6960000">
          <a:off x="12732645" y="7150999"/>
          <a:ext cx="244842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218158</xdr:colOff>
      <xdr:row>28</xdr:row>
      <xdr:rowOff>212928</xdr:rowOff>
    </xdr:from>
    <xdr:ext cx="285527" cy="756297"/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932E54FA-B5A3-25CC-0960-18CE415D6F39}"/>
            </a:ext>
          </a:extLst>
        </xdr:cNvPr>
        <xdr:cNvSpPr txBox="1"/>
      </xdr:nvSpPr>
      <xdr:spPr>
        <a:xfrm rot="17460000">
          <a:off x="14254827" y="6791448"/>
          <a:ext cx="756297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twoCellAnchor editAs="oneCell">
    <xdr:from>
      <xdr:col>58</xdr:col>
      <xdr:colOff>77101</xdr:colOff>
      <xdr:row>25</xdr:row>
      <xdr:rowOff>160188</xdr:rowOff>
    </xdr:from>
    <xdr:to>
      <xdr:col>64</xdr:col>
      <xdr:colOff>39554</xdr:colOff>
      <xdr:row>25</xdr:row>
      <xdr:rowOff>160188</xdr:rowOff>
    </xdr:to>
    <xdr:cxnSp macro="">
      <xdr:nvCxnSpPr>
        <xdr:cNvPr id="215" name="直線コネクタ 214">
          <a:extLst>
            <a:ext uri="{FF2B5EF4-FFF2-40B4-BE49-F238E27FC236}">
              <a16:creationId xmlns:a16="http://schemas.microsoft.com/office/drawing/2014/main" id="{DDDA3231-77EB-2B93-0A22-B7124E28E552}"/>
            </a:ext>
          </a:extLst>
        </xdr:cNvPr>
        <xdr:cNvCxnSpPr/>
      </xdr:nvCxnSpPr>
      <xdr:spPr>
        <a:xfrm>
          <a:off x="13100374" y="6048370"/>
          <a:ext cx="1274677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141001</xdr:colOff>
      <xdr:row>25</xdr:row>
      <xdr:rowOff>161015</xdr:rowOff>
    </xdr:from>
    <xdr:to>
      <xdr:col>58</xdr:col>
      <xdr:colOff>141001</xdr:colOff>
      <xdr:row>35</xdr:row>
      <xdr:rowOff>6842</xdr:rowOff>
    </xdr:to>
    <xdr:cxnSp macro="">
      <xdr:nvCxnSpPr>
        <xdr:cNvPr id="216" name="直線コネクタ 215">
          <a:extLst>
            <a:ext uri="{FF2B5EF4-FFF2-40B4-BE49-F238E27FC236}">
              <a16:creationId xmlns:a16="http://schemas.microsoft.com/office/drawing/2014/main" id="{65650D88-91E2-515D-85C4-D389B98AEC33}"/>
            </a:ext>
          </a:extLst>
        </xdr:cNvPr>
        <xdr:cNvCxnSpPr/>
      </xdr:nvCxnSpPr>
      <xdr:spPr>
        <a:xfrm>
          <a:off x="13164274" y="6049197"/>
          <a:ext cx="0" cy="2201100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108016</xdr:colOff>
      <xdr:row>35</xdr:row>
      <xdr:rowOff>8668</xdr:rowOff>
    </xdr:from>
    <xdr:to>
      <xdr:col>59</xdr:col>
      <xdr:colOff>26103</xdr:colOff>
      <xdr:row>35</xdr:row>
      <xdr:rowOff>8668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FA713AAD-3BA2-E067-FE70-861922018D95}"/>
            </a:ext>
          </a:extLst>
        </xdr:cNvPr>
        <xdr:cNvCxnSpPr/>
      </xdr:nvCxnSpPr>
      <xdr:spPr>
        <a:xfrm>
          <a:off x="13321253" y="7982173"/>
          <a:ext cx="14590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217384</xdr:colOff>
      <xdr:row>35</xdr:row>
      <xdr:rowOff>214541</xdr:rowOff>
    </xdr:from>
    <xdr:ext cx="349135" cy="224998"/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64B59794-42D4-E973-E138-25C9C7FBCD58}"/>
            </a:ext>
          </a:extLst>
        </xdr:cNvPr>
        <xdr:cNvSpPr txBox="1"/>
      </xdr:nvSpPr>
      <xdr:spPr>
        <a:xfrm>
          <a:off x="13658436" y="8188046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48482</xdr:colOff>
      <xdr:row>35</xdr:row>
      <xdr:rowOff>219186</xdr:rowOff>
    </xdr:from>
    <xdr:to>
      <xdr:col>62</xdr:col>
      <xdr:colOff>96853</xdr:colOff>
      <xdr:row>35</xdr:row>
      <xdr:rowOff>219186</xdr:rowOff>
    </xdr:to>
    <xdr:cxnSp macro="">
      <xdr:nvCxnSpPr>
        <xdr:cNvPr id="222" name="直線コネクタ 221">
          <a:extLst>
            <a:ext uri="{FF2B5EF4-FFF2-40B4-BE49-F238E27FC236}">
              <a16:creationId xmlns:a16="http://schemas.microsoft.com/office/drawing/2014/main" id="{8B66D2FD-7A0D-FA3B-87CD-7612F1EE2932}"/>
            </a:ext>
          </a:extLst>
        </xdr:cNvPr>
        <xdr:cNvCxnSpPr/>
      </xdr:nvCxnSpPr>
      <xdr:spPr>
        <a:xfrm>
          <a:off x="13717348" y="8192691"/>
          <a:ext cx="504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46505</xdr:colOff>
      <xdr:row>35</xdr:row>
      <xdr:rowOff>47880</xdr:rowOff>
    </xdr:from>
    <xdr:to>
      <xdr:col>60</xdr:col>
      <xdr:colOff>46505</xdr:colOff>
      <xdr:row>36</xdr:row>
      <xdr:rowOff>36065</xdr:rowOff>
    </xdr:to>
    <xdr:cxnSp macro="">
      <xdr:nvCxnSpPr>
        <xdr:cNvPr id="223" name="直線コネクタ 222">
          <a:extLst>
            <a:ext uri="{FF2B5EF4-FFF2-40B4-BE49-F238E27FC236}">
              <a16:creationId xmlns:a16="http://schemas.microsoft.com/office/drawing/2014/main" id="{7696F355-8F77-7583-3C10-7D7F606883FA}"/>
            </a:ext>
          </a:extLst>
        </xdr:cNvPr>
        <xdr:cNvCxnSpPr/>
      </xdr:nvCxnSpPr>
      <xdr:spPr>
        <a:xfrm>
          <a:off x="13715371" y="8021385"/>
          <a:ext cx="0" cy="2160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49129</xdr:colOff>
      <xdr:row>35</xdr:row>
      <xdr:rowOff>5187</xdr:rowOff>
    </xdr:from>
    <xdr:to>
      <xdr:col>62</xdr:col>
      <xdr:colOff>95929</xdr:colOff>
      <xdr:row>35</xdr:row>
      <xdr:rowOff>5187</xdr:rowOff>
    </xdr:to>
    <xdr:cxnSp macro="">
      <xdr:nvCxnSpPr>
        <xdr:cNvPr id="224" name="直線コネクタ 223">
          <a:extLst>
            <a:ext uri="{FF2B5EF4-FFF2-40B4-BE49-F238E27FC236}">
              <a16:creationId xmlns:a16="http://schemas.microsoft.com/office/drawing/2014/main" id="{B6FD248D-C986-EF51-067C-4BC85DF5F269}"/>
            </a:ext>
          </a:extLst>
        </xdr:cNvPr>
        <xdr:cNvCxnSpPr/>
      </xdr:nvCxnSpPr>
      <xdr:spPr>
        <a:xfrm>
          <a:off x="13765129" y="8006187"/>
          <a:ext cx="504000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59794</xdr:colOff>
      <xdr:row>24</xdr:row>
      <xdr:rowOff>134225</xdr:rowOff>
    </xdr:from>
    <xdr:to>
      <xdr:col>65</xdr:col>
      <xdr:colOff>99394</xdr:colOff>
      <xdr:row>25</xdr:row>
      <xdr:rowOff>157625</xdr:rowOff>
    </xdr:to>
    <xdr:sp macro="" textlink="">
      <xdr:nvSpPr>
        <xdr:cNvPr id="226" name="正方形/長方形 225">
          <a:extLst>
            <a:ext uri="{FF2B5EF4-FFF2-40B4-BE49-F238E27FC236}">
              <a16:creationId xmlns:a16="http://schemas.microsoft.com/office/drawing/2014/main" id="{1A65A985-37EF-840C-E9AF-7E037E378AF7}"/>
            </a:ext>
          </a:extLst>
        </xdr:cNvPr>
        <xdr:cNvSpPr/>
      </xdr:nvSpPr>
      <xdr:spPr>
        <a:xfrm>
          <a:off x="14537794" y="5786880"/>
          <a:ext cx="39600" cy="258927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65</xdr:col>
      <xdr:colOff>110077</xdr:colOff>
      <xdr:row>24</xdr:row>
      <xdr:rowOff>150689</xdr:rowOff>
    </xdr:from>
    <xdr:to>
      <xdr:col>65</xdr:col>
      <xdr:colOff>110077</xdr:colOff>
      <xdr:row>24</xdr:row>
      <xdr:rowOff>196398</xdr:rowOff>
    </xdr:to>
    <xdr:cxnSp macro="">
      <xdr:nvCxnSpPr>
        <xdr:cNvPr id="227" name="直線コネクタ 226">
          <a:extLst>
            <a:ext uri="{FF2B5EF4-FFF2-40B4-BE49-F238E27FC236}">
              <a16:creationId xmlns:a16="http://schemas.microsoft.com/office/drawing/2014/main" id="{D4716688-23B1-A764-9F44-2B2E33BFEE48}"/>
            </a:ext>
          </a:extLst>
        </xdr:cNvPr>
        <xdr:cNvCxnSpPr/>
      </xdr:nvCxnSpPr>
      <xdr:spPr>
        <a:xfrm>
          <a:off x="14588077" y="5803344"/>
          <a:ext cx="0" cy="4570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132937</xdr:colOff>
      <xdr:row>24</xdr:row>
      <xdr:rowOff>112589</xdr:rowOff>
    </xdr:from>
    <xdr:to>
      <xdr:col>65</xdr:col>
      <xdr:colOff>132937</xdr:colOff>
      <xdr:row>24</xdr:row>
      <xdr:rowOff>141389</xdr:rowOff>
    </xdr:to>
    <xdr:cxnSp macro="">
      <xdr:nvCxnSpPr>
        <xdr:cNvPr id="228" name="直線コネクタ 227">
          <a:extLst>
            <a:ext uri="{FF2B5EF4-FFF2-40B4-BE49-F238E27FC236}">
              <a16:creationId xmlns:a16="http://schemas.microsoft.com/office/drawing/2014/main" id="{762DF09A-9E34-CFE2-095E-E59B4419874D}"/>
            </a:ext>
          </a:extLst>
        </xdr:cNvPr>
        <xdr:cNvCxnSpPr/>
      </xdr:nvCxnSpPr>
      <xdr:spPr>
        <a:xfrm>
          <a:off x="14610937" y="5765244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109652</xdr:colOff>
      <xdr:row>24</xdr:row>
      <xdr:rowOff>148998</xdr:rowOff>
    </xdr:from>
    <xdr:to>
      <xdr:col>65</xdr:col>
      <xdr:colOff>138452</xdr:colOff>
      <xdr:row>24</xdr:row>
      <xdr:rowOff>148998</xdr:rowOff>
    </xdr:to>
    <xdr:cxnSp macro="">
      <xdr:nvCxnSpPr>
        <xdr:cNvPr id="229" name="直線コネクタ 228">
          <a:extLst>
            <a:ext uri="{FF2B5EF4-FFF2-40B4-BE49-F238E27FC236}">
              <a16:creationId xmlns:a16="http://schemas.microsoft.com/office/drawing/2014/main" id="{58E4AE8D-BF18-7AC1-3E70-A9BE31E99DBA}"/>
            </a:ext>
          </a:extLst>
        </xdr:cNvPr>
        <xdr:cNvCxnSpPr/>
      </xdr:nvCxnSpPr>
      <xdr:spPr>
        <a:xfrm rot="2700000">
          <a:off x="14602052" y="5787253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122771</xdr:colOff>
      <xdr:row>24</xdr:row>
      <xdr:rowOff>90783</xdr:rowOff>
    </xdr:from>
    <xdr:to>
      <xdr:col>65</xdr:col>
      <xdr:colOff>122771</xdr:colOff>
      <xdr:row>24</xdr:row>
      <xdr:rowOff>119583</xdr:rowOff>
    </xdr:to>
    <xdr:cxnSp macro="">
      <xdr:nvCxnSpPr>
        <xdr:cNvPr id="230" name="直線コネクタ 229">
          <a:extLst>
            <a:ext uri="{FF2B5EF4-FFF2-40B4-BE49-F238E27FC236}">
              <a16:creationId xmlns:a16="http://schemas.microsoft.com/office/drawing/2014/main" id="{D1E9DE4B-B451-A943-696B-4DCA1B8867EC}"/>
            </a:ext>
          </a:extLst>
        </xdr:cNvPr>
        <xdr:cNvCxnSpPr/>
      </xdr:nvCxnSpPr>
      <xdr:spPr>
        <a:xfrm rot="18900000">
          <a:off x="14600771" y="5743438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134842</xdr:colOff>
      <xdr:row>24</xdr:row>
      <xdr:rowOff>209051</xdr:rowOff>
    </xdr:from>
    <xdr:to>
      <xdr:col>65</xdr:col>
      <xdr:colOff>134842</xdr:colOff>
      <xdr:row>25</xdr:row>
      <xdr:rowOff>2324</xdr:rowOff>
    </xdr:to>
    <xdr:cxnSp macro="">
      <xdr:nvCxnSpPr>
        <xdr:cNvPr id="231" name="直線コネクタ 230">
          <a:extLst>
            <a:ext uri="{FF2B5EF4-FFF2-40B4-BE49-F238E27FC236}">
              <a16:creationId xmlns:a16="http://schemas.microsoft.com/office/drawing/2014/main" id="{3DEA8AF1-E86C-E6C2-DDF6-2A55E1924270}"/>
            </a:ext>
          </a:extLst>
        </xdr:cNvPr>
        <xdr:cNvCxnSpPr/>
      </xdr:nvCxnSpPr>
      <xdr:spPr>
        <a:xfrm>
          <a:off x="14612842" y="5861706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111557</xdr:colOff>
      <xdr:row>25</xdr:row>
      <xdr:rowOff>9933</xdr:rowOff>
    </xdr:from>
    <xdr:to>
      <xdr:col>65</xdr:col>
      <xdr:colOff>140357</xdr:colOff>
      <xdr:row>25</xdr:row>
      <xdr:rowOff>9933</xdr:rowOff>
    </xdr:to>
    <xdr:cxnSp macro="">
      <xdr:nvCxnSpPr>
        <xdr:cNvPr id="232" name="直線コネクタ 231">
          <a:extLst>
            <a:ext uri="{FF2B5EF4-FFF2-40B4-BE49-F238E27FC236}">
              <a16:creationId xmlns:a16="http://schemas.microsoft.com/office/drawing/2014/main" id="{32FEE640-7139-75DC-1647-28D81C65F044}"/>
            </a:ext>
          </a:extLst>
        </xdr:cNvPr>
        <xdr:cNvCxnSpPr/>
      </xdr:nvCxnSpPr>
      <xdr:spPr>
        <a:xfrm rot="2700000">
          <a:off x="14603957" y="5883715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124676</xdr:colOff>
      <xdr:row>24</xdr:row>
      <xdr:rowOff>187245</xdr:rowOff>
    </xdr:from>
    <xdr:to>
      <xdr:col>65</xdr:col>
      <xdr:colOff>124676</xdr:colOff>
      <xdr:row>24</xdr:row>
      <xdr:rowOff>216045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8A50BBFE-ECBF-730B-302A-B70E39D811E0}"/>
            </a:ext>
          </a:extLst>
        </xdr:cNvPr>
        <xdr:cNvCxnSpPr/>
      </xdr:nvCxnSpPr>
      <xdr:spPr>
        <a:xfrm rot="18900000">
          <a:off x="14602676" y="5839900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163204</xdr:colOff>
      <xdr:row>23</xdr:row>
      <xdr:rowOff>141165</xdr:rowOff>
    </xdr:from>
    <xdr:to>
      <xdr:col>64</xdr:col>
      <xdr:colOff>163204</xdr:colOff>
      <xdr:row>24</xdr:row>
      <xdr:rowOff>74563</xdr:rowOff>
    </xdr:to>
    <xdr:cxnSp macro="">
      <xdr:nvCxnSpPr>
        <xdr:cNvPr id="234" name="直線コネクタ 233">
          <a:extLst>
            <a:ext uri="{FF2B5EF4-FFF2-40B4-BE49-F238E27FC236}">
              <a16:creationId xmlns:a16="http://schemas.microsoft.com/office/drawing/2014/main" id="{DF16092A-46AE-718F-DE63-38EDD37174FA}"/>
            </a:ext>
          </a:extLst>
        </xdr:cNvPr>
        <xdr:cNvCxnSpPr/>
      </xdr:nvCxnSpPr>
      <xdr:spPr>
        <a:xfrm>
          <a:off x="14793604" y="5398965"/>
          <a:ext cx="0" cy="161998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165847</xdr:colOff>
      <xdr:row>23</xdr:row>
      <xdr:rowOff>185487</xdr:rowOff>
    </xdr:from>
    <xdr:to>
      <xdr:col>65</xdr:col>
      <xdr:colOff>85165</xdr:colOff>
      <xdr:row>23</xdr:row>
      <xdr:rowOff>185487</xdr:rowOff>
    </xdr:to>
    <xdr:cxnSp macro="">
      <xdr:nvCxnSpPr>
        <xdr:cNvPr id="236" name="直線コネクタ 235">
          <a:extLst>
            <a:ext uri="{FF2B5EF4-FFF2-40B4-BE49-F238E27FC236}">
              <a16:creationId xmlns:a16="http://schemas.microsoft.com/office/drawing/2014/main" id="{C9D359F8-B287-459D-5F8F-4ABBAF2F225F}"/>
            </a:ext>
          </a:extLst>
        </xdr:cNvPr>
        <xdr:cNvCxnSpPr/>
      </xdr:nvCxnSpPr>
      <xdr:spPr>
        <a:xfrm>
          <a:off x="14796247" y="5443287"/>
          <a:ext cx="14791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80056</xdr:colOff>
      <xdr:row>21</xdr:row>
      <xdr:rowOff>183776</xdr:rowOff>
    </xdr:from>
    <xdr:to>
      <xdr:col>65</xdr:col>
      <xdr:colOff>80056</xdr:colOff>
      <xdr:row>24</xdr:row>
      <xdr:rowOff>74563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7511C833-A94E-DB50-A736-A7F4AFB8EA17}"/>
            </a:ext>
          </a:extLst>
        </xdr:cNvPr>
        <xdr:cNvCxnSpPr/>
      </xdr:nvCxnSpPr>
      <xdr:spPr>
        <a:xfrm>
          <a:off x="14939056" y="4984376"/>
          <a:ext cx="0" cy="576587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98896</xdr:colOff>
      <xdr:row>22</xdr:row>
      <xdr:rowOff>184160</xdr:rowOff>
    </xdr:from>
    <xdr:ext cx="374783" cy="224998"/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4DB24125-C495-FC87-1492-FAE35D335C14}"/>
            </a:ext>
          </a:extLst>
        </xdr:cNvPr>
        <xdr:cNvSpPr txBox="1"/>
      </xdr:nvSpPr>
      <xdr:spPr>
        <a:xfrm>
          <a:off x="14729296" y="5213360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90435</xdr:colOff>
      <xdr:row>35</xdr:row>
      <xdr:rowOff>28001</xdr:rowOff>
    </xdr:from>
    <xdr:to>
      <xdr:col>62</xdr:col>
      <xdr:colOff>90435</xdr:colOff>
      <xdr:row>36</xdr:row>
      <xdr:rowOff>16186</xdr:rowOff>
    </xdr:to>
    <xdr:cxnSp macro="">
      <xdr:nvCxnSpPr>
        <xdr:cNvPr id="239" name="直線コネクタ 238">
          <a:extLst>
            <a:ext uri="{FF2B5EF4-FFF2-40B4-BE49-F238E27FC236}">
              <a16:creationId xmlns:a16="http://schemas.microsoft.com/office/drawing/2014/main" id="{4660A924-8E65-7431-4BD9-D29615E8EB65}"/>
            </a:ext>
          </a:extLst>
        </xdr:cNvPr>
        <xdr:cNvCxnSpPr/>
      </xdr:nvCxnSpPr>
      <xdr:spPr>
        <a:xfrm>
          <a:off x="14214930" y="8001506"/>
          <a:ext cx="0" cy="2160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164440</xdr:colOff>
      <xdr:row>22</xdr:row>
      <xdr:rowOff>195894</xdr:rowOff>
    </xdr:from>
    <xdr:ext cx="368371" cy="224998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93A37151-1FCA-4EB8-3319-5C47CEB730FC}"/>
            </a:ext>
          </a:extLst>
        </xdr:cNvPr>
        <xdr:cNvSpPr txBox="1"/>
      </xdr:nvSpPr>
      <xdr:spPr>
        <a:xfrm>
          <a:off x="13756872" y="5179786"/>
          <a:ext cx="3683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59</xdr:col>
      <xdr:colOff>201180</xdr:colOff>
      <xdr:row>21</xdr:row>
      <xdr:rowOff>179294</xdr:rowOff>
    </xdr:from>
    <xdr:to>
      <xdr:col>59</xdr:col>
      <xdr:colOff>201180</xdr:colOff>
      <xdr:row>24</xdr:row>
      <xdr:rowOff>82739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C9F9E70D-4745-25CC-86B2-46E0462FBB58}"/>
            </a:ext>
          </a:extLst>
        </xdr:cNvPr>
        <xdr:cNvCxnSpPr/>
      </xdr:nvCxnSpPr>
      <xdr:spPr>
        <a:xfrm>
          <a:off x="13688580" y="4979894"/>
          <a:ext cx="0" cy="58924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195563</xdr:colOff>
      <xdr:row>23</xdr:row>
      <xdr:rowOff>182435</xdr:rowOff>
    </xdr:from>
    <xdr:to>
      <xdr:col>64</xdr:col>
      <xdr:colOff>156882</xdr:colOff>
      <xdr:row>23</xdr:row>
      <xdr:rowOff>182435</xdr:rowOff>
    </xdr:to>
    <xdr:cxnSp macro="">
      <xdr:nvCxnSpPr>
        <xdr:cNvPr id="242" name="直線コネクタ 241">
          <a:extLst>
            <a:ext uri="{FF2B5EF4-FFF2-40B4-BE49-F238E27FC236}">
              <a16:creationId xmlns:a16="http://schemas.microsoft.com/office/drawing/2014/main" id="{84A7D470-36EB-8AAA-CDC9-ACD87EB9C49B}"/>
            </a:ext>
          </a:extLst>
        </xdr:cNvPr>
        <xdr:cNvCxnSpPr/>
      </xdr:nvCxnSpPr>
      <xdr:spPr>
        <a:xfrm>
          <a:off x="13682963" y="5440235"/>
          <a:ext cx="1104319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140735</xdr:colOff>
      <xdr:row>24</xdr:row>
      <xdr:rowOff>175762</xdr:rowOff>
    </xdr:from>
    <xdr:to>
      <xdr:col>58</xdr:col>
      <xdr:colOff>140735</xdr:colOff>
      <xdr:row>25</xdr:row>
      <xdr:rowOff>165459</xdr:rowOff>
    </xdr:to>
    <xdr:cxnSp macro="">
      <xdr:nvCxnSpPr>
        <xdr:cNvPr id="245" name="直線コネクタ 244">
          <a:extLst>
            <a:ext uri="{FF2B5EF4-FFF2-40B4-BE49-F238E27FC236}">
              <a16:creationId xmlns:a16="http://schemas.microsoft.com/office/drawing/2014/main" id="{69434772-7AF5-DEEF-C04E-5E6FC12AA215}"/>
            </a:ext>
          </a:extLst>
        </xdr:cNvPr>
        <xdr:cNvCxnSpPr/>
      </xdr:nvCxnSpPr>
      <xdr:spPr>
        <a:xfrm>
          <a:off x="13164008" y="5828417"/>
          <a:ext cx="0" cy="225224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104088</xdr:colOff>
      <xdr:row>24</xdr:row>
      <xdr:rowOff>176046</xdr:rowOff>
    </xdr:from>
    <xdr:to>
      <xdr:col>64</xdr:col>
      <xdr:colOff>74373</xdr:colOff>
      <xdr:row>24</xdr:row>
      <xdr:rowOff>176046</xdr:rowOff>
    </xdr:to>
    <xdr:cxnSp macro="">
      <xdr:nvCxnSpPr>
        <xdr:cNvPr id="246" name="直線コネクタ 245">
          <a:extLst>
            <a:ext uri="{FF2B5EF4-FFF2-40B4-BE49-F238E27FC236}">
              <a16:creationId xmlns:a16="http://schemas.microsoft.com/office/drawing/2014/main" id="{E1D908AB-E90A-C440-8B66-9D19BB131348}"/>
            </a:ext>
          </a:extLst>
        </xdr:cNvPr>
        <xdr:cNvCxnSpPr/>
      </xdr:nvCxnSpPr>
      <xdr:spPr>
        <a:xfrm>
          <a:off x="13317325" y="5643592"/>
          <a:ext cx="133717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113918</xdr:colOff>
      <xdr:row>25</xdr:row>
      <xdr:rowOff>143673</xdr:rowOff>
    </xdr:from>
    <xdr:ext cx="224998" cy="374783"/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E1657A4E-A8D5-E4C3-CC31-C942D0E170C8}"/>
            </a:ext>
          </a:extLst>
        </xdr:cNvPr>
        <xdr:cNvSpPr txBox="1"/>
      </xdr:nvSpPr>
      <xdr:spPr>
        <a:xfrm rot="16200000">
          <a:off x="13091730" y="5943436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210966</xdr:colOff>
      <xdr:row>34</xdr:row>
      <xdr:rowOff>172869</xdr:rowOff>
    </xdr:from>
    <xdr:ext cx="357790" cy="285527"/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EDCE92CA-5744-A950-4852-6A9C4D96E2F0}"/>
            </a:ext>
          </a:extLst>
        </xdr:cNvPr>
        <xdr:cNvSpPr txBox="1"/>
      </xdr:nvSpPr>
      <xdr:spPr>
        <a:xfrm>
          <a:off x="13424203" y="7918560"/>
          <a:ext cx="35779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kumimoji="1" lang="ja-JP" altLang="en-US" sz="900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点</a:t>
          </a:r>
        </a:p>
      </xdr:txBody>
    </xdr:sp>
    <xdr:clientData/>
  </xdr:oneCellAnchor>
  <xdr:twoCellAnchor editAs="oneCell">
    <xdr:from>
      <xdr:col>60</xdr:col>
      <xdr:colOff>26861</xdr:colOff>
      <xdr:row>34</xdr:row>
      <xdr:rowOff>202412</xdr:rowOff>
    </xdr:from>
    <xdr:to>
      <xdr:col>60</xdr:col>
      <xdr:colOff>72580</xdr:colOff>
      <xdr:row>35</xdr:row>
      <xdr:rowOff>20317</xdr:rowOff>
    </xdr:to>
    <xdr:sp macro="" textlink="">
      <xdr:nvSpPr>
        <xdr:cNvPr id="251" name="楕円 250">
          <a:extLst>
            <a:ext uri="{FF2B5EF4-FFF2-40B4-BE49-F238E27FC236}">
              <a16:creationId xmlns:a16="http://schemas.microsoft.com/office/drawing/2014/main" id="{A999DF4A-E190-2A12-0C5D-5350FAF7C148}"/>
            </a:ext>
          </a:extLst>
        </xdr:cNvPr>
        <xdr:cNvSpPr/>
      </xdr:nvSpPr>
      <xdr:spPr>
        <a:xfrm>
          <a:off x="13695727" y="7948103"/>
          <a:ext cx="45719" cy="45719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59</xdr:col>
      <xdr:colOff>194442</xdr:colOff>
      <xdr:row>22</xdr:row>
      <xdr:rowOff>8495</xdr:rowOff>
    </xdr:from>
    <xdr:to>
      <xdr:col>65</xdr:col>
      <xdr:colOff>76200</xdr:colOff>
      <xdr:row>22</xdr:row>
      <xdr:rowOff>8495</xdr:rowOff>
    </xdr:to>
    <xdr:cxnSp macro="">
      <xdr:nvCxnSpPr>
        <xdr:cNvPr id="252" name="直線コネクタ 251">
          <a:extLst>
            <a:ext uri="{FF2B5EF4-FFF2-40B4-BE49-F238E27FC236}">
              <a16:creationId xmlns:a16="http://schemas.microsoft.com/office/drawing/2014/main" id="{0BC0DC76-C6CA-0BEF-F477-ADB3BC1D3BB5}"/>
            </a:ext>
          </a:extLst>
        </xdr:cNvPr>
        <xdr:cNvCxnSpPr/>
      </xdr:nvCxnSpPr>
      <xdr:spPr>
        <a:xfrm>
          <a:off x="13681842" y="5037695"/>
          <a:ext cx="125335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68413</xdr:colOff>
      <xdr:row>21</xdr:row>
      <xdr:rowOff>32288</xdr:rowOff>
    </xdr:from>
    <xdr:ext cx="368306" cy="224998"/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0237F4C9-E39E-79F4-DDE6-A79DADB528C5}"/>
            </a:ext>
          </a:extLst>
        </xdr:cNvPr>
        <xdr:cNvSpPr txBox="1"/>
      </xdr:nvSpPr>
      <xdr:spPr>
        <a:xfrm>
          <a:off x="14037097" y="4841179"/>
          <a:ext cx="36830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65</xdr:col>
      <xdr:colOff>78389</xdr:colOff>
      <xdr:row>25</xdr:row>
      <xdr:rowOff>18622</xdr:rowOff>
    </xdr:from>
    <xdr:to>
      <xdr:col>65</xdr:col>
      <xdr:colOff>78389</xdr:colOff>
      <xdr:row>25</xdr:row>
      <xdr:rowOff>161598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8124EF8A-8223-F88B-3872-F73160A9ED48}"/>
            </a:ext>
          </a:extLst>
        </xdr:cNvPr>
        <xdr:cNvCxnSpPr/>
      </xdr:nvCxnSpPr>
      <xdr:spPr>
        <a:xfrm flipV="1">
          <a:off x="14635217" y="5799312"/>
          <a:ext cx="0" cy="142976"/>
        </a:xfrm>
        <a:prstGeom prst="line">
          <a:avLst/>
        </a:prstGeom>
        <a:ln w="28575">
          <a:solidFill>
            <a:srgbClr val="FF0000"/>
          </a:solidFill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12698</xdr:colOff>
      <xdr:row>4</xdr:row>
      <xdr:rowOff>58214</xdr:rowOff>
    </xdr:from>
    <xdr:ext cx="444352" cy="224998"/>
    <xdr:sp macro="" textlink="$AF$13">
      <xdr:nvSpPr>
        <xdr:cNvPr id="4" name="テキスト ボックス 3">
          <a:extLst>
            <a:ext uri="{FF2B5EF4-FFF2-40B4-BE49-F238E27FC236}">
              <a16:creationId xmlns:a16="http://schemas.microsoft.com/office/drawing/2014/main" id="{1BB91B16-E52B-4BE4-A920-2B5E10CF3458}"/>
            </a:ext>
          </a:extLst>
        </xdr:cNvPr>
        <xdr:cNvSpPr txBox="1"/>
      </xdr:nvSpPr>
      <xdr:spPr>
        <a:xfrm>
          <a:off x="1612898" y="972614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57362B1-7023-4F1B-9973-AF4FD295667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3.000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10</xdr:col>
      <xdr:colOff>38280</xdr:colOff>
      <xdr:row>4</xdr:row>
      <xdr:rowOff>64880</xdr:rowOff>
    </xdr:from>
    <xdr:ext cx="444352" cy="224998"/>
    <xdr:sp macro="" textlink="$AF$8">
      <xdr:nvSpPr>
        <xdr:cNvPr id="5" name="テキスト ボックス 4">
          <a:extLst>
            <a:ext uri="{FF2B5EF4-FFF2-40B4-BE49-F238E27FC236}">
              <a16:creationId xmlns:a16="http://schemas.microsoft.com/office/drawing/2014/main" id="{696540E2-E2BE-4E72-B92E-A7CA29FA917F}"/>
            </a:ext>
          </a:extLst>
        </xdr:cNvPr>
        <xdr:cNvSpPr txBox="1"/>
      </xdr:nvSpPr>
      <xdr:spPr>
        <a:xfrm>
          <a:off x="2329609" y="981411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D705F07-767E-49F0-BDDD-B7617C636D8D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</xdr:col>
      <xdr:colOff>63320</xdr:colOff>
      <xdr:row>8</xdr:row>
      <xdr:rowOff>129959</xdr:rowOff>
    </xdr:from>
    <xdr:ext cx="224998" cy="444352"/>
    <xdr:sp macro="" textlink="$AF$7">
      <xdr:nvSpPr>
        <xdr:cNvPr id="7" name="テキスト ボックス 6">
          <a:extLst>
            <a:ext uri="{FF2B5EF4-FFF2-40B4-BE49-F238E27FC236}">
              <a16:creationId xmlns:a16="http://schemas.microsoft.com/office/drawing/2014/main" id="{01A72FFB-D19C-4180-8C80-647B8BB38C6F}"/>
            </a:ext>
          </a:extLst>
        </xdr:cNvPr>
        <xdr:cNvSpPr txBox="1"/>
      </xdr:nvSpPr>
      <xdr:spPr>
        <a:xfrm rot="16200000">
          <a:off x="639443" y="2068436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718D5E8-F67A-4A0D-A4CF-3A753BE56AC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</xdr:col>
      <xdr:colOff>176011</xdr:colOff>
      <xdr:row>16</xdr:row>
      <xdr:rowOff>147755</xdr:rowOff>
    </xdr:from>
    <xdr:ext cx="444352" cy="224998"/>
    <xdr:sp macro="" textlink="$AF$9">
      <xdr:nvSpPr>
        <xdr:cNvPr id="8" name="テキスト ボックス 7">
          <a:extLst>
            <a:ext uri="{FF2B5EF4-FFF2-40B4-BE49-F238E27FC236}">
              <a16:creationId xmlns:a16="http://schemas.microsoft.com/office/drawing/2014/main" id="{F3AAD19F-74D2-47FF-AD3D-CB9B84B393ED}"/>
            </a:ext>
          </a:extLst>
        </xdr:cNvPr>
        <xdr:cNvSpPr txBox="1"/>
      </xdr:nvSpPr>
      <xdr:spPr>
        <a:xfrm>
          <a:off x="1323341" y="3819210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C709DC5-6ACB-4D5F-BA6F-5E5F5E63055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8</xdr:col>
      <xdr:colOff>207315</xdr:colOff>
      <xdr:row>16</xdr:row>
      <xdr:rowOff>137547</xdr:rowOff>
    </xdr:from>
    <xdr:ext cx="444352" cy="224998"/>
    <xdr:sp macro="" textlink="$AF$15">
      <xdr:nvSpPr>
        <xdr:cNvPr id="10" name="テキスト ボックス 9">
          <a:extLst>
            <a:ext uri="{FF2B5EF4-FFF2-40B4-BE49-F238E27FC236}">
              <a16:creationId xmlns:a16="http://schemas.microsoft.com/office/drawing/2014/main" id="{8D2D8F9D-328E-468C-80D8-025029980ED4}"/>
            </a:ext>
          </a:extLst>
        </xdr:cNvPr>
        <xdr:cNvSpPr txBox="1"/>
      </xdr:nvSpPr>
      <xdr:spPr>
        <a:xfrm>
          <a:off x="2040378" y="3803673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3C87203-751D-49CF-A995-ACDA3B748DCB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7</xdr:col>
      <xdr:colOff>123704</xdr:colOff>
      <xdr:row>17</xdr:row>
      <xdr:rowOff>162782</xdr:rowOff>
    </xdr:from>
    <xdr:ext cx="444352" cy="224998"/>
    <xdr:sp macro="" textlink="$AF$14">
      <xdr:nvSpPr>
        <xdr:cNvPr id="11" name="テキスト ボックス 10">
          <a:extLst>
            <a:ext uri="{FF2B5EF4-FFF2-40B4-BE49-F238E27FC236}">
              <a16:creationId xmlns:a16="http://schemas.microsoft.com/office/drawing/2014/main" id="{3D043573-F9AE-4C79-B5BA-2235F7C84B17}"/>
            </a:ext>
          </a:extLst>
        </xdr:cNvPr>
        <xdr:cNvSpPr txBox="1"/>
      </xdr:nvSpPr>
      <xdr:spPr>
        <a:xfrm>
          <a:off x="1729965" y="4063702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FE3A888A-5D32-4C76-AE0E-0DA6DEE1E6A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3.800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61</xdr:col>
      <xdr:colOff>170378</xdr:colOff>
      <xdr:row>4</xdr:row>
      <xdr:rowOff>42743</xdr:rowOff>
    </xdr:from>
    <xdr:ext cx="444352" cy="224998"/>
    <xdr:sp macro="" textlink="$AF$13">
      <xdr:nvSpPr>
        <xdr:cNvPr id="12" name="テキスト ボックス 11">
          <a:extLst>
            <a:ext uri="{FF2B5EF4-FFF2-40B4-BE49-F238E27FC236}">
              <a16:creationId xmlns:a16="http://schemas.microsoft.com/office/drawing/2014/main" id="{BE459695-F3EC-45DE-A645-921966BE4AFD}"/>
            </a:ext>
          </a:extLst>
        </xdr:cNvPr>
        <xdr:cNvSpPr txBox="1"/>
      </xdr:nvSpPr>
      <xdr:spPr>
        <a:xfrm>
          <a:off x="13831949" y="957143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13C6E36-456E-4B5A-AE86-B2325BE25B5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3.000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64</xdr:col>
      <xdr:colOff>130903</xdr:colOff>
      <xdr:row>4</xdr:row>
      <xdr:rowOff>36614</xdr:rowOff>
    </xdr:from>
    <xdr:ext cx="444352" cy="224998"/>
    <xdr:sp macro="" textlink="$AF$8">
      <xdr:nvSpPr>
        <xdr:cNvPr id="18" name="テキスト ボックス 17">
          <a:extLst>
            <a:ext uri="{FF2B5EF4-FFF2-40B4-BE49-F238E27FC236}">
              <a16:creationId xmlns:a16="http://schemas.microsoft.com/office/drawing/2014/main" id="{35CFAF0E-4FE4-4EA8-91C7-3DB4785AABB2}"/>
            </a:ext>
          </a:extLst>
        </xdr:cNvPr>
        <xdr:cNvSpPr txBox="1"/>
      </xdr:nvSpPr>
      <xdr:spPr>
        <a:xfrm>
          <a:off x="14745919" y="950052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E8C3C4E-6670-4F9C-9094-5F445DB858D6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64</xdr:col>
      <xdr:colOff>67834</xdr:colOff>
      <xdr:row>5</xdr:row>
      <xdr:rowOff>170707</xdr:rowOff>
    </xdr:from>
    <xdr:ext cx="444352" cy="224998"/>
    <xdr:sp macro="" textlink="$AU$36">
      <xdr:nvSpPr>
        <xdr:cNvPr id="19" name="テキスト ボックス 18">
          <a:extLst>
            <a:ext uri="{FF2B5EF4-FFF2-40B4-BE49-F238E27FC236}">
              <a16:creationId xmlns:a16="http://schemas.microsoft.com/office/drawing/2014/main" id="{E544D501-D26C-4EB1-8230-2CDABF62CEF2}"/>
            </a:ext>
          </a:extLst>
        </xdr:cNvPr>
        <xdr:cNvSpPr txBox="1"/>
      </xdr:nvSpPr>
      <xdr:spPr>
        <a:xfrm>
          <a:off x="14682850" y="131250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3425398-8280-41FC-8469-4E03B2099DB9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57</xdr:col>
      <xdr:colOff>106001</xdr:colOff>
      <xdr:row>7</xdr:row>
      <xdr:rowOff>86128</xdr:rowOff>
    </xdr:from>
    <xdr:ext cx="224998" cy="444352"/>
    <xdr:sp macro="" textlink="$AU$19">
      <xdr:nvSpPr>
        <xdr:cNvPr id="20" name="テキスト ボックス 19">
          <a:extLst>
            <a:ext uri="{FF2B5EF4-FFF2-40B4-BE49-F238E27FC236}">
              <a16:creationId xmlns:a16="http://schemas.microsoft.com/office/drawing/2014/main" id="{F5D626D9-772B-45B0-A6CD-88020FEF3053}"/>
            </a:ext>
          </a:extLst>
        </xdr:cNvPr>
        <xdr:cNvSpPr txBox="1"/>
      </xdr:nvSpPr>
      <xdr:spPr>
        <a:xfrm rot="16200000">
          <a:off x="12787038" y="179600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CF86226-970F-4E6C-B367-4A60AA73BFD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0.600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57</xdr:col>
      <xdr:colOff>157731</xdr:colOff>
      <xdr:row>11</xdr:row>
      <xdr:rowOff>173308</xdr:rowOff>
    </xdr:from>
    <xdr:ext cx="224998" cy="444352"/>
    <xdr:sp macro="" textlink="$AF$7">
      <xdr:nvSpPr>
        <xdr:cNvPr id="21" name="テキスト ボックス 20">
          <a:extLst>
            <a:ext uri="{FF2B5EF4-FFF2-40B4-BE49-F238E27FC236}">
              <a16:creationId xmlns:a16="http://schemas.microsoft.com/office/drawing/2014/main" id="{E8D62E63-283F-4140-BA01-0E07111FECAB}"/>
            </a:ext>
          </a:extLst>
        </xdr:cNvPr>
        <xdr:cNvSpPr txBox="1"/>
      </xdr:nvSpPr>
      <xdr:spPr>
        <a:xfrm rot="16200000">
          <a:off x="12838768" y="279758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AFB0F6B-3A46-4CD0-B2A1-24271F11613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56</xdr:col>
      <xdr:colOff>28725</xdr:colOff>
      <xdr:row>10</xdr:row>
      <xdr:rowOff>80703</xdr:rowOff>
    </xdr:from>
    <xdr:ext cx="224998" cy="444352"/>
    <xdr:sp macro="" textlink="$AQ$20">
      <xdr:nvSpPr>
        <xdr:cNvPr id="22" name="テキスト ボックス 21">
          <a:extLst>
            <a:ext uri="{FF2B5EF4-FFF2-40B4-BE49-F238E27FC236}">
              <a16:creationId xmlns:a16="http://schemas.microsoft.com/office/drawing/2014/main" id="{BA65A4C4-B9DD-40D4-B3EB-AC76DBB68369}"/>
            </a:ext>
          </a:extLst>
        </xdr:cNvPr>
        <xdr:cNvSpPr txBox="1"/>
      </xdr:nvSpPr>
      <xdr:spPr>
        <a:xfrm rot="16200000">
          <a:off x="12492048" y="2476380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406C7C9-47DE-40F1-86F3-C2347CC6DB36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6.600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60</xdr:col>
      <xdr:colOff>193815</xdr:colOff>
      <xdr:row>18</xdr:row>
      <xdr:rowOff>180781</xdr:rowOff>
    </xdr:from>
    <xdr:ext cx="444352" cy="224998"/>
    <xdr:sp macro="" textlink="$AF$9">
      <xdr:nvSpPr>
        <xdr:cNvPr id="24" name="テキスト ボックス 23">
          <a:extLst>
            <a:ext uri="{FF2B5EF4-FFF2-40B4-BE49-F238E27FC236}">
              <a16:creationId xmlns:a16="http://schemas.microsoft.com/office/drawing/2014/main" id="{652757EC-D5D8-448E-8359-86D96A510074}"/>
            </a:ext>
          </a:extLst>
        </xdr:cNvPr>
        <xdr:cNvSpPr txBox="1"/>
      </xdr:nvSpPr>
      <xdr:spPr>
        <a:xfrm>
          <a:off x="13921449" y="4299071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5E9BC23-7040-49EF-9630-A6700EFEACA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62</xdr:col>
      <xdr:colOff>132955</xdr:colOff>
      <xdr:row>10</xdr:row>
      <xdr:rowOff>19703</xdr:rowOff>
    </xdr:from>
    <xdr:ext cx="224998" cy="444352"/>
    <xdr:sp macro="" textlink="$AF$10">
      <xdr:nvSpPr>
        <xdr:cNvPr id="25" name="テキスト ボックス 24">
          <a:extLst>
            <a:ext uri="{FF2B5EF4-FFF2-40B4-BE49-F238E27FC236}">
              <a16:creationId xmlns:a16="http://schemas.microsoft.com/office/drawing/2014/main" id="{7BEFFB58-43B3-4CE3-8A69-914514CDF6CF}"/>
            </a:ext>
          </a:extLst>
        </xdr:cNvPr>
        <xdr:cNvSpPr txBox="1"/>
      </xdr:nvSpPr>
      <xdr:spPr>
        <a:xfrm rot="17760000">
          <a:off x="13902564" y="2415380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1F4705D-348D-4604-8455-C4985DF1D87B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64</xdr:col>
      <xdr:colOff>146377</xdr:colOff>
      <xdr:row>10</xdr:row>
      <xdr:rowOff>208155</xdr:rowOff>
    </xdr:from>
    <xdr:ext cx="224998" cy="444352"/>
    <xdr:sp macro="" textlink="$AF$11">
      <xdr:nvSpPr>
        <xdr:cNvPr id="27" name="テキスト ボックス 26">
          <a:extLst>
            <a:ext uri="{FF2B5EF4-FFF2-40B4-BE49-F238E27FC236}">
              <a16:creationId xmlns:a16="http://schemas.microsoft.com/office/drawing/2014/main" id="{D77F8B63-9661-4328-BA57-2B260D0D7D83}"/>
            </a:ext>
          </a:extLst>
        </xdr:cNvPr>
        <xdr:cNvSpPr txBox="1"/>
      </xdr:nvSpPr>
      <xdr:spPr>
        <a:xfrm rot="17460000">
          <a:off x="14697966" y="260865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75CD14C-8DBD-4D74-B236-2EA923EB901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62</xdr:col>
      <xdr:colOff>90935</xdr:colOff>
      <xdr:row>21</xdr:row>
      <xdr:rowOff>33038</xdr:rowOff>
    </xdr:from>
    <xdr:ext cx="444352" cy="224998"/>
    <xdr:sp macro="" textlink="$AQ$37">
      <xdr:nvSpPr>
        <xdr:cNvPr id="28" name="テキスト ボックス 27">
          <a:extLst>
            <a:ext uri="{FF2B5EF4-FFF2-40B4-BE49-F238E27FC236}">
              <a16:creationId xmlns:a16="http://schemas.microsoft.com/office/drawing/2014/main" id="{2A963BB3-8856-4191-B164-06B313333EBF}"/>
            </a:ext>
          </a:extLst>
        </xdr:cNvPr>
        <xdr:cNvSpPr txBox="1"/>
      </xdr:nvSpPr>
      <xdr:spPr>
        <a:xfrm>
          <a:off x="14264135" y="483363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319E3DE-2CBC-43CC-B190-A10C0DAC0025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3.400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61</xdr:col>
      <xdr:colOff>178329</xdr:colOff>
      <xdr:row>22</xdr:row>
      <xdr:rowOff>188386</xdr:rowOff>
    </xdr:from>
    <xdr:ext cx="444352" cy="224998"/>
    <xdr:sp macro="" textlink="$AF$13">
      <xdr:nvSpPr>
        <xdr:cNvPr id="33" name="テキスト ボックス 32">
          <a:extLst>
            <a:ext uri="{FF2B5EF4-FFF2-40B4-BE49-F238E27FC236}">
              <a16:creationId xmlns:a16="http://schemas.microsoft.com/office/drawing/2014/main" id="{7E5BBFF9-742E-4643-932F-2AADB48D6338}"/>
            </a:ext>
          </a:extLst>
        </xdr:cNvPr>
        <xdr:cNvSpPr txBox="1"/>
      </xdr:nvSpPr>
      <xdr:spPr>
        <a:xfrm>
          <a:off x="13839900" y="5217586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71B9770-80C4-4915-B5EA-F7099547B0E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3.000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81673</xdr:colOff>
      <xdr:row>22</xdr:row>
      <xdr:rowOff>190806</xdr:rowOff>
    </xdr:from>
    <xdr:ext cx="444352" cy="224998"/>
    <xdr:sp macro="" textlink="$AU$36">
      <xdr:nvSpPr>
        <xdr:cNvPr id="34" name="テキスト ボックス 33">
          <a:extLst>
            <a:ext uri="{FF2B5EF4-FFF2-40B4-BE49-F238E27FC236}">
              <a16:creationId xmlns:a16="http://schemas.microsoft.com/office/drawing/2014/main" id="{A25BCEDD-86B2-4A4C-AE03-27B2F2A611D9}"/>
            </a:ext>
          </a:extLst>
        </xdr:cNvPr>
        <xdr:cNvSpPr txBox="1"/>
      </xdr:nvSpPr>
      <xdr:spPr>
        <a:xfrm>
          <a:off x="14940673" y="5220006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EC1B2F5-C6ED-43F8-A57C-EB6C220C5110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57</xdr:col>
      <xdr:colOff>127771</xdr:colOff>
      <xdr:row>24</xdr:row>
      <xdr:rowOff>100972</xdr:rowOff>
    </xdr:from>
    <xdr:ext cx="224998" cy="444352"/>
    <xdr:sp macro="" textlink="$AU$19">
      <xdr:nvSpPr>
        <xdr:cNvPr id="36" name="テキスト ボックス 35">
          <a:extLst>
            <a:ext uri="{FF2B5EF4-FFF2-40B4-BE49-F238E27FC236}">
              <a16:creationId xmlns:a16="http://schemas.microsoft.com/office/drawing/2014/main" id="{0B62B535-D510-439A-99DB-9EE3898A78C0}"/>
            </a:ext>
          </a:extLst>
        </xdr:cNvPr>
        <xdr:cNvSpPr txBox="1"/>
      </xdr:nvSpPr>
      <xdr:spPr>
        <a:xfrm rot="16200000">
          <a:off x="12808808" y="5697049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332218A-5BAF-4E9C-8BE8-5DDCB16FEE8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0.600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57</xdr:col>
      <xdr:colOff>157732</xdr:colOff>
      <xdr:row>28</xdr:row>
      <xdr:rowOff>155495</xdr:rowOff>
    </xdr:from>
    <xdr:ext cx="224998" cy="444352"/>
    <xdr:sp macro="" textlink="$AF$7">
      <xdr:nvSpPr>
        <xdr:cNvPr id="37" name="テキスト ボックス 36">
          <a:extLst>
            <a:ext uri="{FF2B5EF4-FFF2-40B4-BE49-F238E27FC236}">
              <a16:creationId xmlns:a16="http://schemas.microsoft.com/office/drawing/2014/main" id="{2817AFD7-30A2-47EC-8C56-A74204FC250E}"/>
            </a:ext>
          </a:extLst>
        </xdr:cNvPr>
        <xdr:cNvSpPr txBox="1"/>
      </xdr:nvSpPr>
      <xdr:spPr>
        <a:xfrm rot="16200000">
          <a:off x="12838769" y="6665972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80E3E88-E436-459C-8306-EAEBF9A0FBD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67</xdr:col>
      <xdr:colOff>45563</xdr:colOff>
      <xdr:row>6</xdr:row>
      <xdr:rowOff>162963</xdr:rowOff>
    </xdr:from>
    <xdr:ext cx="447558" cy="224998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BE1EEB2D-C034-46D0-B0D6-BAE35274E7D2}"/>
            </a:ext>
          </a:extLst>
        </xdr:cNvPr>
        <xdr:cNvSpPr txBox="1"/>
      </xdr:nvSpPr>
      <xdr:spPr>
        <a:xfrm>
          <a:off x="15013420" y="1534563"/>
          <a:ext cx="4475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kN/m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121763</xdr:colOff>
      <xdr:row>6</xdr:row>
      <xdr:rowOff>162963</xdr:rowOff>
    </xdr:from>
    <xdr:ext cx="242374" cy="224998"/>
    <xdr:sp macro="" textlink="$AQ$10">
      <xdr:nvSpPr>
        <xdr:cNvPr id="39" name="テキスト ボックス 38">
          <a:extLst>
            <a:ext uri="{FF2B5EF4-FFF2-40B4-BE49-F238E27FC236}">
              <a16:creationId xmlns:a16="http://schemas.microsoft.com/office/drawing/2014/main" id="{9984CE67-F60D-495C-912F-44CED62ABA93}"/>
            </a:ext>
          </a:extLst>
        </xdr:cNvPr>
        <xdr:cNvSpPr txBox="1"/>
      </xdr:nvSpPr>
      <xdr:spPr>
        <a:xfrm>
          <a:off x="14871906" y="1534563"/>
          <a:ext cx="24237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DB6FFC4-89B8-46D8-8B54-D6E338CCD211}" type="TxLink">
            <a:rPr kumimoji="1" lang="en-US" altLang="en-US" sz="9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pPr/>
            <a:t>3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60</xdr:col>
      <xdr:colOff>168286</xdr:colOff>
      <xdr:row>35</xdr:row>
      <xdr:rowOff>216504</xdr:rowOff>
    </xdr:from>
    <xdr:ext cx="444352" cy="224998"/>
    <xdr:sp macro="" textlink="$AF$9">
      <xdr:nvSpPr>
        <xdr:cNvPr id="42" name="テキスト ボックス 41">
          <a:extLst>
            <a:ext uri="{FF2B5EF4-FFF2-40B4-BE49-F238E27FC236}">
              <a16:creationId xmlns:a16="http://schemas.microsoft.com/office/drawing/2014/main" id="{36702C7C-93E9-4F1B-8694-95180AEA4484}"/>
            </a:ext>
          </a:extLst>
        </xdr:cNvPr>
        <xdr:cNvSpPr txBox="1"/>
      </xdr:nvSpPr>
      <xdr:spPr>
        <a:xfrm>
          <a:off x="13837152" y="8190009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D017E16-EBF4-41C6-BAC1-93EE6B46299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62</xdr:col>
      <xdr:colOff>103267</xdr:colOff>
      <xdr:row>27</xdr:row>
      <xdr:rowOff>72151</xdr:rowOff>
    </xdr:from>
    <xdr:ext cx="224998" cy="444352"/>
    <xdr:sp macro="" textlink="$AF$10">
      <xdr:nvSpPr>
        <xdr:cNvPr id="44" name="テキスト ボックス 43">
          <a:extLst>
            <a:ext uri="{FF2B5EF4-FFF2-40B4-BE49-F238E27FC236}">
              <a16:creationId xmlns:a16="http://schemas.microsoft.com/office/drawing/2014/main" id="{BD8C7CC5-1AC5-D342-481C-9C78F6319B3B}"/>
            </a:ext>
          </a:extLst>
        </xdr:cNvPr>
        <xdr:cNvSpPr txBox="1"/>
      </xdr:nvSpPr>
      <xdr:spPr>
        <a:xfrm rot="17760000">
          <a:off x="13872876" y="635402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4BB98D5-F0A4-4515-A5F4-C776F862CE9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64</xdr:col>
      <xdr:colOff>160986</xdr:colOff>
      <xdr:row>27</xdr:row>
      <xdr:rowOff>212076</xdr:rowOff>
    </xdr:from>
    <xdr:ext cx="224998" cy="444352"/>
    <xdr:sp macro="" textlink="$AF$11">
      <xdr:nvSpPr>
        <xdr:cNvPr id="45" name="テキスト ボックス 44">
          <a:extLst>
            <a:ext uri="{FF2B5EF4-FFF2-40B4-BE49-F238E27FC236}">
              <a16:creationId xmlns:a16="http://schemas.microsoft.com/office/drawing/2014/main" id="{1EDB520A-B4DE-4E58-85BE-E8B38C48C97A}"/>
            </a:ext>
          </a:extLst>
        </xdr:cNvPr>
        <xdr:cNvSpPr txBox="1"/>
      </xdr:nvSpPr>
      <xdr:spPr>
        <a:xfrm rot="17460000">
          <a:off x="14681709" y="6493953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EA2E4B0-8DDA-47E1-AB9D-98277D96C29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67</xdr:col>
      <xdr:colOff>39798</xdr:colOff>
      <xdr:row>24</xdr:row>
      <xdr:rowOff>185447</xdr:rowOff>
    </xdr:from>
    <xdr:ext cx="447558" cy="224998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1004EBAC-EBD7-47E2-8DFE-9E93D398A139}"/>
            </a:ext>
          </a:extLst>
        </xdr:cNvPr>
        <xdr:cNvSpPr txBox="1"/>
      </xdr:nvSpPr>
      <xdr:spPr>
        <a:xfrm>
          <a:off x="15007655" y="5671847"/>
          <a:ext cx="4475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kN/m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83340</xdr:colOff>
      <xdr:row>24</xdr:row>
      <xdr:rowOff>185446</xdr:rowOff>
    </xdr:from>
    <xdr:ext cx="328936" cy="224998"/>
    <xdr:sp macro="" textlink="$AQ$27">
      <xdr:nvSpPr>
        <xdr:cNvPr id="48" name="テキスト ボックス 47">
          <a:extLst>
            <a:ext uri="{FF2B5EF4-FFF2-40B4-BE49-F238E27FC236}">
              <a16:creationId xmlns:a16="http://schemas.microsoft.com/office/drawing/2014/main" id="{2CB04F13-404A-43F3-97F8-ADC3D7E91265}"/>
            </a:ext>
          </a:extLst>
        </xdr:cNvPr>
        <xdr:cNvSpPr txBox="1"/>
      </xdr:nvSpPr>
      <xdr:spPr>
        <a:xfrm>
          <a:off x="14833483" y="5671846"/>
          <a:ext cx="32893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2A5F031-558D-4DB1-A33D-B801EC768A38}" type="TxLink">
            <a:rPr kumimoji="1" lang="en-US" altLang="en-US" sz="9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pPr/>
            <a:t>2.5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7</xdr:col>
      <xdr:colOff>107678</xdr:colOff>
      <xdr:row>6</xdr:row>
      <xdr:rowOff>39867</xdr:rowOff>
    </xdr:from>
    <xdr:to>
      <xdr:col>11</xdr:col>
      <xdr:colOff>6844</xdr:colOff>
      <xdr:row>15</xdr:row>
      <xdr:rowOff>100610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8B4850F-4169-4096-9FFB-669B0E615939}"/>
            </a:ext>
          </a:extLst>
        </xdr:cNvPr>
        <xdr:cNvCxnSpPr/>
      </xdr:nvCxnSpPr>
      <xdr:spPr>
        <a:xfrm flipH="1">
          <a:off x="1704481" y="1408555"/>
          <a:ext cx="811624" cy="21137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104281</xdr:colOff>
      <xdr:row>6</xdr:row>
      <xdr:rowOff>36955</xdr:rowOff>
    </xdr:from>
    <xdr:to>
      <xdr:col>11</xdr:col>
      <xdr:colOff>3447</xdr:colOff>
      <xdr:row>15</xdr:row>
      <xdr:rowOff>97698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51019CC5-F703-4510-A0FD-F2C837EF1972}"/>
            </a:ext>
          </a:extLst>
        </xdr:cNvPr>
        <xdr:cNvCxnSpPr/>
      </xdr:nvCxnSpPr>
      <xdr:spPr>
        <a:xfrm flipH="1">
          <a:off x="1704481" y="1408555"/>
          <a:ext cx="813566" cy="211814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106261</xdr:colOff>
      <xdr:row>8</xdr:row>
      <xdr:rowOff>127010</xdr:rowOff>
    </xdr:from>
    <xdr:to>
      <xdr:col>66</xdr:col>
      <xdr:colOff>5426</xdr:colOff>
      <xdr:row>17</xdr:row>
      <xdr:rowOff>186763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D6A48892-40BB-4943-8EBF-317BE0ABCD25}"/>
            </a:ext>
          </a:extLst>
        </xdr:cNvPr>
        <xdr:cNvCxnSpPr/>
      </xdr:nvCxnSpPr>
      <xdr:spPr>
        <a:xfrm flipH="1">
          <a:off x="14218105" y="1947893"/>
          <a:ext cx="809607" cy="210824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44106</xdr:colOff>
      <xdr:row>18</xdr:row>
      <xdr:rowOff>21620</xdr:rowOff>
    </xdr:from>
    <xdr:to>
      <xdr:col>60</xdr:col>
      <xdr:colOff>44106</xdr:colOff>
      <xdr:row>19</xdr:row>
      <xdr:rowOff>19389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D31EC122-4A8C-2891-AF12-0AC731970B6B}"/>
            </a:ext>
          </a:extLst>
        </xdr:cNvPr>
        <xdr:cNvCxnSpPr/>
      </xdr:nvCxnSpPr>
      <xdr:spPr>
        <a:xfrm>
          <a:off x="13771740" y="4139910"/>
          <a:ext cx="0" cy="226563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94210</xdr:colOff>
      <xdr:row>25</xdr:row>
      <xdr:rowOff>159434</xdr:rowOff>
    </xdr:from>
    <xdr:to>
      <xdr:col>65</xdr:col>
      <xdr:colOff>221975</xdr:colOff>
      <xdr:row>34</xdr:row>
      <xdr:rowOff>219187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8DA1AE30-AE00-470B-B258-AED9403E5F63}"/>
            </a:ext>
          </a:extLst>
        </xdr:cNvPr>
        <xdr:cNvCxnSpPr/>
      </xdr:nvCxnSpPr>
      <xdr:spPr>
        <a:xfrm flipH="1">
          <a:off x="14267410" y="5874434"/>
          <a:ext cx="813565" cy="211715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58</xdr:col>
      <xdr:colOff>75731</xdr:colOff>
      <xdr:row>29</xdr:row>
      <xdr:rowOff>141088</xdr:rowOff>
    </xdr:from>
    <xdr:ext cx="376834" cy="224998"/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4E2732E1-3E52-4818-A561-BFB27E06E585}"/>
            </a:ext>
          </a:extLst>
        </xdr:cNvPr>
        <xdr:cNvSpPr txBox="1"/>
      </xdr:nvSpPr>
      <xdr:spPr>
        <a:xfrm>
          <a:off x="13334531" y="6770488"/>
          <a:ext cx="37683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21</xdr:col>
      <xdr:colOff>47423</xdr:colOff>
      <xdr:row>16</xdr:row>
      <xdr:rowOff>114252</xdr:rowOff>
    </xdr:from>
    <xdr:ext cx="224998" cy="361959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B3BD1891-5573-4A1E-BCC2-245E0FA76FEE}"/>
            </a:ext>
          </a:extLst>
        </xdr:cNvPr>
        <xdr:cNvSpPr txBox="1"/>
      </xdr:nvSpPr>
      <xdr:spPr>
        <a:xfrm rot="16200000">
          <a:off x="4779542" y="3840333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14323</xdr:colOff>
      <xdr:row>12</xdr:row>
      <xdr:rowOff>8032</xdr:rowOff>
    </xdr:from>
    <xdr:to>
      <xdr:col>28</xdr:col>
      <xdr:colOff>200945</xdr:colOff>
      <xdr:row>12</xdr:row>
      <xdr:rowOff>8032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CFD76C63-E126-4A0D-94DC-D9F1646D8CC4}"/>
            </a:ext>
          </a:extLst>
        </xdr:cNvPr>
        <xdr:cNvCxnSpPr/>
      </xdr:nvCxnSpPr>
      <xdr:spPr>
        <a:xfrm>
          <a:off x="6383278" y="2737584"/>
          <a:ext cx="186622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1375</xdr:colOff>
      <xdr:row>15</xdr:row>
      <xdr:rowOff>130766</xdr:rowOff>
    </xdr:from>
    <xdr:ext cx="285527" cy="743473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DE2800B8-14BB-4868-A5B9-9837CC4E42DC}"/>
            </a:ext>
          </a:extLst>
        </xdr:cNvPr>
        <xdr:cNvSpPr txBox="1"/>
      </xdr:nvSpPr>
      <xdr:spPr>
        <a:xfrm rot="17760000">
          <a:off x="5209375" y="3757847"/>
          <a:ext cx="743473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twoCellAnchor editAs="oneCell">
    <xdr:from>
      <xdr:col>25</xdr:col>
      <xdr:colOff>107279</xdr:colOff>
      <xdr:row>11</xdr:row>
      <xdr:rowOff>125691</xdr:rowOff>
    </xdr:from>
    <xdr:to>
      <xdr:col>25</xdr:col>
      <xdr:colOff>107279</xdr:colOff>
      <xdr:row>21</xdr:row>
      <xdr:rowOff>142647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061BE82F-0429-407B-B94A-28647756A692}"/>
            </a:ext>
          </a:extLst>
        </xdr:cNvPr>
        <xdr:cNvCxnSpPr/>
      </xdr:nvCxnSpPr>
      <xdr:spPr>
        <a:xfrm rot="6960000">
          <a:off x="4648055" y="3773572"/>
          <a:ext cx="2291582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182277</xdr:colOff>
      <xdr:row>15</xdr:row>
      <xdr:rowOff>152829</xdr:rowOff>
    </xdr:from>
    <xdr:ext cx="285527" cy="756297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B2AFDF-5224-4E23-B05C-678681ABE3E7}"/>
            </a:ext>
          </a:extLst>
        </xdr:cNvPr>
        <xdr:cNvSpPr txBox="1"/>
      </xdr:nvSpPr>
      <xdr:spPr>
        <a:xfrm rot="17460000">
          <a:off x="5836946" y="3786322"/>
          <a:ext cx="756297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twoCellAnchor editAs="oneCell">
    <xdr:from>
      <xdr:col>21</xdr:col>
      <xdr:colOff>209239</xdr:colOff>
      <xdr:row>12</xdr:row>
      <xdr:rowOff>11749</xdr:rowOff>
    </xdr:from>
    <xdr:to>
      <xdr:col>27</xdr:col>
      <xdr:colOff>30941</xdr:colOff>
      <xdr:row>12</xdr:row>
      <xdr:rowOff>11749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5B651C56-6FFD-4AEB-8C99-63E9D13542B0}"/>
            </a:ext>
          </a:extLst>
        </xdr:cNvPr>
        <xdr:cNvCxnSpPr/>
      </xdr:nvCxnSpPr>
      <xdr:spPr>
        <a:xfrm>
          <a:off x="5009839" y="2754949"/>
          <a:ext cx="119330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32436</xdr:colOff>
      <xdr:row>12</xdr:row>
      <xdr:rowOff>12576</xdr:rowOff>
    </xdr:from>
    <xdr:to>
      <xdr:col>22</xdr:col>
      <xdr:colOff>32436</xdr:colOff>
      <xdr:row>21</xdr:row>
      <xdr:rowOff>24658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E35034CE-E55B-4CB2-A84E-A82D6DF42619}"/>
            </a:ext>
          </a:extLst>
        </xdr:cNvPr>
        <xdr:cNvCxnSpPr/>
      </xdr:nvCxnSpPr>
      <xdr:spPr>
        <a:xfrm>
          <a:off x="5061636" y="2755776"/>
          <a:ext cx="0" cy="2069482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1178</xdr:colOff>
      <xdr:row>21</xdr:row>
      <xdr:rowOff>26484</xdr:rowOff>
    </xdr:from>
    <xdr:to>
      <xdr:col>22</xdr:col>
      <xdr:colOff>156261</xdr:colOff>
      <xdr:row>21</xdr:row>
      <xdr:rowOff>26484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09AF44D0-A9BD-429D-BD59-D7E03516FA77}"/>
            </a:ext>
          </a:extLst>
        </xdr:cNvPr>
        <xdr:cNvCxnSpPr/>
      </xdr:nvCxnSpPr>
      <xdr:spPr>
        <a:xfrm>
          <a:off x="5030378" y="4827084"/>
          <a:ext cx="15508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223682</xdr:colOff>
      <xdr:row>21</xdr:row>
      <xdr:rowOff>202420</xdr:rowOff>
    </xdr:from>
    <xdr:ext cx="349135" cy="224998"/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80FBE8DE-98A6-453C-926E-F5426E253AE5}"/>
            </a:ext>
          </a:extLst>
        </xdr:cNvPr>
        <xdr:cNvSpPr txBox="1"/>
      </xdr:nvSpPr>
      <xdr:spPr>
        <a:xfrm>
          <a:off x="5227861" y="4979136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23</xdr:col>
      <xdr:colOff>63028</xdr:colOff>
      <xdr:row>21</xdr:row>
      <xdr:rowOff>168421</xdr:rowOff>
    </xdr:from>
    <xdr:to>
      <xdr:col>25</xdr:col>
      <xdr:colOff>112103</xdr:colOff>
      <xdr:row>21</xdr:row>
      <xdr:rowOff>168421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D8BD09B6-ECC1-4FC0-8014-33B52473AF89}"/>
            </a:ext>
          </a:extLst>
        </xdr:cNvPr>
        <xdr:cNvCxnSpPr/>
      </xdr:nvCxnSpPr>
      <xdr:spPr>
        <a:xfrm>
          <a:off x="5294670" y="4945137"/>
          <a:ext cx="504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71463</xdr:colOff>
      <xdr:row>21</xdr:row>
      <xdr:rowOff>23003</xdr:rowOff>
    </xdr:from>
    <xdr:to>
      <xdr:col>25</xdr:col>
      <xdr:colOff>120538</xdr:colOff>
      <xdr:row>21</xdr:row>
      <xdr:rowOff>23003</xdr:rowOff>
    </xdr:to>
    <xdr:cxnSp macro="">
      <xdr:nvCxnSpPr>
        <xdr:cNvPr id="143" name="直線コネクタ 142">
          <a:extLst>
            <a:ext uri="{FF2B5EF4-FFF2-40B4-BE49-F238E27FC236}">
              <a16:creationId xmlns:a16="http://schemas.microsoft.com/office/drawing/2014/main" id="{E5B7D42E-E025-4A24-AC28-52607FAFC211}"/>
            </a:ext>
          </a:extLst>
        </xdr:cNvPr>
        <xdr:cNvCxnSpPr/>
      </xdr:nvCxnSpPr>
      <xdr:spPr>
        <a:xfrm>
          <a:off x="5303105" y="4799719"/>
          <a:ext cx="504000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59244</xdr:colOff>
      <xdr:row>10</xdr:row>
      <xdr:rowOff>221314</xdr:rowOff>
    </xdr:from>
    <xdr:to>
      <xdr:col>28</xdr:col>
      <xdr:colOff>97706</xdr:colOff>
      <xdr:row>12</xdr:row>
      <xdr:rowOff>9186</xdr:rowOff>
    </xdr:to>
    <xdr:sp macro="" textlink="">
      <xdr:nvSpPr>
        <xdr:cNvPr id="145" name="正方形/長方形 144">
          <a:extLst>
            <a:ext uri="{FF2B5EF4-FFF2-40B4-BE49-F238E27FC236}">
              <a16:creationId xmlns:a16="http://schemas.microsoft.com/office/drawing/2014/main" id="{CE5BF7BE-DE17-4FD6-BA28-A45AB36A207A}"/>
            </a:ext>
          </a:extLst>
        </xdr:cNvPr>
        <xdr:cNvSpPr/>
      </xdr:nvSpPr>
      <xdr:spPr>
        <a:xfrm>
          <a:off x="6428199" y="2495941"/>
          <a:ext cx="38462" cy="242797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103907</xdr:colOff>
      <xdr:row>11</xdr:row>
      <xdr:rowOff>9178</xdr:rowOff>
    </xdr:from>
    <xdr:to>
      <xdr:col>28</xdr:col>
      <xdr:colOff>103907</xdr:colOff>
      <xdr:row>11</xdr:row>
      <xdr:rowOff>47960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41E1A0C0-B15C-4E24-908C-D891B11E7B0C}"/>
            </a:ext>
          </a:extLst>
        </xdr:cNvPr>
        <xdr:cNvCxnSpPr/>
      </xdr:nvCxnSpPr>
      <xdr:spPr>
        <a:xfrm>
          <a:off x="6472862" y="2511268"/>
          <a:ext cx="0" cy="3878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126767</xdr:colOff>
      <xdr:row>10</xdr:row>
      <xdr:rowOff>199678</xdr:rowOff>
    </xdr:from>
    <xdr:to>
      <xdr:col>28</xdr:col>
      <xdr:colOff>126767</xdr:colOff>
      <xdr:row>11</xdr:row>
      <xdr:rowOff>1015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31A49F21-6B63-4F2D-A663-37B4B5DBD8D6}"/>
            </a:ext>
          </a:extLst>
        </xdr:cNvPr>
        <xdr:cNvCxnSpPr/>
      </xdr:nvCxnSpPr>
      <xdr:spPr>
        <a:xfrm>
          <a:off x="6495722" y="2474305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103482</xdr:colOff>
      <xdr:row>11</xdr:row>
      <xdr:rowOff>7487</xdr:rowOff>
    </xdr:from>
    <xdr:to>
      <xdr:col>28</xdr:col>
      <xdr:colOff>132282</xdr:colOff>
      <xdr:row>11</xdr:row>
      <xdr:rowOff>7487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2920D1C8-CAA7-4B4A-B206-BA711457D30C}"/>
            </a:ext>
          </a:extLst>
        </xdr:cNvPr>
        <xdr:cNvCxnSpPr/>
      </xdr:nvCxnSpPr>
      <xdr:spPr>
        <a:xfrm rot="2700000">
          <a:off x="6486837" y="2495177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116601</xdr:colOff>
      <xdr:row>10</xdr:row>
      <xdr:rowOff>177872</xdr:rowOff>
    </xdr:from>
    <xdr:to>
      <xdr:col>28</xdr:col>
      <xdr:colOff>116601</xdr:colOff>
      <xdr:row>10</xdr:row>
      <xdr:rowOff>206672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AC4442B5-B886-4CFC-8BA7-9DE0EF32F48B}"/>
            </a:ext>
          </a:extLst>
        </xdr:cNvPr>
        <xdr:cNvCxnSpPr/>
      </xdr:nvCxnSpPr>
      <xdr:spPr>
        <a:xfrm rot="18900000">
          <a:off x="6485556" y="2452499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128672</xdr:colOff>
      <xdr:row>11</xdr:row>
      <xdr:rowOff>60613</xdr:rowOff>
    </xdr:from>
    <xdr:to>
      <xdr:col>28</xdr:col>
      <xdr:colOff>128672</xdr:colOff>
      <xdr:row>11</xdr:row>
      <xdr:rowOff>89413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1286E390-4B97-4718-9026-AECC9341694F}"/>
            </a:ext>
          </a:extLst>
        </xdr:cNvPr>
        <xdr:cNvCxnSpPr/>
      </xdr:nvCxnSpPr>
      <xdr:spPr>
        <a:xfrm>
          <a:off x="6497627" y="2562703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109843</xdr:colOff>
      <xdr:row>11</xdr:row>
      <xdr:rowOff>94794</xdr:rowOff>
    </xdr:from>
    <xdr:to>
      <xdr:col>28</xdr:col>
      <xdr:colOff>131023</xdr:colOff>
      <xdr:row>11</xdr:row>
      <xdr:rowOff>94794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F0E71892-8BAD-4176-B00F-0A2083ED5680}"/>
            </a:ext>
          </a:extLst>
        </xdr:cNvPr>
        <xdr:cNvCxnSpPr/>
      </xdr:nvCxnSpPr>
      <xdr:spPr>
        <a:xfrm rot="2700000">
          <a:off x="6546187" y="2608608"/>
          <a:ext cx="0" cy="2118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118506</xdr:colOff>
      <xdr:row>11</xdr:row>
      <xdr:rowOff>38807</xdr:rowOff>
    </xdr:from>
    <xdr:to>
      <xdr:col>28</xdr:col>
      <xdr:colOff>118506</xdr:colOff>
      <xdr:row>11</xdr:row>
      <xdr:rowOff>67607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14A19551-C5B9-40B3-A1DC-AC24AEE439A4}"/>
            </a:ext>
          </a:extLst>
        </xdr:cNvPr>
        <xdr:cNvCxnSpPr/>
      </xdr:nvCxnSpPr>
      <xdr:spPr>
        <a:xfrm rot="18900000">
          <a:off x="6487461" y="2540897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120955</xdr:colOff>
      <xdr:row>21</xdr:row>
      <xdr:rowOff>87518</xdr:rowOff>
    </xdr:from>
    <xdr:to>
      <xdr:col>25</xdr:col>
      <xdr:colOff>120955</xdr:colOff>
      <xdr:row>21</xdr:row>
      <xdr:rowOff>223672</xdr:rowOff>
    </xdr:to>
    <xdr:cxnSp macro="">
      <xdr:nvCxnSpPr>
        <xdr:cNvPr id="174" name="直線コネクタ 173">
          <a:extLst>
            <a:ext uri="{FF2B5EF4-FFF2-40B4-BE49-F238E27FC236}">
              <a16:creationId xmlns:a16="http://schemas.microsoft.com/office/drawing/2014/main" id="{FCB69709-248D-4CCC-8B51-877B54CB791E}"/>
            </a:ext>
          </a:extLst>
        </xdr:cNvPr>
        <xdr:cNvCxnSpPr/>
      </xdr:nvCxnSpPr>
      <xdr:spPr>
        <a:xfrm>
          <a:off x="5807522" y="4864234"/>
          <a:ext cx="0" cy="136154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154183</xdr:colOff>
      <xdr:row>12</xdr:row>
      <xdr:rowOff>8668</xdr:rowOff>
    </xdr:from>
    <xdr:to>
      <xdr:col>28</xdr:col>
      <xdr:colOff>214721</xdr:colOff>
      <xdr:row>12</xdr:row>
      <xdr:rowOff>8668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9561A9F0-7011-13C0-D4D1-69E4FB752CC2}"/>
            </a:ext>
          </a:extLst>
        </xdr:cNvPr>
        <xdr:cNvCxnSpPr/>
      </xdr:nvCxnSpPr>
      <xdr:spPr>
        <a:xfrm>
          <a:off x="6295676" y="2738220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128735</xdr:colOff>
      <xdr:row>9</xdr:row>
      <xdr:rowOff>117786</xdr:rowOff>
    </xdr:from>
    <xdr:ext cx="336311" cy="224998"/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EAB03692-282D-E743-6E02-753A1DFBCFEC}"/>
            </a:ext>
          </a:extLst>
        </xdr:cNvPr>
        <xdr:cNvSpPr txBox="1"/>
      </xdr:nvSpPr>
      <xdr:spPr>
        <a:xfrm>
          <a:off x="6072335" y="2175186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27</xdr:col>
      <xdr:colOff>162139</xdr:colOff>
      <xdr:row>10</xdr:row>
      <xdr:rowOff>88913</xdr:rowOff>
    </xdr:from>
    <xdr:to>
      <xdr:col>27</xdr:col>
      <xdr:colOff>162139</xdr:colOff>
      <xdr:row>11</xdr:row>
      <xdr:rowOff>22312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5F2F81B2-04C7-C636-4AE6-1330817BAA04}"/>
            </a:ext>
          </a:extLst>
        </xdr:cNvPr>
        <xdr:cNvCxnSpPr/>
      </xdr:nvCxnSpPr>
      <xdr:spPr>
        <a:xfrm>
          <a:off x="6334339" y="2374913"/>
          <a:ext cx="0" cy="16199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225145</xdr:colOff>
      <xdr:row>10</xdr:row>
      <xdr:rowOff>88913</xdr:rowOff>
    </xdr:from>
    <xdr:to>
      <xdr:col>28</xdr:col>
      <xdr:colOff>225145</xdr:colOff>
      <xdr:row>11</xdr:row>
      <xdr:rowOff>22312</xdr:rowOff>
    </xdr:to>
    <xdr:cxnSp macro="">
      <xdr:nvCxnSpPr>
        <xdr:cNvPr id="179" name="直線コネクタ 178">
          <a:extLst>
            <a:ext uri="{FF2B5EF4-FFF2-40B4-BE49-F238E27FC236}">
              <a16:creationId xmlns:a16="http://schemas.microsoft.com/office/drawing/2014/main" id="{B2D53AA5-3E74-492F-43A7-130A928596F3}"/>
            </a:ext>
          </a:extLst>
        </xdr:cNvPr>
        <xdr:cNvCxnSpPr/>
      </xdr:nvCxnSpPr>
      <xdr:spPr>
        <a:xfrm>
          <a:off x="6594100" y="2363540"/>
          <a:ext cx="0" cy="16086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169273</xdr:colOff>
      <xdr:row>10</xdr:row>
      <xdr:rowOff>133235</xdr:rowOff>
    </xdr:from>
    <xdr:to>
      <xdr:col>29</xdr:col>
      <xdr:colOff>0</xdr:colOff>
      <xdr:row>10</xdr:row>
      <xdr:rowOff>133235</xdr:rowOff>
    </xdr:to>
    <xdr:cxnSp macro="">
      <xdr:nvCxnSpPr>
        <xdr:cNvPr id="180" name="直線コネクタ 179">
          <a:extLst>
            <a:ext uri="{FF2B5EF4-FFF2-40B4-BE49-F238E27FC236}">
              <a16:creationId xmlns:a16="http://schemas.microsoft.com/office/drawing/2014/main" id="{C13A5A07-18EB-F805-0123-F8874A4F5166}"/>
            </a:ext>
          </a:extLst>
        </xdr:cNvPr>
        <xdr:cNvCxnSpPr/>
      </xdr:nvCxnSpPr>
      <xdr:spPr>
        <a:xfrm>
          <a:off x="6310766" y="2407862"/>
          <a:ext cx="285652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143148</xdr:colOff>
      <xdr:row>12</xdr:row>
      <xdr:rowOff>22280</xdr:rowOff>
    </xdr:from>
    <xdr:to>
      <xdr:col>33</xdr:col>
      <xdr:colOff>192497</xdr:colOff>
      <xdr:row>21</xdr:row>
      <xdr:rowOff>24788</xdr:rowOff>
    </xdr:to>
    <xdr:cxnSp macro="">
      <xdr:nvCxnSpPr>
        <xdr:cNvPr id="181" name="直線コネクタ 180">
          <a:extLst>
            <a:ext uri="{FF2B5EF4-FFF2-40B4-BE49-F238E27FC236}">
              <a16:creationId xmlns:a16="http://schemas.microsoft.com/office/drawing/2014/main" id="{116AD06F-C956-F562-981D-3CCA71D54262}"/>
            </a:ext>
          </a:extLst>
        </xdr:cNvPr>
        <xdr:cNvCxnSpPr/>
      </xdr:nvCxnSpPr>
      <xdr:spPr>
        <a:xfrm flipV="1">
          <a:off x="5880429" y="2776175"/>
          <a:ext cx="1885279" cy="2067929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113420</xdr:colOff>
      <xdr:row>12</xdr:row>
      <xdr:rowOff>8668</xdr:rowOff>
    </xdr:from>
    <xdr:to>
      <xdr:col>34</xdr:col>
      <xdr:colOff>43538</xdr:colOff>
      <xdr:row>12</xdr:row>
      <xdr:rowOff>8668</xdr:rowOff>
    </xdr:to>
    <xdr:cxnSp macro="">
      <xdr:nvCxnSpPr>
        <xdr:cNvPr id="182" name="直線コネクタ 181">
          <a:extLst>
            <a:ext uri="{FF2B5EF4-FFF2-40B4-BE49-F238E27FC236}">
              <a16:creationId xmlns:a16="http://schemas.microsoft.com/office/drawing/2014/main" id="{12D656C1-3C12-9323-A69F-BA3762B23F88}"/>
            </a:ext>
          </a:extLst>
        </xdr:cNvPr>
        <xdr:cNvCxnSpPr/>
      </xdr:nvCxnSpPr>
      <xdr:spPr>
        <a:xfrm>
          <a:off x="6514220" y="2751868"/>
          <a:ext cx="1301718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222502</xdr:colOff>
      <xdr:row>9</xdr:row>
      <xdr:rowOff>117786</xdr:rowOff>
    </xdr:from>
    <xdr:ext cx="309700" cy="224998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E01FFE58-18A9-166C-6765-A81B407F6F4F}"/>
            </a:ext>
          </a:extLst>
        </xdr:cNvPr>
        <xdr:cNvSpPr txBox="1"/>
      </xdr:nvSpPr>
      <xdr:spPr>
        <a:xfrm>
          <a:off x="6851902" y="2175186"/>
          <a:ext cx="30970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u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25</xdr:col>
      <xdr:colOff>96486</xdr:colOff>
      <xdr:row>20</xdr:row>
      <xdr:rowOff>120179</xdr:rowOff>
    </xdr:from>
    <xdr:to>
      <xdr:col>26</xdr:col>
      <xdr:colOff>103994</xdr:colOff>
      <xdr:row>21</xdr:row>
      <xdr:rowOff>115407</xdr:rowOff>
    </xdr:to>
    <xdr:sp macro="" textlink="">
      <xdr:nvSpPr>
        <xdr:cNvPr id="184" name="円弧 183">
          <a:extLst>
            <a:ext uri="{FF2B5EF4-FFF2-40B4-BE49-F238E27FC236}">
              <a16:creationId xmlns:a16="http://schemas.microsoft.com/office/drawing/2014/main" id="{91E1D362-0685-B811-5DC0-37039817A01D}"/>
            </a:ext>
          </a:extLst>
        </xdr:cNvPr>
        <xdr:cNvSpPr/>
      </xdr:nvSpPr>
      <xdr:spPr>
        <a:xfrm rot="1800000">
          <a:off x="5783053" y="4669433"/>
          <a:ext cx="234971" cy="222690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147803</xdr:colOff>
      <xdr:row>21</xdr:row>
      <xdr:rowOff>22952</xdr:rowOff>
    </xdr:from>
    <xdr:to>
      <xdr:col>28</xdr:col>
      <xdr:colOff>15874</xdr:colOff>
      <xdr:row>21</xdr:row>
      <xdr:rowOff>22952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A69DAE19-0DF4-8BD6-F870-07D472475954}"/>
            </a:ext>
          </a:extLst>
        </xdr:cNvPr>
        <xdr:cNvCxnSpPr/>
      </xdr:nvCxnSpPr>
      <xdr:spPr>
        <a:xfrm>
          <a:off x="5834370" y="4799668"/>
          <a:ext cx="550459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53831</xdr:colOff>
      <xdr:row>20</xdr:row>
      <xdr:rowOff>8277</xdr:rowOff>
    </xdr:from>
    <xdr:ext cx="300082" cy="242374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C2EB73B9-CE8E-DA5C-9228-AFD51379F4B6}"/>
            </a:ext>
          </a:extLst>
        </xdr:cNvPr>
        <xdr:cNvSpPr txBox="1"/>
      </xdr:nvSpPr>
      <xdr:spPr>
        <a:xfrm>
          <a:off x="5967861" y="4557531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ω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82753</xdr:colOff>
      <xdr:row>12</xdr:row>
      <xdr:rowOff>149661</xdr:rowOff>
    </xdr:from>
    <xdr:to>
      <xdr:col>29</xdr:col>
      <xdr:colOff>87986</xdr:colOff>
      <xdr:row>13</xdr:row>
      <xdr:rowOff>145803</xdr:rowOff>
    </xdr:to>
    <xdr:sp macro="" textlink="">
      <xdr:nvSpPr>
        <xdr:cNvPr id="187" name="円弧 186">
          <a:extLst>
            <a:ext uri="{FF2B5EF4-FFF2-40B4-BE49-F238E27FC236}">
              <a16:creationId xmlns:a16="http://schemas.microsoft.com/office/drawing/2014/main" id="{F2E7AC77-3F8A-3A7E-FF20-7FEAE1C42347}"/>
            </a:ext>
          </a:extLst>
        </xdr:cNvPr>
        <xdr:cNvSpPr/>
      </xdr:nvSpPr>
      <xdr:spPr>
        <a:xfrm rot="9761260">
          <a:off x="6451708" y="2879213"/>
          <a:ext cx="232696" cy="223605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29</xdr:col>
      <xdr:colOff>2466</xdr:colOff>
      <xdr:row>12</xdr:row>
      <xdr:rowOff>9495</xdr:rowOff>
    </xdr:from>
    <xdr:to>
      <xdr:col>29</xdr:col>
      <xdr:colOff>2466</xdr:colOff>
      <xdr:row>14</xdr:row>
      <xdr:rowOff>212518</xdr:rowOff>
    </xdr:to>
    <xdr:cxnSp macro="">
      <xdr:nvCxnSpPr>
        <xdr:cNvPr id="188" name="直線コネクタ 187">
          <a:extLst>
            <a:ext uri="{FF2B5EF4-FFF2-40B4-BE49-F238E27FC236}">
              <a16:creationId xmlns:a16="http://schemas.microsoft.com/office/drawing/2014/main" id="{677EF278-D3C1-9816-FE29-1DBCBBD02251}"/>
            </a:ext>
          </a:extLst>
        </xdr:cNvPr>
        <xdr:cNvCxnSpPr/>
      </xdr:nvCxnSpPr>
      <xdr:spPr>
        <a:xfrm>
          <a:off x="6598884" y="2739047"/>
          <a:ext cx="0" cy="657949"/>
        </a:xfrm>
        <a:prstGeom prst="line">
          <a:avLst/>
        </a:prstGeom>
        <a:ln w="3175">
          <a:solidFill>
            <a:schemeClr val="tx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226727</xdr:colOff>
      <xdr:row>13</xdr:row>
      <xdr:rowOff>99540</xdr:rowOff>
    </xdr:from>
    <xdr:ext cx="300082" cy="242374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6421014E-C04C-CC00-6DB9-5C60AF32CE70}"/>
            </a:ext>
          </a:extLst>
        </xdr:cNvPr>
        <xdr:cNvSpPr txBox="1"/>
      </xdr:nvSpPr>
      <xdr:spPr>
        <a:xfrm>
          <a:off x="6368220" y="3056555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α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223672</xdr:colOff>
      <xdr:row>10</xdr:row>
      <xdr:rowOff>133235</xdr:rowOff>
    </xdr:from>
    <xdr:to>
      <xdr:col>33</xdr:col>
      <xdr:colOff>208507</xdr:colOff>
      <xdr:row>10</xdr:row>
      <xdr:rowOff>133235</xdr:rowOff>
    </xdr:to>
    <xdr:cxnSp macro="">
      <xdr:nvCxnSpPr>
        <xdr:cNvPr id="190" name="直線コネクタ 189">
          <a:extLst>
            <a:ext uri="{FF2B5EF4-FFF2-40B4-BE49-F238E27FC236}">
              <a16:creationId xmlns:a16="http://schemas.microsoft.com/office/drawing/2014/main" id="{07F44188-62CF-116A-ED14-D7A740B5D3AA}"/>
            </a:ext>
          </a:extLst>
        </xdr:cNvPr>
        <xdr:cNvCxnSpPr/>
      </xdr:nvCxnSpPr>
      <xdr:spPr>
        <a:xfrm>
          <a:off x="6592627" y="2407862"/>
          <a:ext cx="1122149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33</xdr:col>
      <xdr:colOff>208807</xdr:colOff>
      <xdr:row>10</xdr:row>
      <xdr:rowOff>88913</xdr:rowOff>
    </xdr:from>
    <xdr:to>
      <xdr:col>33</xdr:col>
      <xdr:colOff>208807</xdr:colOff>
      <xdr:row>11</xdr:row>
      <xdr:rowOff>22312</xdr:rowOff>
    </xdr:to>
    <xdr:cxnSp macro="">
      <xdr:nvCxnSpPr>
        <xdr:cNvPr id="191" name="直線コネクタ 190">
          <a:extLst>
            <a:ext uri="{FF2B5EF4-FFF2-40B4-BE49-F238E27FC236}">
              <a16:creationId xmlns:a16="http://schemas.microsoft.com/office/drawing/2014/main" id="{39DEDE62-413D-AD04-9211-DFCEE8169A36}"/>
            </a:ext>
          </a:extLst>
        </xdr:cNvPr>
        <xdr:cNvCxnSpPr/>
      </xdr:nvCxnSpPr>
      <xdr:spPr>
        <a:xfrm>
          <a:off x="7715076" y="2363540"/>
          <a:ext cx="0" cy="16086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176150</xdr:colOff>
      <xdr:row>13</xdr:row>
      <xdr:rowOff>109654</xdr:rowOff>
    </xdr:from>
    <xdr:to>
      <xdr:col>29</xdr:col>
      <xdr:colOff>176150</xdr:colOff>
      <xdr:row>16</xdr:row>
      <xdr:rowOff>3443</xdr:rowOff>
    </xdr:to>
    <xdr:cxnSp macro="">
      <xdr:nvCxnSpPr>
        <xdr:cNvPr id="192" name="直線コネクタ 191">
          <a:extLst>
            <a:ext uri="{FF2B5EF4-FFF2-40B4-BE49-F238E27FC236}">
              <a16:creationId xmlns:a16="http://schemas.microsoft.com/office/drawing/2014/main" id="{15358252-25C4-F1CB-5054-27BD63706BDA}"/>
            </a:ext>
          </a:extLst>
        </xdr:cNvPr>
        <xdr:cNvCxnSpPr/>
      </xdr:nvCxnSpPr>
      <xdr:spPr>
        <a:xfrm>
          <a:off x="6805550" y="3081454"/>
          <a:ext cx="0" cy="579589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40912</xdr:colOff>
      <xdr:row>12</xdr:row>
      <xdr:rowOff>155231</xdr:rowOff>
    </xdr:from>
    <xdr:ext cx="309637" cy="224998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131C31A7-3F64-C821-D3FA-AC80614C453E}"/>
            </a:ext>
          </a:extLst>
        </xdr:cNvPr>
        <xdr:cNvSpPr txBox="1"/>
      </xdr:nvSpPr>
      <xdr:spPr>
        <a:xfrm>
          <a:off x="6670312" y="2898431"/>
          <a:ext cx="30963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8048</xdr:colOff>
      <xdr:row>17</xdr:row>
      <xdr:rowOff>171252</xdr:rowOff>
    </xdr:from>
    <xdr:to>
      <xdr:col>30</xdr:col>
      <xdr:colOff>220976</xdr:colOff>
      <xdr:row>17</xdr:row>
      <xdr:rowOff>171252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9765EBB6-A34E-1785-A0EE-6D63B6E91C47}"/>
            </a:ext>
          </a:extLst>
        </xdr:cNvPr>
        <xdr:cNvCxnSpPr/>
      </xdr:nvCxnSpPr>
      <xdr:spPr>
        <a:xfrm rot="2460000">
          <a:off x="6604466" y="4038118"/>
          <a:ext cx="440391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155442</xdr:colOff>
      <xdr:row>17</xdr:row>
      <xdr:rowOff>15431</xdr:rowOff>
    </xdr:from>
    <xdr:to>
      <xdr:col>29</xdr:col>
      <xdr:colOff>155442</xdr:colOff>
      <xdr:row>19</xdr:row>
      <xdr:rowOff>131173</xdr:rowOff>
    </xdr:to>
    <xdr:cxnSp macro="">
      <xdr:nvCxnSpPr>
        <xdr:cNvPr id="195" name="直線コネクタ 194">
          <a:extLst>
            <a:ext uri="{FF2B5EF4-FFF2-40B4-BE49-F238E27FC236}">
              <a16:creationId xmlns:a16="http://schemas.microsoft.com/office/drawing/2014/main" id="{BC25E3F2-378F-05CF-4973-6A0FD67368C5}"/>
            </a:ext>
          </a:extLst>
        </xdr:cNvPr>
        <xdr:cNvCxnSpPr/>
      </xdr:nvCxnSpPr>
      <xdr:spPr>
        <a:xfrm rot="4260000">
          <a:off x="6466526" y="4167631"/>
          <a:ext cx="570667" cy="0"/>
        </a:xfrm>
        <a:prstGeom prst="line">
          <a:avLst/>
        </a:prstGeom>
        <a:ln w="25400">
          <a:solidFill>
            <a:schemeClr val="tx1"/>
          </a:solidFill>
          <a:prstDash val="solid"/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29410</xdr:colOff>
      <xdr:row>17</xdr:row>
      <xdr:rowOff>68631</xdr:rowOff>
    </xdr:from>
    <xdr:to>
      <xdr:col>30</xdr:col>
      <xdr:colOff>31829</xdr:colOff>
      <xdr:row>18</xdr:row>
      <xdr:rowOff>66670</xdr:rowOff>
    </xdr:to>
    <xdr:sp macro="" textlink="">
      <xdr:nvSpPr>
        <xdr:cNvPr id="196" name="円弧 195">
          <a:extLst>
            <a:ext uri="{FF2B5EF4-FFF2-40B4-BE49-F238E27FC236}">
              <a16:creationId xmlns:a16="http://schemas.microsoft.com/office/drawing/2014/main" id="{C1509117-10D4-79AC-DEE7-AFB8A9D031C4}"/>
            </a:ext>
          </a:extLst>
        </xdr:cNvPr>
        <xdr:cNvSpPr/>
      </xdr:nvSpPr>
      <xdr:spPr>
        <a:xfrm rot="5940764">
          <a:off x="6628018" y="3933307"/>
          <a:ext cx="225501" cy="229882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29</xdr:col>
      <xdr:colOff>155437</xdr:colOff>
      <xdr:row>18</xdr:row>
      <xdr:rowOff>34694</xdr:rowOff>
    </xdr:from>
    <xdr:ext cx="300082" cy="242374"/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877E0665-6DC6-6F1D-DD0F-DBCC9B72A48B}"/>
            </a:ext>
          </a:extLst>
        </xdr:cNvPr>
        <xdr:cNvSpPr txBox="1"/>
      </xdr:nvSpPr>
      <xdr:spPr>
        <a:xfrm>
          <a:off x="6751855" y="4129022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φ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25</xdr:col>
      <xdr:colOff>210880</xdr:colOff>
      <xdr:row>18</xdr:row>
      <xdr:rowOff>27198</xdr:rowOff>
    </xdr:from>
    <xdr:to>
      <xdr:col>26</xdr:col>
      <xdr:colOff>177392</xdr:colOff>
      <xdr:row>18</xdr:row>
      <xdr:rowOff>27198</xdr:rowOff>
    </xdr:to>
    <xdr:cxnSp macro="">
      <xdr:nvCxnSpPr>
        <xdr:cNvPr id="198" name="直線コネクタ 197">
          <a:extLst>
            <a:ext uri="{FF2B5EF4-FFF2-40B4-BE49-F238E27FC236}">
              <a16:creationId xmlns:a16="http://schemas.microsoft.com/office/drawing/2014/main" id="{9CCAC5DC-18A7-9F10-1EDA-6854CE93AD98}"/>
            </a:ext>
          </a:extLst>
        </xdr:cNvPr>
        <xdr:cNvCxnSpPr/>
      </xdr:nvCxnSpPr>
      <xdr:spPr>
        <a:xfrm rot="5160000">
          <a:off x="6023436" y="4044442"/>
          <a:ext cx="0" cy="195112"/>
        </a:xfrm>
        <a:prstGeom prst="line">
          <a:avLst/>
        </a:prstGeom>
        <a:ln w="25400">
          <a:solidFill>
            <a:schemeClr val="tx1"/>
          </a:solidFill>
          <a:prstDash val="solid"/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168659</xdr:colOff>
      <xdr:row>17</xdr:row>
      <xdr:rowOff>187675</xdr:rowOff>
    </xdr:from>
    <xdr:to>
      <xdr:col>26</xdr:col>
      <xdr:colOff>172884</xdr:colOff>
      <xdr:row>18</xdr:row>
      <xdr:rowOff>16550</xdr:rowOff>
    </xdr:to>
    <xdr:cxnSp macro="">
      <xdr:nvCxnSpPr>
        <xdr:cNvPr id="199" name="直線コネクタ 198">
          <a:extLst>
            <a:ext uri="{FF2B5EF4-FFF2-40B4-BE49-F238E27FC236}">
              <a16:creationId xmlns:a16="http://schemas.microsoft.com/office/drawing/2014/main" id="{8B654DB5-1DBA-2C86-9FCF-E60A50993402}"/>
            </a:ext>
          </a:extLst>
        </xdr:cNvPr>
        <xdr:cNvCxnSpPr/>
      </xdr:nvCxnSpPr>
      <xdr:spPr>
        <a:xfrm>
          <a:off x="5883659" y="4073875"/>
          <a:ext cx="232825" cy="57475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157803</xdr:colOff>
      <xdr:row>16</xdr:row>
      <xdr:rowOff>139553</xdr:rowOff>
    </xdr:from>
    <xdr:ext cx="300082" cy="242374"/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0F674D8D-5ED4-1B64-F02D-DC413E9E541F}"/>
            </a:ext>
          </a:extLst>
        </xdr:cNvPr>
        <xdr:cNvSpPr txBox="1"/>
      </xdr:nvSpPr>
      <xdr:spPr>
        <a:xfrm>
          <a:off x="5872803" y="3797153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δ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26</xdr:col>
      <xdr:colOff>6385</xdr:colOff>
      <xdr:row>17</xdr:row>
      <xdr:rowOff>157560</xdr:rowOff>
    </xdr:from>
    <xdr:to>
      <xdr:col>27</xdr:col>
      <xdr:colOff>32030</xdr:colOff>
      <xdr:row>18</xdr:row>
      <xdr:rowOff>150138</xdr:rowOff>
    </xdr:to>
    <xdr:sp macro="" textlink="">
      <xdr:nvSpPr>
        <xdr:cNvPr id="201" name="円弧 200">
          <a:extLst>
            <a:ext uri="{FF2B5EF4-FFF2-40B4-BE49-F238E27FC236}">
              <a16:creationId xmlns:a16="http://schemas.microsoft.com/office/drawing/2014/main" id="{098098AB-DCD7-37A1-8218-33533A6A5423}"/>
            </a:ext>
          </a:extLst>
        </xdr:cNvPr>
        <xdr:cNvSpPr/>
      </xdr:nvSpPr>
      <xdr:spPr>
        <a:xfrm rot="11882846">
          <a:off x="5949985" y="4043760"/>
          <a:ext cx="254245" cy="221178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26</xdr:col>
      <xdr:colOff>11639</xdr:colOff>
      <xdr:row>17</xdr:row>
      <xdr:rowOff>92370</xdr:rowOff>
    </xdr:from>
    <xdr:to>
      <xdr:col>27</xdr:col>
      <xdr:colOff>17772</xdr:colOff>
      <xdr:row>18</xdr:row>
      <xdr:rowOff>97509</xdr:rowOff>
    </xdr:to>
    <xdr:sp macro="" textlink="">
      <xdr:nvSpPr>
        <xdr:cNvPr id="202" name="円弧 201">
          <a:extLst>
            <a:ext uri="{FF2B5EF4-FFF2-40B4-BE49-F238E27FC236}">
              <a16:creationId xmlns:a16="http://schemas.microsoft.com/office/drawing/2014/main" id="{6DC477A0-80C3-4028-DB48-2C6A09FF1716}"/>
            </a:ext>
          </a:extLst>
        </xdr:cNvPr>
        <xdr:cNvSpPr/>
      </xdr:nvSpPr>
      <xdr:spPr>
        <a:xfrm rot="16419954">
          <a:off x="5955736" y="3978073"/>
          <a:ext cx="233739" cy="234733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25</xdr:col>
      <xdr:colOff>26390</xdr:colOff>
      <xdr:row>17</xdr:row>
      <xdr:rowOff>150590</xdr:rowOff>
    </xdr:from>
    <xdr:ext cx="255198" cy="224998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EBCC2A2D-19D5-4EBD-2456-54BFF3B17958}"/>
            </a:ext>
          </a:extLst>
        </xdr:cNvPr>
        <xdr:cNvSpPr txBox="1"/>
      </xdr:nvSpPr>
      <xdr:spPr>
        <a:xfrm>
          <a:off x="5741390" y="4036790"/>
          <a:ext cx="25519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109117</xdr:colOff>
      <xdr:row>16</xdr:row>
      <xdr:rowOff>198326</xdr:rowOff>
    </xdr:from>
    <xdr:to>
      <xdr:col>29</xdr:col>
      <xdr:colOff>161316</xdr:colOff>
      <xdr:row>17</xdr:row>
      <xdr:rowOff>20780</xdr:rowOff>
    </xdr:to>
    <xdr:cxnSp macro="">
      <xdr:nvCxnSpPr>
        <xdr:cNvPr id="204" name="直線コネクタ 203">
          <a:extLst>
            <a:ext uri="{FF2B5EF4-FFF2-40B4-BE49-F238E27FC236}">
              <a16:creationId xmlns:a16="http://schemas.microsoft.com/office/drawing/2014/main" id="{54934A7B-602F-C5FB-102A-7CEA49A4F906}"/>
            </a:ext>
          </a:extLst>
        </xdr:cNvPr>
        <xdr:cNvCxnSpPr/>
      </xdr:nvCxnSpPr>
      <xdr:spPr>
        <a:xfrm>
          <a:off x="6705535" y="3837729"/>
          <a:ext cx="52199" cy="49917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118683</xdr:colOff>
      <xdr:row>17</xdr:row>
      <xdr:rowOff>20830</xdr:rowOff>
    </xdr:from>
    <xdr:to>
      <xdr:col>29</xdr:col>
      <xdr:colOff>164248</xdr:colOff>
      <xdr:row>17</xdr:row>
      <xdr:rowOff>66102</xdr:rowOff>
    </xdr:to>
    <xdr:cxnSp macro="">
      <xdr:nvCxnSpPr>
        <xdr:cNvPr id="205" name="直線コネクタ 204">
          <a:extLst>
            <a:ext uri="{FF2B5EF4-FFF2-40B4-BE49-F238E27FC236}">
              <a16:creationId xmlns:a16="http://schemas.microsoft.com/office/drawing/2014/main" id="{87FF24D0-2A14-2650-DE04-49A50A1A0EBD}"/>
            </a:ext>
          </a:extLst>
        </xdr:cNvPr>
        <xdr:cNvCxnSpPr/>
      </xdr:nvCxnSpPr>
      <xdr:spPr>
        <a:xfrm rot="5400000">
          <a:off x="6715248" y="3887549"/>
          <a:ext cx="45272" cy="45565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126698</xdr:colOff>
      <xdr:row>17</xdr:row>
      <xdr:rowOff>170410</xdr:rowOff>
    </xdr:from>
    <xdr:to>
      <xdr:col>26</xdr:col>
      <xdr:colOff>190839</xdr:colOff>
      <xdr:row>17</xdr:row>
      <xdr:rowOff>191543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DB4A6EAC-CD2F-F054-FC06-1D65DF8DA4A0}"/>
            </a:ext>
          </a:extLst>
        </xdr:cNvPr>
        <xdr:cNvCxnSpPr/>
      </xdr:nvCxnSpPr>
      <xdr:spPr>
        <a:xfrm>
          <a:off x="6070298" y="4056610"/>
          <a:ext cx="64141" cy="21133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109773</xdr:colOff>
      <xdr:row>17</xdr:row>
      <xdr:rowOff>170487</xdr:rowOff>
    </xdr:from>
    <xdr:to>
      <xdr:col>26</xdr:col>
      <xdr:colOff>127170</xdr:colOff>
      <xdr:row>17</xdr:row>
      <xdr:rowOff>226475</xdr:rowOff>
    </xdr:to>
    <xdr:cxnSp macro="">
      <xdr:nvCxnSpPr>
        <xdr:cNvPr id="207" name="直線コネクタ 206">
          <a:extLst>
            <a:ext uri="{FF2B5EF4-FFF2-40B4-BE49-F238E27FC236}">
              <a16:creationId xmlns:a16="http://schemas.microsoft.com/office/drawing/2014/main" id="{247ABE59-42A7-8B3D-D4C9-668965C06046}"/>
            </a:ext>
          </a:extLst>
        </xdr:cNvPr>
        <xdr:cNvCxnSpPr/>
      </xdr:nvCxnSpPr>
      <xdr:spPr>
        <a:xfrm flipH="1">
          <a:off x="6053373" y="4056687"/>
          <a:ext cx="17397" cy="55988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8531</xdr:colOff>
      <xdr:row>11</xdr:row>
      <xdr:rowOff>86559</xdr:rowOff>
    </xdr:from>
    <xdr:to>
      <xdr:col>29</xdr:col>
      <xdr:colOff>9927</xdr:colOff>
      <xdr:row>12</xdr:row>
      <xdr:rowOff>2872</xdr:rowOff>
    </xdr:to>
    <xdr:cxnSp macro="">
      <xdr:nvCxnSpPr>
        <xdr:cNvPr id="210" name="直線コネクタ 209">
          <a:extLst>
            <a:ext uri="{FF2B5EF4-FFF2-40B4-BE49-F238E27FC236}">
              <a16:creationId xmlns:a16="http://schemas.microsoft.com/office/drawing/2014/main" id="{F2E51EB4-8A91-A414-192D-054A15E778CD}"/>
            </a:ext>
          </a:extLst>
        </xdr:cNvPr>
        <xdr:cNvCxnSpPr/>
      </xdr:nvCxnSpPr>
      <xdr:spPr>
        <a:xfrm flipH="1">
          <a:off x="6604949" y="2588649"/>
          <a:ext cx="1396" cy="143775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110702</xdr:colOff>
      <xdr:row>11</xdr:row>
      <xdr:rowOff>86559</xdr:rowOff>
    </xdr:from>
    <xdr:to>
      <xdr:col>29</xdr:col>
      <xdr:colOff>112098</xdr:colOff>
      <xdr:row>12</xdr:row>
      <xdr:rowOff>2872</xdr:rowOff>
    </xdr:to>
    <xdr:cxnSp macro="">
      <xdr:nvCxnSpPr>
        <xdr:cNvPr id="211" name="直線コネクタ 210">
          <a:extLst>
            <a:ext uri="{FF2B5EF4-FFF2-40B4-BE49-F238E27FC236}">
              <a16:creationId xmlns:a16="http://schemas.microsoft.com/office/drawing/2014/main" id="{39687A2B-B2DF-2D35-9336-5A23C7B59254}"/>
            </a:ext>
          </a:extLst>
        </xdr:cNvPr>
        <xdr:cNvCxnSpPr/>
      </xdr:nvCxnSpPr>
      <xdr:spPr>
        <a:xfrm flipH="1">
          <a:off x="6707120" y="2588649"/>
          <a:ext cx="1396" cy="143775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215620</xdr:colOff>
      <xdr:row>11</xdr:row>
      <xdr:rowOff>86559</xdr:rowOff>
    </xdr:from>
    <xdr:to>
      <xdr:col>29</xdr:col>
      <xdr:colOff>217016</xdr:colOff>
      <xdr:row>12</xdr:row>
      <xdr:rowOff>2872</xdr:rowOff>
    </xdr:to>
    <xdr:cxnSp macro="">
      <xdr:nvCxnSpPr>
        <xdr:cNvPr id="212" name="直線コネクタ 211">
          <a:extLst>
            <a:ext uri="{FF2B5EF4-FFF2-40B4-BE49-F238E27FC236}">
              <a16:creationId xmlns:a16="http://schemas.microsoft.com/office/drawing/2014/main" id="{63228C05-F44F-6C12-4339-49417F464035}"/>
            </a:ext>
          </a:extLst>
        </xdr:cNvPr>
        <xdr:cNvCxnSpPr/>
      </xdr:nvCxnSpPr>
      <xdr:spPr>
        <a:xfrm flipH="1">
          <a:off x="6845020" y="2601159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92730</xdr:colOff>
      <xdr:row>11</xdr:row>
      <xdr:rowOff>86559</xdr:rowOff>
    </xdr:from>
    <xdr:to>
      <xdr:col>30</xdr:col>
      <xdr:colOff>94126</xdr:colOff>
      <xdr:row>12</xdr:row>
      <xdr:rowOff>2872</xdr:rowOff>
    </xdr:to>
    <xdr:cxnSp macro="">
      <xdr:nvCxnSpPr>
        <xdr:cNvPr id="213" name="直線コネクタ 212">
          <a:extLst>
            <a:ext uri="{FF2B5EF4-FFF2-40B4-BE49-F238E27FC236}">
              <a16:creationId xmlns:a16="http://schemas.microsoft.com/office/drawing/2014/main" id="{CE04E6A8-EF80-95BD-E20D-AD17732E5F0C}"/>
            </a:ext>
          </a:extLst>
        </xdr:cNvPr>
        <xdr:cNvCxnSpPr/>
      </xdr:nvCxnSpPr>
      <xdr:spPr>
        <a:xfrm flipH="1">
          <a:off x="6950730" y="2601159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189192</xdr:colOff>
      <xdr:row>11</xdr:row>
      <xdr:rowOff>86559</xdr:rowOff>
    </xdr:from>
    <xdr:to>
      <xdr:col>30</xdr:col>
      <xdr:colOff>190588</xdr:colOff>
      <xdr:row>12</xdr:row>
      <xdr:rowOff>2872</xdr:rowOff>
    </xdr:to>
    <xdr:cxnSp macro="">
      <xdr:nvCxnSpPr>
        <xdr:cNvPr id="214" name="直線コネクタ 213">
          <a:extLst>
            <a:ext uri="{FF2B5EF4-FFF2-40B4-BE49-F238E27FC236}">
              <a16:creationId xmlns:a16="http://schemas.microsoft.com/office/drawing/2014/main" id="{45475E4A-2222-8113-3C44-E11CE51DE48B}"/>
            </a:ext>
          </a:extLst>
        </xdr:cNvPr>
        <xdr:cNvCxnSpPr/>
      </xdr:nvCxnSpPr>
      <xdr:spPr>
        <a:xfrm flipH="1">
          <a:off x="7047192" y="2601159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61376</xdr:colOff>
      <xdr:row>11</xdr:row>
      <xdr:rowOff>86559</xdr:rowOff>
    </xdr:from>
    <xdr:to>
      <xdr:col>31</xdr:col>
      <xdr:colOff>62772</xdr:colOff>
      <xdr:row>12</xdr:row>
      <xdr:rowOff>2872</xdr:rowOff>
    </xdr:to>
    <xdr:cxnSp macro="">
      <xdr:nvCxnSpPr>
        <xdr:cNvPr id="215" name="直線コネクタ 214">
          <a:extLst>
            <a:ext uri="{FF2B5EF4-FFF2-40B4-BE49-F238E27FC236}">
              <a16:creationId xmlns:a16="http://schemas.microsoft.com/office/drawing/2014/main" id="{69335648-C7DB-7F24-99D5-15674E0C7607}"/>
            </a:ext>
          </a:extLst>
        </xdr:cNvPr>
        <xdr:cNvCxnSpPr/>
      </xdr:nvCxnSpPr>
      <xdr:spPr>
        <a:xfrm flipH="1">
          <a:off x="7147976" y="2601159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170916</xdr:colOff>
      <xdr:row>11</xdr:row>
      <xdr:rowOff>86559</xdr:rowOff>
    </xdr:from>
    <xdr:to>
      <xdr:col>31</xdr:col>
      <xdr:colOff>172312</xdr:colOff>
      <xdr:row>12</xdr:row>
      <xdr:rowOff>2872</xdr:rowOff>
    </xdr:to>
    <xdr:cxnSp macro="">
      <xdr:nvCxnSpPr>
        <xdr:cNvPr id="216" name="直線コネクタ 215">
          <a:extLst>
            <a:ext uri="{FF2B5EF4-FFF2-40B4-BE49-F238E27FC236}">
              <a16:creationId xmlns:a16="http://schemas.microsoft.com/office/drawing/2014/main" id="{6857519B-1F10-7A9C-C54E-886DC3C1C9FC}"/>
            </a:ext>
          </a:extLst>
        </xdr:cNvPr>
        <xdr:cNvCxnSpPr/>
      </xdr:nvCxnSpPr>
      <xdr:spPr>
        <a:xfrm flipH="1">
          <a:off x="7257516" y="2601159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40438</xdr:colOff>
      <xdr:row>11</xdr:row>
      <xdr:rowOff>86559</xdr:rowOff>
    </xdr:from>
    <xdr:to>
      <xdr:col>32</xdr:col>
      <xdr:colOff>41834</xdr:colOff>
      <xdr:row>12</xdr:row>
      <xdr:rowOff>2872</xdr:rowOff>
    </xdr:to>
    <xdr:cxnSp macro="">
      <xdr:nvCxnSpPr>
        <xdr:cNvPr id="217" name="直線コネクタ 216">
          <a:extLst>
            <a:ext uri="{FF2B5EF4-FFF2-40B4-BE49-F238E27FC236}">
              <a16:creationId xmlns:a16="http://schemas.microsoft.com/office/drawing/2014/main" id="{9B650240-48D0-9D9E-0D9D-EB99E43A5FB1}"/>
            </a:ext>
          </a:extLst>
        </xdr:cNvPr>
        <xdr:cNvCxnSpPr/>
      </xdr:nvCxnSpPr>
      <xdr:spPr>
        <a:xfrm flipH="1">
          <a:off x="7355638" y="2601159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152504</xdr:colOff>
      <xdr:row>11</xdr:row>
      <xdr:rowOff>86559</xdr:rowOff>
    </xdr:from>
    <xdr:to>
      <xdr:col>32</xdr:col>
      <xdr:colOff>153900</xdr:colOff>
      <xdr:row>12</xdr:row>
      <xdr:rowOff>2872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4818BF1F-4DEF-CBAD-570B-5DEAEAC6C1F5}"/>
            </a:ext>
          </a:extLst>
        </xdr:cNvPr>
        <xdr:cNvCxnSpPr/>
      </xdr:nvCxnSpPr>
      <xdr:spPr>
        <a:xfrm flipH="1">
          <a:off x="7467704" y="2601159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33</xdr:col>
      <xdr:colOff>45470</xdr:colOff>
      <xdr:row>11</xdr:row>
      <xdr:rowOff>86559</xdr:rowOff>
    </xdr:from>
    <xdr:to>
      <xdr:col>33</xdr:col>
      <xdr:colOff>46866</xdr:colOff>
      <xdr:row>12</xdr:row>
      <xdr:rowOff>2872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9E60E4A9-8DF2-A12B-D411-6BD28170B61B}"/>
            </a:ext>
          </a:extLst>
        </xdr:cNvPr>
        <xdr:cNvCxnSpPr/>
      </xdr:nvCxnSpPr>
      <xdr:spPr>
        <a:xfrm flipH="1">
          <a:off x="7589270" y="2601159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33</xdr:col>
      <xdr:colOff>141789</xdr:colOff>
      <xdr:row>10</xdr:row>
      <xdr:rowOff>220384</xdr:rowOff>
    </xdr:from>
    <xdr:ext cx="271228" cy="224998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5F66BEE8-BBFD-77F5-9E97-C174721F3CDB}"/>
            </a:ext>
          </a:extLst>
        </xdr:cNvPr>
        <xdr:cNvSpPr txBox="1"/>
      </xdr:nvSpPr>
      <xdr:spPr>
        <a:xfrm>
          <a:off x="7648058" y="2495011"/>
          <a:ext cx="27122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33</xdr:col>
      <xdr:colOff>160356</xdr:colOff>
      <xdr:row>11</xdr:row>
      <xdr:rowOff>86559</xdr:rowOff>
    </xdr:from>
    <xdr:to>
      <xdr:col>33</xdr:col>
      <xdr:colOff>161752</xdr:colOff>
      <xdr:row>12</xdr:row>
      <xdr:rowOff>2872</xdr:rowOff>
    </xdr:to>
    <xdr:cxnSp macro="">
      <xdr:nvCxnSpPr>
        <xdr:cNvPr id="224" name="直線コネクタ 223">
          <a:extLst>
            <a:ext uri="{FF2B5EF4-FFF2-40B4-BE49-F238E27FC236}">
              <a16:creationId xmlns:a16="http://schemas.microsoft.com/office/drawing/2014/main" id="{7FAB2DD4-5FF3-8B96-1A14-AF4F0F129CF2}"/>
            </a:ext>
          </a:extLst>
        </xdr:cNvPr>
        <xdr:cNvCxnSpPr/>
      </xdr:nvCxnSpPr>
      <xdr:spPr>
        <a:xfrm flipH="1">
          <a:off x="7704156" y="2601159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45131</xdr:colOff>
      <xdr:row>24</xdr:row>
      <xdr:rowOff>81591</xdr:rowOff>
    </xdr:from>
    <xdr:ext cx="224998" cy="361959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F62A88FF-58A3-4364-82AC-938A6565D993}"/>
            </a:ext>
          </a:extLst>
        </xdr:cNvPr>
        <xdr:cNvSpPr txBox="1"/>
      </xdr:nvSpPr>
      <xdr:spPr>
        <a:xfrm rot="16200000">
          <a:off x="12549650" y="5636472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71625</xdr:colOff>
      <xdr:row>19</xdr:row>
      <xdr:rowOff>103915</xdr:rowOff>
    </xdr:from>
    <xdr:to>
      <xdr:col>60</xdr:col>
      <xdr:colOff>71625</xdr:colOff>
      <xdr:row>29</xdr:row>
      <xdr:rowOff>120871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C206B753-AEE4-4671-BBA8-ECA22347A4DF}"/>
            </a:ext>
          </a:extLst>
        </xdr:cNvPr>
        <xdr:cNvCxnSpPr/>
      </xdr:nvCxnSpPr>
      <xdr:spPr>
        <a:xfrm rot="6960000">
          <a:off x="12636147" y="5598793"/>
          <a:ext cx="230295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55</xdr:col>
      <xdr:colOff>192505</xdr:colOff>
      <xdr:row>19</xdr:row>
      <xdr:rowOff>218573</xdr:rowOff>
    </xdr:from>
    <xdr:to>
      <xdr:col>61</xdr:col>
      <xdr:colOff>194226</xdr:colOff>
      <xdr:row>19</xdr:row>
      <xdr:rowOff>218573</xdr:rowOff>
    </xdr:to>
    <xdr:cxnSp macro="">
      <xdr:nvCxnSpPr>
        <xdr:cNvPr id="235" name="直線コネクタ 234">
          <a:extLst>
            <a:ext uri="{FF2B5EF4-FFF2-40B4-BE49-F238E27FC236}">
              <a16:creationId xmlns:a16="http://schemas.microsoft.com/office/drawing/2014/main" id="{8535F18C-D109-450A-BCC8-73D67AAEA14F}"/>
            </a:ext>
          </a:extLst>
        </xdr:cNvPr>
        <xdr:cNvCxnSpPr/>
      </xdr:nvCxnSpPr>
      <xdr:spPr>
        <a:xfrm>
          <a:off x="12765505" y="4561973"/>
          <a:ext cx="1373321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56</xdr:col>
      <xdr:colOff>19258</xdr:colOff>
      <xdr:row>19</xdr:row>
      <xdr:rowOff>219400</xdr:rowOff>
    </xdr:from>
    <xdr:to>
      <xdr:col>56</xdr:col>
      <xdr:colOff>19258</xdr:colOff>
      <xdr:row>29</xdr:row>
      <xdr:rowOff>2882</xdr:rowOff>
    </xdr:to>
    <xdr:cxnSp macro="">
      <xdr:nvCxnSpPr>
        <xdr:cNvPr id="236" name="直線コネクタ 235">
          <a:extLst>
            <a:ext uri="{FF2B5EF4-FFF2-40B4-BE49-F238E27FC236}">
              <a16:creationId xmlns:a16="http://schemas.microsoft.com/office/drawing/2014/main" id="{A983168A-486F-4489-8CB9-F2EF6BA55F70}"/>
            </a:ext>
          </a:extLst>
        </xdr:cNvPr>
        <xdr:cNvCxnSpPr/>
      </xdr:nvCxnSpPr>
      <xdr:spPr>
        <a:xfrm>
          <a:off x="12820858" y="4562800"/>
          <a:ext cx="0" cy="2069482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167086</xdr:colOff>
      <xdr:row>30</xdr:row>
      <xdr:rowOff>165140</xdr:rowOff>
    </xdr:from>
    <xdr:ext cx="349135" cy="224998"/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7FFC113B-552D-4ED1-A6EA-75F618F987BF}"/>
            </a:ext>
          </a:extLst>
        </xdr:cNvPr>
        <xdr:cNvSpPr txBox="1"/>
      </xdr:nvSpPr>
      <xdr:spPr>
        <a:xfrm>
          <a:off x="13197286" y="7023140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58</xdr:col>
      <xdr:colOff>18931</xdr:colOff>
      <xdr:row>30</xdr:row>
      <xdr:rowOff>203171</xdr:rowOff>
    </xdr:from>
    <xdr:to>
      <xdr:col>60</xdr:col>
      <xdr:colOff>83731</xdr:colOff>
      <xdr:row>30</xdr:row>
      <xdr:rowOff>203171</xdr:rowOff>
    </xdr:to>
    <xdr:cxnSp macro="">
      <xdr:nvCxnSpPr>
        <xdr:cNvPr id="239" name="直線コネクタ 238">
          <a:extLst>
            <a:ext uri="{FF2B5EF4-FFF2-40B4-BE49-F238E27FC236}">
              <a16:creationId xmlns:a16="http://schemas.microsoft.com/office/drawing/2014/main" id="{84E9F720-8292-4A99-A2DF-95D882D1FEB5}"/>
            </a:ext>
          </a:extLst>
        </xdr:cNvPr>
        <xdr:cNvCxnSpPr/>
      </xdr:nvCxnSpPr>
      <xdr:spPr>
        <a:xfrm>
          <a:off x="13277731" y="7061171"/>
          <a:ext cx="52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20883</xdr:colOff>
      <xdr:row>29</xdr:row>
      <xdr:rowOff>66469</xdr:rowOff>
    </xdr:from>
    <xdr:to>
      <xdr:col>58</xdr:col>
      <xdr:colOff>20883</xdr:colOff>
      <xdr:row>31</xdr:row>
      <xdr:rowOff>26351</xdr:rowOff>
    </xdr:to>
    <xdr:cxnSp macro="">
      <xdr:nvCxnSpPr>
        <xdr:cNvPr id="240" name="直線コネクタ 239">
          <a:extLst>
            <a:ext uri="{FF2B5EF4-FFF2-40B4-BE49-F238E27FC236}">
              <a16:creationId xmlns:a16="http://schemas.microsoft.com/office/drawing/2014/main" id="{369F252B-0DB0-4BB4-B908-0E3425578831}"/>
            </a:ext>
          </a:extLst>
        </xdr:cNvPr>
        <xdr:cNvCxnSpPr/>
      </xdr:nvCxnSpPr>
      <xdr:spPr>
        <a:xfrm>
          <a:off x="13279683" y="6695869"/>
          <a:ext cx="0" cy="41708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31008</xdr:colOff>
      <xdr:row>29</xdr:row>
      <xdr:rowOff>1227</xdr:rowOff>
    </xdr:from>
    <xdr:to>
      <xdr:col>60</xdr:col>
      <xdr:colOff>77808</xdr:colOff>
      <xdr:row>29</xdr:row>
      <xdr:rowOff>1227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9A026E25-232B-474F-AE00-A5F382594C81}"/>
            </a:ext>
          </a:extLst>
        </xdr:cNvPr>
        <xdr:cNvCxnSpPr/>
      </xdr:nvCxnSpPr>
      <xdr:spPr>
        <a:xfrm>
          <a:off x="13289808" y="6630627"/>
          <a:ext cx="504000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19936</xdr:colOff>
      <xdr:row>18</xdr:row>
      <xdr:rowOff>199538</xdr:rowOff>
    </xdr:from>
    <xdr:to>
      <xdr:col>63</xdr:col>
      <xdr:colOff>59536</xdr:colOff>
      <xdr:row>19</xdr:row>
      <xdr:rowOff>216010</xdr:rowOff>
    </xdr:to>
    <xdr:sp macro="" textlink="">
      <xdr:nvSpPr>
        <xdr:cNvPr id="243" name="正方形/長方形 242">
          <a:extLst>
            <a:ext uri="{FF2B5EF4-FFF2-40B4-BE49-F238E27FC236}">
              <a16:creationId xmlns:a16="http://schemas.microsoft.com/office/drawing/2014/main" id="{3B4BCE94-226E-457D-A1DD-7677A004E556}"/>
            </a:ext>
          </a:extLst>
        </xdr:cNvPr>
        <xdr:cNvSpPr/>
      </xdr:nvSpPr>
      <xdr:spPr>
        <a:xfrm>
          <a:off x="14421736" y="4314338"/>
          <a:ext cx="39600" cy="245072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63</xdr:col>
      <xdr:colOff>65737</xdr:colOff>
      <xdr:row>18</xdr:row>
      <xdr:rowOff>216002</xdr:rowOff>
    </xdr:from>
    <xdr:to>
      <xdr:col>63</xdr:col>
      <xdr:colOff>65737</xdr:colOff>
      <xdr:row>19</xdr:row>
      <xdr:rowOff>26184</xdr:rowOff>
    </xdr:to>
    <xdr:cxnSp macro="">
      <xdr:nvCxnSpPr>
        <xdr:cNvPr id="244" name="直線コネクタ 243">
          <a:extLst>
            <a:ext uri="{FF2B5EF4-FFF2-40B4-BE49-F238E27FC236}">
              <a16:creationId xmlns:a16="http://schemas.microsoft.com/office/drawing/2014/main" id="{F7218F69-6B8D-4B6A-95E4-D80878D65055}"/>
            </a:ext>
          </a:extLst>
        </xdr:cNvPr>
        <xdr:cNvCxnSpPr/>
      </xdr:nvCxnSpPr>
      <xdr:spPr>
        <a:xfrm>
          <a:off x="14467537" y="4330802"/>
          <a:ext cx="0" cy="3878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88597</xdr:colOff>
      <xdr:row>18</xdr:row>
      <xdr:rowOff>177902</xdr:rowOff>
    </xdr:from>
    <xdr:to>
      <xdr:col>63</xdr:col>
      <xdr:colOff>88597</xdr:colOff>
      <xdr:row>18</xdr:row>
      <xdr:rowOff>206702</xdr:rowOff>
    </xdr:to>
    <xdr:cxnSp macro="">
      <xdr:nvCxnSpPr>
        <xdr:cNvPr id="245" name="直線コネクタ 244">
          <a:extLst>
            <a:ext uri="{FF2B5EF4-FFF2-40B4-BE49-F238E27FC236}">
              <a16:creationId xmlns:a16="http://schemas.microsoft.com/office/drawing/2014/main" id="{2B34317F-D599-402E-B01F-D992339BA897}"/>
            </a:ext>
          </a:extLst>
        </xdr:cNvPr>
        <xdr:cNvCxnSpPr/>
      </xdr:nvCxnSpPr>
      <xdr:spPr>
        <a:xfrm>
          <a:off x="14490397" y="4292702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65312</xdr:colOff>
      <xdr:row>18</xdr:row>
      <xdr:rowOff>214311</xdr:rowOff>
    </xdr:from>
    <xdr:to>
      <xdr:col>63</xdr:col>
      <xdr:colOff>94112</xdr:colOff>
      <xdr:row>18</xdr:row>
      <xdr:rowOff>214311</xdr:rowOff>
    </xdr:to>
    <xdr:cxnSp macro="">
      <xdr:nvCxnSpPr>
        <xdr:cNvPr id="246" name="直線コネクタ 245">
          <a:extLst>
            <a:ext uri="{FF2B5EF4-FFF2-40B4-BE49-F238E27FC236}">
              <a16:creationId xmlns:a16="http://schemas.microsoft.com/office/drawing/2014/main" id="{A04F26BD-A0A8-4D90-B773-8B465E9E9ECD}"/>
            </a:ext>
          </a:extLst>
        </xdr:cNvPr>
        <xdr:cNvCxnSpPr/>
      </xdr:nvCxnSpPr>
      <xdr:spPr>
        <a:xfrm rot="2700000">
          <a:off x="14481512" y="4314711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78431</xdr:colOff>
      <xdr:row>18</xdr:row>
      <xdr:rowOff>156096</xdr:rowOff>
    </xdr:from>
    <xdr:to>
      <xdr:col>63</xdr:col>
      <xdr:colOff>78431</xdr:colOff>
      <xdr:row>18</xdr:row>
      <xdr:rowOff>184896</xdr:rowOff>
    </xdr:to>
    <xdr:cxnSp macro="">
      <xdr:nvCxnSpPr>
        <xdr:cNvPr id="247" name="直線コネクタ 246">
          <a:extLst>
            <a:ext uri="{FF2B5EF4-FFF2-40B4-BE49-F238E27FC236}">
              <a16:creationId xmlns:a16="http://schemas.microsoft.com/office/drawing/2014/main" id="{972C06E3-4736-4C99-889F-C543ED15174A}"/>
            </a:ext>
          </a:extLst>
        </xdr:cNvPr>
        <xdr:cNvCxnSpPr/>
      </xdr:nvCxnSpPr>
      <xdr:spPr>
        <a:xfrm rot="18900000">
          <a:off x="14480231" y="4270896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90502</xdr:colOff>
      <xdr:row>19</xdr:row>
      <xdr:rowOff>38837</xdr:rowOff>
    </xdr:from>
    <xdr:to>
      <xdr:col>63</xdr:col>
      <xdr:colOff>90502</xdr:colOff>
      <xdr:row>19</xdr:row>
      <xdr:rowOff>67637</xdr:rowOff>
    </xdr:to>
    <xdr:cxnSp macro="">
      <xdr:nvCxnSpPr>
        <xdr:cNvPr id="248" name="直線コネクタ 247">
          <a:extLst>
            <a:ext uri="{FF2B5EF4-FFF2-40B4-BE49-F238E27FC236}">
              <a16:creationId xmlns:a16="http://schemas.microsoft.com/office/drawing/2014/main" id="{C7090537-A4FD-44AB-9EEB-BCBFF417F978}"/>
            </a:ext>
          </a:extLst>
        </xdr:cNvPr>
        <xdr:cNvCxnSpPr/>
      </xdr:nvCxnSpPr>
      <xdr:spPr>
        <a:xfrm>
          <a:off x="14492302" y="4382237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72932</xdr:colOff>
      <xdr:row>19</xdr:row>
      <xdr:rowOff>73341</xdr:rowOff>
    </xdr:from>
    <xdr:to>
      <xdr:col>63</xdr:col>
      <xdr:colOff>94112</xdr:colOff>
      <xdr:row>19</xdr:row>
      <xdr:rowOff>73341</xdr:rowOff>
    </xdr:to>
    <xdr:cxnSp macro="">
      <xdr:nvCxnSpPr>
        <xdr:cNvPr id="249" name="直線コネクタ 248">
          <a:extLst>
            <a:ext uri="{FF2B5EF4-FFF2-40B4-BE49-F238E27FC236}">
              <a16:creationId xmlns:a16="http://schemas.microsoft.com/office/drawing/2014/main" id="{4636647B-D9F9-43AF-AD67-EC23EE54C6FF}"/>
            </a:ext>
          </a:extLst>
        </xdr:cNvPr>
        <xdr:cNvCxnSpPr/>
      </xdr:nvCxnSpPr>
      <xdr:spPr>
        <a:xfrm rot="2700000">
          <a:off x="14485322" y="4406151"/>
          <a:ext cx="0" cy="2118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80336</xdr:colOff>
      <xdr:row>19</xdr:row>
      <xdr:rowOff>17031</xdr:rowOff>
    </xdr:from>
    <xdr:to>
      <xdr:col>63</xdr:col>
      <xdr:colOff>80336</xdr:colOff>
      <xdr:row>19</xdr:row>
      <xdr:rowOff>45831</xdr:rowOff>
    </xdr:to>
    <xdr:cxnSp macro="">
      <xdr:nvCxnSpPr>
        <xdr:cNvPr id="250" name="直線コネクタ 249">
          <a:extLst>
            <a:ext uri="{FF2B5EF4-FFF2-40B4-BE49-F238E27FC236}">
              <a16:creationId xmlns:a16="http://schemas.microsoft.com/office/drawing/2014/main" id="{AE05756E-4716-4446-A371-977ACF34285F}"/>
            </a:ext>
          </a:extLst>
        </xdr:cNvPr>
        <xdr:cNvCxnSpPr/>
      </xdr:nvCxnSpPr>
      <xdr:spPr>
        <a:xfrm rot="18900000">
          <a:off x="14482136" y="4360431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83706</xdr:colOff>
      <xdr:row>30</xdr:row>
      <xdr:rowOff>82498</xdr:rowOff>
    </xdr:from>
    <xdr:to>
      <xdr:col>60</xdr:col>
      <xdr:colOff>83706</xdr:colOff>
      <xdr:row>31</xdr:row>
      <xdr:rowOff>10946</xdr:rowOff>
    </xdr:to>
    <xdr:cxnSp macro="">
      <xdr:nvCxnSpPr>
        <xdr:cNvPr id="251" name="直線コネクタ 250">
          <a:extLst>
            <a:ext uri="{FF2B5EF4-FFF2-40B4-BE49-F238E27FC236}">
              <a16:creationId xmlns:a16="http://schemas.microsoft.com/office/drawing/2014/main" id="{0803BCA9-F8E5-44DD-A61F-5E1733BCB972}"/>
            </a:ext>
          </a:extLst>
        </xdr:cNvPr>
        <xdr:cNvCxnSpPr/>
      </xdr:nvCxnSpPr>
      <xdr:spPr>
        <a:xfrm>
          <a:off x="13799706" y="6940498"/>
          <a:ext cx="0" cy="157048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121618</xdr:colOff>
      <xdr:row>19</xdr:row>
      <xdr:rowOff>215492</xdr:rowOff>
    </xdr:from>
    <xdr:to>
      <xdr:col>63</xdr:col>
      <xdr:colOff>181018</xdr:colOff>
      <xdr:row>19</xdr:row>
      <xdr:rowOff>215492</xdr:rowOff>
    </xdr:to>
    <xdr:cxnSp macro="">
      <xdr:nvCxnSpPr>
        <xdr:cNvPr id="252" name="直線コネクタ 251">
          <a:extLst>
            <a:ext uri="{FF2B5EF4-FFF2-40B4-BE49-F238E27FC236}">
              <a16:creationId xmlns:a16="http://schemas.microsoft.com/office/drawing/2014/main" id="{7F7443DB-3486-4753-85E9-C05DDC9AC183}"/>
            </a:ext>
          </a:extLst>
        </xdr:cNvPr>
        <xdr:cNvCxnSpPr/>
      </xdr:nvCxnSpPr>
      <xdr:spPr>
        <a:xfrm>
          <a:off x="14294818" y="4558892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104982</xdr:colOff>
      <xdr:row>17</xdr:row>
      <xdr:rowOff>105246</xdr:rowOff>
    </xdr:from>
    <xdr:ext cx="336311" cy="224998"/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27B19BE5-6D73-4035-BC61-6DDAD05E6D8E}"/>
            </a:ext>
          </a:extLst>
        </xdr:cNvPr>
        <xdr:cNvSpPr txBox="1"/>
      </xdr:nvSpPr>
      <xdr:spPr>
        <a:xfrm>
          <a:off x="14049582" y="3991446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117605</xdr:colOff>
      <xdr:row>18</xdr:row>
      <xdr:rowOff>67137</xdr:rowOff>
    </xdr:from>
    <xdr:to>
      <xdr:col>62</xdr:col>
      <xdr:colOff>117605</xdr:colOff>
      <xdr:row>19</xdr:row>
      <xdr:rowOff>536</xdr:rowOff>
    </xdr:to>
    <xdr:cxnSp macro="">
      <xdr:nvCxnSpPr>
        <xdr:cNvPr id="254" name="直線コネクタ 253">
          <a:extLst>
            <a:ext uri="{FF2B5EF4-FFF2-40B4-BE49-F238E27FC236}">
              <a16:creationId xmlns:a16="http://schemas.microsoft.com/office/drawing/2014/main" id="{E8FA20B8-06BD-4974-8A91-83DA220881B5}"/>
            </a:ext>
          </a:extLst>
        </xdr:cNvPr>
        <xdr:cNvCxnSpPr/>
      </xdr:nvCxnSpPr>
      <xdr:spPr>
        <a:xfrm>
          <a:off x="14290805" y="4181937"/>
          <a:ext cx="0" cy="16199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187780</xdr:colOff>
      <xdr:row>18</xdr:row>
      <xdr:rowOff>67137</xdr:rowOff>
    </xdr:from>
    <xdr:to>
      <xdr:col>63</xdr:col>
      <xdr:colOff>187780</xdr:colOff>
      <xdr:row>19</xdr:row>
      <xdr:rowOff>536</xdr:rowOff>
    </xdr:to>
    <xdr:cxnSp macro="">
      <xdr:nvCxnSpPr>
        <xdr:cNvPr id="255" name="直線コネクタ 254">
          <a:extLst>
            <a:ext uri="{FF2B5EF4-FFF2-40B4-BE49-F238E27FC236}">
              <a16:creationId xmlns:a16="http://schemas.microsoft.com/office/drawing/2014/main" id="{8B571760-1EA2-4C7D-8F60-53411FFB04CA}"/>
            </a:ext>
          </a:extLst>
        </xdr:cNvPr>
        <xdr:cNvCxnSpPr/>
      </xdr:nvCxnSpPr>
      <xdr:spPr>
        <a:xfrm>
          <a:off x="14589580" y="4181937"/>
          <a:ext cx="0" cy="16199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124739</xdr:colOff>
      <xdr:row>18</xdr:row>
      <xdr:rowOff>111459</xdr:rowOff>
    </xdr:from>
    <xdr:to>
      <xdr:col>63</xdr:col>
      <xdr:colOff>184139</xdr:colOff>
      <xdr:row>18</xdr:row>
      <xdr:rowOff>111459</xdr:rowOff>
    </xdr:to>
    <xdr:cxnSp macro="">
      <xdr:nvCxnSpPr>
        <xdr:cNvPr id="256" name="直線コネクタ 255">
          <a:extLst>
            <a:ext uri="{FF2B5EF4-FFF2-40B4-BE49-F238E27FC236}">
              <a16:creationId xmlns:a16="http://schemas.microsoft.com/office/drawing/2014/main" id="{BCADA8BB-B7E9-4C7C-8FE9-C82296F59C7A}"/>
            </a:ext>
          </a:extLst>
        </xdr:cNvPr>
        <xdr:cNvCxnSpPr/>
      </xdr:nvCxnSpPr>
      <xdr:spPr>
        <a:xfrm>
          <a:off x="14297939" y="4226259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81339</xdr:colOff>
      <xdr:row>19</xdr:row>
      <xdr:rowOff>224118</xdr:rowOff>
    </xdr:from>
    <xdr:to>
      <xdr:col>68</xdr:col>
      <xdr:colOff>136361</xdr:colOff>
      <xdr:row>29</xdr:row>
      <xdr:rowOff>3012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D1DDA7E0-C4E8-411A-B553-7F14FF9E7261}"/>
            </a:ext>
          </a:extLst>
        </xdr:cNvPr>
        <xdr:cNvCxnSpPr/>
      </xdr:nvCxnSpPr>
      <xdr:spPr>
        <a:xfrm flipV="1">
          <a:off x="13797339" y="4567518"/>
          <a:ext cx="1883822" cy="2064894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48105</xdr:colOff>
      <xdr:row>19</xdr:row>
      <xdr:rowOff>215492</xdr:rowOff>
    </xdr:from>
    <xdr:to>
      <xdr:col>68</xdr:col>
      <xdr:colOff>206823</xdr:colOff>
      <xdr:row>19</xdr:row>
      <xdr:rowOff>215492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1CED6368-984D-4F10-B3B2-4DCF5C3F8070}"/>
            </a:ext>
          </a:extLst>
        </xdr:cNvPr>
        <xdr:cNvCxnSpPr/>
      </xdr:nvCxnSpPr>
      <xdr:spPr>
        <a:xfrm>
          <a:off x="14449905" y="4558892"/>
          <a:ext cx="1301718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187204</xdr:colOff>
      <xdr:row>17</xdr:row>
      <xdr:rowOff>107555</xdr:rowOff>
    </xdr:from>
    <xdr:ext cx="374783" cy="224998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E9513222-EC51-4838-B582-2EF4A3D091F3}"/>
            </a:ext>
          </a:extLst>
        </xdr:cNvPr>
        <xdr:cNvSpPr txBox="1"/>
      </xdr:nvSpPr>
      <xdr:spPr>
        <a:xfrm>
          <a:off x="14817604" y="3993755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u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23305</xdr:colOff>
      <xdr:row>28</xdr:row>
      <xdr:rowOff>98403</xdr:rowOff>
    </xdr:from>
    <xdr:to>
      <xdr:col>61</xdr:col>
      <xdr:colOff>30813</xdr:colOff>
      <xdr:row>29</xdr:row>
      <xdr:rowOff>93631</xdr:rowOff>
    </xdr:to>
    <xdr:sp macro="" textlink="">
      <xdr:nvSpPr>
        <xdr:cNvPr id="260" name="円弧 259">
          <a:extLst>
            <a:ext uri="{FF2B5EF4-FFF2-40B4-BE49-F238E27FC236}">
              <a16:creationId xmlns:a16="http://schemas.microsoft.com/office/drawing/2014/main" id="{8463EE58-69F5-41B2-A5E2-E27F36F8A657}"/>
            </a:ext>
          </a:extLst>
        </xdr:cNvPr>
        <xdr:cNvSpPr/>
      </xdr:nvSpPr>
      <xdr:spPr>
        <a:xfrm rot="1800000">
          <a:off x="13739305" y="6499203"/>
          <a:ext cx="236108" cy="223828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60</xdr:col>
      <xdr:colOff>85994</xdr:colOff>
      <xdr:row>29</xdr:row>
      <xdr:rowOff>1176</xdr:rowOff>
    </xdr:from>
    <xdr:to>
      <xdr:col>62</xdr:col>
      <xdr:colOff>182665</xdr:colOff>
      <xdr:row>29</xdr:row>
      <xdr:rowOff>1176</xdr:rowOff>
    </xdr:to>
    <xdr:cxnSp macro="">
      <xdr:nvCxnSpPr>
        <xdr:cNvPr id="261" name="直線コネクタ 260">
          <a:extLst>
            <a:ext uri="{FF2B5EF4-FFF2-40B4-BE49-F238E27FC236}">
              <a16:creationId xmlns:a16="http://schemas.microsoft.com/office/drawing/2014/main" id="{0D18E7FC-6416-4D01-931D-99C83F51CBD0}"/>
            </a:ext>
          </a:extLst>
        </xdr:cNvPr>
        <xdr:cNvCxnSpPr/>
      </xdr:nvCxnSpPr>
      <xdr:spPr>
        <a:xfrm>
          <a:off x="13801994" y="6630576"/>
          <a:ext cx="553871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3470</xdr:colOff>
      <xdr:row>27</xdr:row>
      <xdr:rowOff>211291</xdr:rowOff>
    </xdr:from>
    <xdr:ext cx="403508" cy="242374"/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7D7EAA3B-62D8-4D00-BA13-B3FDD5080115}"/>
            </a:ext>
          </a:extLst>
        </xdr:cNvPr>
        <xdr:cNvSpPr txBox="1"/>
      </xdr:nvSpPr>
      <xdr:spPr>
        <a:xfrm>
          <a:off x="13948070" y="6383491"/>
          <a:ext cx="40350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ω 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43557</xdr:colOff>
      <xdr:row>20</xdr:row>
      <xdr:rowOff>143846</xdr:rowOff>
    </xdr:from>
    <xdr:to>
      <xdr:col>64</xdr:col>
      <xdr:colOff>48791</xdr:colOff>
      <xdr:row>21</xdr:row>
      <xdr:rowOff>139988</xdr:rowOff>
    </xdr:to>
    <xdr:sp macro="" textlink="">
      <xdr:nvSpPr>
        <xdr:cNvPr id="263" name="円弧 262">
          <a:extLst>
            <a:ext uri="{FF2B5EF4-FFF2-40B4-BE49-F238E27FC236}">
              <a16:creationId xmlns:a16="http://schemas.microsoft.com/office/drawing/2014/main" id="{592CCD34-1ABC-4BB0-843D-BF324B597615}"/>
            </a:ext>
          </a:extLst>
        </xdr:cNvPr>
        <xdr:cNvSpPr/>
      </xdr:nvSpPr>
      <xdr:spPr>
        <a:xfrm rot="9761260">
          <a:off x="14445357" y="4715846"/>
          <a:ext cx="233834" cy="224742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63</xdr:col>
      <xdr:colOff>191870</xdr:colOff>
      <xdr:row>19</xdr:row>
      <xdr:rowOff>216319</xdr:rowOff>
    </xdr:from>
    <xdr:to>
      <xdr:col>63</xdr:col>
      <xdr:colOff>191870</xdr:colOff>
      <xdr:row>22</xdr:row>
      <xdr:rowOff>578</xdr:rowOff>
    </xdr:to>
    <xdr:cxnSp macro="">
      <xdr:nvCxnSpPr>
        <xdr:cNvPr id="264" name="直線コネクタ 263">
          <a:extLst>
            <a:ext uri="{FF2B5EF4-FFF2-40B4-BE49-F238E27FC236}">
              <a16:creationId xmlns:a16="http://schemas.microsoft.com/office/drawing/2014/main" id="{095FC86D-7DAA-4037-BB61-C9DBB5174FD6}"/>
            </a:ext>
          </a:extLst>
        </xdr:cNvPr>
        <xdr:cNvCxnSpPr/>
      </xdr:nvCxnSpPr>
      <xdr:spPr>
        <a:xfrm>
          <a:off x="14593670" y="4559719"/>
          <a:ext cx="0" cy="468000"/>
        </a:xfrm>
        <a:prstGeom prst="line">
          <a:avLst/>
        </a:prstGeom>
        <a:ln w="3175">
          <a:solidFill>
            <a:schemeClr val="tx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135330</xdr:colOff>
      <xdr:row>21</xdr:row>
      <xdr:rowOff>140288</xdr:rowOff>
    </xdr:from>
    <xdr:ext cx="365165" cy="242374"/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C8316309-5BBA-43E2-B167-128D72BDE0FC}"/>
            </a:ext>
          </a:extLst>
        </xdr:cNvPr>
        <xdr:cNvSpPr txBox="1"/>
      </xdr:nvSpPr>
      <xdr:spPr>
        <a:xfrm>
          <a:off x="14308530" y="4940888"/>
          <a:ext cx="36516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α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185299</xdr:colOff>
      <xdr:row>18</xdr:row>
      <xdr:rowOff>111459</xdr:rowOff>
    </xdr:from>
    <xdr:to>
      <xdr:col>68</xdr:col>
      <xdr:colOff>140855</xdr:colOff>
      <xdr:row>18</xdr:row>
      <xdr:rowOff>111459</xdr:rowOff>
    </xdr:to>
    <xdr:cxnSp macro="">
      <xdr:nvCxnSpPr>
        <xdr:cNvPr id="266" name="直線コネクタ 265">
          <a:extLst>
            <a:ext uri="{FF2B5EF4-FFF2-40B4-BE49-F238E27FC236}">
              <a16:creationId xmlns:a16="http://schemas.microsoft.com/office/drawing/2014/main" id="{00ABE228-98C8-4B42-8E1C-87403577D1A9}"/>
            </a:ext>
          </a:extLst>
        </xdr:cNvPr>
        <xdr:cNvCxnSpPr/>
      </xdr:nvCxnSpPr>
      <xdr:spPr>
        <a:xfrm>
          <a:off x="14587099" y="4226259"/>
          <a:ext cx="109855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68</xdr:col>
      <xdr:colOff>139791</xdr:colOff>
      <xdr:row>18</xdr:row>
      <xdr:rowOff>67137</xdr:rowOff>
    </xdr:from>
    <xdr:to>
      <xdr:col>68</xdr:col>
      <xdr:colOff>139791</xdr:colOff>
      <xdr:row>19</xdr:row>
      <xdr:rowOff>536</xdr:rowOff>
    </xdr:to>
    <xdr:cxnSp macro="">
      <xdr:nvCxnSpPr>
        <xdr:cNvPr id="267" name="直線コネクタ 266">
          <a:extLst>
            <a:ext uri="{FF2B5EF4-FFF2-40B4-BE49-F238E27FC236}">
              <a16:creationId xmlns:a16="http://schemas.microsoft.com/office/drawing/2014/main" id="{22CB216E-9D43-4AC4-B258-66FAAA46AF92}"/>
            </a:ext>
          </a:extLst>
        </xdr:cNvPr>
        <xdr:cNvCxnSpPr/>
      </xdr:nvCxnSpPr>
      <xdr:spPr>
        <a:xfrm>
          <a:off x="15684591" y="4181937"/>
          <a:ext cx="0" cy="16199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183225</xdr:colOff>
      <xdr:row>21</xdr:row>
      <xdr:rowOff>78353</xdr:rowOff>
    </xdr:from>
    <xdr:to>
      <xdr:col>64</xdr:col>
      <xdr:colOff>183225</xdr:colOff>
      <xdr:row>23</xdr:row>
      <xdr:rowOff>200742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EDFAF05F-9ACC-49B3-9E85-1A1AD8335D66}"/>
            </a:ext>
          </a:extLst>
        </xdr:cNvPr>
        <xdr:cNvCxnSpPr/>
      </xdr:nvCxnSpPr>
      <xdr:spPr>
        <a:xfrm>
          <a:off x="14813625" y="4878953"/>
          <a:ext cx="0" cy="579589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204197</xdr:colOff>
      <xdr:row>20</xdr:row>
      <xdr:rowOff>133455</xdr:rowOff>
    </xdr:from>
    <xdr:ext cx="416396" cy="224998"/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00D5DD02-803D-4B7C-8355-E9F0F2363AE4}"/>
            </a:ext>
          </a:extLst>
        </xdr:cNvPr>
        <xdr:cNvSpPr txBox="1"/>
      </xdr:nvSpPr>
      <xdr:spPr>
        <a:xfrm>
          <a:off x="14605997" y="4705455"/>
          <a:ext cx="41639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W =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186288</xdr:colOff>
      <xdr:row>25</xdr:row>
      <xdr:rowOff>143761</xdr:rowOff>
    </xdr:from>
    <xdr:to>
      <xdr:col>65</xdr:col>
      <xdr:colOff>171754</xdr:colOff>
      <xdr:row>25</xdr:row>
      <xdr:rowOff>143761</xdr:rowOff>
    </xdr:to>
    <xdr:cxnSp macro="">
      <xdr:nvCxnSpPr>
        <xdr:cNvPr id="270" name="直線コネクタ 269">
          <a:extLst>
            <a:ext uri="{FF2B5EF4-FFF2-40B4-BE49-F238E27FC236}">
              <a16:creationId xmlns:a16="http://schemas.microsoft.com/office/drawing/2014/main" id="{247E352B-3044-4CDE-B8A5-5180DDAC60DB}"/>
            </a:ext>
          </a:extLst>
        </xdr:cNvPr>
        <xdr:cNvCxnSpPr/>
      </xdr:nvCxnSpPr>
      <xdr:spPr>
        <a:xfrm rot="2460000">
          <a:off x="14588088" y="5858761"/>
          <a:ext cx="442666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105082</xdr:colOff>
      <xdr:row>24</xdr:row>
      <xdr:rowOff>216540</xdr:rowOff>
    </xdr:from>
    <xdr:to>
      <xdr:col>64</xdr:col>
      <xdr:colOff>105082</xdr:colOff>
      <xdr:row>27</xdr:row>
      <xdr:rowOff>103682</xdr:rowOff>
    </xdr:to>
    <xdr:cxnSp macro="">
      <xdr:nvCxnSpPr>
        <xdr:cNvPr id="271" name="直線コネクタ 270">
          <a:extLst>
            <a:ext uri="{FF2B5EF4-FFF2-40B4-BE49-F238E27FC236}">
              <a16:creationId xmlns:a16="http://schemas.microsoft.com/office/drawing/2014/main" id="{E8A4262B-2220-4FE1-A8A1-96CB431B0571}"/>
            </a:ext>
          </a:extLst>
        </xdr:cNvPr>
        <xdr:cNvCxnSpPr/>
      </xdr:nvCxnSpPr>
      <xdr:spPr>
        <a:xfrm rot="4260000">
          <a:off x="14449011" y="5989411"/>
          <a:ext cx="572942" cy="0"/>
        </a:xfrm>
        <a:prstGeom prst="line">
          <a:avLst/>
        </a:prstGeom>
        <a:ln w="25400">
          <a:solidFill>
            <a:schemeClr val="tx1"/>
          </a:solidFill>
          <a:prstDash val="solid"/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203860</xdr:colOff>
      <xdr:row>25</xdr:row>
      <xdr:rowOff>41140</xdr:rowOff>
    </xdr:from>
    <xdr:to>
      <xdr:col>64</xdr:col>
      <xdr:colOff>206279</xdr:colOff>
      <xdr:row>26</xdr:row>
      <xdr:rowOff>39179</xdr:rowOff>
    </xdr:to>
    <xdr:sp macro="" textlink="">
      <xdr:nvSpPr>
        <xdr:cNvPr id="272" name="円弧 271">
          <a:extLst>
            <a:ext uri="{FF2B5EF4-FFF2-40B4-BE49-F238E27FC236}">
              <a16:creationId xmlns:a16="http://schemas.microsoft.com/office/drawing/2014/main" id="{C7049F70-511F-45CC-8DEF-D8BB25D923CE}"/>
            </a:ext>
          </a:extLst>
        </xdr:cNvPr>
        <xdr:cNvSpPr/>
      </xdr:nvSpPr>
      <xdr:spPr>
        <a:xfrm rot="5940764">
          <a:off x="14607850" y="5753950"/>
          <a:ext cx="226639" cy="231019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64</xdr:col>
      <xdr:colOff>105077</xdr:colOff>
      <xdr:row>26</xdr:row>
      <xdr:rowOff>7203</xdr:rowOff>
    </xdr:from>
    <xdr:ext cx="365165" cy="242374"/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ADF73E98-18E5-4542-9B99-F637F74F2010}"/>
            </a:ext>
          </a:extLst>
        </xdr:cNvPr>
        <xdr:cNvSpPr txBox="1"/>
      </xdr:nvSpPr>
      <xdr:spPr>
        <a:xfrm>
          <a:off x="14735477" y="5950803"/>
          <a:ext cx="36516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φ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145565</xdr:colOff>
      <xdr:row>26</xdr:row>
      <xdr:rowOff>5422</xdr:rowOff>
    </xdr:from>
    <xdr:to>
      <xdr:col>61</xdr:col>
      <xdr:colOff>112077</xdr:colOff>
      <xdr:row>26</xdr:row>
      <xdr:rowOff>5422</xdr:rowOff>
    </xdr:to>
    <xdr:cxnSp macro="">
      <xdr:nvCxnSpPr>
        <xdr:cNvPr id="274" name="直線コネクタ 273">
          <a:extLst>
            <a:ext uri="{FF2B5EF4-FFF2-40B4-BE49-F238E27FC236}">
              <a16:creationId xmlns:a16="http://schemas.microsoft.com/office/drawing/2014/main" id="{264BB6DB-8706-4AE6-9ECC-BB58F98293E1}"/>
            </a:ext>
          </a:extLst>
        </xdr:cNvPr>
        <xdr:cNvCxnSpPr/>
      </xdr:nvCxnSpPr>
      <xdr:spPr>
        <a:xfrm rot="5160000">
          <a:off x="13959121" y="5851466"/>
          <a:ext cx="0" cy="195112"/>
        </a:xfrm>
        <a:prstGeom prst="line">
          <a:avLst/>
        </a:prstGeom>
        <a:ln w="25400">
          <a:solidFill>
            <a:schemeClr val="tx1"/>
          </a:solidFill>
          <a:prstDash val="solid"/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103344</xdr:colOff>
      <xdr:row>25</xdr:row>
      <xdr:rowOff>165899</xdr:rowOff>
    </xdr:from>
    <xdr:to>
      <xdr:col>61</xdr:col>
      <xdr:colOff>107569</xdr:colOff>
      <xdr:row>25</xdr:row>
      <xdr:rowOff>223374</xdr:rowOff>
    </xdr:to>
    <xdr:cxnSp macro="">
      <xdr:nvCxnSpPr>
        <xdr:cNvPr id="275" name="直線コネクタ 274">
          <a:extLst>
            <a:ext uri="{FF2B5EF4-FFF2-40B4-BE49-F238E27FC236}">
              <a16:creationId xmlns:a16="http://schemas.microsoft.com/office/drawing/2014/main" id="{335952D4-BF0D-4DA0-9F67-ABBB89064293}"/>
            </a:ext>
          </a:extLst>
        </xdr:cNvPr>
        <xdr:cNvCxnSpPr/>
      </xdr:nvCxnSpPr>
      <xdr:spPr>
        <a:xfrm>
          <a:off x="13819344" y="5880899"/>
          <a:ext cx="232825" cy="57475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176709</xdr:colOff>
      <xdr:row>24</xdr:row>
      <xdr:rowOff>49597</xdr:rowOff>
    </xdr:from>
    <xdr:ext cx="365165" cy="242374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9BC4438F-D9FC-4BB0-9150-673D6DC6683B}"/>
            </a:ext>
          </a:extLst>
        </xdr:cNvPr>
        <xdr:cNvSpPr txBox="1"/>
      </xdr:nvSpPr>
      <xdr:spPr>
        <a:xfrm>
          <a:off x="13664109" y="5535997"/>
          <a:ext cx="36516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δ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169670</xdr:colOff>
      <xdr:row>25</xdr:row>
      <xdr:rowOff>135784</xdr:rowOff>
    </xdr:from>
    <xdr:to>
      <xdr:col>61</xdr:col>
      <xdr:colOff>195315</xdr:colOff>
      <xdr:row>26</xdr:row>
      <xdr:rowOff>128362</xdr:rowOff>
    </xdr:to>
    <xdr:sp macro="" textlink="">
      <xdr:nvSpPr>
        <xdr:cNvPr id="277" name="円弧 276">
          <a:extLst>
            <a:ext uri="{FF2B5EF4-FFF2-40B4-BE49-F238E27FC236}">
              <a16:creationId xmlns:a16="http://schemas.microsoft.com/office/drawing/2014/main" id="{5DF79DE4-D5C5-49E0-B8EC-650E27C62E76}"/>
            </a:ext>
          </a:extLst>
        </xdr:cNvPr>
        <xdr:cNvSpPr/>
      </xdr:nvSpPr>
      <xdr:spPr>
        <a:xfrm rot="11882846">
          <a:off x="13885670" y="5850784"/>
          <a:ext cx="254245" cy="221178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60</xdr:col>
      <xdr:colOff>174924</xdr:colOff>
      <xdr:row>25</xdr:row>
      <xdr:rowOff>70594</xdr:rowOff>
    </xdr:from>
    <xdr:to>
      <xdr:col>61</xdr:col>
      <xdr:colOff>181057</xdr:colOff>
      <xdr:row>26</xdr:row>
      <xdr:rowOff>75733</xdr:rowOff>
    </xdr:to>
    <xdr:sp macro="" textlink="">
      <xdr:nvSpPr>
        <xdr:cNvPr id="278" name="円弧 277">
          <a:extLst>
            <a:ext uri="{FF2B5EF4-FFF2-40B4-BE49-F238E27FC236}">
              <a16:creationId xmlns:a16="http://schemas.microsoft.com/office/drawing/2014/main" id="{85A50FAE-72AD-4378-937F-F293A73D0FA9}"/>
            </a:ext>
          </a:extLst>
        </xdr:cNvPr>
        <xdr:cNvSpPr/>
      </xdr:nvSpPr>
      <xdr:spPr>
        <a:xfrm rot="16419954">
          <a:off x="13891421" y="5785097"/>
          <a:ext cx="233739" cy="234733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59</xdr:col>
      <xdr:colOff>189675</xdr:colOff>
      <xdr:row>25</xdr:row>
      <xdr:rowOff>128814</xdr:rowOff>
    </xdr:from>
    <xdr:ext cx="255198" cy="224998"/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45EE67F0-8305-4098-92EB-003B5768BD39}"/>
            </a:ext>
          </a:extLst>
        </xdr:cNvPr>
        <xdr:cNvSpPr txBox="1"/>
      </xdr:nvSpPr>
      <xdr:spPr>
        <a:xfrm>
          <a:off x="13677075" y="5843814"/>
          <a:ext cx="25519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58757</xdr:colOff>
      <xdr:row>24</xdr:row>
      <xdr:rowOff>170835</xdr:rowOff>
    </xdr:from>
    <xdr:to>
      <xdr:col>64</xdr:col>
      <xdr:colOff>110956</xdr:colOff>
      <xdr:row>24</xdr:row>
      <xdr:rowOff>223026</xdr:rowOff>
    </xdr:to>
    <xdr:cxnSp macro="">
      <xdr:nvCxnSpPr>
        <xdr:cNvPr id="280" name="直線コネクタ 279">
          <a:extLst>
            <a:ext uri="{FF2B5EF4-FFF2-40B4-BE49-F238E27FC236}">
              <a16:creationId xmlns:a16="http://schemas.microsoft.com/office/drawing/2014/main" id="{4B408A52-8CEA-4E63-B483-080C2918F3B0}"/>
            </a:ext>
          </a:extLst>
        </xdr:cNvPr>
        <xdr:cNvCxnSpPr/>
      </xdr:nvCxnSpPr>
      <xdr:spPr>
        <a:xfrm>
          <a:off x="14689157" y="5657235"/>
          <a:ext cx="52199" cy="52191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68323</xdr:colOff>
      <xdr:row>24</xdr:row>
      <xdr:rowOff>221939</xdr:rowOff>
    </xdr:from>
    <xdr:to>
      <xdr:col>64</xdr:col>
      <xdr:colOff>113888</xdr:colOff>
      <xdr:row>25</xdr:row>
      <xdr:rowOff>38611</xdr:rowOff>
    </xdr:to>
    <xdr:cxnSp macro="">
      <xdr:nvCxnSpPr>
        <xdr:cNvPr id="281" name="直線コネクタ 280">
          <a:extLst>
            <a:ext uri="{FF2B5EF4-FFF2-40B4-BE49-F238E27FC236}">
              <a16:creationId xmlns:a16="http://schemas.microsoft.com/office/drawing/2014/main" id="{C56EE765-81CF-409C-8F9B-FE2D0BB67E8F}"/>
            </a:ext>
          </a:extLst>
        </xdr:cNvPr>
        <xdr:cNvCxnSpPr/>
      </xdr:nvCxnSpPr>
      <xdr:spPr>
        <a:xfrm rot="5400000">
          <a:off x="14698870" y="5708192"/>
          <a:ext cx="45272" cy="45565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61383</xdr:colOff>
      <xdr:row>25</xdr:row>
      <xdr:rowOff>148634</xdr:rowOff>
    </xdr:from>
    <xdr:to>
      <xdr:col>61</xdr:col>
      <xdr:colOff>125524</xdr:colOff>
      <xdr:row>25</xdr:row>
      <xdr:rowOff>169767</xdr:rowOff>
    </xdr:to>
    <xdr:cxnSp macro="">
      <xdr:nvCxnSpPr>
        <xdr:cNvPr id="282" name="直線コネクタ 281">
          <a:extLst>
            <a:ext uri="{FF2B5EF4-FFF2-40B4-BE49-F238E27FC236}">
              <a16:creationId xmlns:a16="http://schemas.microsoft.com/office/drawing/2014/main" id="{3DFAE9CC-F9C8-4348-BAD5-9386AE3A4267}"/>
            </a:ext>
          </a:extLst>
        </xdr:cNvPr>
        <xdr:cNvCxnSpPr/>
      </xdr:nvCxnSpPr>
      <xdr:spPr>
        <a:xfrm>
          <a:off x="14005983" y="5863634"/>
          <a:ext cx="64141" cy="21133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44458</xdr:colOff>
      <xdr:row>25</xdr:row>
      <xdr:rowOff>148711</xdr:rowOff>
    </xdr:from>
    <xdr:to>
      <xdr:col>61</xdr:col>
      <xdr:colOff>61855</xdr:colOff>
      <xdr:row>25</xdr:row>
      <xdr:rowOff>204699</xdr:rowOff>
    </xdr:to>
    <xdr:cxnSp macro="">
      <xdr:nvCxnSpPr>
        <xdr:cNvPr id="283" name="直線コネクタ 282">
          <a:extLst>
            <a:ext uri="{FF2B5EF4-FFF2-40B4-BE49-F238E27FC236}">
              <a16:creationId xmlns:a16="http://schemas.microsoft.com/office/drawing/2014/main" id="{0F706813-A89F-45E3-96EC-EE49DE30E84A}"/>
            </a:ext>
          </a:extLst>
        </xdr:cNvPr>
        <xdr:cNvCxnSpPr/>
      </xdr:nvCxnSpPr>
      <xdr:spPr>
        <a:xfrm flipH="1">
          <a:off x="13989058" y="5863711"/>
          <a:ext cx="17397" cy="55988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193370</xdr:colOff>
      <xdr:row>19</xdr:row>
      <xdr:rowOff>64783</xdr:rowOff>
    </xdr:from>
    <xdr:to>
      <xdr:col>63</xdr:col>
      <xdr:colOff>194766</xdr:colOff>
      <xdr:row>19</xdr:row>
      <xdr:rowOff>209696</xdr:rowOff>
    </xdr:to>
    <xdr:cxnSp macro="">
      <xdr:nvCxnSpPr>
        <xdr:cNvPr id="285" name="直線コネクタ 284">
          <a:extLst>
            <a:ext uri="{FF2B5EF4-FFF2-40B4-BE49-F238E27FC236}">
              <a16:creationId xmlns:a16="http://schemas.microsoft.com/office/drawing/2014/main" id="{C1D451B2-F48C-4439-978D-4D5D27AF4FCA}"/>
            </a:ext>
          </a:extLst>
        </xdr:cNvPr>
        <xdr:cNvCxnSpPr/>
      </xdr:nvCxnSpPr>
      <xdr:spPr>
        <a:xfrm flipH="1">
          <a:off x="14595170" y="4408183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66941</xdr:colOff>
      <xdr:row>19</xdr:row>
      <xdr:rowOff>64783</xdr:rowOff>
    </xdr:from>
    <xdr:to>
      <xdr:col>64</xdr:col>
      <xdr:colOff>68337</xdr:colOff>
      <xdr:row>19</xdr:row>
      <xdr:rowOff>209696</xdr:rowOff>
    </xdr:to>
    <xdr:cxnSp macro="">
      <xdr:nvCxnSpPr>
        <xdr:cNvPr id="286" name="直線コネクタ 285">
          <a:extLst>
            <a:ext uri="{FF2B5EF4-FFF2-40B4-BE49-F238E27FC236}">
              <a16:creationId xmlns:a16="http://schemas.microsoft.com/office/drawing/2014/main" id="{03B52AAF-05C4-4CC5-8740-388E6630DB95}"/>
            </a:ext>
          </a:extLst>
        </xdr:cNvPr>
        <xdr:cNvCxnSpPr/>
      </xdr:nvCxnSpPr>
      <xdr:spPr>
        <a:xfrm flipH="1">
          <a:off x="14697341" y="4408183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179441</xdr:colOff>
      <xdr:row>19</xdr:row>
      <xdr:rowOff>64783</xdr:rowOff>
    </xdr:from>
    <xdr:to>
      <xdr:col>64</xdr:col>
      <xdr:colOff>180837</xdr:colOff>
      <xdr:row>19</xdr:row>
      <xdr:rowOff>209696</xdr:rowOff>
    </xdr:to>
    <xdr:cxnSp macro="">
      <xdr:nvCxnSpPr>
        <xdr:cNvPr id="287" name="直線コネクタ 286">
          <a:extLst>
            <a:ext uri="{FF2B5EF4-FFF2-40B4-BE49-F238E27FC236}">
              <a16:creationId xmlns:a16="http://schemas.microsoft.com/office/drawing/2014/main" id="{4D3DFB2F-1AB6-4633-80EC-58F025EA2352}"/>
            </a:ext>
          </a:extLst>
        </xdr:cNvPr>
        <xdr:cNvCxnSpPr/>
      </xdr:nvCxnSpPr>
      <xdr:spPr>
        <a:xfrm flipH="1">
          <a:off x="14809841" y="4408183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56551</xdr:colOff>
      <xdr:row>19</xdr:row>
      <xdr:rowOff>64783</xdr:rowOff>
    </xdr:from>
    <xdr:to>
      <xdr:col>65</xdr:col>
      <xdr:colOff>57947</xdr:colOff>
      <xdr:row>19</xdr:row>
      <xdr:rowOff>209696</xdr:rowOff>
    </xdr:to>
    <xdr:cxnSp macro="">
      <xdr:nvCxnSpPr>
        <xdr:cNvPr id="288" name="直線コネクタ 287">
          <a:extLst>
            <a:ext uri="{FF2B5EF4-FFF2-40B4-BE49-F238E27FC236}">
              <a16:creationId xmlns:a16="http://schemas.microsoft.com/office/drawing/2014/main" id="{CFF6124F-1F33-4841-9799-2BF2ED3BDC6E}"/>
            </a:ext>
          </a:extLst>
        </xdr:cNvPr>
        <xdr:cNvCxnSpPr/>
      </xdr:nvCxnSpPr>
      <xdr:spPr>
        <a:xfrm flipH="1">
          <a:off x="14915551" y="4408183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153013</xdr:colOff>
      <xdr:row>19</xdr:row>
      <xdr:rowOff>64783</xdr:rowOff>
    </xdr:from>
    <xdr:to>
      <xdr:col>65</xdr:col>
      <xdr:colOff>154409</xdr:colOff>
      <xdr:row>19</xdr:row>
      <xdr:rowOff>209696</xdr:rowOff>
    </xdr:to>
    <xdr:cxnSp macro="">
      <xdr:nvCxnSpPr>
        <xdr:cNvPr id="289" name="直線コネクタ 288">
          <a:extLst>
            <a:ext uri="{FF2B5EF4-FFF2-40B4-BE49-F238E27FC236}">
              <a16:creationId xmlns:a16="http://schemas.microsoft.com/office/drawing/2014/main" id="{077BCE21-3F48-417B-82EF-D81B63406BCA}"/>
            </a:ext>
          </a:extLst>
        </xdr:cNvPr>
        <xdr:cNvCxnSpPr/>
      </xdr:nvCxnSpPr>
      <xdr:spPr>
        <a:xfrm flipH="1">
          <a:off x="15012013" y="4408183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25197</xdr:colOff>
      <xdr:row>19</xdr:row>
      <xdr:rowOff>64783</xdr:rowOff>
    </xdr:from>
    <xdr:to>
      <xdr:col>66</xdr:col>
      <xdr:colOff>26593</xdr:colOff>
      <xdr:row>19</xdr:row>
      <xdr:rowOff>209696</xdr:rowOff>
    </xdr:to>
    <xdr:cxnSp macro="">
      <xdr:nvCxnSpPr>
        <xdr:cNvPr id="290" name="直線コネクタ 289">
          <a:extLst>
            <a:ext uri="{FF2B5EF4-FFF2-40B4-BE49-F238E27FC236}">
              <a16:creationId xmlns:a16="http://schemas.microsoft.com/office/drawing/2014/main" id="{01076D13-D83C-4A23-BE14-8A5F0D938FC5}"/>
            </a:ext>
          </a:extLst>
        </xdr:cNvPr>
        <xdr:cNvCxnSpPr/>
      </xdr:nvCxnSpPr>
      <xdr:spPr>
        <a:xfrm flipH="1">
          <a:off x="15112797" y="4408183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134737</xdr:colOff>
      <xdr:row>19</xdr:row>
      <xdr:rowOff>64783</xdr:rowOff>
    </xdr:from>
    <xdr:to>
      <xdr:col>66</xdr:col>
      <xdr:colOff>136133</xdr:colOff>
      <xdr:row>19</xdr:row>
      <xdr:rowOff>209696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440AEB29-A0F6-4115-B7BF-4CFA5D091FB6}"/>
            </a:ext>
          </a:extLst>
        </xdr:cNvPr>
        <xdr:cNvCxnSpPr/>
      </xdr:nvCxnSpPr>
      <xdr:spPr>
        <a:xfrm flipH="1">
          <a:off x="15222337" y="4408183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15465</xdr:colOff>
      <xdr:row>19</xdr:row>
      <xdr:rowOff>64783</xdr:rowOff>
    </xdr:from>
    <xdr:to>
      <xdr:col>67</xdr:col>
      <xdr:colOff>16861</xdr:colOff>
      <xdr:row>19</xdr:row>
      <xdr:rowOff>209696</xdr:rowOff>
    </xdr:to>
    <xdr:cxnSp macro="">
      <xdr:nvCxnSpPr>
        <xdr:cNvPr id="292" name="直線コネクタ 291">
          <a:extLst>
            <a:ext uri="{FF2B5EF4-FFF2-40B4-BE49-F238E27FC236}">
              <a16:creationId xmlns:a16="http://schemas.microsoft.com/office/drawing/2014/main" id="{F060761C-16D0-4A4F-AA3E-BE6D2D446241}"/>
            </a:ext>
          </a:extLst>
        </xdr:cNvPr>
        <xdr:cNvCxnSpPr/>
      </xdr:nvCxnSpPr>
      <xdr:spPr>
        <a:xfrm flipH="1">
          <a:off x="15331665" y="4408183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127531</xdr:colOff>
      <xdr:row>19</xdr:row>
      <xdr:rowOff>64783</xdr:rowOff>
    </xdr:from>
    <xdr:to>
      <xdr:col>67</xdr:col>
      <xdr:colOff>128927</xdr:colOff>
      <xdr:row>19</xdr:row>
      <xdr:rowOff>209696</xdr:rowOff>
    </xdr:to>
    <xdr:cxnSp macro="">
      <xdr:nvCxnSpPr>
        <xdr:cNvPr id="293" name="直線コネクタ 292">
          <a:extLst>
            <a:ext uri="{FF2B5EF4-FFF2-40B4-BE49-F238E27FC236}">
              <a16:creationId xmlns:a16="http://schemas.microsoft.com/office/drawing/2014/main" id="{BB03AFED-1A95-44B3-BE0B-7F926B261600}"/>
            </a:ext>
          </a:extLst>
        </xdr:cNvPr>
        <xdr:cNvCxnSpPr/>
      </xdr:nvCxnSpPr>
      <xdr:spPr>
        <a:xfrm flipH="1">
          <a:off x="15443731" y="4408183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68</xdr:col>
      <xdr:colOff>18255</xdr:colOff>
      <xdr:row>19</xdr:row>
      <xdr:rowOff>64783</xdr:rowOff>
    </xdr:from>
    <xdr:to>
      <xdr:col>68</xdr:col>
      <xdr:colOff>19651</xdr:colOff>
      <xdr:row>19</xdr:row>
      <xdr:rowOff>209696</xdr:rowOff>
    </xdr:to>
    <xdr:cxnSp macro="">
      <xdr:nvCxnSpPr>
        <xdr:cNvPr id="294" name="直線コネクタ 293">
          <a:extLst>
            <a:ext uri="{FF2B5EF4-FFF2-40B4-BE49-F238E27FC236}">
              <a16:creationId xmlns:a16="http://schemas.microsoft.com/office/drawing/2014/main" id="{CBCF5E09-E9A1-4D64-A304-7CAB027E3337}"/>
            </a:ext>
          </a:extLst>
        </xdr:cNvPr>
        <xdr:cNvCxnSpPr/>
      </xdr:nvCxnSpPr>
      <xdr:spPr>
        <a:xfrm flipH="1">
          <a:off x="15563055" y="4408183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65</xdr:col>
      <xdr:colOff>173962</xdr:colOff>
      <xdr:row>18</xdr:row>
      <xdr:rowOff>101803</xdr:rowOff>
    </xdr:from>
    <xdr:ext cx="349135" cy="224998"/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DDA5031B-8726-4DE6-AFC5-C1C33D1EA0E6}"/>
            </a:ext>
          </a:extLst>
        </xdr:cNvPr>
        <xdr:cNvSpPr txBox="1"/>
      </xdr:nvSpPr>
      <xdr:spPr>
        <a:xfrm>
          <a:off x="15032962" y="4216603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68</xdr:col>
      <xdr:colOff>133141</xdr:colOff>
      <xdr:row>19</xdr:row>
      <xdr:rowOff>64783</xdr:rowOff>
    </xdr:from>
    <xdr:to>
      <xdr:col>68</xdr:col>
      <xdr:colOff>134537</xdr:colOff>
      <xdr:row>19</xdr:row>
      <xdr:rowOff>209696</xdr:rowOff>
    </xdr:to>
    <xdr:cxnSp macro="">
      <xdr:nvCxnSpPr>
        <xdr:cNvPr id="296" name="直線コネクタ 295">
          <a:extLst>
            <a:ext uri="{FF2B5EF4-FFF2-40B4-BE49-F238E27FC236}">
              <a16:creationId xmlns:a16="http://schemas.microsoft.com/office/drawing/2014/main" id="{C206702B-3634-49AD-8F61-8F0BFCDDFD14}"/>
            </a:ext>
          </a:extLst>
        </xdr:cNvPr>
        <xdr:cNvCxnSpPr/>
      </xdr:nvCxnSpPr>
      <xdr:spPr>
        <a:xfrm flipH="1">
          <a:off x="15677941" y="4408183"/>
          <a:ext cx="1396" cy="144913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191194</xdr:colOff>
      <xdr:row>24</xdr:row>
      <xdr:rowOff>158484</xdr:rowOff>
    </xdr:from>
    <xdr:ext cx="386644" cy="224998"/>
    <xdr:sp macro="" textlink="$AZ$25">
      <xdr:nvSpPr>
        <xdr:cNvPr id="298" name="テキスト ボックス 297">
          <a:extLst>
            <a:ext uri="{FF2B5EF4-FFF2-40B4-BE49-F238E27FC236}">
              <a16:creationId xmlns:a16="http://schemas.microsoft.com/office/drawing/2014/main" id="{7D83C1E5-9C9B-C0FF-B555-74ED8BD3EB51}"/>
            </a:ext>
          </a:extLst>
        </xdr:cNvPr>
        <xdr:cNvSpPr txBox="1"/>
      </xdr:nvSpPr>
      <xdr:spPr>
        <a:xfrm>
          <a:off x="13678594" y="5644884"/>
          <a:ext cx="38664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F3110B6-FA30-4232-9349-ED216DCF0FB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20.0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202687</xdr:colOff>
      <xdr:row>26</xdr:row>
      <xdr:rowOff>32159</xdr:rowOff>
    </xdr:from>
    <xdr:ext cx="249748" cy="224998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88AFB828-9DDF-FC0C-D040-918E8E8BEF0D}"/>
            </a:ext>
          </a:extLst>
        </xdr:cNvPr>
        <xdr:cNvSpPr txBox="1"/>
      </xdr:nvSpPr>
      <xdr:spPr>
        <a:xfrm>
          <a:off x="13461487" y="5975759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95875</xdr:colOff>
      <xdr:row>25</xdr:row>
      <xdr:rowOff>108537</xdr:rowOff>
    </xdr:from>
    <xdr:to>
      <xdr:col>61</xdr:col>
      <xdr:colOff>95875</xdr:colOff>
      <xdr:row>25</xdr:row>
      <xdr:rowOff>219906</xdr:rowOff>
    </xdr:to>
    <xdr:cxnSp macro="">
      <xdr:nvCxnSpPr>
        <xdr:cNvPr id="300" name="直線コネクタ 299">
          <a:extLst>
            <a:ext uri="{FF2B5EF4-FFF2-40B4-BE49-F238E27FC236}">
              <a16:creationId xmlns:a16="http://schemas.microsoft.com/office/drawing/2014/main" id="{D746534D-2A67-99F3-6E72-E8FA61BA48F2}"/>
            </a:ext>
          </a:extLst>
        </xdr:cNvPr>
        <xdr:cNvCxnSpPr/>
      </xdr:nvCxnSpPr>
      <xdr:spPr>
        <a:xfrm>
          <a:off x="14040475" y="5823537"/>
          <a:ext cx="0" cy="111369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122148</xdr:colOff>
      <xdr:row>26</xdr:row>
      <xdr:rowOff>83567</xdr:rowOff>
    </xdr:from>
    <xdr:ext cx="441146" cy="224998"/>
    <xdr:sp macro="" textlink="$AP$21">
      <xdr:nvSpPr>
        <xdr:cNvPr id="301" name="テキスト ボックス 300">
          <a:extLst>
            <a:ext uri="{FF2B5EF4-FFF2-40B4-BE49-F238E27FC236}">
              <a16:creationId xmlns:a16="http://schemas.microsoft.com/office/drawing/2014/main" id="{CB729FA2-7674-22F9-1158-780CC863E956}"/>
            </a:ext>
          </a:extLst>
        </xdr:cNvPr>
        <xdr:cNvSpPr txBox="1"/>
      </xdr:nvSpPr>
      <xdr:spPr>
        <a:xfrm>
          <a:off x="14066748" y="6027167"/>
          <a:ext cx="44114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7A8657D-F4A5-4417-A965-787BEEFACFFA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66.083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62</xdr:col>
      <xdr:colOff>7730</xdr:colOff>
      <xdr:row>24</xdr:row>
      <xdr:rowOff>164450</xdr:rowOff>
    </xdr:from>
    <xdr:ext cx="441146" cy="224998"/>
    <xdr:sp macro="" textlink="$AP$26">
      <xdr:nvSpPr>
        <xdr:cNvPr id="302" name="テキスト ボックス 301">
          <a:extLst>
            <a:ext uri="{FF2B5EF4-FFF2-40B4-BE49-F238E27FC236}">
              <a16:creationId xmlns:a16="http://schemas.microsoft.com/office/drawing/2014/main" id="{D050C16C-5F63-B76D-2869-75D6D64CEBC4}"/>
            </a:ext>
          </a:extLst>
        </xdr:cNvPr>
        <xdr:cNvSpPr txBox="1"/>
      </xdr:nvSpPr>
      <xdr:spPr>
        <a:xfrm>
          <a:off x="14180930" y="5650850"/>
          <a:ext cx="44114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F340B5C-E1A5-4CA7-AAE1-6121FABE60AC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-2.077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61</xdr:col>
      <xdr:colOff>121373</xdr:colOff>
      <xdr:row>25</xdr:row>
      <xdr:rowOff>201440</xdr:rowOff>
    </xdr:from>
    <xdr:ext cx="310791" cy="224998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6AF05AE1-56B3-7939-81A0-74D5428E1E85}"/>
            </a:ext>
          </a:extLst>
        </xdr:cNvPr>
        <xdr:cNvSpPr txBox="1"/>
      </xdr:nvSpPr>
      <xdr:spPr>
        <a:xfrm>
          <a:off x="14065973" y="5916440"/>
          <a:ext cx="31079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endParaRPr kumimoji="1" lang="ja-JP" altLang="en-US" sz="900" baseline="-25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110432</xdr:colOff>
      <xdr:row>25</xdr:row>
      <xdr:rowOff>221606</xdr:rowOff>
    </xdr:from>
    <xdr:to>
      <xdr:col>62</xdr:col>
      <xdr:colOff>103617</xdr:colOff>
      <xdr:row>25</xdr:row>
      <xdr:rowOff>221606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E66B823-736B-C331-0BB9-3FB891926208}"/>
            </a:ext>
          </a:extLst>
        </xdr:cNvPr>
        <xdr:cNvCxnSpPr/>
      </xdr:nvCxnSpPr>
      <xdr:spPr>
        <a:xfrm>
          <a:off x="14055032" y="5936606"/>
          <a:ext cx="221785" cy="0"/>
        </a:xfrm>
        <a:prstGeom prst="line">
          <a:avLst/>
        </a:prstGeom>
        <a:ln w="28575">
          <a:solidFill>
            <a:srgbClr val="FF0000"/>
          </a:solidFill>
          <a:headEnd type="triangle" w="med" len="med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23549</xdr:colOff>
      <xdr:row>24</xdr:row>
      <xdr:rowOff>150368</xdr:rowOff>
    </xdr:from>
    <xdr:ext cx="302199" cy="224998"/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292C443B-3033-9941-2AA3-F0B8A4ED4343}"/>
            </a:ext>
          </a:extLst>
        </xdr:cNvPr>
        <xdr:cNvSpPr txBox="1"/>
      </xdr:nvSpPr>
      <xdr:spPr>
        <a:xfrm>
          <a:off x="13968149" y="5636768"/>
          <a:ext cx="30219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</a:t>
          </a:r>
          <a:endParaRPr kumimoji="1" lang="ja-JP" altLang="en-US" sz="900" baseline="-25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62</xdr:col>
      <xdr:colOff>173122</xdr:colOff>
      <xdr:row>22</xdr:row>
      <xdr:rowOff>26623</xdr:rowOff>
    </xdr:from>
    <xdr:ext cx="425053" cy="224998"/>
    <xdr:sp macro="" textlink="$R$21">
      <xdr:nvSpPr>
        <xdr:cNvPr id="306" name="テキスト ボックス 305">
          <a:extLst>
            <a:ext uri="{FF2B5EF4-FFF2-40B4-BE49-F238E27FC236}">
              <a16:creationId xmlns:a16="http://schemas.microsoft.com/office/drawing/2014/main" id="{D2A33881-A1DD-F45B-8462-52FA29087C64}"/>
            </a:ext>
          </a:extLst>
        </xdr:cNvPr>
        <xdr:cNvSpPr txBox="1"/>
      </xdr:nvSpPr>
      <xdr:spPr>
        <a:xfrm>
          <a:off x="14346322" y="5055823"/>
          <a:ext cx="42505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D6FB568-2EE3-4049-9D90-505B5BF28D9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-21.8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126299</xdr:colOff>
      <xdr:row>18</xdr:row>
      <xdr:rowOff>114904</xdr:rowOff>
    </xdr:from>
    <xdr:ext cx="300082" cy="224998"/>
    <xdr:sp macro="" textlink="$Y$29">
      <xdr:nvSpPr>
        <xdr:cNvPr id="307" name="テキスト ボックス 306">
          <a:extLst>
            <a:ext uri="{FF2B5EF4-FFF2-40B4-BE49-F238E27FC236}">
              <a16:creationId xmlns:a16="http://schemas.microsoft.com/office/drawing/2014/main" id="{ABB192F5-6C10-A53C-0032-4B9A4B0950F5}"/>
            </a:ext>
          </a:extLst>
        </xdr:cNvPr>
        <xdr:cNvSpPr txBox="1"/>
      </xdr:nvSpPr>
      <xdr:spPr>
        <a:xfrm>
          <a:off x="15213899" y="4229704"/>
          <a:ext cx="30008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1548C15-1C51-483B-92DB-9F11616FA5A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64</xdr:col>
      <xdr:colOff>226708</xdr:colOff>
      <xdr:row>20</xdr:row>
      <xdr:rowOff>123583</xdr:rowOff>
    </xdr:from>
    <xdr:ext cx="441146" cy="224998"/>
    <xdr:sp macro="" textlink="$BM$9">
      <xdr:nvSpPr>
        <xdr:cNvPr id="308" name="テキスト ボックス 307">
          <a:extLst>
            <a:ext uri="{FF2B5EF4-FFF2-40B4-BE49-F238E27FC236}">
              <a16:creationId xmlns:a16="http://schemas.microsoft.com/office/drawing/2014/main" id="{32D257D9-CD0E-0A03-1692-B1DB2E12C6D2}"/>
            </a:ext>
          </a:extLst>
        </xdr:cNvPr>
        <xdr:cNvSpPr txBox="1"/>
      </xdr:nvSpPr>
      <xdr:spPr>
        <a:xfrm>
          <a:off x="14857108" y="4695583"/>
          <a:ext cx="44114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04103AD-9EFF-4AD5-9256-1396E7ABEC0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214.071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181196</xdr:colOff>
      <xdr:row>17</xdr:row>
      <xdr:rowOff>103225</xdr:rowOff>
    </xdr:from>
    <xdr:ext cx="444352" cy="224998"/>
    <xdr:sp macro="" textlink="$BM$7">
      <xdr:nvSpPr>
        <xdr:cNvPr id="309" name="テキスト ボックス 308">
          <a:extLst>
            <a:ext uri="{FF2B5EF4-FFF2-40B4-BE49-F238E27FC236}">
              <a16:creationId xmlns:a16="http://schemas.microsoft.com/office/drawing/2014/main" id="{FC8EE9B2-B800-0032-C28E-ECE059E823FF}"/>
            </a:ext>
          </a:extLst>
        </xdr:cNvPr>
        <xdr:cNvSpPr txBox="1"/>
      </xdr:nvSpPr>
      <xdr:spPr>
        <a:xfrm>
          <a:off x="15040196" y="398942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C3E4A4-54BF-4603-AD1C-1B3EDDD89934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3.195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62</xdr:col>
      <xdr:colOff>19660</xdr:colOff>
      <xdr:row>27</xdr:row>
      <xdr:rowOff>226393</xdr:rowOff>
    </xdr:from>
    <xdr:ext cx="441146" cy="224998"/>
    <xdr:sp macro="" textlink="$BM$5">
      <xdr:nvSpPr>
        <xdr:cNvPr id="311" name="テキスト ボックス 310">
          <a:extLst>
            <a:ext uri="{FF2B5EF4-FFF2-40B4-BE49-F238E27FC236}">
              <a16:creationId xmlns:a16="http://schemas.microsoft.com/office/drawing/2014/main" id="{8D797F6D-C0F1-9339-3BB6-7A65CC60A99C}"/>
            </a:ext>
          </a:extLst>
        </xdr:cNvPr>
        <xdr:cNvSpPr txBox="1"/>
      </xdr:nvSpPr>
      <xdr:spPr>
        <a:xfrm>
          <a:off x="14192860" y="6398593"/>
          <a:ext cx="44114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CCA0A3A-87B8-47D5-ABB8-AE7ABF9AD2C5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47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58</xdr:col>
      <xdr:colOff>19463</xdr:colOff>
      <xdr:row>29</xdr:row>
      <xdr:rowOff>197785</xdr:rowOff>
    </xdr:from>
    <xdr:to>
      <xdr:col>61</xdr:col>
      <xdr:colOff>125663</xdr:colOff>
      <xdr:row>29</xdr:row>
      <xdr:rowOff>197785</xdr:rowOff>
    </xdr:to>
    <xdr:cxnSp macro="">
      <xdr:nvCxnSpPr>
        <xdr:cNvPr id="313" name="直線コネクタ 312">
          <a:extLst>
            <a:ext uri="{FF2B5EF4-FFF2-40B4-BE49-F238E27FC236}">
              <a16:creationId xmlns:a16="http://schemas.microsoft.com/office/drawing/2014/main" id="{90DF5DDF-26BE-C69D-8FEE-84113941AE41}"/>
            </a:ext>
          </a:extLst>
        </xdr:cNvPr>
        <xdr:cNvCxnSpPr/>
      </xdr:nvCxnSpPr>
      <xdr:spPr>
        <a:xfrm>
          <a:off x="13278263" y="6827185"/>
          <a:ext cx="79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120672</xdr:colOff>
      <xdr:row>29</xdr:row>
      <xdr:rowOff>50414</xdr:rowOff>
    </xdr:from>
    <xdr:to>
      <xdr:col>61</xdr:col>
      <xdr:colOff>120672</xdr:colOff>
      <xdr:row>30</xdr:row>
      <xdr:rowOff>13162</xdr:rowOff>
    </xdr:to>
    <xdr:cxnSp macro="">
      <xdr:nvCxnSpPr>
        <xdr:cNvPr id="314" name="直線コネクタ 313">
          <a:extLst>
            <a:ext uri="{FF2B5EF4-FFF2-40B4-BE49-F238E27FC236}">
              <a16:creationId xmlns:a16="http://schemas.microsoft.com/office/drawing/2014/main" id="{D0D0810E-349E-461B-C3E2-D03DF233D647}"/>
            </a:ext>
          </a:extLst>
        </xdr:cNvPr>
        <xdr:cNvCxnSpPr/>
      </xdr:nvCxnSpPr>
      <xdr:spPr>
        <a:xfrm>
          <a:off x="14065272" y="6679814"/>
          <a:ext cx="0" cy="191348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55</xdr:col>
      <xdr:colOff>209195</xdr:colOff>
      <xdr:row>29</xdr:row>
      <xdr:rowOff>3025</xdr:rowOff>
    </xdr:from>
    <xdr:to>
      <xdr:col>57</xdr:col>
      <xdr:colOff>125289</xdr:colOff>
      <xdr:row>29</xdr:row>
      <xdr:rowOff>3025</xdr:rowOff>
    </xdr:to>
    <xdr:cxnSp macro="">
      <xdr:nvCxnSpPr>
        <xdr:cNvPr id="320" name="直線コネクタ 319">
          <a:extLst>
            <a:ext uri="{FF2B5EF4-FFF2-40B4-BE49-F238E27FC236}">
              <a16:creationId xmlns:a16="http://schemas.microsoft.com/office/drawing/2014/main" id="{2CBEB784-97FF-2D6C-46FB-503A84988C80}"/>
            </a:ext>
          </a:extLst>
        </xdr:cNvPr>
        <xdr:cNvCxnSpPr/>
      </xdr:nvCxnSpPr>
      <xdr:spPr>
        <a:xfrm>
          <a:off x="12782195" y="6632425"/>
          <a:ext cx="37329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55143</xdr:colOff>
      <xdr:row>25</xdr:row>
      <xdr:rowOff>222672</xdr:rowOff>
    </xdr:from>
    <xdr:to>
      <xdr:col>57</xdr:col>
      <xdr:colOff>55143</xdr:colOff>
      <xdr:row>29</xdr:row>
      <xdr:rowOff>336</xdr:rowOff>
    </xdr:to>
    <xdr:cxnSp macro="">
      <xdr:nvCxnSpPr>
        <xdr:cNvPr id="321" name="直線コネクタ 320">
          <a:extLst>
            <a:ext uri="{FF2B5EF4-FFF2-40B4-BE49-F238E27FC236}">
              <a16:creationId xmlns:a16="http://schemas.microsoft.com/office/drawing/2014/main" id="{A35955E6-137B-24F6-5965-08C70C6F3A48}"/>
            </a:ext>
          </a:extLst>
        </xdr:cNvPr>
        <xdr:cNvCxnSpPr/>
      </xdr:nvCxnSpPr>
      <xdr:spPr>
        <a:xfrm>
          <a:off x="13085343" y="5937672"/>
          <a:ext cx="0" cy="690005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56</xdr:col>
      <xdr:colOff>69680</xdr:colOff>
      <xdr:row>27</xdr:row>
      <xdr:rowOff>102846</xdr:rowOff>
    </xdr:from>
    <xdr:ext cx="224998" cy="405688"/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95F06808-00E3-EE73-15B0-41157C0E2527}"/>
            </a:ext>
          </a:extLst>
        </xdr:cNvPr>
        <xdr:cNvSpPr txBox="1"/>
      </xdr:nvSpPr>
      <xdr:spPr>
        <a:xfrm rot="16200000">
          <a:off x="12780935" y="6365391"/>
          <a:ext cx="40568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57</xdr:col>
      <xdr:colOff>12428</xdr:colOff>
      <xdr:row>25</xdr:row>
      <xdr:rowOff>227432</xdr:rowOff>
    </xdr:from>
    <xdr:to>
      <xdr:col>57</xdr:col>
      <xdr:colOff>127195</xdr:colOff>
      <xdr:row>26</xdr:row>
      <xdr:rowOff>892</xdr:rowOff>
    </xdr:to>
    <xdr:cxnSp macro="">
      <xdr:nvCxnSpPr>
        <xdr:cNvPr id="323" name="直線コネクタ 322">
          <a:extLst>
            <a:ext uri="{FF2B5EF4-FFF2-40B4-BE49-F238E27FC236}">
              <a16:creationId xmlns:a16="http://schemas.microsoft.com/office/drawing/2014/main" id="{3122598F-47D8-F3EB-6BE7-ECD951D1891C}"/>
            </a:ext>
          </a:extLst>
        </xdr:cNvPr>
        <xdr:cNvCxnSpPr/>
      </xdr:nvCxnSpPr>
      <xdr:spPr>
        <a:xfrm>
          <a:off x="13042628" y="5942432"/>
          <a:ext cx="114767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47422</xdr:colOff>
      <xdr:row>15</xdr:row>
      <xdr:rowOff>29512</xdr:rowOff>
    </xdr:from>
    <xdr:ext cx="224998" cy="444352"/>
    <xdr:sp macro="" textlink="$AF$3">
      <xdr:nvSpPr>
        <xdr:cNvPr id="2" name="テキスト ボックス 1">
          <a:extLst>
            <a:ext uri="{FF2B5EF4-FFF2-40B4-BE49-F238E27FC236}">
              <a16:creationId xmlns:a16="http://schemas.microsoft.com/office/drawing/2014/main" id="{0E16700A-9B01-41FE-B534-9BD068315A71}"/>
            </a:ext>
          </a:extLst>
        </xdr:cNvPr>
        <xdr:cNvSpPr txBox="1"/>
      </xdr:nvSpPr>
      <xdr:spPr>
        <a:xfrm rot="16200000">
          <a:off x="4738345" y="3568189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39CD967-049C-4A91-903B-5C79BD75187B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27</xdr:col>
      <xdr:colOff>96078</xdr:colOff>
      <xdr:row>9</xdr:row>
      <xdr:rowOff>117785</xdr:rowOff>
    </xdr:from>
    <xdr:ext cx="444352" cy="224998"/>
    <xdr:sp macro="" textlink="$AF$4">
      <xdr:nvSpPr>
        <xdr:cNvPr id="3" name="テキスト ボックス 2">
          <a:extLst>
            <a:ext uri="{FF2B5EF4-FFF2-40B4-BE49-F238E27FC236}">
              <a16:creationId xmlns:a16="http://schemas.microsoft.com/office/drawing/2014/main" id="{AE2CCA62-5567-44D9-AEA5-C0AFEE0BEBAC}"/>
            </a:ext>
          </a:extLst>
        </xdr:cNvPr>
        <xdr:cNvSpPr txBox="1"/>
      </xdr:nvSpPr>
      <xdr:spPr>
        <a:xfrm>
          <a:off x="6268278" y="217518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CBAA683-5411-4221-B397-94521DA35B85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24</xdr:col>
      <xdr:colOff>216697</xdr:colOff>
      <xdr:row>14</xdr:row>
      <xdr:rowOff>106155</xdr:rowOff>
    </xdr:from>
    <xdr:ext cx="224998" cy="444352"/>
    <xdr:sp macro="" textlink="$AF$6">
      <xdr:nvSpPr>
        <xdr:cNvPr id="4" name="テキスト ボックス 3">
          <a:extLst>
            <a:ext uri="{FF2B5EF4-FFF2-40B4-BE49-F238E27FC236}">
              <a16:creationId xmlns:a16="http://schemas.microsoft.com/office/drawing/2014/main" id="{5640BF42-0A30-4DB5-B8AB-211ADA55F0DA}"/>
            </a:ext>
          </a:extLst>
        </xdr:cNvPr>
        <xdr:cNvSpPr txBox="1"/>
      </xdr:nvSpPr>
      <xdr:spPr>
        <a:xfrm rot="17760000">
          <a:off x="5593420" y="3416232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74CE609-FEDC-45D9-9F45-528F3F20AE6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27</xdr:col>
      <xdr:colOff>122641</xdr:colOff>
      <xdr:row>14</xdr:row>
      <xdr:rowOff>167287</xdr:rowOff>
    </xdr:from>
    <xdr:ext cx="224998" cy="444352"/>
    <xdr:sp macro="" textlink="$AF$7">
      <xdr:nvSpPr>
        <xdr:cNvPr id="5" name="テキスト ボックス 4">
          <a:extLst>
            <a:ext uri="{FF2B5EF4-FFF2-40B4-BE49-F238E27FC236}">
              <a16:creationId xmlns:a16="http://schemas.microsoft.com/office/drawing/2014/main" id="{442EB8B5-5E89-4F86-9A55-AF3EB6AD1E41}"/>
            </a:ext>
          </a:extLst>
        </xdr:cNvPr>
        <xdr:cNvSpPr txBox="1"/>
      </xdr:nvSpPr>
      <xdr:spPr>
        <a:xfrm rot="17460000">
          <a:off x="6154457" y="3461442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4D3AC5E-1C94-4B9A-9B96-1DC5F6FB9B2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23</xdr:col>
      <xdr:colOff>187396</xdr:colOff>
      <xdr:row>21</xdr:row>
      <xdr:rowOff>194351</xdr:rowOff>
    </xdr:from>
    <xdr:ext cx="444352" cy="224998"/>
    <xdr:sp macro="" textlink="$AF$5">
      <xdr:nvSpPr>
        <xdr:cNvPr id="6" name="テキスト ボックス 5">
          <a:extLst>
            <a:ext uri="{FF2B5EF4-FFF2-40B4-BE49-F238E27FC236}">
              <a16:creationId xmlns:a16="http://schemas.microsoft.com/office/drawing/2014/main" id="{F7BBBBD6-87C1-4DE5-A159-9DFBE65C8956}"/>
            </a:ext>
          </a:extLst>
        </xdr:cNvPr>
        <xdr:cNvSpPr txBox="1"/>
      </xdr:nvSpPr>
      <xdr:spPr>
        <a:xfrm>
          <a:off x="5419038" y="4971067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F524262D-6895-411D-A697-1FAABA92A8AB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55</xdr:col>
      <xdr:colOff>45129</xdr:colOff>
      <xdr:row>22</xdr:row>
      <xdr:rowOff>214565</xdr:rowOff>
    </xdr:from>
    <xdr:ext cx="224998" cy="444352"/>
    <xdr:sp macro="" textlink="$AF$3">
      <xdr:nvSpPr>
        <xdr:cNvPr id="7" name="テキスト ボックス 6">
          <a:extLst>
            <a:ext uri="{FF2B5EF4-FFF2-40B4-BE49-F238E27FC236}">
              <a16:creationId xmlns:a16="http://schemas.microsoft.com/office/drawing/2014/main" id="{54C84D54-CACD-40E8-BEB4-C58C1C77A0EE}"/>
            </a:ext>
          </a:extLst>
        </xdr:cNvPr>
        <xdr:cNvSpPr txBox="1"/>
      </xdr:nvSpPr>
      <xdr:spPr>
        <a:xfrm rot="16200000">
          <a:off x="12508452" y="5353442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E6062B7-56F7-4DDB-B7B5-AAF75D7A0A73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62</xdr:col>
      <xdr:colOff>57054</xdr:colOff>
      <xdr:row>17</xdr:row>
      <xdr:rowOff>107185</xdr:rowOff>
    </xdr:from>
    <xdr:ext cx="444352" cy="224998"/>
    <xdr:sp macro="" textlink="$AF$4">
      <xdr:nvSpPr>
        <xdr:cNvPr id="8" name="テキスト ボックス 7">
          <a:extLst>
            <a:ext uri="{FF2B5EF4-FFF2-40B4-BE49-F238E27FC236}">
              <a16:creationId xmlns:a16="http://schemas.microsoft.com/office/drawing/2014/main" id="{61495852-7B0B-4B39-9870-22748DFEEFCB}"/>
            </a:ext>
          </a:extLst>
        </xdr:cNvPr>
        <xdr:cNvSpPr txBox="1"/>
      </xdr:nvSpPr>
      <xdr:spPr>
        <a:xfrm>
          <a:off x="14230254" y="399338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B9550A3-2664-4786-A154-F8E4F9FD27C1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106161</xdr:colOff>
      <xdr:row>26</xdr:row>
      <xdr:rowOff>22104</xdr:rowOff>
    </xdr:from>
    <xdr:ext cx="300082" cy="224998"/>
    <xdr:sp macro="" textlink="$S$19">
      <xdr:nvSpPr>
        <xdr:cNvPr id="10" name="テキスト ボックス 9">
          <a:extLst>
            <a:ext uri="{FF2B5EF4-FFF2-40B4-BE49-F238E27FC236}">
              <a16:creationId xmlns:a16="http://schemas.microsoft.com/office/drawing/2014/main" id="{395F7D7E-D959-AAEC-41ED-01B8A6808E45}"/>
            </a:ext>
          </a:extLst>
        </xdr:cNvPr>
        <xdr:cNvSpPr txBox="1"/>
      </xdr:nvSpPr>
      <xdr:spPr>
        <a:xfrm>
          <a:off x="14965161" y="5965704"/>
          <a:ext cx="30008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0AE8EF1-47D7-488D-BEE2-D62F025A2C84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30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56</xdr:col>
      <xdr:colOff>64426</xdr:colOff>
      <xdr:row>25</xdr:row>
      <xdr:rowOff>225404</xdr:rowOff>
    </xdr:from>
    <xdr:ext cx="224998" cy="444352"/>
    <xdr:sp macro="" textlink="$AP$31">
      <xdr:nvSpPr>
        <xdr:cNvPr id="11" name="テキスト ボックス 10">
          <a:extLst>
            <a:ext uri="{FF2B5EF4-FFF2-40B4-BE49-F238E27FC236}">
              <a16:creationId xmlns:a16="http://schemas.microsoft.com/office/drawing/2014/main" id="{EBD6EC8A-0BDA-45F1-9114-CAD713B2609D}"/>
            </a:ext>
          </a:extLst>
        </xdr:cNvPr>
        <xdr:cNvSpPr txBox="1"/>
      </xdr:nvSpPr>
      <xdr:spPr>
        <a:xfrm rot="16200000">
          <a:off x="12756349" y="6050081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1C5BC83-4C88-497D-8B96-D5DD060EBBF4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2.000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144226</xdr:colOff>
      <xdr:row>30</xdr:row>
      <xdr:rowOff>165140</xdr:rowOff>
    </xdr:from>
    <xdr:ext cx="444352" cy="224998"/>
    <xdr:sp macro="" textlink="$AF$5">
      <xdr:nvSpPr>
        <xdr:cNvPr id="12" name="テキスト ボックス 11">
          <a:extLst>
            <a:ext uri="{FF2B5EF4-FFF2-40B4-BE49-F238E27FC236}">
              <a16:creationId xmlns:a16="http://schemas.microsoft.com/office/drawing/2014/main" id="{3055A522-8AFF-4B63-ADAA-412DD66C173C}"/>
            </a:ext>
          </a:extLst>
        </xdr:cNvPr>
        <xdr:cNvSpPr txBox="1"/>
      </xdr:nvSpPr>
      <xdr:spPr>
        <a:xfrm>
          <a:off x="13403026" y="7023140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3DC503A-F845-428D-B771-EA69456E06F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59</xdr:col>
      <xdr:colOff>71248</xdr:colOff>
      <xdr:row>29</xdr:row>
      <xdr:rowOff>156328</xdr:rowOff>
    </xdr:from>
    <xdr:ext cx="444352" cy="224998"/>
    <xdr:sp macro="" textlink="$AP$35">
      <xdr:nvSpPr>
        <xdr:cNvPr id="13" name="テキスト ボックス 12">
          <a:extLst>
            <a:ext uri="{FF2B5EF4-FFF2-40B4-BE49-F238E27FC236}">
              <a16:creationId xmlns:a16="http://schemas.microsoft.com/office/drawing/2014/main" id="{13FE6523-330D-4E6B-B634-1945D470870D}"/>
            </a:ext>
          </a:extLst>
        </xdr:cNvPr>
        <xdr:cNvSpPr txBox="1"/>
      </xdr:nvSpPr>
      <xdr:spPr>
        <a:xfrm>
          <a:off x="13558648" y="678572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C911F49-822C-4926-9808-75D0D47A98ED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2.200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61</xdr:col>
      <xdr:colOff>23088</xdr:colOff>
      <xdr:row>26</xdr:row>
      <xdr:rowOff>91187</xdr:rowOff>
    </xdr:from>
    <xdr:ext cx="249748" cy="22499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93839D2-0163-666C-14B4-5C1DBCD39F38}"/>
            </a:ext>
          </a:extLst>
        </xdr:cNvPr>
        <xdr:cNvSpPr txBox="1"/>
      </xdr:nvSpPr>
      <xdr:spPr>
        <a:xfrm>
          <a:off x="13967688" y="6034787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61</xdr:col>
      <xdr:colOff>152628</xdr:colOff>
      <xdr:row>24</xdr:row>
      <xdr:rowOff>175007</xdr:rowOff>
    </xdr:from>
    <xdr:ext cx="249748" cy="22499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92E1E02-D9E5-73CD-17B3-088EA00325D4}"/>
            </a:ext>
          </a:extLst>
        </xdr:cNvPr>
        <xdr:cNvSpPr txBox="1"/>
      </xdr:nvSpPr>
      <xdr:spPr>
        <a:xfrm>
          <a:off x="14097228" y="5661407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59</xdr:col>
      <xdr:colOff>73147</xdr:colOff>
      <xdr:row>26</xdr:row>
      <xdr:rowOff>24539</xdr:rowOff>
    </xdr:from>
    <xdr:ext cx="441146" cy="224998"/>
    <xdr:sp macro="" textlink="$BM$11">
      <xdr:nvSpPr>
        <xdr:cNvPr id="16" name="テキスト ボックス 15">
          <a:extLst>
            <a:ext uri="{FF2B5EF4-FFF2-40B4-BE49-F238E27FC236}">
              <a16:creationId xmlns:a16="http://schemas.microsoft.com/office/drawing/2014/main" id="{B884D4B8-3713-D570-181E-F71427B4F335}"/>
            </a:ext>
          </a:extLst>
        </xdr:cNvPr>
        <xdr:cNvSpPr txBox="1"/>
      </xdr:nvSpPr>
      <xdr:spPr>
        <a:xfrm>
          <a:off x="13560547" y="5968139"/>
          <a:ext cx="44114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44E218E-D87A-463D-89A5-0E760D7DD23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66.116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25</xdr:col>
      <xdr:colOff>128896</xdr:colOff>
      <xdr:row>12</xdr:row>
      <xdr:rowOff>9207</xdr:rowOff>
    </xdr:from>
    <xdr:to>
      <xdr:col>29</xdr:col>
      <xdr:colOff>11600</xdr:colOff>
      <xdr:row>21</xdr:row>
      <xdr:rowOff>24284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FF217C3-5D69-49DA-A40E-1DD10330769B}"/>
            </a:ext>
          </a:extLst>
        </xdr:cNvPr>
        <xdr:cNvCxnSpPr/>
      </xdr:nvCxnSpPr>
      <xdr:spPr>
        <a:xfrm flipH="1">
          <a:off x="5815463" y="2738759"/>
          <a:ext cx="792555" cy="206224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56507</xdr:colOff>
      <xdr:row>21</xdr:row>
      <xdr:rowOff>87518</xdr:rowOff>
    </xdr:from>
    <xdr:to>
      <xdr:col>23</xdr:col>
      <xdr:colOff>56507</xdr:colOff>
      <xdr:row>21</xdr:row>
      <xdr:rowOff>223672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834D42AE-80A1-818A-F788-EA63791CF4BD}"/>
            </a:ext>
          </a:extLst>
        </xdr:cNvPr>
        <xdr:cNvCxnSpPr/>
      </xdr:nvCxnSpPr>
      <xdr:spPr>
        <a:xfrm>
          <a:off x="5288149" y="4864234"/>
          <a:ext cx="0" cy="136154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82042</xdr:colOff>
      <xdr:row>19</xdr:row>
      <xdr:rowOff>211598</xdr:rowOff>
    </xdr:from>
    <xdr:to>
      <xdr:col>63</xdr:col>
      <xdr:colOff>193346</xdr:colOff>
      <xdr:row>29</xdr:row>
      <xdr:rowOff>134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C36C29A-E726-46B4-85DB-F4ED994906F4}"/>
            </a:ext>
          </a:extLst>
        </xdr:cNvPr>
        <xdr:cNvCxnSpPr/>
      </xdr:nvCxnSpPr>
      <xdr:spPr>
        <a:xfrm flipH="1">
          <a:off x="13798042" y="4554998"/>
          <a:ext cx="797104" cy="207247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43543</xdr:colOff>
      <xdr:row>16</xdr:row>
      <xdr:rowOff>105324</xdr:rowOff>
    </xdr:from>
    <xdr:ext cx="224998" cy="361959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3AE67FCC-2CAB-4B80-AE0D-0350BE64FC46}"/>
            </a:ext>
          </a:extLst>
        </xdr:cNvPr>
        <xdr:cNvSpPr txBox="1"/>
      </xdr:nvSpPr>
      <xdr:spPr>
        <a:xfrm rot="16200000">
          <a:off x="4775662" y="3831405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24</xdr:col>
      <xdr:colOff>8381</xdr:colOff>
      <xdr:row>15</xdr:row>
      <xdr:rowOff>89181</xdr:rowOff>
    </xdr:from>
    <xdr:ext cx="285527" cy="743473"/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45F2CE37-E2BA-4079-8152-92A0CB90576D}"/>
            </a:ext>
          </a:extLst>
        </xdr:cNvPr>
        <xdr:cNvSpPr txBox="1"/>
      </xdr:nvSpPr>
      <xdr:spPr>
        <a:xfrm rot="17760000">
          <a:off x="5265808" y="3747154"/>
          <a:ext cx="743473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twoCellAnchor editAs="oneCell">
    <xdr:from>
      <xdr:col>25</xdr:col>
      <xdr:colOff>92026</xdr:colOff>
      <xdr:row>11</xdr:row>
      <xdr:rowOff>116763</xdr:rowOff>
    </xdr:from>
    <xdr:to>
      <xdr:col>25</xdr:col>
      <xdr:colOff>92026</xdr:colOff>
      <xdr:row>21</xdr:row>
      <xdr:rowOff>133719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F624AC39-2F9B-4CE0-95B2-F338A594BFF7}"/>
            </a:ext>
          </a:extLst>
        </xdr:cNvPr>
        <xdr:cNvCxnSpPr/>
      </xdr:nvCxnSpPr>
      <xdr:spPr>
        <a:xfrm rot="6960000">
          <a:off x="4655548" y="3782841"/>
          <a:ext cx="230295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136697</xdr:colOff>
      <xdr:row>15</xdr:row>
      <xdr:rowOff>189392</xdr:rowOff>
    </xdr:from>
    <xdr:ext cx="285527" cy="756297"/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1D5E9346-41D6-4855-91B4-E1779CCF67C5}"/>
            </a:ext>
          </a:extLst>
        </xdr:cNvPr>
        <xdr:cNvSpPr txBox="1"/>
      </xdr:nvSpPr>
      <xdr:spPr>
        <a:xfrm rot="17460000">
          <a:off x="5844912" y="3853777"/>
          <a:ext cx="756297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twoCellAnchor editAs="oneCell">
    <xdr:from>
      <xdr:col>21</xdr:col>
      <xdr:colOff>205359</xdr:colOff>
      <xdr:row>12</xdr:row>
      <xdr:rowOff>2821</xdr:rowOff>
    </xdr:from>
    <xdr:to>
      <xdr:col>27</xdr:col>
      <xdr:colOff>27061</xdr:colOff>
      <xdr:row>12</xdr:row>
      <xdr:rowOff>2821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183BEEA1-7C0F-42A8-A288-A072D29AA7BE}"/>
            </a:ext>
          </a:extLst>
        </xdr:cNvPr>
        <xdr:cNvCxnSpPr/>
      </xdr:nvCxnSpPr>
      <xdr:spPr>
        <a:xfrm>
          <a:off x="5005959" y="2746021"/>
          <a:ext cx="119330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28556</xdr:colOff>
      <xdr:row>12</xdr:row>
      <xdr:rowOff>3648</xdr:rowOff>
    </xdr:from>
    <xdr:to>
      <xdr:col>22</xdr:col>
      <xdr:colOff>28556</xdr:colOff>
      <xdr:row>21</xdr:row>
      <xdr:rowOff>15730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93B605AD-1237-44FD-9C88-0E5BBB821588}"/>
            </a:ext>
          </a:extLst>
        </xdr:cNvPr>
        <xdr:cNvCxnSpPr/>
      </xdr:nvCxnSpPr>
      <xdr:spPr>
        <a:xfrm>
          <a:off x="5057756" y="2746848"/>
          <a:ext cx="0" cy="2069482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225898</xdr:colOff>
      <xdr:row>21</xdr:row>
      <xdr:rowOff>17556</xdr:rowOff>
    </xdr:from>
    <xdr:to>
      <xdr:col>22</xdr:col>
      <xdr:colOff>152381</xdr:colOff>
      <xdr:row>21</xdr:row>
      <xdr:rowOff>17556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43CAAA7D-78CF-4743-A0DA-B556370F5D13}"/>
            </a:ext>
          </a:extLst>
        </xdr:cNvPr>
        <xdr:cNvCxnSpPr/>
      </xdr:nvCxnSpPr>
      <xdr:spPr>
        <a:xfrm>
          <a:off x="5026498" y="4818156"/>
          <a:ext cx="15508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228521</xdr:colOff>
      <xdr:row>21</xdr:row>
      <xdr:rowOff>161256</xdr:rowOff>
    </xdr:from>
    <xdr:ext cx="349135" cy="224998"/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1705C757-4B5C-4990-8DBD-2F538134BA8F}"/>
            </a:ext>
          </a:extLst>
        </xdr:cNvPr>
        <xdr:cNvSpPr txBox="1"/>
      </xdr:nvSpPr>
      <xdr:spPr>
        <a:xfrm>
          <a:off x="5315528" y="5017035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23</xdr:col>
      <xdr:colOff>39703</xdr:colOff>
      <xdr:row>21</xdr:row>
      <xdr:rowOff>178266</xdr:rowOff>
    </xdr:from>
    <xdr:to>
      <xdr:col>25</xdr:col>
      <xdr:colOff>104503</xdr:colOff>
      <xdr:row>21</xdr:row>
      <xdr:rowOff>178266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4659E36C-58C8-4370-B4FA-4B6E202D1435}"/>
            </a:ext>
          </a:extLst>
        </xdr:cNvPr>
        <xdr:cNvCxnSpPr/>
      </xdr:nvCxnSpPr>
      <xdr:spPr>
        <a:xfrm>
          <a:off x="5357937" y="5034045"/>
          <a:ext cx="52725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41655</xdr:colOff>
      <xdr:row>21</xdr:row>
      <xdr:rowOff>56768</xdr:rowOff>
    </xdr:from>
    <xdr:to>
      <xdr:col>23</xdr:col>
      <xdr:colOff>41655</xdr:colOff>
      <xdr:row>22</xdr:row>
      <xdr:rowOff>5540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47414251-7AE7-4C88-83B6-639B9719826A}"/>
            </a:ext>
          </a:extLst>
        </xdr:cNvPr>
        <xdr:cNvCxnSpPr/>
      </xdr:nvCxnSpPr>
      <xdr:spPr>
        <a:xfrm>
          <a:off x="5359889" y="4912547"/>
          <a:ext cx="0" cy="1800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48628</xdr:colOff>
      <xdr:row>21</xdr:row>
      <xdr:rowOff>14075</xdr:rowOff>
    </xdr:from>
    <xdr:to>
      <xdr:col>25</xdr:col>
      <xdr:colOff>113428</xdr:colOff>
      <xdr:row>21</xdr:row>
      <xdr:rowOff>14075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2E1469F6-242C-4D23-9E3A-A58D5C48B44B}"/>
            </a:ext>
          </a:extLst>
        </xdr:cNvPr>
        <xdr:cNvCxnSpPr/>
      </xdr:nvCxnSpPr>
      <xdr:spPr>
        <a:xfrm>
          <a:off x="5306428" y="4814675"/>
          <a:ext cx="522000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30197</xdr:colOff>
      <xdr:row>10</xdr:row>
      <xdr:rowOff>212386</xdr:rowOff>
    </xdr:from>
    <xdr:to>
      <xdr:col>28</xdr:col>
      <xdr:colOff>69797</xdr:colOff>
      <xdr:row>12</xdr:row>
      <xdr:rowOff>258</xdr:rowOff>
    </xdr:to>
    <xdr:sp macro="" textlink="">
      <xdr:nvSpPr>
        <xdr:cNvPr id="138" name="正方形/長方形 137">
          <a:extLst>
            <a:ext uri="{FF2B5EF4-FFF2-40B4-BE49-F238E27FC236}">
              <a16:creationId xmlns:a16="http://schemas.microsoft.com/office/drawing/2014/main" id="{11BDE111-68CB-4322-994A-494B723F3CE7}"/>
            </a:ext>
          </a:extLst>
        </xdr:cNvPr>
        <xdr:cNvSpPr/>
      </xdr:nvSpPr>
      <xdr:spPr>
        <a:xfrm>
          <a:off x="6430997" y="2498386"/>
          <a:ext cx="39600" cy="245072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75998</xdr:colOff>
      <xdr:row>11</xdr:row>
      <xdr:rowOff>250</xdr:rowOff>
    </xdr:from>
    <xdr:to>
      <xdr:col>28</xdr:col>
      <xdr:colOff>75998</xdr:colOff>
      <xdr:row>11</xdr:row>
      <xdr:rowOff>39032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58A68820-76C2-4BDB-9D78-E6DCACEFDC96}"/>
            </a:ext>
          </a:extLst>
        </xdr:cNvPr>
        <xdr:cNvCxnSpPr/>
      </xdr:nvCxnSpPr>
      <xdr:spPr>
        <a:xfrm>
          <a:off x="6476798" y="2514850"/>
          <a:ext cx="0" cy="3878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98858</xdr:colOff>
      <xdr:row>10</xdr:row>
      <xdr:rowOff>190750</xdr:rowOff>
    </xdr:from>
    <xdr:to>
      <xdr:col>28</xdr:col>
      <xdr:colOff>98858</xdr:colOff>
      <xdr:row>10</xdr:row>
      <xdr:rowOff>219550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3F5FAFB9-7B56-49E2-BF65-60FBFEC5FEAF}"/>
            </a:ext>
          </a:extLst>
        </xdr:cNvPr>
        <xdr:cNvCxnSpPr/>
      </xdr:nvCxnSpPr>
      <xdr:spPr>
        <a:xfrm>
          <a:off x="6499658" y="2476750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75573</xdr:colOff>
      <xdr:row>10</xdr:row>
      <xdr:rowOff>227159</xdr:rowOff>
    </xdr:from>
    <xdr:to>
      <xdr:col>28</xdr:col>
      <xdr:colOff>104373</xdr:colOff>
      <xdr:row>11</xdr:row>
      <xdr:rowOff>1142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F9033DE0-F7C8-4ABB-A4CF-BB4217512BBB}"/>
            </a:ext>
          </a:extLst>
        </xdr:cNvPr>
        <xdr:cNvCxnSpPr/>
      </xdr:nvCxnSpPr>
      <xdr:spPr>
        <a:xfrm rot="2700000">
          <a:off x="6489481" y="2500051"/>
          <a:ext cx="2583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88692</xdr:colOff>
      <xdr:row>10</xdr:row>
      <xdr:rowOff>168944</xdr:rowOff>
    </xdr:from>
    <xdr:to>
      <xdr:col>28</xdr:col>
      <xdr:colOff>88692</xdr:colOff>
      <xdr:row>10</xdr:row>
      <xdr:rowOff>197744</xdr:rowOff>
    </xdr:to>
    <xdr:cxnSp macro="">
      <xdr:nvCxnSpPr>
        <xdr:cNvPr id="142" name="直線コネクタ 141">
          <a:extLst>
            <a:ext uri="{FF2B5EF4-FFF2-40B4-BE49-F238E27FC236}">
              <a16:creationId xmlns:a16="http://schemas.microsoft.com/office/drawing/2014/main" id="{48158810-DE4F-46A2-98AA-BAE60A2B927B}"/>
            </a:ext>
          </a:extLst>
        </xdr:cNvPr>
        <xdr:cNvCxnSpPr/>
      </xdr:nvCxnSpPr>
      <xdr:spPr>
        <a:xfrm rot="18900000">
          <a:off x="6489492" y="2454944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100763</xdr:colOff>
      <xdr:row>11</xdr:row>
      <xdr:rowOff>51685</xdr:rowOff>
    </xdr:from>
    <xdr:to>
      <xdr:col>28</xdr:col>
      <xdr:colOff>100763</xdr:colOff>
      <xdr:row>11</xdr:row>
      <xdr:rowOff>80485</xdr:rowOff>
    </xdr:to>
    <xdr:cxnSp macro="">
      <xdr:nvCxnSpPr>
        <xdr:cNvPr id="143" name="直線コネクタ 142">
          <a:extLst>
            <a:ext uri="{FF2B5EF4-FFF2-40B4-BE49-F238E27FC236}">
              <a16:creationId xmlns:a16="http://schemas.microsoft.com/office/drawing/2014/main" id="{82AEA062-9598-4893-8DA6-FD0163AE1A12}"/>
            </a:ext>
          </a:extLst>
        </xdr:cNvPr>
        <xdr:cNvCxnSpPr/>
      </xdr:nvCxnSpPr>
      <xdr:spPr>
        <a:xfrm>
          <a:off x="6501563" y="2566285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77478</xdr:colOff>
      <xdr:row>11</xdr:row>
      <xdr:rowOff>88094</xdr:rowOff>
    </xdr:from>
    <xdr:to>
      <xdr:col>28</xdr:col>
      <xdr:colOff>98658</xdr:colOff>
      <xdr:row>11</xdr:row>
      <xdr:rowOff>88094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C02C1D0E-DB7C-4C39-B42F-0A18B88BFB5F}"/>
            </a:ext>
          </a:extLst>
        </xdr:cNvPr>
        <xdr:cNvCxnSpPr/>
      </xdr:nvCxnSpPr>
      <xdr:spPr>
        <a:xfrm rot="2700000">
          <a:off x="6488868" y="2592104"/>
          <a:ext cx="0" cy="2118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90597</xdr:colOff>
      <xdr:row>11</xdr:row>
      <xdr:rowOff>29879</xdr:rowOff>
    </xdr:from>
    <xdr:to>
      <xdr:col>28</xdr:col>
      <xdr:colOff>90597</xdr:colOff>
      <xdr:row>11</xdr:row>
      <xdr:rowOff>58679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2D53995C-2B11-415E-973D-C329939EAC5D}"/>
            </a:ext>
          </a:extLst>
        </xdr:cNvPr>
        <xdr:cNvCxnSpPr/>
      </xdr:nvCxnSpPr>
      <xdr:spPr>
        <a:xfrm rot="18900000">
          <a:off x="6491397" y="2544479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109602</xdr:colOff>
      <xdr:row>21</xdr:row>
      <xdr:rowOff>52654</xdr:rowOff>
    </xdr:from>
    <xdr:to>
      <xdr:col>25</xdr:col>
      <xdr:colOff>109602</xdr:colOff>
      <xdr:row>22</xdr:row>
      <xdr:rowOff>1426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D1C02CB5-DD64-49AB-8DEB-FBC004686E29}"/>
            </a:ext>
          </a:extLst>
        </xdr:cNvPr>
        <xdr:cNvCxnSpPr/>
      </xdr:nvCxnSpPr>
      <xdr:spPr>
        <a:xfrm>
          <a:off x="5890292" y="4908433"/>
          <a:ext cx="0" cy="180000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140066</xdr:colOff>
      <xdr:row>12</xdr:row>
      <xdr:rowOff>2323</xdr:rowOff>
    </xdr:from>
    <xdr:to>
      <xdr:col>28</xdr:col>
      <xdr:colOff>204632</xdr:colOff>
      <xdr:row>12</xdr:row>
      <xdr:rowOff>2323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FDAACBB8-2314-4FD2-A675-011F149BCEE2}"/>
            </a:ext>
          </a:extLst>
        </xdr:cNvPr>
        <xdr:cNvCxnSpPr/>
      </xdr:nvCxnSpPr>
      <xdr:spPr>
        <a:xfrm>
          <a:off x="6312266" y="2745523"/>
          <a:ext cx="29316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135741</xdr:colOff>
      <xdr:row>9</xdr:row>
      <xdr:rowOff>114301</xdr:rowOff>
    </xdr:from>
    <xdr:ext cx="336311" cy="224998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DE4E28F3-4DB2-4D2F-8904-4998D1BEBFC9}"/>
            </a:ext>
          </a:extLst>
        </xdr:cNvPr>
        <xdr:cNvSpPr txBox="1"/>
      </xdr:nvSpPr>
      <xdr:spPr>
        <a:xfrm>
          <a:off x="6079341" y="2171701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27</xdr:col>
      <xdr:colOff>158259</xdr:colOff>
      <xdr:row>10</xdr:row>
      <xdr:rowOff>79985</xdr:rowOff>
    </xdr:from>
    <xdr:to>
      <xdr:col>27</xdr:col>
      <xdr:colOff>158259</xdr:colOff>
      <xdr:row>11</xdr:row>
      <xdr:rowOff>13384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38E21E69-B442-47E8-A455-7F132752FE9D}"/>
            </a:ext>
          </a:extLst>
        </xdr:cNvPr>
        <xdr:cNvCxnSpPr/>
      </xdr:nvCxnSpPr>
      <xdr:spPr>
        <a:xfrm>
          <a:off x="6330459" y="2365985"/>
          <a:ext cx="0" cy="16199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218025</xdr:colOff>
      <xdr:row>10</xdr:row>
      <xdr:rowOff>79985</xdr:rowOff>
    </xdr:from>
    <xdr:to>
      <xdr:col>28</xdr:col>
      <xdr:colOff>218025</xdr:colOff>
      <xdr:row>11</xdr:row>
      <xdr:rowOff>13384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E5CFADA2-E669-4A6D-99C1-3DFA407BDDCD}"/>
            </a:ext>
          </a:extLst>
        </xdr:cNvPr>
        <xdr:cNvCxnSpPr/>
      </xdr:nvCxnSpPr>
      <xdr:spPr>
        <a:xfrm>
          <a:off x="6618825" y="2365985"/>
          <a:ext cx="0" cy="16199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157230</xdr:colOff>
      <xdr:row>10</xdr:row>
      <xdr:rowOff>124307</xdr:rowOff>
    </xdr:from>
    <xdr:to>
      <xdr:col>28</xdr:col>
      <xdr:colOff>216630</xdr:colOff>
      <xdr:row>10</xdr:row>
      <xdr:rowOff>124307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DDCBDC13-BA7E-4D6E-8FE3-1A0BD474E55C}"/>
            </a:ext>
          </a:extLst>
        </xdr:cNvPr>
        <xdr:cNvCxnSpPr/>
      </xdr:nvCxnSpPr>
      <xdr:spPr>
        <a:xfrm>
          <a:off x="6329430" y="2410307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100763</xdr:colOff>
      <xdr:row>12</xdr:row>
      <xdr:rowOff>19050</xdr:rowOff>
    </xdr:from>
    <xdr:to>
      <xdr:col>33</xdr:col>
      <xdr:colOff>147068</xdr:colOff>
      <xdr:row>21</xdr:row>
      <xdr:rowOff>15860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BBBD07A0-11D3-4959-A619-72C350A5E368}"/>
            </a:ext>
          </a:extLst>
        </xdr:cNvPr>
        <xdr:cNvCxnSpPr/>
      </xdr:nvCxnSpPr>
      <xdr:spPr>
        <a:xfrm flipV="1">
          <a:off x="5815763" y="2762250"/>
          <a:ext cx="1875105" cy="205421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201615</xdr:colOff>
      <xdr:row>11</xdr:row>
      <xdr:rowOff>228340</xdr:rowOff>
    </xdr:from>
    <xdr:to>
      <xdr:col>33</xdr:col>
      <xdr:colOff>220980</xdr:colOff>
      <xdr:row>11</xdr:row>
      <xdr:rowOff>228340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8B2A1998-6D06-4419-A7C0-05A2D118E7EE}"/>
            </a:ext>
          </a:extLst>
        </xdr:cNvPr>
        <xdr:cNvCxnSpPr/>
      </xdr:nvCxnSpPr>
      <xdr:spPr>
        <a:xfrm>
          <a:off x="6602415" y="2742940"/>
          <a:ext cx="116236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218622</xdr:colOff>
      <xdr:row>9</xdr:row>
      <xdr:rowOff>108858</xdr:rowOff>
    </xdr:from>
    <xdr:ext cx="309700" cy="224998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C1147B9B-35D7-41F3-AFEE-23D626A2CB98}"/>
            </a:ext>
          </a:extLst>
        </xdr:cNvPr>
        <xdr:cNvSpPr txBox="1"/>
      </xdr:nvSpPr>
      <xdr:spPr>
        <a:xfrm>
          <a:off x="6848022" y="2166258"/>
          <a:ext cx="30970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u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25</xdr:col>
      <xdr:colOff>42729</xdr:colOff>
      <xdr:row>20</xdr:row>
      <xdr:rowOff>111251</xdr:rowOff>
    </xdr:from>
    <xdr:to>
      <xdr:col>26</xdr:col>
      <xdr:colOff>50237</xdr:colOff>
      <xdr:row>21</xdr:row>
      <xdr:rowOff>106479</xdr:rowOff>
    </xdr:to>
    <xdr:sp macro="" textlink="">
      <xdr:nvSpPr>
        <xdr:cNvPr id="155" name="円弧 154">
          <a:extLst>
            <a:ext uri="{FF2B5EF4-FFF2-40B4-BE49-F238E27FC236}">
              <a16:creationId xmlns:a16="http://schemas.microsoft.com/office/drawing/2014/main" id="{667CD06D-956F-4493-8381-4837EBB6E375}"/>
            </a:ext>
          </a:extLst>
        </xdr:cNvPr>
        <xdr:cNvSpPr/>
      </xdr:nvSpPr>
      <xdr:spPr>
        <a:xfrm rot="1800000">
          <a:off x="5783825" y="4704128"/>
          <a:ext cx="237152" cy="224872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110637</xdr:colOff>
      <xdr:row>21</xdr:row>
      <xdr:rowOff>14024</xdr:rowOff>
    </xdr:from>
    <xdr:to>
      <xdr:col>27</xdr:col>
      <xdr:colOff>208351</xdr:colOff>
      <xdr:row>21</xdr:row>
      <xdr:rowOff>14024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2530B182-70C8-42D1-A5FC-7C3CA85A5859}"/>
            </a:ext>
          </a:extLst>
        </xdr:cNvPr>
        <xdr:cNvCxnSpPr/>
      </xdr:nvCxnSpPr>
      <xdr:spPr>
        <a:xfrm>
          <a:off x="5851733" y="4836545"/>
          <a:ext cx="557002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226860</xdr:colOff>
      <xdr:row>19</xdr:row>
      <xdr:rowOff>227949</xdr:rowOff>
    </xdr:from>
    <xdr:ext cx="300082" cy="242374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7CEAB00B-AED9-4BD0-A428-5740AC351156}"/>
            </a:ext>
          </a:extLst>
        </xdr:cNvPr>
        <xdr:cNvSpPr txBox="1"/>
      </xdr:nvSpPr>
      <xdr:spPr>
        <a:xfrm>
          <a:off x="5967956" y="4591182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ω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69070</xdr:colOff>
      <xdr:row>12</xdr:row>
      <xdr:rowOff>149074</xdr:rowOff>
    </xdr:from>
    <xdr:to>
      <xdr:col>29</xdr:col>
      <xdr:colOff>74304</xdr:colOff>
      <xdr:row>13</xdr:row>
      <xdr:rowOff>145216</xdr:rowOff>
    </xdr:to>
    <xdr:sp macro="" textlink="">
      <xdr:nvSpPr>
        <xdr:cNvPr id="158" name="円弧 157">
          <a:extLst>
            <a:ext uri="{FF2B5EF4-FFF2-40B4-BE49-F238E27FC236}">
              <a16:creationId xmlns:a16="http://schemas.microsoft.com/office/drawing/2014/main" id="{BBF27016-3DD1-4ABE-B25B-C44E644AC7BE}"/>
            </a:ext>
          </a:extLst>
        </xdr:cNvPr>
        <xdr:cNvSpPr/>
      </xdr:nvSpPr>
      <xdr:spPr>
        <a:xfrm rot="9761260">
          <a:off x="6469870" y="2892274"/>
          <a:ext cx="233834" cy="224742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213754</xdr:colOff>
      <xdr:row>12</xdr:row>
      <xdr:rowOff>567</xdr:rowOff>
    </xdr:from>
    <xdr:to>
      <xdr:col>28</xdr:col>
      <xdr:colOff>213754</xdr:colOff>
      <xdr:row>14</xdr:row>
      <xdr:rowOff>203590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395EA068-F36A-4219-9F54-3C06504EF1FA}"/>
            </a:ext>
          </a:extLst>
        </xdr:cNvPr>
        <xdr:cNvCxnSpPr/>
      </xdr:nvCxnSpPr>
      <xdr:spPr>
        <a:xfrm>
          <a:off x="6614554" y="2743767"/>
          <a:ext cx="0" cy="660223"/>
        </a:xfrm>
        <a:prstGeom prst="line">
          <a:avLst/>
        </a:prstGeom>
        <a:ln w="3175">
          <a:solidFill>
            <a:schemeClr val="tx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210553</xdr:colOff>
      <xdr:row>13</xdr:row>
      <xdr:rowOff>108051</xdr:rowOff>
    </xdr:from>
    <xdr:ext cx="300082" cy="242374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1BE48ED9-A4B6-481A-9706-A4144F78DC7F}"/>
            </a:ext>
          </a:extLst>
        </xdr:cNvPr>
        <xdr:cNvSpPr txBox="1"/>
      </xdr:nvSpPr>
      <xdr:spPr>
        <a:xfrm>
          <a:off x="6382753" y="3079851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α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218283</xdr:colOff>
      <xdr:row>10</xdr:row>
      <xdr:rowOff>124307</xdr:rowOff>
    </xdr:from>
    <xdr:to>
      <xdr:col>33</xdr:col>
      <xdr:colOff>182336</xdr:colOff>
      <xdr:row>10</xdr:row>
      <xdr:rowOff>124307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B71047F1-AD9E-457F-BEF3-E28C049994D3}"/>
            </a:ext>
          </a:extLst>
        </xdr:cNvPr>
        <xdr:cNvCxnSpPr/>
      </xdr:nvCxnSpPr>
      <xdr:spPr>
        <a:xfrm>
          <a:off x="6619083" y="2410307"/>
          <a:ext cx="1107053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33</xdr:col>
      <xdr:colOff>181193</xdr:colOff>
      <xdr:row>10</xdr:row>
      <xdr:rowOff>79985</xdr:rowOff>
    </xdr:from>
    <xdr:to>
      <xdr:col>33</xdr:col>
      <xdr:colOff>181193</xdr:colOff>
      <xdr:row>11</xdr:row>
      <xdr:rowOff>13384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895B4ED6-60E3-4D2F-B11E-9E92B054DEBC}"/>
            </a:ext>
          </a:extLst>
        </xdr:cNvPr>
        <xdr:cNvCxnSpPr/>
      </xdr:nvCxnSpPr>
      <xdr:spPr>
        <a:xfrm>
          <a:off x="7724993" y="2365985"/>
          <a:ext cx="0" cy="16199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172270</xdr:colOff>
      <xdr:row>13</xdr:row>
      <xdr:rowOff>100726</xdr:rowOff>
    </xdr:from>
    <xdr:to>
      <xdr:col>29</xdr:col>
      <xdr:colOff>172270</xdr:colOff>
      <xdr:row>15</xdr:row>
      <xdr:rowOff>223115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3F38162B-DBCB-4085-B89B-490F6D7A2321}"/>
            </a:ext>
          </a:extLst>
        </xdr:cNvPr>
        <xdr:cNvCxnSpPr/>
      </xdr:nvCxnSpPr>
      <xdr:spPr>
        <a:xfrm>
          <a:off x="6801670" y="3072526"/>
          <a:ext cx="0" cy="579589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37032</xdr:colOff>
      <xdr:row>12</xdr:row>
      <xdr:rowOff>146303</xdr:rowOff>
    </xdr:from>
    <xdr:ext cx="309637" cy="224998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F5508C6D-4825-4011-95C8-CB1DD4CE250C}"/>
            </a:ext>
          </a:extLst>
        </xdr:cNvPr>
        <xdr:cNvSpPr txBox="1"/>
      </xdr:nvSpPr>
      <xdr:spPr>
        <a:xfrm>
          <a:off x="6666432" y="2889503"/>
          <a:ext cx="30963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191516</xdr:colOff>
      <xdr:row>17</xdr:row>
      <xdr:rowOff>162324</xdr:rowOff>
    </xdr:from>
    <xdr:to>
      <xdr:col>30</xdr:col>
      <xdr:colOff>176982</xdr:colOff>
      <xdr:row>17</xdr:row>
      <xdr:rowOff>162324</xdr:rowOff>
    </xdr:to>
    <xdr:cxnSp macro="">
      <xdr:nvCxnSpPr>
        <xdr:cNvPr id="165" name="直線コネクタ 164">
          <a:extLst>
            <a:ext uri="{FF2B5EF4-FFF2-40B4-BE49-F238E27FC236}">
              <a16:creationId xmlns:a16="http://schemas.microsoft.com/office/drawing/2014/main" id="{CFFB8608-D8EB-4F60-91A8-F734CBCF691D}"/>
            </a:ext>
          </a:extLst>
        </xdr:cNvPr>
        <xdr:cNvCxnSpPr/>
      </xdr:nvCxnSpPr>
      <xdr:spPr>
        <a:xfrm rot="2460000">
          <a:off x="6621543" y="4066269"/>
          <a:ext cx="444754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109266</xdr:colOff>
      <xdr:row>17</xdr:row>
      <xdr:rowOff>6503</xdr:rowOff>
    </xdr:from>
    <xdr:to>
      <xdr:col>29</xdr:col>
      <xdr:colOff>109266</xdr:colOff>
      <xdr:row>19</xdr:row>
      <xdr:rowOff>122245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70E9009D-7AF5-4DC9-9725-83089D170DE2}"/>
            </a:ext>
          </a:extLst>
        </xdr:cNvPr>
        <xdr:cNvCxnSpPr/>
      </xdr:nvCxnSpPr>
      <xdr:spPr>
        <a:xfrm rot="4260000">
          <a:off x="6481422" y="4197963"/>
          <a:ext cx="575030" cy="0"/>
        </a:xfrm>
        <a:prstGeom prst="line">
          <a:avLst/>
        </a:prstGeom>
        <a:ln w="25400">
          <a:solidFill>
            <a:schemeClr val="tx1"/>
          </a:solidFill>
          <a:prstDash val="solid"/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209088</xdr:colOff>
      <xdr:row>17</xdr:row>
      <xdr:rowOff>59703</xdr:rowOff>
    </xdr:from>
    <xdr:to>
      <xdr:col>29</xdr:col>
      <xdr:colOff>211507</xdr:colOff>
      <xdr:row>18</xdr:row>
      <xdr:rowOff>57742</xdr:rowOff>
    </xdr:to>
    <xdr:sp macro="" textlink="">
      <xdr:nvSpPr>
        <xdr:cNvPr id="167" name="円弧 166">
          <a:extLst>
            <a:ext uri="{FF2B5EF4-FFF2-40B4-BE49-F238E27FC236}">
              <a16:creationId xmlns:a16="http://schemas.microsoft.com/office/drawing/2014/main" id="{42917F80-6340-49F8-AFA9-7C4F07B046BD}"/>
            </a:ext>
          </a:extLst>
        </xdr:cNvPr>
        <xdr:cNvSpPr/>
      </xdr:nvSpPr>
      <xdr:spPr>
        <a:xfrm rot="5940764">
          <a:off x="6641305" y="3961458"/>
          <a:ext cx="227683" cy="232063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29</xdr:col>
      <xdr:colOff>109261</xdr:colOff>
      <xdr:row>18</xdr:row>
      <xdr:rowOff>25766</xdr:rowOff>
    </xdr:from>
    <xdr:ext cx="300082" cy="242374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2414230A-CBD8-476C-8E57-24C71438BDEF}"/>
            </a:ext>
          </a:extLst>
        </xdr:cNvPr>
        <xdr:cNvSpPr txBox="1"/>
      </xdr:nvSpPr>
      <xdr:spPr>
        <a:xfrm>
          <a:off x="6768932" y="4159355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φ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25</xdr:col>
      <xdr:colOff>177069</xdr:colOff>
      <xdr:row>18</xdr:row>
      <xdr:rowOff>18270</xdr:rowOff>
    </xdr:from>
    <xdr:to>
      <xdr:col>26</xdr:col>
      <xdr:colOff>143581</xdr:colOff>
      <xdr:row>18</xdr:row>
      <xdr:rowOff>18270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4878E7E9-FD18-4A72-BA1C-E736D51F0DFB}"/>
            </a:ext>
          </a:extLst>
        </xdr:cNvPr>
        <xdr:cNvCxnSpPr/>
      </xdr:nvCxnSpPr>
      <xdr:spPr>
        <a:xfrm rot="5160000">
          <a:off x="5989625" y="4035514"/>
          <a:ext cx="0" cy="195112"/>
        </a:xfrm>
        <a:prstGeom prst="line">
          <a:avLst/>
        </a:prstGeom>
        <a:ln w="25400">
          <a:solidFill>
            <a:schemeClr val="tx1"/>
          </a:solidFill>
          <a:prstDash val="solid"/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134848</xdr:colOff>
      <xdr:row>17</xdr:row>
      <xdr:rowOff>178747</xdr:rowOff>
    </xdr:from>
    <xdr:to>
      <xdr:col>26</xdr:col>
      <xdr:colOff>139073</xdr:colOff>
      <xdr:row>18</xdr:row>
      <xdr:rowOff>7622</xdr:rowOff>
    </xdr:to>
    <xdr:cxnSp macro="">
      <xdr:nvCxnSpPr>
        <xdr:cNvPr id="170" name="直線コネクタ 169">
          <a:extLst>
            <a:ext uri="{FF2B5EF4-FFF2-40B4-BE49-F238E27FC236}">
              <a16:creationId xmlns:a16="http://schemas.microsoft.com/office/drawing/2014/main" id="{F57CC936-C3F1-4B9E-AB45-4CF4637227B5}"/>
            </a:ext>
          </a:extLst>
        </xdr:cNvPr>
        <xdr:cNvCxnSpPr/>
      </xdr:nvCxnSpPr>
      <xdr:spPr>
        <a:xfrm>
          <a:off x="5849848" y="4064947"/>
          <a:ext cx="232825" cy="57475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123992</xdr:colOff>
      <xdr:row>16</xdr:row>
      <xdr:rowOff>130625</xdr:rowOff>
    </xdr:from>
    <xdr:ext cx="300082" cy="242374"/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B2313357-16AB-41B2-8B20-ED2CD4E704BB}"/>
            </a:ext>
          </a:extLst>
        </xdr:cNvPr>
        <xdr:cNvSpPr txBox="1"/>
      </xdr:nvSpPr>
      <xdr:spPr>
        <a:xfrm>
          <a:off x="5838992" y="3788225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δ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26</xdr:col>
      <xdr:colOff>2505</xdr:colOff>
      <xdr:row>17</xdr:row>
      <xdr:rowOff>148632</xdr:rowOff>
    </xdr:from>
    <xdr:to>
      <xdr:col>27</xdr:col>
      <xdr:colOff>28150</xdr:colOff>
      <xdr:row>18</xdr:row>
      <xdr:rowOff>141210</xdr:rowOff>
    </xdr:to>
    <xdr:sp macro="" textlink="">
      <xdr:nvSpPr>
        <xdr:cNvPr id="172" name="円弧 171">
          <a:extLst>
            <a:ext uri="{FF2B5EF4-FFF2-40B4-BE49-F238E27FC236}">
              <a16:creationId xmlns:a16="http://schemas.microsoft.com/office/drawing/2014/main" id="{1F6FD2C2-45D7-4940-8F19-E95973920B96}"/>
            </a:ext>
          </a:extLst>
        </xdr:cNvPr>
        <xdr:cNvSpPr/>
      </xdr:nvSpPr>
      <xdr:spPr>
        <a:xfrm rot="11882846">
          <a:off x="5946105" y="4034832"/>
          <a:ext cx="254245" cy="221178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26</xdr:col>
      <xdr:colOff>7759</xdr:colOff>
      <xdr:row>17</xdr:row>
      <xdr:rowOff>91605</xdr:rowOff>
    </xdr:from>
    <xdr:to>
      <xdr:col>27</xdr:col>
      <xdr:colOff>13892</xdr:colOff>
      <xdr:row>18</xdr:row>
      <xdr:rowOff>96744</xdr:rowOff>
    </xdr:to>
    <xdr:sp macro="" textlink="">
      <xdr:nvSpPr>
        <xdr:cNvPr id="173" name="円弧 172">
          <a:extLst>
            <a:ext uri="{FF2B5EF4-FFF2-40B4-BE49-F238E27FC236}">
              <a16:creationId xmlns:a16="http://schemas.microsoft.com/office/drawing/2014/main" id="{5ACA5B34-CC8C-4FA0-971E-9F70667DDA4F}"/>
            </a:ext>
          </a:extLst>
        </xdr:cNvPr>
        <xdr:cNvSpPr/>
      </xdr:nvSpPr>
      <xdr:spPr>
        <a:xfrm rot="16419954">
          <a:off x="5951856" y="3977308"/>
          <a:ext cx="233739" cy="234733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24</xdr:col>
      <xdr:colOff>221179</xdr:colOff>
      <xdr:row>17</xdr:row>
      <xdr:rowOff>141662</xdr:rowOff>
    </xdr:from>
    <xdr:ext cx="255198" cy="224998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9E25EB02-5AAC-42FD-A7CE-10DABBCEBCB1}"/>
            </a:ext>
          </a:extLst>
        </xdr:cNvPr>
        <xdr:cNvSpPr txBox="1"/>
      </xdr:nvSpPr>
      <xdr:spPr>
        <a:xfrm>
          <a:off x="5707579" y="4027862"/>
          <a:ext cx="25519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62941</xdr:colOff>
      <xdr:row>16</xdr:row>
      <xdr:rowOff>189398</xdr:rowOff>
    </xdr:from>
    <xdr:to>
      <xdr:col>29</xdr:col>
      <xdr:colOff>115140</xdr:colOff>
      <xdr:row>17</xdr:row>
      <xdr:rowOff>11852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2BA5B3BC-EC12-4385-831A-0971671B97AA}"/>
            </a:ext>
          </a:extLst>
        </xdr:cNvPr>
        <xdr:cNvCxnSpPr/>
      </xdr:nvCxnSpPr>
      <xdr:spPr>
        <a:xfrm>
          <a:off x="6722612" y="3863699"/>
          <a:ext cx="52199" cy="52098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72507</xdr:colOff>
      <xdr:row>17</xdr:row>
      <xdr:rowOff>11902</xdr:rowOff>
    </xdr:from>
    <xdr:to>
      <xdr:col>29</xdr:col>
      <xdr:colOff>118072</xdr:colOff>
      <xdr:row>17</xdr:row>
      <xdr:rowOff>57174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A61FC666-6326-4D04-A6B5-B7D392F23F26}"/>
            </a:ext>
          </a:extLst>
        </xdr:cNvPr>
        <xdr:cNvCxnSpPr/>
      </xdr:nvCxnSpPr>
      <xdr:spPr>
        <a:xfrm rot="5400000">
          <a:off x="6732325" y="3915700"/>
          <a:ext cx="45272" cy="45565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92887</xdr:colOff>
      <xdr:row>17</xdr:row>
      <xdr:rowOff>161482</xdr:rowOff>
    </xdr:from>
    <xdr:to>
      <xdr:col>26</xdr:col>
      <xdr:colOff>157028</xdr:colOff>
      <xdr:row>17</xdr:row>
      <xdr:rowOff>182615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0CFEFD47-7A0D-4D64-A343-763D5FBF0495}"/>
            </a:ext>
          </a:extLst>
        </xdr:cNvPr>
        <xdr:cNvCxnSpPr/>
      </xdr:nvCxnSpPr>
      <xdr:spPr>
        <a:xfrm>
          <a:off x="6036487" y="4047682"/>
          <a:ext cx="64141" cy="21133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75962</xdr:colOff>
      <xdr:row>17</xdr:row>
      <xdr:rowOff>161559</xdr:rowOff>
    </xdr:from>
    <xdr:to>
      <xdr:col>26</xdr:col>
      <xdr:colOff>93359</xdr:colOff>
      <xdr:row>17</xdr:row>
      <xdr:rowOff>217547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F3AB98B5-98F8-42F3-AFF7-D33B961D78A8}"/>
            </a:ext>
          </a:extLst>
        </xdr:cNvPr>
        <xdr:cNvCxnSpPr/>
      </xdr:nvCxnSpPr>
      <xdr:spPr>
        <a:xfrm flipH="1">
          <a:off x="6019562" y="4047759"/>
          <a:ext cx="17397" cy="55988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74145</xdr:colOff>
      <xdr:row>29</xdr:row>
      <xdr:rowOff>132166</xdr:rowOff>
    </xdr:from>
    <xdr:ext cx="376834" cy="224998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224090A1-51D6-4A80-B6AC-246F65839CDF}"/>
            </a:ext>
          </a:extLst>
        </xdr:cNvPr>
        <xdr:cNvSpPr txBox="1"/>
      </xdr:nvSpPr>
      <xdr:spPr>
        <a:xfrm>
          <a:off x="13332945" y="6761566"/>
          <a:ext cx="37683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55</xdr:col>
      <xdr:colOff>32659</xdr:colOff>
      <xdr:row>24</xdr:row>
      <xdr:rowOff>29126</xdr:rowOff>
    </xdr:from>
    <xdr:ext cx="224998" cy="361959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4ACDD63E-91E8-401C-A5E4-82CC1E03EA69}"/>
            </a:ext>
          </a:extLst>
        </xdr:cNvPr>
        <xdr:cNvSpPr txBox="1"/>
      </xdr:nvSpPr>
      <xdr:spPr>
        <a:xfrm rot="16200000">
          <a:off x="12537178" y="5584007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49325</xdr:colOff>
      <xdr:row>19</xdr:row>
      <xdr:rowOff>94993</xdr:rowOff>
    </xdr:from>
    <xdr:to>
      <xdr:col>60</xdr:col>
      <xdr:colOff>49325</xdr:colOff>
      <xdr:row>29</xdr:row>
      <xdr:rowOff>111949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1F6A4D0E-FEF5-45FF-B5AF-B8070A4D39D1}"/>
            </a:ext>
          </a:extLst>
        </xdr:cNvPr>
        <xdr:cNvCxnSpPr/>
      </xdr:nvCxnSpPr>
      <xdr:spPr>
        <a:xfrm rot="6960000">
          <a:off x="12613847" y="5589871"/>
          <a:ext cx="230295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55</xdr:col>
      <xdr:colOff>190919</xdr:colOff>
      <xdr:row>19</xdr:row>
      <xdr:rowOff>209651</xdr:rowOff>
    </xdr:from>
    <xdr:to>
      <xdr:col>61</xdr:col>
      <xdr:colOff>192640</xdr:colOff>
      <xdr:row>19</xdr:row>
      <xdr:rowOff>209651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C5FEE3CB-CFF7-48DD-8770-35E15BDCA33D}"/>
            </a:ext>
          </a:extLst>
        </xdr:cNvPr>
        <xdr:cNvCxnSpPr/>
      </xdr:nvCxnSpPr>
      <xdr:spPr>
        <a:xfrm>
          <a:off x="12763919" y="4553051"/>
          <a:ext cx="1373321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56</xdr:col>
      <xdr:colOff>17672</xdr:colOff>
      <xdr:row>19</xdr:row>
      <xdr:rowOff>210478</xdr:rowOff>
    </xdr:from>
    <xdr:to>
      <xdr:col>56</xdr:col>
      <xdr:colOff>17672</xdr:colOff>
      <xdr:row>28</xdr:row>
      <xdr:rowOff>222560</xdr:rowOff>
    </xdr:to>
    <xdr:cxnSp macro="">
      <xdr:nvCxnSpPr>
        <xdr:cNvPr id="198" name="直線コネクタ 197">
          <a:extLst>
            <a:ext uri="{FF2B5EF4-FFF2-40B4-BE49-F238E27FC236}">
              <a16:creationId xmlns:a16="http://schemas.microsoft.com/office/drawing/2014/main" id="{DC63D4CF-8576-496F-A830-5E368C27EE44}"/>
            </a:ext>
          </a:extLst>
        </xdr:cNvPr>
        <xdr:cNvCxnSpPr/>
      </xdr:nvCxnSpPr>
      <xdr:spPr>
        <a:xfrm>
          <a:off x="12819272" y="4553878"/>
          <a:ext cx="0" cy="2069482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165500</xdr:colOff>
      <xdr:row>30</xdr:row>
      <xdr:rowOff>156218</xdr:rowOff>
    </xdr:from>
    <xdr:ext cx="349135" cy="224998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60A33ECB-38EC-4CE7-9CC6-6750762C746F}"/>
            </a:ext>
          </a:extLst>
        </xdr:cNvPr>
        <xdr:cNvSpPr txBox="1"/>
      </xdr:nvSpPr>
      <xdr:spPr>
        <a:xfrm>
          <a:off x="13195700" y="7014218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57</xdr:col>
      <xdr:colOff>214718</xdr:colOff>
      <xdr:row>30</xdr:row>
      <xdr:rowOff>194249</xdr:rowOff>
    </xdr:from>
    <xdr:to>
      <xdr:col>60</xdr:col>
      <xdr:colOff>50918</xdr:colOff>
      <xdr:row>30</xdr:row>
      <xdr:rowOff>194249</xdr:rowOff>
    </xdr:to>
    <xdr:cxnSp macro="">
      <xdr:nvCxnSpPr>
        <xdr:cNvPr id="200" name="直線コネクタ 199">
          <a:extLst>
            <a:ext uri="{FF2B5EF4-FFF2-40B4-BE49-F238E27FC236}">
              <a16:creationId xmlns:a16="http://schemas.microsoft.com/office/drawing/2014/main" id="{579BFE2E-0841-41BE-838D-725151D205EB}"/>
            </a:ext>
          </a:extLst>
        </xdr:cNvPr>
        <xdr:cNvCxnSpPr/>
      </xdr:nvCxnSpPr>
      <xdr:spPr>
        <a:xfrm>
          <a:off x="13244918" y="7052249"/>
          <a:ext cx="52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216670</xdr:colOff>
      <xdr:row>29</xdr:row>
      <xdr:rowOff>57547</xdr:rowOff>
    </xdr:from>
    <xdr:to>
      <xdr:col>57</xdr:col>
      <xdr:colOff>216670</xdr:colOff>
      <xdr:row>31</xdr:row>
      <xdr:rowOff>17429</xdr:rowOff>
    </xdr:to>
    <xdr:cxnSp macro="">
      <xdr:nvCxnSpPr>
        <xdr:cNvPr id="201" name="直線コネクタ 200">
          <a:extLst>
            <a:ext uri="{FF2B5EF4-FFF2-40B4-BE49-F238E27FC236}">
              <a16:creationId xmlns:a16="http://schemas.microsoft.com/office/drawing/2014/main" id="{8A87E4EE-8FE2-4AFF-BF89-CFAFBBD8A5A0}"/>
            </a:ext>
          </a:extLst>
        </xdr:cNvPr>
        <xdr:cNvCxnSpPr/>
      </xdr:nvCxnSpPr>
      <xdr:spPr>
        <a:xfrm>
          <a:off x="13246870" y="6686947"/>
          <a:ext cx="0" cy="41708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5927</xdr:colOff>
      <xdr:row>28</xdr:row>
      <xdr:rowOff>220905</xdr:rowOff>
    </xdr:from>
    <xdr:to>
      <xdr:col>60</xdr:col>
      <xdr:colOff>70727</xdr:colOff>
      <xdr:row>28</xdr:row>
      <xdr:rowOff>220905</xdr:rowOff>
    </xdr:to>
    <xdr:cxnSp macro="">
      <xdr:nvCxnSpPr>
        <xdr:cNvPr id="202" name="直線コネクタ 201">
          <a:extLst>
            <a:ext uri="{FF2B5EF4-FFF2-40B4-BE49-F238E27FC236}">
              <a16:creationId xmlns:a16="http://schemas.microsoft.com/office/drawing/2014/main" id="{BD9A75D0-B1D4-4772-9138-CFBBF61EC192}"/>
            </a:ext>
          </a:extLst>
        </xdr:cNvPr>
        <xdr:cNvCxnSpPr/>
      </xdr:nvCxnSpPr>
      <xdr:spPr>
        <a:xfrm>
          <a:off x="13264727" y="6621705"/>
          <a:ext cx="522000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226630</xdr:colOff>
      <xdr:row>18</xdr:row>
      <xdr:rowOff>190616</xdr:rowOff>
    </xdr:from>
    <xdr:to>
      <xdr:col>63</xdr:col>
      <xdr:colOff>37630</xdr:colOff>
      <xdr:row>19</xdr:row>
      <xdr:rowOff>207088</xdr:rowOff>
    </xdr:to>
    <xdr:sp macro="" textlink="">
      <xdr:nvSpPr>
        <xdr:cNvPr id="204" name="正方形/長方形 203">
          <a:extLst>
            <a:ext uri="{FF2B5EF4-FFF2-40B4-BE49-F238E27FC236}">
              <a16:creationId xmlns:a16="http://schemas.microsoft.com/office/drawing/2014/main" id="{C714B315-9A65-4C1A-AEF1-FDD9050CBC59}"/>
            </a:ext>
          </a:extLst>
        </xdr:cNvPr>
        <xdr:cNvSpPr/>
      </xdr:nvSpPr>
      <xdr:spPr>
        <a:xfrm>
          <a:off x="14399830" y="4305416"/>
          <a:ext cx="39600" cy="245072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63</xdr:col>
      <xdr:colOff>43831</xdr:colOff>
      <xdr:row>18</xdr:row>
      <xdr:rowOff>207080</xdr:rowOff>
    </xdr:from>
    <xdr:to>
      <xdr:col>63</xdr:col>
      <xdr:colOff>43831</xdr:colOff>
      <xdr:row>19</xdr:row>
      <xdr:rowOff>17262</xdr:rowOff>
    </xdr:to>
    <xdr:cxnSp macro="">
      <xdr:nvCxnSpPr>
        <xdr:cNvPr id="205" name="直線コネクタ 204">
          <a:extLst>
            <a:ext uri="{FF2B5EF4-FFF2-40B4-BE49-F238E27FC236}">
              <a16:creationId xmlns:a16="http://schemas.microsoft.com/office/drawing/2014/main" id="{3FE9716A-D01A-4682-8F71-97B51D43BFF4}"/>
            </a:ext>
          </a:extLst>
        </xdr:cNvPr>
        <xdr:cNvCxnSpPr/>
      </xdr:nvCxnSpPr>
      <xdr:spPr>
        <a:xfrm>
          <a:off x="14445631" y="4321880"/>
          <a:ext cx="0" cy="3878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66691</xdr:colOff>
      <xdr:row>18</xdr:row>
      <xdr:rowOff>168980</xdr:rowOff>
    </xdr:from>
    <xdr:to>
      <xdr:col>63</xdr:col>
      <xdr:colOff>66691</xdr:colOff>
      <xdr:row>18</xdr:row>
      <xdr:rowOff>197780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E562FED7-A047-478A-B720-956E58004D15}"/>
            </a:ext>
          </a:extLst>
        </xdr:cNvPr>
        <xdr:cNvCxnSpPr/>
      </xdr:nvCxnSpPr>
      <xdr:spPr>
        <a:xfrm>
          <a:off x="14468491" y="4283780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43406</xdr:colOff>
      <xdr:row>18</xdr:row>
      <xdr:rowOff>205389</xdr:rowOff>
    </xdr:from>
    <xdr:to>
      <xdr:col>63</xdr:col>
      <xdr:colOff>72206</xdr:colOff>
      <xdr:row>18</xdr:row>
      <xdr:rowOff>205389</xdr:rowOff>
    </xdr:to>
    <xdr:cxnSp macro="">
      <xdr:nvCxnSpPr>
        <xdr:cNvPr id="207" name="直線コネクタ 206">
          <a:extLst>
            <a:ext uri="{FF2B5EF4-FFF2-40B4-BE49-F238E27FC236}">
              <a16:creationId xmlns:a16="http://schemas.microsoft.com/office/drawing/2014/main" id="{82DB89EB-CF88-4F10-AE61-1E4D51A32364}"/>
            </a:ext>
          </a:extLst>
        </xdr:cNvPr>
        <xdr:cNvCxnSpPr/>
      </xdr:nvCxnSpPr>
      <xdr:spPr>
        <a:xfrm rot="2700000">
          <a:off x="14459606" y="4305789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56525</xdr:colOff>
      <xdr:row>18</xdr:row>
      <xdr:rowOff>147174</xdr:rowOff>
    </xdr:from>
    <xdr:to>
      <xdr:col>63</xdr:col>
      <xdr:colOff>56525</xdr:colOff>
      <xdr:row>18</xdr:row>
      <xdr:rowOff>175974</xdr:rowOff>
    </xdr:to>
    <xdr:cxnSp macro="">
      <xdr:nvCxnSpPr>
        <xdr:cNvPr id="208" name="直線コネクタ 207">
          <a:extLst>
            <a:ext uri="{FF2B5EF4-FFF2-40B4-BE49-F238E27FC236}">
              <a16:creationId xmlns:a16="http://schemas.microsoft.com/office/drawing/2014/main" id="{8ABBFA18-6CD5-48DF-9236-359331789CE0}"/>
            </a:ext>
          </a:extLst>
        </xdr:cNvPr>
        <xdr:cNvCxnSpPr/>
      </xdr:nvCxnSpPr>
      <xdr:spPr>
        <a:xfrm rot="18900000">
          <a:off x="14458325" y="4261974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68596</xdr:colOff>
      <xdr:row>19</xdr:row>
      <xdr:rowOff>29915</xdr:rowOff>
    </xdr:from>
    <xdr:to>
      <xdr:col>63</xdr:col>
      <xdr:colOff>68596</xdr:colOff>
      <xdr:row>19</xdr:row>
      <xdr:rowOff>58715</xdr:rowOff>
    </xdr:to>
    <xdr:cxnSp macro="">
      <xdr:nvCxnSpPr>
        <xdr:cNvPr id="209" name="直線コネクタ 208">
          <a:extLst>
            <a:ext uri="{FF2B5EF4-FFF2-40B4-BE49-F238E27FC236}">
              <a16:creationId xmlns:a16="http://schemas.microsoft.com/office/drawing/2014/main" id="{29790C1D-B239-435B-A455-73146D567113}"/>
            </a:ext>
          </a:extLst>
        </xdr:cNvPr>
        <xdr:cNvCxnSpPr/>
      </xdr:nvCxnSpPr>
      <xdr:spPr>
        <a:xfrm>
          <a:off x="14470396" y="4373315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45311</xdr:colOff>
      <xdr:row>19</xdr:row>
      <xdr:rowOff>66324</xdr:rowOff>
    </xdr:from>
    <xdr:to>
      <xdr:col>63</xdr:col>
      <xdr:colOff>66491</xdr:colOff>
      <xdr:row>19</xdr:row>
      <xdr:rowOff>66324</xdr:rowOff>
    </xdr:to>
    <xdr:cxnSp macro="">
      <xdr:nvCxnSpPr>
        <xdr:cNvPr id="210" name="直線コネクタ 209">
          <a:extLst>
            <a:ext uri="{FF2B5EF4-FFF2-40B4-BE49-F238E27FC236}">
              <a16:creationId xmlns:a16="http://schemas.microsoft.com/office/drawing/2014/main" id="{BFA627BD-BFB5-43B2-8457-96651D0C0686}"/>
            </a:ext>
          </a:extLst>
        </xdr:cNvPr>
        <xdr:cNvCxnSpPr/>
      </xdr:nvCxnSpPr>
      <xdr:spPr>
        <a:xfrm rot="2700000">
          <a:off x="14457701" y="4399134"/>
          <a:ext cx="0" cy="2118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58430</xdr:colOff>
      <xdr:row>19</xdr:row>
      <xdr:rowOff>8109</xdr:rowOff>
    </xdr:from>
    <xdr:to>
      <xdr:col>63</xdr:col>
      <xdr:colOff>58430</xdr:colOff>
      <xdr:row>19</xdr:row>
      <xdr:rowOff>36909</xdr:rowOff>
    </xdr:to>
    <xdr:cxnSp macro="">
      <xdr:nvCxnSpPr>
        <xdr:cNvPr id="211" name="直線コネクタ 210">
          <a:extLst>
            <a:ext uri="{FF2B5EF4-FFF2-40B4-BE49-F238E27FC236}">
              <a16:creationId xmlns:a16="http://schemas.microsoft.com/office/drawing/2014/main" id="{7FFBF68D-020A-41B8-ACFF-70CA558ED0C5}"/>
            </a:ext>
          </a:extLst>
        </xdr:cNvPr>
        <xdr:cNvCxnSpPr/>
      </xdr:nvCxnSpPr>
      <xdr:spPr>
        <a:xfrm rot="18900000">
          <a:off x="14460230" y="4351509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57467</xdr:colOff>
      <xdr:row>30</xdr:row>
      <xdr:rowOff>73576</xdr:rowOff>
    </xdr:from>
    <xdr:to>
      <xdr:col>60</xdr:col>
      <xdr:colOff>57467</xdr:colOff>
      <xdr:row>31</xdr:row>
      <xdr:rowOff>2024</xdr:rowOff>
    </xdr:to>
    <xdr:cxnSp macro="">
      <xdr:nvCxnSpPr>
        <xdr:cNvPr id="212" name="直線コネクタ 211">
          <a:extLst>
            <a:ext uri="{FF2B5EF4-FFF2-40B4-BE49-F238E27FC236}">
              <a16:creationId xmlns:a16="http://schemas.microsoft.com/office/drawing/2014/main" id="{AB4160D7-13BF-4957-A77C-1F8BBA9A9FD0}"/>
            </a:ext>
          </a:extLst>
        </xdr:cNvPr>
        <xdr:cNvCxnSpPr/>
      </xdr:nvCxnSpPr>
      <xdr:spPr>
        <a:xfrm>
          <a:off x="13773467" y="6931576"/>
          <a:ext cx="0" cy="157048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102446</xdr:colOff>
      <xdr:row>19</xdr:row>
      <xdr:rowOff>206570</xdr:rowOff>
    </xdr:from>
    <xdr:to>
      <xdr:col>63</xdr:col>
      <xdr:colOff>161846</xdr:colOff>
      <xdr:row>19</xdr:row>
      <xdr:rowOff>206570</xdr:rowOff>
    </xdr:to>
    <xdr:cxnSp macro="">
      <xdr:nvCxnSpPr>
        <xdr:cNvPr id="213" name="直線コネクタ 212">
          <a:extLst>
            <a:ext uri="{FF2B5EF4-FFF2-40B4-BE49-F238E27FC236}">
              <a16:creationId xmlns:a16="http://schemas.microsoft.com/office/drawing/2014/main" id="{B816049D-E066-42B5-9F37-C757D5477782}"/>
            </a:ext>
          </a:extLst>
        </xdr:cNvPr>
        <xdr:cNvCxnSpPr/>
      </xdr:nvCxnSpPr>
      <xdr:spPr>
        <a:xfrm>
          <a:off x="14275646" y="4549970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61834</xdr:colOff>
      <xdr:row>17</xdr:row>
      <xdr:rowOff>87088</xdr:rowOff>
    </xdr:from>
    <xdr:ext cx="336311" cy="224998"/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7107ACE8-C06F-454C-B9B8-1EF0CAD04164}"/>
            </a:ext>
          </a:extLst>
        </xdr:cNvPr>
        <xdr:cNvSpPr txBox="1"/>
      </xdr:nvSpPr>
      <xdr:spPr>
        <a:xfrm>
          <a:off x="14006434" y="3973288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95238</xdr:colOff>
      <xdr:row>18</xdr:row>
      <xdr:rowOff>58215</xdr:rowOff>
    </xdr:from>
    <xdr:to>
      <xdr:col>62</xdr:col>
      <xdr:colOff>95238</xdr:colOff>
      <xdr:row>18</xdr:row>
      <xdr:rowOff>220214</xdr:rowOff>
    </xdr:to>
    <xdr:cxnSp macro="">
      <xdr:nvCxnSpPr>
        <xdr:cNvPr id="215" name="直線コネクタ 214">
          <a:extLst>
            <a:ext uri="{FF2B5EF4-FFF2-40B4-BE49-F238E27FC236}">
              <a16:creationId xmlns:a16="http://schemas.microsoft.com/office/drawing/2014/main" id="{8B6CF9B7-16C4-4930-96F0-43FE0094A631}"/>
            </a:ext>
          </a:extLst>
        </xdr:cNvPr>
        <xdr:cNvCxnSpPr/>
      </xdr:nvCxnSpPr>
      <xdr:spPr>
        <a:xfrm>
          <a:off x="14268438" y="4173015"/>
          <a:ext cx="0" cy="16199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172802</xdr:colOff>
      <xdr:row>18</xdr:row>
      <xdr:rowOff>58215</xdr:rowOff>
    </xdr:from>
    <xdr:to>
      <xdr:col>63</xdr:col>
      <xdr:colOff>172802</xdr:colOff>
      <xdr:row>18</xdr:row>
      <xdr:rowOff>220214</xdr:rowOff>
    </xdr:to>
    <xdr:cxnSp macro="">
      <xdr:nvCxnSpPr>
        <xdr:cNvPr id="216" name="直線コネクタ 215">
          <a:extLst>
            <a:ext uri="{FF2B5EF4-FFF2-40B4-BE49-F238E27FC236}">
              <a16:creationId xmlns:a16="http://schemas.microsoft.com/office/drawing/2014/main" id="{0591579E-3DF7-457D-AA97-2BAB310A7321}"/>
            </a:ext>
          </a:extLst>
        </xdr:cNvPr>
        <xdr:cNvCxnSpPr/>
      </xdr:nvCxnSpPr>
      <xdr:spPr>
        <a:xfrm>
          <a:off x="14574602" y="4173015"/>
          <a:ext cx="0" cy="16199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102372</xdr:colOff>
      <xdr:row>18</xdr:row>
      <xdr:rowOff>102537</xdr:rowOff>
    </xdr:from>
    <xdr:to>
      <xdr:col>63</xdr:col>
      <xdr:colOff>172720</xdr:colOff>
      <xdr:row>18</xdr:row>
      <xdr:rowOff>102537</xdr:rowOff>
    </xdr:to>
    <xdr:cxnSp macro="">
      <xdr:nvCxnSpPr>
        <xdr:cNvPr id="217" name="直線コネクタ 216">
          <a:extLst>
            <a:ext uri="{FF2B5EF4-FFF2-40B4-BE49-F238E27FC236}">
              <a16:creationId xmlns:a16="http://schemas.microsoft.com/office/drawing/2014/main" id="{96158B45-2390-4582-9F44-5F62FDD34D71}"/>
            </a:ext>
          </a:extLst>
        </xdr:cNvPr>
        <xdr:cNvCxnSpPr/>
      </xdr:nvCxnSpPr>
      <xdr:spPr>
        <a:xfrm>
          <a:off x="14275572" y="4217337"/>
          <a:ext cx="29894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70863</xdr:colOff>
      <xdr:row>19</xdr:row>
      <xdr:rowOff>223520</xdr:rowOff>
    </xdr:from>
    <xdr:to>
      <xdr:col>68</xdr:col>
      <xdr:colOff>118291</xdr:colOff>
      <xdr:row>28</xdr:row>
      <xdr:rowOff>222690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5F25C040-C9D7-4F3B-8E38-0C7043AFC862}"/>
            </a:ext>
          </a:extLst>
        </xdr:cNvPr>
        <xdr:cNvCxnSpPr/>
      </xdr:nvCxnSpPr>
      <xdr:spPr>
        <a:xfrm flipV="1">
          <a:off x="13786863" y="4566920"/>
          <a:ext cx="1876228" cy="2056570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46519</xdr:colOff>
      <xdr:row>19</xdr:row>
      <xdr:rowOff>206570</xdr:rowOff>
    </xdr:from>
    <xdr:to>
      <xdr:col>68</xdr:col>
      <xdr:colOff>205237</xdr:colOff>
      <xdr:row>19</xdr:row>
      <xdr:rowOff>206570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5FAF9E92-5D6D-4E5F-82C5-955760AB235A}"/>
            </a:ext>
          </a:extLst>
        </xdr:cNvPr>
        <xdr:cNvCxnSpPr/>
      </xdr:nvCxnSpPr>
      <xdr:spPr>
        <a:xfrm>
          <a:off x="14448319" y="4549970"/>
          <a:ext cx="1301718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155601</xdr:colOff>
      <xdr:row>17</xdr:row>
      <xdr:rowOff>87088</xdr:rowOff>
    </xdr:from>
    <xdr:ext cx="374783" cy="224998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BB018422-4FD6-428F-AF59-9D3FD1201B7D}"/>
            </a:ext>
          </a:extLst>
        </xdr:cNvPr>
        <xdr:cNvSpPr txBox="1"/>
      </xdr:nvSpPr>
      <xdr:spPr>
        <a:xfrm>
          <a:off x="14786001" y="3973288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u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33149</xdr:colOff>
      <xdr:row>28</xdr:row>
      <xdr:rowOff>89481</xdr:rowOff>
    </xdr:from>
    <xdr:to>
      <xdr:col>61</xdr:col>
      <xdr:colOff>40657</xdr:colOff>
      <xdr:row>29</xdr:row>
      <xdr:rowOff>84709</xdr:rowOff>
    </xdr:to>
    <xdr:sp macro="" textlink="">
      <xdr:nvSpPr>
        <xdr:cNvPr id="221" name="円弧 220">
          <a:extLst>
            <a:ext uri="{FF2B5EF4-FFF2-40B4-BE49-F238E27FC236}">
              <a16:creationId xmlns:a16="http://schemas.microsoft.com/office/drawing/2014/main" id="{A5B0DEC6-8D1F-43F7-8A6E-57B65366FDDC}"/>
            </a:ext>
          </a:extLst>
        </xdr:cNvPr>
        <xdr:cNvSpPr/>
      </xdr:nvSpPr>
      <xdr:spPr>
        <a:xfrm rot="1800000">
          <a:off x="13749149" y="6490281"/>
          <a:ext cx="236108" cy="223828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60</xdr:col>
      <xdr:colOff>75518</xdr:colOff>
      <xdr:row>28</xdr:row>
      <xdr:rowOff>220854</xdr:rowOff>
    </xdr:from>
    <xdr:to>
      <xdr:col>62</xdr:col>
      <xdr:colOff>172189</xdr:colOff>
      <xdr:row>28</xdr:row>
      <xdr:rowOff>220854</xdr:rowOff>
    </xdr:to>
    <xdr:cxnSp macro="">
      <xdr:nvCxnSpPr>
        <xdr:cNvPr id="222" name="直線コネクタ 221">
          <a:extLst>
            <a:ext uri="{FF2B5EF4-FFF2-40B4-BE49-F238E27FC236}">
              <a16:creationId xmlns:a16="http://schemas.microsoft.com/office/drawing/2014/main" id="{32F5E97F-4C2C-43B8-BF7B-EDF20A663CC2}"/>
            </a:ext>
          </a:extLst>
        </xdr:cNvPr>
        <xdr:cNvCxnSpPr/>
      </xdr:nvCxnSpPr>
      <xdr:spPr>
        <a:xfrm>
          <a:off x="13791518" y="6621654"/>
          <a:ext cx="553871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196194</xdr:colOff>
      <xdr:row>27</xdr:row>
      <xdr:rowOff>216339</xdr:rowOff>
    </xdr:from>
    <xdr:ext cx="365165" cy="242374"/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FC0A7D44-F5CB-4940-83DC-280A2B1D9961}"/>
            </a:ext>
          </a:extLst>
        </xdr:cNvPr>
        <xdr:cNvSpPr txBox="1"/>
      </xdr:nvSpPr>
      <xdr:spPr>
        <a:xfrm>
          <a:off x="13912194" y="6388539"/>
          <a:ext cx="36516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ω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29272</xdr:colOff>
      <xdr:row>20</xdr:row>
      <xdr:rowOff>147624</xdr:rowOff>
    </xdr:from>
    <xdr:to>
      <xdr:col>64</xdr:col>
      <xdr:colOff>34506</xdr:colOff>
      <xdr:row>21</xdr:row>
      <xdr:rowOff>143766</xdr:rowOff>
    </xdr:to>
    <xdr:sp macro="" textlink="">
      <xdr:nvSpPr>
        <xdr:cNvPr id="224" name="円弧 223">
          <a:extLst>
            <a:ext uri="{FF2B5EF4-FFF2-40B4-BE49-F238E27FC236}">
              <a16:creationId xmlns:a16="http://schemas.microsoft.com/office/drawing/2014/main" id="{EA261E62-F459-4699-B8F5-035D33490033}"/>
            </a:ext>
          </a:extLst>
        </xdr:cNvPr>
        <xdr:cNvSpPr/>
      </xdr:nvSpPr>
      <xdr:spPr>
        <a:xfrm rot="9761260">
          <a:off x="14431072" y="4719624"/>
          <a:ext cx="233834" cy="224742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63</xdr:col>
      <xdr:colOff>182665</xdr:colOff>
      <xdr:row>19</xdr:row>
      <xdr:rowOff>207397</xdr:rowOff>
    </xdr:from>
    <xdr:to>
      <xdr:col>63</xdr:col>
      <xdr:colOff>182665</xdr:colOff>
      <xdr:row>21</xdr:row>
      <xdr:rowOff>208280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62C7D237-5300-4611-BBC5-001B05FC1429}"/>
            </a:ext>
          </a:extLst>
        </xdr:cNvPr>
        <xdr:cNvCxnSpPr/>
      </xdr:nvCxnSpPr>
      <xdr:spPr>
        <a:xfrm>
          <a:off x="14584465" y="4550797"/>
          <a:ext cx="0" cy="458083"/>
        </a:xfrm>
        <a:prstGeom prst="line">
          <a:avLst/>
        </a:prstGeom>
        <a:ln w="3175">
          <a:solidFill>
            <a:schemeClr val="tx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148984</xdr:colOff>
      <xdr:row>21</xdr:row>
      <xdr:rowOff>96441</xdr:rowOff>
    </xdr:from>
    <xdr:ext cx="403508" cy="242374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7D1B5D55-2986-474B-B9DA-BAAFE251DBBD}"/>
            </a:ext>
          </a:extLst>
        </xdr:cNvPr>
        <xdr:cNvSpPr txBox="1"/>
      </xdr:nvSpPr>
      <xdr:spPr>
        <a:xfrm>
          <a:off x="14322184" y="4897041"/>
          <a:ext cx="40350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α 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165240</xdr:colOff>
      <xdr:row>18</xdr:row>
      <xdr:rowOff>102537</xdr:rowOff>
    </xdr:from>
    <xdr:to>
      <xdr:col>68</xdr:col>
      <xdr:colOff>138240</xdr:colOff>
      <xdr:row>18</xdr:row>
      <xdr:rowOff>102537</xdr:rowOff>
    </xdr:to>
    <xdr:cxnSp macro="">
      <xdr:nvCxnSpPr>
        <xdr:cNvPr id="227" name="直線コネクタ 226">
          <a:extLst>
            <a:ext uri="{FF2B5EF4-FFF2-40B4-BE49-F238E27FC236}">
              <a16:creationId xmlns:a16="http://schemas.microsoft.com/office/drawing/2014/main" id="{F1396F68-7C53-45A4-82FF-9C4D90E9D741}"/>
            </a:ext>
          </a:extLst>
        </xdr:cNvPr>
        <xdr:cNvCxnSpPr/>
      </xdr:nvCxnSpPr>
      <xdr:spPr>
        <a:xfrm>
          <a:off x="14567040" y="4217337"/>
          <a:ext cx="11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68</xdr:col>
      <xdr:colOff>135896</xdr:colOff>
      <xdr:row>18</xdr:row>
      <xdr:rowOff>58215</xdr:rowOff>
    </xdr:from>
    <xdr:to>
      <xdr:col>68</xdr:col>
      <xdr:colOff>135896</xdr:colOff>
      <xdr:row>18</xdr:row>
      <xdr:rowOff>220214</xdr:rowOff>
    </xdr:to>
    <xdr:cxnSp macro="">
      <xdr:nvCxnSpPr>
        <xdr:cNvPr id="228" name="直線コネクタ 227">
          <a:extLst>
            <a:ext uri="{FF2B5EF4-FFF2-40B4-BE49-F238E27FC236}">
              <a16:creationId xmlns:a16="http://schemas.microsoft.com/office/drawing/2014/main" id="{8F17C26E-AAFC-4462-A81D-C5A238AA4A44}"/>
            </a:ext>
          </a:extLst>
        </xdr:cNvPr>
        <xdr:cNvCxnSpPr/>
      </xdr:nvCxnSpPr>
      <xdr:spPr>
        <a:xfrm>
          <a:off x="15680696" y="4173015"/>
          <a:ext cx="0" cy="16199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160049</xdr:colOff>
      <xdr:row>21</xdr:row>
      <xdr:rowOff>78956</xdr:rowOff>
    </xdr:from>
    <xdr:to>
      <xdr:col>64</xdr:col>
      <xdr:colOff>160049</xdr:colOff>
      <xdr:row>23</xdr:row>
      <xdr:rowOff>201345</xdr:rowOff>
    </xdr:to>
    <xdr:cxnSp macro="">
      <xdr:nvCxnSpPr>
        <xdr:cNvPr id="229" name="直線コネクタ 228">
          <a:extLst>
            <a:ext uri="{FF2B5EF4-FFF2-40B4-BE49-F238E27FC236}">
              <a16:creationId xmlns:a16="http://schemas.microsoft.com/office/drawing/2014/main" id="{C57DFC1D-29CB-407F-88FB-5B49019909F6}"/>
            </a:ext>
          </a:extLst>
        </xdr:cNvPr>
        <xdr:cNvCxnSpPr/>
      </xdr:nvCxnSpPr>
      <xdr:spPr>
        <a:xfrm>
          <a:off x="14790449" y="4879556"/>
          <a:ext cx="0" cy="579589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202611</xdr:colOff>
      <xdr:row>20</xdr:row>
      <xdr:rowOff>124533</xdr:rowOff>
    </xdr:from>
    <xdr:ext cx="416396" cy="224998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8360FB34-EC83-480E-BE9A-EF6D49562FBA}"/>
            </a:ext>
          </a:extLst>
        </xdr:cNvPr>
        <xdr:cNvSpPr txBox="1"/>
      </xdr:nvSpPr>
      <xdr:spPr>
        <a:xfrm>
          <a:off x="14604411" y="4696533"/>
          <a:ext cx="41639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W =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160572</xdr:colOff>
      <xdr:row>25</xdr:row>
      <xdr:rowOff>140554</xdr:rowOff>
    </xdr:from>
    <xdr:to>
      <xdr:col>65</xdr:col>
      <xdr:colOff>146038</xdr:colOff>
      <xdr:row>25</xdr:row>
      <xdr:rowOff>140554</xdr:rowOff>
    </xdr:to>
    <xdr:cxnSp macro="">
      <xdr:nvCxnSpPr>
        <xdr:cNvPr id="231" name="直線コネクタ 230">
          <a:extLst>
            <a:ext uri="{FF2B5EF4-FFF2-40B4-BE49-F238E27FC236}">
              <a16:creationId xmlns:a16="http://schemas.microsoft.com/office/drawing/2014/main" id="{893F5678-6127-4109-A1D4-2C13DB7C4460}"/>
            </a:ext>
          </a:extLst>
        </xdr:cNvPr>
        <xdr:cNvCxnSpPr/>
      </xdr:nvCxnSpPr>
      <xdr:spPr>
        <a:xfrm rot="2460000">
          <a:off x="14562372" y="5855554"/>
          <a:ext cx="442666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79366</xdr:colOff>
      <xdr:row>24</xdr:row>
      <xdr:rowOff>213333</xdr:rowOff>
    </xdr:from>
    <xdr:to>
      <xdr:col>64</xdr:col>
      <xdr:colOff>79366</xdr:colOff>
      <xdr:row>27</xdr:row>
      <xdr:rowOff>100475</xdr:rowOff>
    </xdr:to>
    <xdr:cxnSp macro="">
      <xdr:nvCxnSpPr>
        <xdr:cNvPr id="232" name="直線コネクタ 231">
          <a:extLst>
            <a:ext uri="{FF2B5EF4-FFF2-40B4-BE49-F238E27FC236}">
              <a16:creationId xmlns:a16="http://schemas.microsoft.com/office/drawing/2014/main" id="{68EE1C38-7D9A-4739-BA08-AE0AB15C7DAE}"/>
            </a:ext>
          </a:extLst>
        </xdr:cNvPr>
        <xdr:cNvCxnSpPr/>
      </xdr:nvCxnSpPr>
      <xdr:spPr>
        <a:xfrm rot="4260000">
          <a:off x="14423295" y="5986204"/>
          <a:ext cx="572942" cy="0"/>
        </a:xfrm>
        <a:prstGeom prst="line">
          <a:avLst/>
        </a:prstGeom>
        <a:ln w="25400">
          <a:solidFill>
            <a:schemeClr val="tx1"/>
          </a:solidFill>
          <a:prstDash val="solid"/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178144</xdr:colOff>
      <xdr:row>25</xdr:row>
      <xdr:rowOff>37933</xdr:rowOff>
    </xdr:from>
    <xdr:to>
      <xdr:col>64</xdr:col>
      <xdr:colOff>180563</xdr:colOff>
      <xdr:row>26</xdr:row>
      <xdr:rowOff>35972</xdr:rowOff>
    </xdr:to>
    <xdr:sp macro="" textlink="">
      <xdr:nvSpPr>
        <xdr:cNvPr id="233" name="円弧 232">
          <a:extLst>
            <a:ext uri="{FF2B5EF4-FFF2-40B4-BE49-F238E27FC236}">
              <a16:creationId xmlns:a16="http://schemas.microsoft.com/office/drawing/2014/main" id="{3B3EE620-2F6F-4454-A130-44D5A9B3FC0C}"/>
            </a:ext>
          </a:extLst>
        </xdr:cNvPr>
        <xdr:cNvSpPr/>
      </xdr:nvSpPr>
      <xdr:spPr>
        <a:xfrm rot="5940764">
          <a:off x="14582134" y="5750743"/>
          <a:ext cx="226639" cy="231019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64</xdr:col>
      <xdr:colOff>79361</xdr:colOff>
      <xdr:row>26</xdr:row>
      <xdr:rowOff>3996</xdr:rowOff>
    </xdr:from>
    <xdr:ext cx="403508" cy="242374"/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221EA5E5-4E60-4D57-9533-D71635BCDFAB}"/>
            </a:ext>
          </a:extLst>
        </xdr:cNvPr>
        <xdr:cNvSpPr txBox="1"/>
      </xdr:nvSpPr>
      <xdr:spPr>
        <a:xfrm>
          <a:off x="14709761" y="5947596"/>
          <a:ext cx="40350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φ 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143979</xdr:colOff>
      <xdr:row>25</xdr:row>
      <xdr:rowOff>225100</xdr:rowOff>
    </xdr:from>
    <xdr:to>
      <xdr:col>61</xdr:col>
      <xdr:colOff>110491</xdr:colOff>
      <xdr:row>25</xdr:row>
      <xdr:rowOff>225100</xdr:rowOff>
    </xdr:to>
    <xdr:cxnSp macro="">
      <xdr:nvCxnSpPr>
        <xdr:cNvPr id="235" name="直線コネクタ 234">
          <a:extLst>
            <a:ext uri="{FF2B5EF4-FFF2-40B4-BE49-F238E27FC236}">
              <a16:creationId xmlns:a16="http://schemas.microsoft.com/office/drawing/2014/main" id="{F763A746-4720-4893-A365-992A0EFF8F83}"/>
            </a:ext>
          </a:extLst>
        </xdr:cNvPr>
        <xdr:cNvCxnSpPr/>
      </xdr:nvCxnSpPr>
      <xdr:spPr>
        <a:xfrm rot="5160000">
          <a:off x="13957535" y="5842544"/>
          <a:ext cx="0" cy="195112"/>
        </a:xfrm>
        <a:prstGeom prst="line">
          <a:avLst/>
        </a:prstGeom>
        <a:ln w="25400">
          <a:solidFill>
            <a:schemeClr val="tx1"/>
          </a:solidFill>
          <a:prstDash val="solid"/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101758</xdr:colOff>
      <xdr:row>25</xdr:row>
      <xdr:rowOff>156977</xdr:rowOff>
    </xdr:from>
    <xdr:to>
      <xdr:col>61</xdr:col>
      <xdr:colOff>105983</xdr:colOff>
      <xdr:row>25</xdr:row>
      <xdr:rowOff>214452</xdr:rowOff>
    </xdr:to>
    <xdr:cxnSp macro="">
      <xdr:nvCxnSpPr>
        <xdr:cNvPr id="236" name="直線コネクタ 235">
          <a:extLst>
            <a:ext uri="{FF2B5EF4-FFF2-40B4-BE49-F238E27FC236}">
              <a16:creationId xmlns:a16="http://schemas.microsoft.com/office/drawing/2014/main" id="{AFF3BF5D-398D-4F07-AC42-DB114F7F81A1}"/>
            </a:ext>
          </a:extLst>
        </xdr:cNvPr>
        <xdr:cNvCxnSpPr/>
      </xdr:nvCxnSpPr>
      <xdr:spPr>
        <a:xfrm>
          <a:off x="13817758" y="5871977"/>
          <a:ext cx="232825" cy="57475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175123</xdr:colOff>
      <xdr:row>24</xdr:row>
      <xdr:rowOff>40675</xdr:rowOff>
    </xdr:from>
    <xdr:ext cx="365165" cy="242374"/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787486C1-096F-4BE6-AC4D-36D2E53BDC5B}"/>
            </a:ext>
          </a:extLst>
        </xdr:cNvPr>
        <xdr:cNvSpPr txBox="1"/>
      </xdr:nvSpPr>
      <xdr:spPr>
        <a:xfrm>
          <a:off x="13662523" y="5527075"/>
          <a:ext cx="36516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δ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168084</xdr:colOff>
      <xdr:row>25</xdr:row>
      <xdr:rowOff>126862</xdr:rowOff>
    </xdr:from>
    <xdr:to>
      <xdr:col>61</xdr:col>
      <xdr:colOff>193729</xdr:colOff>
      <xdr:row>26</xdr:row>
      <xdr:rowOff>119440</xdr:rowOff>
    </xdr:to>
    <xdr:sp macro="" textlink="">
      <xdr:nvSpPr>
        <xdr:cNvPr id="238" name="円弧 237">
          <a:extLst>
            <a:ext uri="{FF2B5EF4-FFF2-40B4-BE49-F238E27FC236}">
              <a16:creationId xmlns:a16="http://schemas.microsoft.com/office/drawing/2014/main" id="{6C671DFD-5723-4F72-9CAB-B0BCE808F49B}"/>
            </a:ext>
          </a:extLst>
        </xdr:cNvPr>
        <xdr:cNvSpPr/>
      </xdr:nvSpPr>
      <xdr:spPr>
        <a:xfrm rot="11882846">
          <a:off x="13884084" y="5841862"/>
          <a:ext cx="254245" cy="221178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60</xdr:col>
      <xdr:colOff>173338</xdr:colOff>
      <xdr:row>25</xdr:row>
      <xdr:rowOff>61672</xdr:rowOff>
    </xdr:from>
    <xdr:to>
      <xdr:col>61</xdr:col>
      <xdr:colOff>179471</xdr:colOff>
      <xdr:row>26</xdr:row>
      <xdr:rowOff>66811</xdr:rowOff>
    </xdr:to>
    <xdr:sp macro="" textlink="">
      <xdr:nvSpPr>
        <xdr:cNvPr id="239" name="円弧 238">
          <a:extLst>
            <a:ext uri="{FF2B5EF4-FFF2-40B4-BE49-F238E27FC236}">
              <a16:creationId xmlns:a16="http://schemas.microsoft.com/office/drawing/2014/main" id="{3997AEA6-41AC-490F-A55C-1ABC36E65FD5}"/>
            </a:ext>
          </a:extLst>
        </xdr:cNvPr>
        <xdr:cNvSpPr/>
      </xdr:nvSpPr>
      <xdr:spPr>
        <a:xfrm rot="16419954">
          <a:off x="13889835" y="5776175"/>
          <a:ext cx="233739" cy="234733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59</xdr:col>
      <xdr:colOff>188089</xdr:colOff>
      <xdr:row>25</xdr:row>
      <xdr:rowOff>119892</xdr:rowOff>
    </xdr:from>
    <xdr:ext cx="255198" cy="224998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A6F8707A-9F92-41B2-BA74-BDDCF695F01B}"/>
            </a:ext>
          </a:extLst>
        </xdr:cNvPr>
        <xdr:cNvSpPr txBox="1"/>
      </xdr:nvSpPr>
      <xdr:spPr>
        <a:xfrm>
          <a:off x="13675489" y="5834892"/>
          <a:ext cx="25519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33041</xdr:colOff>
      <xdr:row>24</xdr:row>
      <xdr:rowOff>167628</xdr:rowOff>
    </xdr:from>
    <xdr:to>
      <xdr:col>64</xdr:col>
      <xdr:colOff>85240</xdr:colOff>
      <xdr:row>24</xdr:row>
      <xdr:rowOff>218682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C34C0301-ED34-402F-892C-90D4A14D555E}"/>
            </a:ext>
          </a:extLst>
        </xdr:cNvPr>
        <xdr:cNvCxnSpPr/>
      </xdr:nvCxnSpPr>
      <xdr:spPr>
        <a:xfrm>
          <a:off x="14663441" y="5654028"/>
          <a:ext cx="52199" cy="51054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42607</xdr:colOff>
      <xdr:row>24</xdr:row>
      <xdr:rowOff>218732</xdr:rowOff>
    </xdr:from>
    <xdr:to>
      <xdr:col>64</xdr:col>
      <xdr:colOff>88172</xdr:colOff>
      <xdr:row>25</xdr:row>
      <xdr:rowOff>35404</xdr:rowOff>
    </xdr:to>
    <xdr:cxnSp macro="">
      <xdr:nvCxnSpPr>
        <xdr:cNvPr id="242" name="直線コネクタ 241">
          <a:extLst>
            <a:ext uri="{FF2B5EF4-FFF2-40B4-BE49-F238E27FC236}">
              <a16:creationId xmlns:a16="http://schemas.microsoft.com/office/drawing/2014/main" id="{8A78137B-E3E2-4358-ABDA-18676C56BB31}"/>
            </a:ext>
          </a:extLst>
        </xdr:cNvPr>
        <xdr:cNvCxnSpPr/>
      </xdr:nvCxnSpPr>
      <xdr:spPr>
        <a:xfrm rot="5400000">
          <a:off x="14673154" y="5704985"/>
          <a:ext cx="45272" cy="45565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59797</xdr:colOff>
      <xdr:row>25</xdr:row>
      <xdr:rowOff>139712</xdr:rowOff>
    </xdr:from>
    <xdr:to>
      <xdr:col>61</xdr:col>
      <xdr:colOff>123938</xdr:colOff>
      <xdr:row>25</xdr:row>
      <xdr:rowOff>160845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B4B9E0F-B59A-477A-9038-F4D7DEC9166A}"/>
            </a:ext>
          </a:extLst>
        </xdr:cNvPr>
        <xdr:cNvCxnSpPr/>
      </xdr:nvCxnSpPr>
      <xdr:spPr>
        <a:xfrm>
          <a:off x="14004397" y="5854712"/>
          <a:ext cx="64141" cy="21133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42872</xdr:colOff>
      <xdr:row>25</xdr:row>
      <xdr:rowOff>139789</xdr:rowOff>
    </xdr:from>
    <xdr:to>
      <xdr:col>61</xdr:col>
      <xdr:colOff>60269</xdr:colOff>
      <xdr:row>25</xdr:row>
      <xdr:rowOff>195777</xdr:rowOff>
    </xdr:to>
    <xdr:cxnSp macro="">
      <xdr:nvCxnSpPr>
        <xdr:cNvPr id="244" name="直線コネクタ 243">
          <a:extLst>
            <a:ext uri="{FF2B5EF4-FFF2-40B4-BE49-F238E27FC236}">
              <a16:creationId xmlns:a16="http://schemas.microsoft.com/office/drawing/2014/main" id="{1496FE92-A3C8-49E0-89E1-59AECB34FA45}"/>
            </a:ext>
          </a:extLst>
        </xdr:cNvPr>
        <xdr:cNvCxnSpPr/>
      </xdr:nvCxnSpPr>
      <xdr:spPr>
        <a:xfrm flipH="1">
          <a:off x="13987472" y="5854789"/>
          <a:ext cx="17397" cy="55988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173278</xdr:colOff>
      <xdr:row>24</xdr:row>
      <xdr:rowOff>162112</xdr:rowOff>
    </xdr:from>
    <xdr:ext cx="386644" cy="224998"/>
    <xdr:sp macro="" textlink="$AZ$20">
      <xdr:nvSpPr>
        <xdr:cNvPr id="259" name="テキスト ボックス 258">
          <a:extLst>
            <a:ext uri="{FF2B5EF4-FFF2-40B4-BE49-F238E27FC236}">
              <a16:creationId xmlns:a16="http://schemas.microsoft.com/office/drawing/2014/main" id="{9108E6AF-1562-4D56-A1D5-A9E5B9DD8016}"/>
            </a:ext>
          </a:extLst>
        </xdr:cNvPr>
        <xdr:cNvSpPr txBox="1"/>
      </xdr:nvSpPr>
      <xdr:spPr>
        <a:xfrm>
          <a:off x="13660678" y="5648512"/>
          <a:ext cx="38664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3ACAAC5-9234-430E-8B2A-C6955627BB0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20.0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201101</xdr:colOff>
      <xdr:row>26</xdr:row>
      <xdr:rowOff>23237</xdr:rowOff>
    </xdr:from>
    <xdr:ext cx="278602" cy="224998"/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19179DFA-1EFB-42D7-A2F2-318BCD8F1773}"/>
            </a:ext>
          </a:extLst>
        </xdr:cNvPr>
        <xdr:cNvSpPr txBox="1"/>
      </xdr:nvSpPr>
      <xdr:spPr>
        <a:xfrm>
          <a:off x="13459901" y="5966837"/>
          <a:ext cx="27860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94289</xdr:colOff>
      <xdr:row>25</xdr:row>
      <xdr:rowOff>99615</xdr:rowOff>
    </xdr:from>
    <xdr:to>
      <xdr:col>61</xdr:col>
      <xdr:colOff>94289</xdr:colOff>
      <xdr:row>25</xdr:row>
      <xdr:rowOff>210984</xdr:rowOff>
    </xdr:to>
    <xdr:cxnSp macro="">
      <xdr:nvCxnSpPr>
        <xdr:cNvPr id="261" name="直線コネクタ 260">
          <a:extLst>
            <a:ext uri="{FF2B5EF4-FFF2-40B4-BE49-F238E27FC236}">
              <a16:creationId xmlns:a16="http://schemas.microsoft.com/office/drawing/2014/main" id="{736DD124-E8CF-4F81-9FF9-ED8F81FD6F5C}"/>
            </a:ext>
          </a:extLst>
        </xdr:cNvPr>
        <xdr:cNvCxnSpPr/>
      </xdr:nvCxnSpPr>
      <xdr:spPr>
        <a:xfrm>
          <a:off x="14038889" y="5814615"/>
          <a:ext cx="0" cy="111369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110402</xdr:colOff>
      <xdr:row>26</xdr:row>
      <xdr:rowOff>74645</xdr:rowOff>
    </xdr:from>
    <xdr:ext cx="249748" cy="224998"/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710D9D9D-EC75-4429-83AD-18E7FA1DD75C}"/>
            </a:ext>
          </a:extLst>
        </xdr:cNvPr>
        <xdr:cNvSpPr txBox="1"/>
      </xdr:nvSpPr>
      <xdr:spPr>
        <a:xfrm>
          <a:off x="14055002" y="6018245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62</xdr:col>
      <xdr:colOff>17030</xdr:colOff>
      <xdr:row>24</xdr:row>
      <xdr:rowOff>147907</xdr:rowOff>
    </xdr:from>
    <xdr:ext cx="482761" cy="224998"/>
    <xdr:sp macro="" textlink="$AP$26">
      <xdr:nvSpPr>
        <xdr:cNvPr id="263" name="テキスト ボックス 262">
          <a:extLst>
            <a:ext uri="{FF2B5EF4-FFF2-40B4-BE49-F238E27FC236}">
              <a16:creationId xmlns:a16="http://schemas.microsoft.com/office/drawing/2014/main" id="{AB4FE990-336A-4151-816D-0F2FDEA62252}"/>
            </a:ext>
          </a:extLst>
        </xdr:cNvPr>
        <xdr:cNvSpPr txBox="1"/>
      </xdr:nvSpPr>
      <xdr:spPr>
        <a:xfrm>
          <a:off x="14190230" y="5634307"/>
          <a:ext cx="48276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1DF0B06-A489-4A24-99AA-5BC01E135042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-1.767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61</xdr:col>
      <xdr:colOff>119787</xdr:colOff>
      <xdr:row>25</xdr:row>
      <xdr:rowOff>192518</xdr:rowOff>
    </xdr:from>
    <xdr:ext cx="310791" cy="224998"/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78B36BFE-95A4-4FFD-9D73-2AD9E8C4B4DC}"/>
            </a:ext>
          </a:extLst>
        </xdr:cNvPr>
        <xdr:cNvSpPr txBox="1"/>
      </xdr:nvSpPr>
      <xdr:spPr>
        <a:xfrm>
          <a:off x="14064387" y="5907518"/>
          <a:ext cx="31079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endParaRPr kumimoji="1" lang="ja-JP" altLang="en-US" sz="900" baseline="-25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108846</xdr:colOff>
      <xdr:row>25</xdr:row>
      <xdr:rowOff>212684</xdr:rowOff>
    </xdr:from>
    <xdr:to>
      <xdr:col>62</xdr:col>
      <xdr:colOff>102031</xdr:colOff>
      <xdr:row>25</xdr:row>
      <xdr:rowOff>212684</xdr:rowOff>
    </xdr:to>
    <xdr:cxnSp macro="">
      <xdr:nvCxnSpPr>
        <xdr:cNvPr id="265" name="直線コネクタ 264">
          <a:extLst>
            <a:ext uri="{FF2B5EF4-FFF2-40B4-BE49-F238E27FC236}">
              <a16:creationId xmlns:a16="http://schemas.microsoft.com/office/drawing/2014/main" id="{C592C56E-664E-4E74-8FCF-2BF89836F9E9}"/>
            </a:ext>
          </a:extLst>
        </xdr:cNvPr>
        <xdr:cNvCxnSpPr/>
      </xdr:nvCxnSpPr>
      <xdr:spPr>
        <a:xfrm>
          <a:off x="14053446" y="5927684"/>
          <a:ext cx="221785" cy="0"/>
        </a:xfrm>
        <a:prstGeom prst="line">
          <a:avLst/>
        </a:prstGeom>
        <a:ln w="28575">
          <a:solidFill>
            <a:srgbClr val="FF0000"/>
          </a:solidFill>
          <a:headEnd type="triangle" w="med" len="med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17632</xdr:colOff>
      <xdr:row>24</xdr:row>
      <xdr:rowOff>131286</xdr:rowOff>
    </xdr:from>
    <xdr:ext cx="302199" cy="224998"/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3D3687CE-461D-4D85-9B4B-197343E89FA2}"/>
            </a:ext>
          </a:extLst>
        </xdr:cNvPr>
        <xdr:cNvSpPr txBox="1"/>
      </xdr:nvSpPr>
      <xdr:spPr>
        <a:xfrm>
          <a:off x="13962232" y="5617686"/>
          <a:ext cx="30219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</a:t>
          </a:r>
          <a:endParaRPr kumimoji="1" lang="ja-JP" altLang="en-US" sz="900" baseline="-25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62</xdr:col>
      <xdr:colOff>148767</xdr:colOff>
      <xdr:row>21</xdr:row>
      <xdr:rowOff>201488</xdr:rowOff>
    </xdr:from>
    <xdr:ext cx="425053" cy="224998"/>
    <xdr:sp macro="" textlink="$AV$20">
      <xdr:nvSpPr>
        <xdr:cNvPr id="267" name="テキスト ボックス 266">
          <a:extLst>
            <a:ext uri="{FF2B5EF4-FFF2-40B4-BE49-F238E27FC236}">
              <a16:creationId xmlns:a16="http://schemas.microsoft.com/office/drawing/2014/main" id="{0C769620-6524-4BCC-AD2E-050EA2B629AD}"/>
            </a:ext>
          </a:extLst>
        </xdr:cNvPr>
        <xdr:cNvSpPr txBox="1"/>
      </xdr:nvSpPr>
      <xdr:spPr>
        <a:xfrm>
          <a:off x="14321967" y="5002088"/>
          <a:ext cx="42505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C3E639B-ABF6-4EBE-9DF2-EE1FD4D01A32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-21.8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123987</xdr:colOff>
      <xdr:row>26</xdr:row>
      <xdr:rowOff>29780</xdr:rowOff>
    </xdr:from>
    <xdr:ext cx="300082" cy="224998"/>
    <xdr:sp macro="" textlink="$U$26">
      <xdr:nvSpPr>
        <xdr:cNvPr id="268" name="テキスト ボックス 267">
          <a:extLst>
            <a:ext uri="{FF2B5EF4-FFF2-40B4-BE49-F238E27FC236}">
              <a16:creationId xmlns:a16="http://schemas.microsoft.com/office/drawing/2014/main" id="{9FA1801B-0FD2-499A-8D8E-4F8BA5464D57}"/>
            </a:ext>
          </a:extLst>
        </xdr:cNvPr>
        <xdr:cNvSpPr txBox="1"/>
      </xdr:nvSpPr>
      <xdr:spPr>
        <a:xfrm>
          <a:off x="14982987" y="5973380"/>
          <a:ext cx="30008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7697D5E-C01B-4BEC-906E-45FFCB69440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30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64</xdr:col>
      <xdr:colOff>224034</xdr:colOff>
      <xdr:row>20</xdr:row>
      <xdr:rowOff>117927</xdr:rowOff>
    </xdr:from>
    <xdr:ext cx="559769" cy="224998"/>
    <xdr:sp macro="" textlink="$BM$9">
      <xdr:nvSpPr>
        <xdr:cNvPr id="269" name="テキスト ボックス 268">
          <a:extLst>
            <a:ext uri="{FF2B5EF4-FFF2-40B4-BE49-F238E27FC236}">
              <a16:creationId xmlns:a16="http://schemas.microsoft.com/office/drawing/2014/main" id="{FA05CFC9-7BC7-486A-BF7D-AFB7F9C65D84}"/>
            </a:ext>
          </a:extLst>
        </xdr:cNvPr>
        <xdr:cNvSpPr txBox="1"/>
      </xdr:nvSpPr>
      <xdr:spPr>
        <a:xfrm>
          <a:off x="14854434" y="4689927"/>
          <a:ext cx="55976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7995A8C-7CB2-49EF-8946-0AD484283355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182.120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160350</xdr:colOff>
      <xdr:row>17</xdr:row>
      <xdr:rowOff>90118</xdr:rowOff>
    </xdr:from>
    <xdr:ext cx="444352" cy="224998"/>
    <xdr:sp macro="" textlink="$BM$7">
      <xdr:nvSpPr>
        <xdr:cNvPr id="270" name="テキスト ボックス 269">
          <a:extLst>
            <a:ext uri="{FF2B5EF4-FFF2-40B4-BE49-F238E27FC236}">
              <a16:creationId xmlns:a16="http://schemas.microsoft.com/office/drawing/2014/main" id="{B671A7E1-E91C-4808-898C-6D7AD55BF7B4}"/>
            </a:ext>
          </a:extLst>
        </xdr:cNvPr>
        <xdr:cNvSpPr txBox="1"/>
      </xdr:nvSpPr>
      <xdr:spPr>
        <a:xfrm>
          <a:off x="15019350" y="397631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709B33C-0DF8-44BC-89B0-E7A9B80F8FA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3.195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61</xdr:col>
      <xdr:colOff>178276</xdr:colOff>
      <xdr:row>27</xdr:row>
      <xdr:rowOff>219285</xdr:rowOff>
    </xdr:from>
    <xdr:ext cx="300082" cy="224998"/>
    <xdr:sp macro="" textlink="$BM$5">
      <xdr:nvSpPr>
        <xdr:cNvPr id="271" name="テキスト ボックス 270">
          <a:extLst>
            <a:ext uri="{FF2B5EF4-FFF2-40B4-BE49-F238E27FC236}">
              <a16:creationId xmlns:a16="http://schemas.microsoft.com/office/drawing/2014/main" id="{135F4A19-8E15-47BA-B4FE-D6A83473AF6C}"/>
            </a:ext>
          </a:extLst>
        </xdr:cNvPr>
        <xdr:cNvSpPr txBox="1"/>
      </xdr:nvSpPr>
      <xdr:spPr>
        <a:xfrm>
          <a:off x="14122876" y="6391485"/>
          <a:ext cx="30008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10B1866-9F86-4933-A318-927DCF4D47B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47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57</xdr:col>
      <xdr:colOff>220330</xdr:colOff>
      <xdr:row>29</xdr:row>
      <xdr:rowOff>188863</xdr:rowOff>
    </xdr:from>
    <xdr:to>
      <xdr:col>61</xdr:col>
      <xdr:colOff>97930</xdr:colOff>
      <xdr:row>29</xdr:row>
      <xdr:rowOff>188863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83535B35-CB3D-4F9E-83F1-689C4B5EF27D}"/>
            </a:ext>
          </a:extLst>
        </xdr:cNvPr>
        <xdr:cNvCxnSpPr/>
      </xdr:nvCxnSpPr>
      <xdr:spPr>
        <a:xfrm>
          <a:off x="13250530" y="6818263"/>
          <a:ext cx="79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90998</xdr:colOff>
      <xdr:row>29</xdr:row>
      <xdr:rowOff>41492</xdr:rowOff>
    </xdr:from>
    <xdr:to>
      <xdr:col>61</xdr:col>
      <xdr:colOff>90998</xdr:colOff>
      <xdr:row>30</xdr:row>
      <xdr:rowOff>4240</xdr:rowOff>
    </xdr:to>
    <xdr:cxnSp macro="">
      <xdr:nvCxnSpPr>
        <xdr:cNvPr id="273" name="直線コネクタ 272">
          <a:extLst>
            <a:ext uri="{FF2B5EF4-FFF2-40B4-BE49-F238E27FC236}">
              <a16:creationId xmlns:a16="http://schemas.microsoft.com/office/drawing/2014/main" id="{7B853420-42B8-45EC-AB72-0B44FF0614C5}"/>
            </a:ext>
          </a:extLst>
        </xdr:cNvPr>
        <xdr:cNvCxnSpPr/>
      </xdr:nvCxnSpPr>
      <xdr:spPr>
        <a:xfrm>
          <a:off x="14035598" y="6670892"/>
          <a:ext cx="0" cy="191348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55</xdr:col>
      <xdr:colOff>207609</xdr:colOff>
      <xdr:row>28</xdr:row>
      <xdr:rowOff>222703</xdr:rowOff>
    </xdr:from>
    <xdr:to>
      <xdr:col>57</xdr:col>
      <xdr:colOff>123703</xdr:colOff>
      <xdr:row>28</xdr:row>
      <xdr:rowOff>222703</xdr:rowOff>
    </xdr:to>
    <xdr:cxnSp macro="">
      <xdr:nvCxnSpPr>
        <xdr:cNvPr id="274" name="直線コネクタ 273">
          <a:extLst>
            <a:ext uri="{FF2B5EF4-FFF2-40B4-BE49-F238E27FC236}">
              <a16:creationId xmlns:a16="http://schemas.microsoft.com/office/drawing/2014/main" id="{0A21B5B0-E1E3-4916-A7E0-E9CA49B73421}"/>
            </a:ext>
          </a:extLst>
        </xdr:cNvPr>
        <xdr:cNvCxnSpPr/>
      </xdr:nvCxnSpPr>
      <xdr:spPr>
        <a:xfrm>
          <a:off x="12780609" y="6623503"/>
          <a:ext cx="37329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53557</xdr:colOff>
      <xdr:row>25</xdr:row>
      <xdr:rowOff>213750</xdr:rowOff>
    </xdr:from>
    <xdr:to>
      <xdr:col>57</xdr:col>
      <xdr:colOff>53557</xdr:colOff>
      <xdr:row>28</xdr:row>
      <xdr:rowOff>217955</xdr:rowOff>
    </xdr:to>
    <xdr:cxnSp macro="">
      <xdr:nvCxnSpPr>
        <xdr:cNvPr id="275" name="直線コネクタ 274">
          <a:extLst>
            <a:ext uri="{FF2B5EF4-FFF2-40B4-BE49-F238E27FC236}">
              <a16:creationId xmlns:a16="http://schemas.microsoft.com/office/drawing/2014/main" id="{D4B0A419-0D96-4C37-A633-71DA4E169AD2}"/>
            </a:ext>
          </a:extLst>
        </xdr:cNvPr>
        <xdr:cNvCxnSpPr/>
      </xdr:nvCxnSpPr>
      <xdr:spPr>
        <a:xfrm>
          <a:off x="13083757" y="5928750"/>
          <a:ext cx="0" cy="690005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56</xdr:col>
      <xdr:colOff>68094</xdr:colOff>
      <xdr:row>27</xdr:row>
      <xdr:rowOff>30792</xdr:rowOff>
    </xdr:from>
    <xdr:ext cx="224998" cy="405688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DFB22B23-D9C6-40BA-A9CE-009A1E050E85}"/>
            </a:ext>
          </a:extLst>
        </xdr:cNvPr>
        <xdr:cNvSpPr txBox="1"/>
      </xdr:nvSpPr>
      <xdr:spPr>
        <a:xfrm rot="16200000">
          <a:off x="12779349" y="6293337"/>
          <a:ext cx="40568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57</xdr:col>
      <xdr:colOff>10842</xdr:colOff>
      <xdr:row>25</xdr:row>
      <xdr:rowOff>218510</xdr:rowOff>
    </xdr:from>
    <xdr:to>
      <xdr:col>57</xdr:col>
      <xdr:colOff>125609</xdr:colOff>
      <xdr:row>25</xdr:row>
      <xdr:rowOff>218510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3AC63A99-983A-43EC-A2CC-83BED69415DB}"/>
            </a:ext>
          </a:extLst>
        </xdr:cNvPr>
        <xdr:cNvCxnSpPr/>
      </xdr:nvCxnSpPr>
      <xdr:spPr>
        <a:xfrm>
          <a:off x="13041042" y="5933510"/>
          <a:ext cx="114767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86754</xdr:colOff>
      <xdr:row>9</xdr:row>
      <xdr:rowOff>108857</xdr:rowOff>
    </xdr:from>
    <xdr:ext cx="444352" cy="224998"/>
    <xdr:sp macro="" textlink="$AF$4">
      <xdr:nvSpPr>
        <xdr:cNvPr id="2" name="テキスト ボックス 1">
          <a:extLst>
            <a:ext uri="{FF2B5EF4-FFF2-40B4-BE49-F238E27FC236}">
              <a16:creationId xmlns:a16="http://schemas.microsoft.com/office/drawing/2014/main" id="{349C104D-EC6E-47C5-A90E-BAC3338BE193}"/>
            </a:ext>
          </a:extLst>
        </xdr:cNvPr>
        <xdr:cNvSpPr txBox="1"/>
      </xdr:nvSpPr>
      <xdr:spPr>
        <a:xfrm>
          <a:off x="6258954" y="2166257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810E9DC-5F78-48BA-8A1E-40CCA0C45B1B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21</xdr:col>
      <xdr:colOff>43542</xdr:colOff>
      <xdr:row>14</xdr:row>
      <xdr:rowOff>216528</xdr:rowOff>
    </xdr:from>
    <xdr:ext cx="224998" cy="444352"/>
    <xdr:sp macro="" textlink="$AF$3">
      <xdr:nvSpPr>
        <xdr:cNvPr id="3" name="テキスト ボックス 2">
          <a:extLst>
            <a:ext uri="{FF2B5EF4-FFF2-40B4-BE49-F238E27FC236}">
              <a16:creationId xmlns:a16="http://schemas.microsoft.com/office/drawing/2014/main" id="{433BB832-5867-4D20-AD04-7D05BDF8E9AC}"/>
            </a:ext>
          </a:extLst>
        </xdr:cNvPr>
        <xdr:cNvSpPr txBox="1"/>
      </xdr:nvSpPr>
      <xdr:spPr>
        <a:xfrm rot="16200000">
          <a:off x="4734465" y="352660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E84C4B1-C771-4AAA-B62E-F6545168378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24</xdr:col>
      <xdr:colOff>223704</xdr:colOff>
      <xdr:row>14</xdr:row>
      <xdr:rowOff>75456</xdr:rowOff>
    </xdr:from>
    <xdr:ext cx="224998" cy="444352"/>
    <xdr:sp macro="" textlink="$AF$6">
      <xdr:nvSpPr>
        <xdr:cNvPr id="4" name="テキスト ボックス 3">
          <a:extLst>
            <a:ext uri="{FF2B5EF4-FFF2-40B4-BE49-F238E27FC236}">
              <a16:creationId xmlns:a16="http://schemas.microsoft.com/office/drawing/2014/main" id="{00CD88A2-AEF9-49F6-AC4F-028D21680BA6}"/>
            </a:ext>
          </a:extLst>
        </xdr:cNvPr>
        <xdr:cNvSpPr txBox="1"/>
      </xdr:nvSpPr>
      <xdr:spPr>
        <a:xfrm rot="17760000">
          <a:off x="5600427" y="3385533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FE88AE5-1DAF-4AD9-A262-90CB700D166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27</xdr:col>
      <xdr:colOff>83507</xdr:colOff>
      <xdr:row>14</xdr:row>
      <xdr:rowOff>196592</xdr:rowOff>
    </xdr:from>
    <xdr:ext cx="224998" cy="444352"/>
    <xdr:sp macro="" textlink="$AF$7">
      <xdr:nvSpPr>
        <xdr:cNvPr id="5" name="テキスト ボックス 4">
          <a:extLst>
            <a:ext uri="{FF2B5EF4-FFF2-40B4-BE49-F238E27FC236}">
              <a16:creationId xmlns:a16="http://schemas.microsoft.com/office/drawing/2014/main" id="{4A3BAD55-3E23-3371-7BE0-454C462B5B87}"/>
            </a:ext>
          </a:extLst>
        </xdr:cNvPr>
        <xdr:cNvSpPr txBox="1"/>
      </xdr:nvSpPr>
      <xdr:spPr>
        <a:xfrm rot="17460000">
          <a:off x="6146030" y="3506669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9B6F139-C823-458E-A1AC-549ABF6CE4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23</xdr:col>
      <xdr:colOff>184979</xdr:colOff>
      <xdr:row>21</xdr:row>
      <xdr:rowOff>158534</xdr:rowOff>
    </xdr:from>
    <xdr:ext cx="444352" cy="224998"/>
    <xdr:sp macro="" textlink="$AF$5">
      <xdr:nvSpPr>
        <xdr:cNvPr id="6" name="テキスト ボックス 5">
          <a:extLst>
            <a:ext uri="{FF2B5EF4-FFF2-40B4-BE49-F238E27FC236}">
              <a16:creationId xmlns:a16="http://schemas.microsoft.com/office/drawing/2014/main" id="{4410F5CF-F0E4-FD1E-7D87-C9CFC7CB8EF8}"/>
            </a:ext>
          </a:extLst>
        </xdr:cNvPr>
        <xdr:cNvSpPr txBox="1"/>
      </xdr:nvSpPr>
      <xdr:spPr>
        <a:xfrm>
          <a:off x="5503213" y="5014313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F59359E-0D59-4846-8A88-E95B36E71D82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62</xdr:col>
      <xdr:colOff>8242</xdr:colOff>
      <xdr:row>17</xdr:row>
      <xdr:rowOff>81226</xdr:rowOff>
    </xdr:from>
    <xdr:ext cx="444352" cy="224998"/>
    <xdr:sp macro="" textlink="$AF$4">
      <xdr:nvSpPr>
        <xdr:cNvPr id="7" name="テキスト ボックス 6">
          <a:extLst>
            <a:ext uri="{FF2B5EF4-FFF2-40B4-BE49-F238E27FC236}">
              <a16:creationId xmlns:a16="http://schemas.microsoft.com/office/drawing/2014/main" id="{66FADD48-BEBF-4389-905A-F1463676559F}"/>
            </a:ext>
          </a:extLst>
        </xdr:cNvPr>
        <xdr:cNvSpPr txBox="1"/>
      </xdr:nvSpPr>
      <xdr:spPr>
        <a:xfrm>
          <a:off x="14181442" y="3967426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1DA88F1-CECC-4C18-A146-88E72928211F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55</xdr:col>
      <xdr:colOff>43543</xdr:colOff>
      <xdr:row>22</xdr:row>
      <xdr:rowOff>183872</xdr:rowOff>
    </xdr:from>
    <xdr:ext cx="224998" cy="444352"/>
    <xdr:sp macro="" textlink="$AF$3">
      <xdr:nvSpPr>
        <xdr:cNvPr id="9" name="テキスト ボックス 8">
          <a:extLst>
            <a:ext uri="{FF2B5EF4-FFF2-40B4-BE49-F238E27FC236}">
              <a16:creationId xmlns:a16="http://schemas.microsoft.com/office/drawing/2014/main" id="{8CE9523C-1EFA-9D6B-8E5D-E5DF60C0E51C}"/>
            </a:ext>
          </a:extLst>
        </xdr:cNvPr>
        <xdr:cNvSpPr txBox="1"/>
      </xdr:nvSpPr>
      <xdr:spPr>
        <a:xfrm rot="16200000">
          <a:off x="12506866" y="5322749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93F749A-0FEF-4138-89B5-BAD8B321480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56</xdr:col>
      <xdr:colOff>68095</xdr:colOff>
      <xdr:row>25</xdr:row>
      <xdr:rowOff>185628</xdr:rowOff>
    </xdr:from>
    <xdr:ext cx="224998" cy="444352"/>
    <xdr:sp macro="" textlink="$AP$31">
      <xdr:nvSpPr>
        <xdr:cNvPr id="10" name="テキスト ボックス 9">
          <a:extLst>
            <a:ext uri="{FF2B5EF4-FFF2-40B4-BE49-F238E27FC236}">
              <a16:creationId xmlns:a16="http://schemas.microsoft.com/office/drawing/2014/main" id="{D8B237B0-1F4B-1467-16DF-72659F33851E}"/>
            </a:ext>
          </a:extLst>
        </xdr:cNvPr>
        <xdr:cNvSpPr txBox="1"/>
      </xdr:nvSpPr>
      <xdr:spPr>
        <a:xfrm rot="16200000">
          <a:off x="12760018" y="601030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2BB5B2C-3DBA-4D92-AE2A-4BE86CB7697B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2.000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61</xdr:col>
      <xdr:colOff>147658</xdr:colOff>
      <xdr:row>24</xdr:row>
      <xdr:rowOff>126137</xdr:rowOff>
    </xdr:from>
    <xdr:ext cx="249748" cy="22499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F79973-B4E0-4711-A05C-881BE0C4C2C1}"/>
            </a:ext>
          </a:extLst>
        </xdr:cNvPr>
        <xdr:cNvSpPr txBox="1"/>
      </xdr:nvSpPr>
      <xdr:spPr>
        <a:xfrm>
          <a:off x="14092258" y="5612537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61</xdr:col>
      <xdr:colOff>223614</xdr:colOff>
      <xdr:row>26</xdr:row>
      <xdr:rowOff>85530</xdr:rowOff>
    </xdr:from>
    <xdr:ext cx="502061" cy="224998"/>
    <xdr:sp macro="" textlink="$AP$21">
      <xdr:nvSpPr>
        <xdr:cNvPr id="12" name="テキスト ボックス 11">
          <a:extLst>
            <a:ext uri="{FF2B5EF4-FFF2-40B4-BE49-F238E27FC236}">
              <a16:creationId xmlns:a16="http://schemas.microsoft.com/office/drawing/2014/main" id="{4E5105D2-2DFA-82F4-B91D-2E5122013066}"/>
            </a:ext>
          </a:extLst>
        </xdr:cNvPr>
        <xdr:cNvSpPr txBox="1"/>
      </xdr:nvSpPr>
      <xdr:spPr>
        <a:xfrm>
          <a:off x="14168214" y="6029130"/>
          <a:ext cx="50206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0B3102E-565D-4FC9-82A7-2A7CC71D0FD5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56.220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59</xdr:col>
      <xdr:colOff>61006</xdr:colOff>
      <xdr:row>26</xdr:row>
      <xdr:rowOff>35543</xdr:rowOff>
    </xdr:from>
    <xdr:ext cx="502061" cy="224998"/>
    <xdr:sp macro="" textlink="$BM$11">
      <xdr:nvSpPr>
        <xdr:cNvPr id="13" name="テキスト ボックス 12">
          <a:extLst>
            <a:ext uri="{FF2B5EF4-FFF2-40B4-BE49-F238E27FC236}">
              <a16:creationId xmlns:a16="http://schemas.microsoft.com/office/drawing/2014/main" id="{96D77E1F-6EF5-4738-986E-8EC6EEA6E2F8}"/>
            </a:ext>
          </a:extLst>
        </xdr:cNvPr>
        <xdr:cNvSpPr txBox="1"/>
      </xdr:nvSpPr>
      <xdr:spPr>
        <a:xfrm>
          <a:off x="13548406" y="5979143"/>
          <a:ext cx="50206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89FA6C0-7020-485D-9F15-50A84AB4FEB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pPr/>
            <a:t>56.248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59</xdr:col>
      <xdr:colOff>85030</xdr:colOff>
      <xdr:row>29</xdr:row>
      <xdr:rowOff>143050</xdr:rowOff>
    </xdr:from>
    <xdr:ext cx="444352" cy="224998"/>
    <xdr:sp macro="" textlink="$AP$35">
      <xdr:nvSpPr>
        <xdr:cNvPr id="14" name="テキスト ボックス 13">
          <a:extLst>
            <a:ext uri="{FF2B5EF4-FFF2-40B4-BE49-F238E27FC236}">
              <a16:creationId xmlns:a16="http://schemas.microsoft.com/office/drawing/2014/main" id="{AECBA437-77B8-33AE-8A1A-74E04907A82D}"/>
            </a:ext>
          </a:extLst>
        </xdr:cNvPr>
        <xdr:cNvSpPr txBox="1"/>
      </xdr:nvSpPr>
      <xdr:spPr>
        <a:xfrm>
          <a:off x="13572430" y="6772450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8A45200-83CC-4C55-9E8A-0D56320C07A2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2.200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134294</xdr:colOff>
      <xdr:row>30</xdr:row>
      <xdr:rowOff>167104</xdr:rowOff>
    </xdr:from>
    <xdr:ext cx="444352" cy="224998"/>
    <xdr:sp macro="" textlink="$AF$5">
      <xdr:nvSpPr>
        <xdr:cNvPr id="15" name="テキスト ボックス 14">
          <a:extLst>
            <a:ext uri="{FF2B5EF4-FFF2-40B4-BE49-F238E27FC236}">
              <a16:creationId xmlns:a16="http://schemas.microsoft.com/office/drawing/2014/main" id="{27378ED8-4B3C-E2DB-0513-5765B5B9B6F8}"/>
            </a:ext>
          </a:extLst>
        </xdr:cNvPr>
        <xdr:cNvSpPr txBox="1"/>
      </xdr:nvSpPr>
      <xdr:spPr>
        <a:xfrm>
          <a:off x="13393094" y="7025104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6624EFA-1875-4EF1-8013-26075E1179E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25</xdr:col>
      <xdr:colOff>99786</xdr:colOff>
      <xdr:row>12</xdr:row>
      <xdr:rowOff>7711</xdr:rowOff>
    </xdr:from>
    <xdr:to>
      <xdr:col>28</xdr:col>
      <xdr:colOff>211090</xdr:colOff>
      <xdr:row>21</xdr:row>
      <xdr:rowOff>22788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E8A8275-0B8A-4439-9819-FC77B97C4101}"/>
            </a:ext>
          </a:extLst>
        </xdr:cNvPr>
        <xdr:cNvCxnSpPr/>
      </xdr:nvCxnSpPr>
      <xdr:spPr>
        <a:xfrm flipH="1">
          <a:off x="5814786" y="2750911"/>
          <a:ext cx="797104" cy="207247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65678</xdr:colOff>
      <xdr:row>19</xdr:row>
      <xdr:rowOff>209460</xdr:rowOff>
    </xdr:from>
    <xdr:to>
      <xdr:col>63</xdr:col>
      <xdr:colOff>176982</xdr:colOff>
      <xdr:row>28</xdr:row>
      <xdr:rowOff>224537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CDCE26F3-85EE-417B-A724-2E74F5E8D052}"/>
            </a:ext>
          </a:extLst>
        </xdr:cNvPr>
        <xdr:cNvCxnSpPr/>
      </xdr:nvCxnSpPr>
      <xdr:spPr>
        <a:xfrm flipH="1">
          <a:off x="13781678" y="4552860"/>
          <a:ext cx="797104" cy="207247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144447</xdr:colOff>
      <xdr:row>14</xdr:row>
      <xdr:rowOff>45042</xdr:rowOff>
    </xdr:from>
    <xdr:to>
      <xdr:col>62</xdr:col>
      <xdr:colOff>208935</xdr:colOff>
      <xdr:row>15</xdr:row>
      <xdr:rowOff>189018</xdr:rowOff>
    </xdr:to>
    <xdr:sp macro="" textlink="">
      <xdr:nvSpPr>
        <xdr:cNvPr id="241" name="フローチャート: 手操作入力 240">
          <a:extLst>
            <a:ext uri="{FF2B5EF4-FFF2-40B4-BE49-F238E27FC236}">
              <a16:creationId xmlns:a16="http://schemas.microsoft.com/office/drawing/2014/main" id="{BDF33975-3D56-B2D0-EE78-D2B2781E24AC}"/>
            </a:ext>
          </a:extLst>
        </xdr:cNvPr>
        <xdr:cNvSpPr/>
      </xdr:nvSpPr>
      <xdr:spPr>
        <a:xfrm flipV="1">
          <a:off x="13860447" y="3267213"/>
          <a:ext cx="521688" cy="372576"/>
        </a:xfrm>
        <a:prstGeom prst="flowChartManualInput">
          <a:avLst/>
        </a:prstGeom>
        <a:solidFill>
          <a:schemeClr val="accent2">
            <a:lumMod val="20000"/>
            <a:lumOff val="80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74821</xdr:colOff>
      <xdr:row>4</xdr:row>
      <xdr:rowOff>180446</xdr:rowOff>
    </xdr:from>
    <xdr:to>
      <xdr:col>66</xdr:col>
      <xdr:colOff>43732</xdr:colOff>
      <xdr:row>11</xdr:row>
      <xdr:rowOff>4636</xdr:rowOff>
    </xdr:to>
    <xdr:sp macro="" textlink="">
      <xdr:nvSpPr>
        <xdr:cNvPr id="229" name="直角三角形 228">
          <a:extLst>
            <a:ext uri="{FF2B5EF4-FFF2-40B4-BE49-F238E27FC236}">
              <a16:creationId xmlns:a16="http://schemas.microsoft.com/office/drawing/2014/main" id="{D32BD3A1-DC40-A8CC-8816-ACC6B6C84D2A}"/>
            </a:ext>
          </a:extLst>
        </xdr:cNvPr>
        <xdr:cNvSpPr/>
      </xdr:nvSpPr>
      <xdr:spPr>
        <a:xfrm rot="12060000" flipH="1">
          <a:off x="14933821" y="1094846"/>
          <a:ext cx="197511" cy="1446161"/>
        </a:xfrm>
        <a:prstGeom prst="rtTriangle">
          <a:avLst/>
        </a:prstGeom>
        <a:solidFill>
          <a:schemeClr val="accent2">
            <a:lumMod val="20000"/>
            <a:lumOff val="80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22</xdr:col>
      <xdr:colOff>218772</xdr:colOff>
      <xdr:row>15</xdr:row>
      <xdr:rowOff>118562</xdr:rowOff>
    </xdr:from>
    <xdr:to>
      <xdr:col>25</xdr:col>
      <xdr:colOff>197673</xdr:colOff>
      <xdr:row>21</xdr:row>
      <xdr:rowOff>109583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C14D2BD-3C8B-42A0-B439-E52589193C67}"/>
            </a:ext>
          </a:extLst>
        </xdr:cNvPr>
        <xdr:cNvCxnSpPr/>
      </xdr:nvCxnSpPr>
      <xdr:spPr>
        <a:xfrm flipV="1">
          <a:off x="5320859" y="3365345"/>
          <a:ext cx="674640" cy="14066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103326</xdr:colOff>
      <xdr:row>18</xdr:row>
      <xdr:rowOff>135618</xdr:rowOff>
    </xdr:from>
    <xdr:to>
      <xdr:col>29</xdr:col>
      <xdr:colOff>103326</xdr:colOff>
      <xdr:row>21</xdr:row>
      <xdr:rowOff>119224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533FBC2D-3DE8-4D3D-BBA7-D5E94A04140B}"/>
            </a:ext>
          </a:extLst>
        </xdr:cNvPr>
        <xdr:cNvCxnSpPr/>
      </xdr:nvCxnSpPr>
      <xdr:spPr>
        <a:xfrm>
          <a:off x="6808926" y="4087508"/>
          <a:ext cx="0" cy="687799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135075</xdr:colOff>
      <xdr:row>17</xdr:row>
      <xdr:rowOff>169491</xdr:rowOff>
    </xdr:from>
    <xdr:ext cx="323807" cy="22499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B7BC306-E767-43F0-A193-C33479BE2E64}"/>
            </a:ext>
          </a:extLst>
        </xdr:cNvPr>
        <xdr:cNvSpPr txBox="1"/>
      </xdr:nvSpPr>
      <xdr:spPr>
        <a:xfrm>
          <a:off x="6609447" y="3890153"/>
          <a:ext cx="32380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V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24</xdr:col>
      <xdr:colOff>28232</xdr:colOff>
      <xdr:row>22</xdr:row>
      <xdr:rowOff>202559</xdr:rowOff>
    </xdr:from>
    <xdr:ext cx="365165" cy="224998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F638125C-C8C8-4538-BB79-A3DF3C49C4F3}"/>
            </a:ext>
          </a:extLst>
        </xdr:cNvPr>
        <xdr:cNvSpPr txBox="1"/>
      </xdr:nvSpPr>
      <xdr:spPr>
        <a:xfrm>
          <a:off x="5514632" y="5024930"/>
          <a:ext cx="36516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25</xdr:col>
      <xdr:colOff>74592</xdr:colOff>
      <xdr:row>22</xdr:row>
      <xdr:rowOff>209623</xdr:rowOff>
    </xdr:from>
    <xdr:ext cx="444352" cy="224998"/>
    <xdr:sp macro="" textlink="$G$17">
      <xdr:nvSpPr>
        <xdr:cNvPr id="45" name="テキスト ボックス 44">
          <a:extLst>
            <a:ext uri="{FF2B5EF4-FFF2-40B4-BE49-F238E27FC236}">
              <a16:creationId xmlns:a16="http://schemas.microsoft.com/office/drawing/2014/main" id="{3F5358B9-7AC5-4C70-8E30-8A9FD97FBFA6}"/>
            </a:ext>
          </a:extLst>
        </xdr:cNvPr>
        <xdr:cNvSpPr txBox="1"/>
      </xdr:nvSpPr>
      <xdr:spPr>
        <a:xfrm>
          <a:off x="5789592" y="5031994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B78893C-CA14-4B07-A1F2-33288652364F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1.041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29</xdr:col>
      <xdr:colOff>105198</xdr:colOff>
      <xdr:row>17</xdr:row>
      <xdr:rowOff>164889</xdr:rowOff>
    </xdr:from>
    <xdr:ext cx="249748" cy="224998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564DDF2B-42DC-4B02-924E-8A77B1DAA669}"/>
            </a:ext>
          </a:extLst>
        </xdr:cNvPr>
        <xdr:cNvSpPr txBox="1"/>
      </xdr:nvSpPr>
      <xdr:spPr>
        <a:xfrm>
          <a:off x="6810798" y="3885551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31</xdr:col>
      <xdr:colOff>160766</xdr:colOff>
      <xdr:row>22</xdr:row>
      <xdr:rowOff>15240</xdr:rowOff>
    </xdr:from>
    <xdr:to>
      <xdr:col>31</xdr:col>
      <xdr:colOff>160766</xdr:colOff>
      <xdr:row>24</xdr:row>
      <xdr:rowOff>226228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7706BEFF-CCB5-41DE-8109-E22463CCB8EB}"/>
            </a:ext>
          </a:extLst>
        </xdr:cNvPr>
        <xdr:cNvCxnSpPr/>
      </xdr:nvCxnSpPr>
      <xdr:spPr>
        <a:xfrm>
          <a:off x="7247366" y="4815840"/>
          <a:ext cx="0" cy="679074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217503</xdr:colOff>
      <xdr:row>24</xdr:row>
      <xdr:rowOff>187797</xdr:rowOff>
    </xdr:from>
    <xdr:ext cx="349135" cy="224998"/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CB32527D-7D7C-490E-B1E9-A493DA8F098E}"/>
            </a:ext>
          </a:extLst>
        </xdr:cNvPr>
        <xdr:cNvSpPr txBox="1"/>
      </xdr:nvSpPr>
      <xdr:spPr>
        <a:xfrm>
          <a:off x="5932503" y="5467368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22</xdr:col>
      <xdr:colOff>224813</xdr:colOff>
      <xdr:row>24</xdr:row>
      <xdr:rowOff>207221</xdr:rowOff>
    </xdr:from>
    <xdr:to>
      <xdr:col>31</xdr:col>
      <xdr:colOff>160152</xdr:colOff>
      <xdr:row>24</xdr:row>
      <xdr:rowOff>207221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7B2B839D-ED0B-4279-8851-9B083BCD6AC8}"/>
            </a:ext>
          </a:extLst>
        </xdr:cNvPr>
        <xdr:cNvCxnSpPr/>
      </xdr:nvCxnSpPr>
      <xdr:spPr>
        <a:xfrm>
          <a:off x="5326900" y="5541221"/>
          <a:ext cx="202255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122112</xdr:colOff>
      <xdr:row>21</xdr:row>
      <xdr:rowOff>96445</xdr:rowOff>
    </xdr:from>
    <xdr:to>
      <xdr:col>31</xdr:col>
      <xdr:colOff>22129</xdr:colOff>
      <xdr:row>21</xdr:row>
      <xdr:rowOff>96445</xdr:rowOff>
    </xdr:to>
    <xdr:cxnSp macro="">
      <xdr:nvCxnSpPr>
        <xdr:cNvPr id="204" name="直線コネクタ 203">
          <a:extLst>
            <a:ext uri="{FF2B5EF4-FFF2-40B4-BE49-F238E27FC236}">
              <a16:creationId xmlns:a16="http://schemas.microsoft.com/office/drawing/2014/main" id="{1F0F29B1-A95B-4B23-8DA0-B28A853918A9}"/>
            </a:ext>
          </a:extLst>
        </xdr:cNvPr>
        <xdr:cNvCxnSpPr/>
      </xdr:nvCxnSpPr>
      <xdr:spPr>
        <a:xfrm rot="5400000">
          <a:off x="7008948" y="4571292"/>
          <a:ext cx="0" cy="362472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72066</xdr:colOff>
      <xdr:row>20</xdr:row>
      <xdr:rowOff>148848</xdr:rowOff>
    </xdr:from>
    <xdr:ext cx="335220" cy="224998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9A04930B-F7B4-4F37-A540-307323FF1094}"/>
            </a:ext>
          </a:extLst>
        </xdr:cNvPr>
        <xdr:cNvSpPr txBox="1"/>
      </xdr:nvSpPr>
      <xdr:spPr>
        <a:xfrm>
          <a:off x="7008894" y="4573703"/>
          <a:ext cx="33522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31</xdr:col>
      <xdr:colOff>22736</xdr:colOff>
      <xdr:row>20</xdr:row>
      <xdr:rowOff>145663</xdr:rowOff>
    </xdr:from>
    <xdr:ext cx="249748" cy="224998"/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A4A83097-2CE6-B17B-BC1B-C972DFE8B561}"/>
            </a:ext>
          </a:extLst>
        </xdr:cNvPr>
        <xdr:cNvSpPr txBox="1"/>
      </xdr:nvSpPr>
      <xdr:spPr>
        <a:xfrm>
          <a:off x="7190791" y="4570518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22</xdr:col>
      <xdr:colOff>220854</xdr:colOff>
      <xdr:row>21</xdr:row>
      <xdr:rowOff>138729</xdr:rowOff>
    </xdr:from>
    <xdr:to>
      <xdr:col>31</xdr:col>
      <xdr:colOff>177120</xdr:colOff>
      <xdr:row>21</xdr:row>
      <xdr:rowOff>138729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D1B3EE5D-FA1B-0907-D6A0-050E52D933BF}"/>
            </a:ext>
          </a:extLst>
        </xdr:cNvPr>
        <xdr:cNvCxnSpPr/>
      </xdr:nvCxnSpPr>
      <xdr:spPr>
        <a:xfrm>
          <a:off x="5250054" y="4710729"/>
          <a:ext cx="2013666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1739</xdr:colOff>
      <xdr:row>22</xdr:row>
      <xdr:rowOff>45720</xdr:rowOff>
    </xdr:from>
    <xdr:to>
      <xdr:col>23</xdr:col>
      <xdr:colOff>1739</xdr:colOff>
      <xdr:row>24</xdr:row>
      <xdr:rowOff>226228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2B909792-FEBC-0B67-0D27-5623C81336F0}"/>
            </a:ext>
          </a:extLst>
        </xdr:cNvPr>
        <xdr:cNvCxnSpPr/>
      </xdr:nvCxnSpPr>
      <xdr:spPr>
        <a:xfrm>
          <a:off x="5259539" y="4846320"/>
          <a:ext cx="0" cy="648594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224813</xdr:colOff>
      <xdr:row>23</xdr:row>
      <xdr:rowOff>1481</xdr:rowOff>
    </xdr:from>
    <xdr:to>
      <xdr:col>29</xdr:col>
      <xdr:colOff>107813</xdr:colOff>
      <xdr:row>23</xdr:row>
      <xdr:rowOff>1481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4407520C-A0D2-F5A7-3629-76EDA2637739}"/>
            </a:ext>
          </a:extLst>
        </xdr:cNvPr>
        <xdr:cNvCxnSpPr/>
      </xdr:nvCxnSpPr>
      <xdr:spPr>
        <a:xfrm>
          <a:off x="5254013" y="5063338"/>
          <a:ext cx="14832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102734</xdr:colOff>
      <xdr:row>22</xdr:row>
      <xdr:rowOff>9276</xdr:rowOff>
    </xdr:from>
    <xdr:to>
      <xdr:col>29</xdr:col>
      <xdr:colOff>102734</xdr:colOff>
      <xdr:row>23</xdr:row>
      <xdr:rowOff>114300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3D0FC5CC-2EAB-576E-1C60-673820B95C2B}"/>
            </a:ext>
          </a:extLst>
        </xdr:cNvPr>
        <xdr:cNvCxnSpPr/>
      </xdr:nvCxnSpPr>
      <xdr:spPr>
        <a:xfrm>
          <a:off x="6808334" y="4896586"/>
          <a:ext cx="0" cy="33625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123991</xdr:colOff>
      <xdr:row>8</xdr:row>
      <xdr:rowOff>190585</xdr:rowOff>
    </xdr:from>
    <xdr:ext cx="224998" cy="361959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3384290D-B7C9-45A1-B311-828A695348D7}"/>
            </a:ext>
          </a:extLst>
        </xdr:cNvPr>
        <xdr:cNvSpPr txBox="1"/>
      </xdr:nvSpPr>
      <xdr:spPr>
        <a:xfrm rot="16200000">
          <a:off x="13085710" y="2109637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65</xdr:col>
      <xdr:colOff>41242</xdr:colOff>
      <xdr:row>4</xdr:row>
      <xdr:rowOff>192027</xdr:rowOff>
    </xdr:from>
    <xdr:to>
      <xdr:col>66</xdr:col>
      <xdr:colOff>99823</xdr:colOff>
      <xdr:row>4</xdr:row>
      <xdr:rowOff>192027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3C695FF8-4EE0-4F34-A290-2F74B564369D}"/>
            </a:ext>
          </a:extLst>
        </xdr:cNvPr>
        <xdr:cNvCxnSpPr/>
      </xdr:nvCxnSpPr>
      <xdr:spPr>
        <a:xfrm>
          <a:off x="14900242" y="1106427"/>
          <a:ext cx="28718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200401</xdr:colOff>
      <xdr:row>4</xdr:row>
      <xdr:rowOff>78640</xdr:rowOff>
    </xdr:from>
    <xdr:to>
      <xdr:col>62</xdr:col>
      <xdr:colOff>200401</xdr:colOff>
      <xdr:row>14</xdr:row>
      <xdr:rowOff>145543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B4B3B3FC-BA13-42E2-9616-D195732726B7}"/>
            </a:ext>
          </a:extLst>
        </xdr:cNvPr>
        <xdr:cNvCxnSpPr/>
      </xdr:nvCxnSpPr>
      <xdr:spPr>
        <a:xfrm rot="6960000">
          <a:off x="13186264" y="2180377"/>
          <a:ext cx="237467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20893</xdr:colOff>
      <xdr:row>3</xdr:row>
      <xdr:rowOff>13881</xdr:rowOff>
    </xdr:from>
    <xdr:ext cx="336311" cy="224998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EC0EBBC4-6894-4819-A928-1AB0788F3F53}"/>
            </a:ext>
          </a:extLst>
        </xdr:cNvPr>
        <xdr:cNvSpPr txBox="1"/>
      </xdr:nvSpPr>
      <xdr:spPr>
        <a:xfrm>
          <a:off x="14651293" y="699681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58</xdr:col>
      <xdr:colOff>21329</xdr:colOff>
      <xdr:row>4</xdr:row>
      <xdr:rowOff>195744</xdr:rowOff>
    </xdr:from>
    <xdr:to>
      <xdr:col>63</xdr:col>
      <xdr:colOff>122852</xdr:colOff>
      <xdr:row>4</xdr:row>
      <xdr:rowOff>195744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1773F8C3-33C2-4360-B062-EAF13FB8757E}"/>
            </a:ext>
          </a:extLst>
        </xdr:cNvPr>
        <xdr:cNvCxnSpPr/>
      </xdr:nvCxnSpPr>
      <xdr:spPr>
        <a:xfrm>
          <a:off x="13280129" y="1110144"/>
          <a:ext cx="124452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101743</xdr:colOff>
      <xdr:row>4</xdr:row>
      <xdr:rowOff>188550</xdr:rowOff>
    </xdr:from>
    <xdr:to>
      <xdr:col>58</xdr:col>
      <xdr:colOff>101743</xdr:colOff>
      <xdr:row>14</xdr:row>
      <xdr:rowOff>17089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86C54DB2-C7FB-4970-80C0-DB2E2F8001F4}"/>
            </a:ext>
          </a:extLst>
        </xdr:cNvPr>
        <xdr:cNvCxnSpPr/>
      </xdr:nvCxnSpPr>
      <xdr:spPr>
        <a:xfrm>
          <a:off x="13360543" y="1102950"/>
          <a:ext cx="0" cy="2136310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41655</xdr:colOff>
      <xdr:row>3</xdr:row>
      <xdr:rowOff>194264</xdr:rowOff>
    </xdr:from>
    <xdr:to>
      <xdr:col>65</xdr:col>
      <xdr:colOff>41655</xdr:colOff>
      <xdr:row>4</xdr:row>
      <xdr:rowOff>123375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5990D35F-DC21-4727-8B59-4F02ED27B2D7}"/>
            </a:ext>
          </a:extLst>
        </xdr:cNvPr>
        <xdr:cNvCxnSpPr/>
      </xdr:nvCxnSpPr>
      <xdr:spPr>
        <a:xfrm>
          <a:off x="14900655" y="880064"/>
          <a:ext cx="0" cy="15771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46350</xdr:colOff>
      <xdr:row>14</xdr:row>
      <xdr:rowOff>37822</xdr:rowOff>
    </xdr:from>
    <xdr:to>
      <xdr:col>58</xdr:col>
      <xdr:colOff>203879</xdr:colOff>
      <xdr:row>14</xdr:row>
      <xdr:rowOff>37822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08380FCF-8DE9-4422-A9C4-555493D396D9}"/>
            </a:ext>
          </a:extLst>
        </xdr:cNvPr>
        <xdr:cNvCxnSpPr/>
      </xdr:nvCxnSpPr>
      <xdr:spPr>
        <a:xfrm>
          <a:off x="13305150" y="3259993"/>
          <a:ext cx="15752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96363</xdr:colOff>
      <xdr:row>3</xdr:row>
      <xdr:rowOff>194264</xdr:rowOff>
    </xdr:from>
    <xdr:to>
      <xdr:col>66</xdr:col>
      <xdr:colOff>96363</xdr:colOff>
      <xdr:row>4</xdr:row>
      <xdr:rowOff>123375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97460CD4-F208-4CDB-A754-D3A438690BAD}"/>
            </a:ext>
          </a:extLst>
        </xdr:cNvPr>
        <xdr:cNvCxnSpPr/>
      </xdr:nvCxnSpPr>
      <xdr:spPr>
        <a:xfrm>
          <a:off x="15183963" y="880064"/>
          <a:ext cx="0" cy="15771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41169</xdr:colOff>
      <xdr:row>4</xdr:row>
      <xdr:rowOff>3059</xdr:rowOff>
    </xdr:from>
    <xdr:to>
      <xdr:col>66</xdr:col>
      <xdr:colOff>98323</xdr:colOff>
      <xdr:row>4</xdr:row>
      <xdr:rowOff>3059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0D884C25-4804-4F12-B0DA-5B92522144C4}"/>
            </a:ext>
          </a:extLst>
        </xdr:cNvPr>
        <xdr:cNvCxnSpPr/>
      </xdr:nvCxnSpPr>
      <xdr:spPr>
        <a:xfrm>
          <a:off x="14900169" y="917459"/>
          <a:ext cx="285754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91996</xdr:colOff>
      <xdr:row>17</xdr:row>
      <xdr:rowOff>24317</xdr:rowOff>
    </xdr:from>
    <xdr:ext cx="349135" cy="224998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AA44F666-4695-4DE9-A001-6774008EBC9C}"/>
            </a:ext>
          </a:extLst>
        </xdr:cNvPr>
        <xdr:cNvSpPr txBox="1"/>
      </xdr:nvSpPr>
      <xdr:spPr>
        <a:xfrm>
          <a:off x="13807996" y="3943174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137667</xdr:colOff>
      <xdr:row>17</xdr:row>
      <xdr:rowOff>62348</xdr:rowOff>
    </xdr:from>
    <xdr:to>
      <xdr:col>62</xdr:col>
      <xdr:colOff>200828</xdr:colOff>
      <xdr:row>17</xdr:row>
      <xdr:rowOff>62348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40A0B05B-E32C-4896-8C87-0950A5ADA541}"/>
            </a:ext>
          </a:extLst>
        </xdr:cNvPr>
        <xdr:cNvCxnSpPr/>
      </xdr:nvCxnSpPr>
      <xdr:spPr>
        <a:xfrm>
          <a:off x="13853667" y="3981205"/>
          <a:ext cx="520361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143716</xdr:colOff>
      <xdr:row>16</xdr:row>
      <xdr:rowOff>18720</xdr:rowOff>
    </xdr:from>
    <xdr:to>
      <xdr:col>60</xdr:col>
      <xdr:colOff>143716</xdr:colOff>
      <xdr:row>17</xdr:row>
      <xdr:rowOff>104518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8A95D9ED-27B0-430C-A118-EA3884DE1C4F}"/>
            </a:ext>
          </a:extLst>
        </xdr:cNvPr>
        <xdr:cNvCxnSpPr/>
      </xdr:nvCxnSpPr>
      <xdr:spPr>
        <a:xfrm>
          <a:off x="13859716" y="3708977"/>
          <a:ext cx="0" cy="314398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145185</xdr:colOff>
      <xdr:row>14</xdr:row>
      <xdr:rowOff>40203</xdr:rowOff>
    </xdr:from>
    <xdr:to>
      <xdr:col>62</xdr:col>
      <xdr:colOff>208346</xdr:colOff>
      <xdr:row>14</xdr:row>
      <xdr:rowOff>40203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49819F3C-EB70-4662-9C65-5E54E427FDCD}"/>
            </a:ext>
          </a:extLst>
        </xdr:cNvPr>
        <xdr:cNvCxnSpPr/>
      </xdr:nvCxnSpPr>
      <xdr:spPr>
        <a:xfrm>
          <a:off x="13861185" y="3262374"/>
          <a:ext cx="520361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203847</xdr:colOff>
      <xdr:row>16</xdr:row>
      <xdr:rowOff>10558</xdr:rowOff>
    </xdr:from>
    <xdr:to>
      <xdr:col>62</xdr:col>
      <xdr:colOff>203847</xdr:colOff>
      <xdr:row>17</xdr:row>
      <xdr:rowOff>96356</xdr:rowOff>
    </xdr:to>
    <xdr:cxnSp macro="">
      <xdr:nvCxnSpPr>
        <xdr:cNvPr id="198" name="直線コネクタ 197">
          <a:extLst>
            <a:ext uri="{FF2B5EF4-FFF2-40B4-BE49-F238E27FC236}">
              <a16:creationId xmlns:a16="http://schemas.microsoft.com/office/drawing/2014/main" id="{A27B6FCD-2CD0-42F2-9834-E757C2948582}"/>
            </a:ext>
          </a:extLst>
        </xdr:cNvPr>
        <xdr:cNvCxnSpPr/>
      </xdr:nvCxnSpPr>
      <xdr:spPr>
        <a:xfrm>
          <a:off x="14377047" y="3700815"/>
          <a:ext cx="0" cy="314398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206320</xdr:colOff>
      <xdr:row>5</xdr:row>
      <xdr:rowOff>77709</xdr:rowOff>
    </xdr:from>
    <xdr:to>
      <xdr:col>69</xdr:col>
      <xdr:colOff>180259</xdr:colOff>
      <xdr:row>6</xdr:row>
      <xdr:rowOff>3419</xdr:rowOff>
    </xdr:to>
    <xdr:cxnSp macro="">
      <xdr:nvCxnSpPr>
        <xdr:cNvPr id="199" name="直線コネクタ 198">
          <a:extLst>
            <a:ext uri="{FF2B5EF4-FFF2-40B4-BE49-F238E27FC236}">
              <a16:creationId xmlns:a16="http://schemas.microsoft.com/office/drawing/2014/main" id="{A4816FB1-F6D1-EFCB-D791-0F11EE71F141}"/>
            </a:ext>
          </a:extLst>
        </xdr:cNvPr>
        <xdr:cNvCxnSpPr/>
      </xdr:nvCxnSpPr>
      <xdr:spPr>
        <a:xfrm>
          <a:off x="15522520" y="1231595"/>
          <a:ext cx="431139" cy="15431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27453</xdr:colOff>
      <xdr:row>5</xdr:row>
      <xdr:rowOff>216606</xdr:rowOff>
    </xdr:from>
    <xdr:to>
      <xdr:col>69</xdr:col>
      <xdr:colOff>130480</xdr:colOff>
      <xdr:row>15</xdr:row>
      <xdr:rowOff>75992</xdr:rowOff>
    </xdr:to>
    <xdr:cxnSp macro="">
      <xdr:nvCxnSpPr>
        <xdr:cNvPr id="200" name="直線コネクタ 199">
          <a:extLst>
            <a:ext uri="{FF2B5EF4-FFF2-40B4-BE49-F238E27FC236}">
              <a16:creationId xmlns:a16="http://schemas.microsoft.com/office/drawing/2014/main" id="{A1B154AA-F51C-16A5-1ABE-B4F39ADB8FA7}"/>
            </a:ext>
          </a:extLst>
        </xdr:cNvPr>
        <xdr:cNvCxnSpPr/>
      </xdr:nvCxnSpPr>
      <xdr:spPr>
        <a:xfrm flipH="1">
          <a:off x="15115053" y="1370492"/>
          <a:ext cx="788827" cy="2156271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195271</xdr:colOff>
      <xdr:row>14</xdr:row>
      <xdr:rowOff>126872</xdr:rowOff>
    </xdr:from>
    <xdr:to>
      <xdr:col>66</xdr:col>
      <xdr:colOff>79941</xdr:colOff>
      <xdr:row>15</xdr:row>
      <xdr:rowOff>106388</xdr:rowOff>
    </xdr:to>
    <xdr:cxnSp macro="">
      <xdr:nvCxnSpPr>
        <xdr:cNvPr id="202" name="直線コネクタ 201">
          <a:extLst>
            <a:ext uri="{FF2B5EF4-FFF2-40B4-BE49-F238E27FC236}">
              <a16:creationId xmlns:a16="http://schemas.microsoft.com/office/drawing/2014/main" id="{596EC40F-C113-710E-4716-472968C3D5BE}"/>
            </a:ext>
          </a:extLst>
        </xdr:cNvPr>
        <xdr:cNvCxnSpPr/>
      </xdr:nvCxnSpPr>
      <xdr:spPr>
        <a:xfrm>
          <a:off x="14597071" y="3349043"/>
          <a:ext cx="570470" cy="20811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212720</xdr:colOff>
      <xdr:row>10</xdr:row>
      <xdr:rowOff>9417</xdr:rowOff>
    </xdr:from>
    <xdr:ext cx="242374" cy="271228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BB002908-0683-B296-1FA8-DA77058A1086}"/>
            </a:ext>
          </a:extLst>
        </xdr:cNvPr>
        <xdr:cNvSpPr txBox="1"/>
      </xdr:nvSpPr>
      <xdr:spPr>
        <a:xfrm rot="17460000">
          <a:off x="15514493" y="2331615"/>
          <a:ext cx="27122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66</xdr:col>
      <xdr:colOff>195138</xdr:colOff>
      <xdr:row>7</xdr:row>
      <xdr:rowOff>113282</xdr:rowOff>
    </xdr:from>
    <xdr:ext cx="242374" cy="640688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00C71B84-1727-D5AD-B9CD-425EEBF73853}"/>
            </a:ext>
          </a:extLst>
        </xdr:cNvPr>
        <xdr:cNvSpPr txBox="1"/>
      </xdr:nvSpPr>
      <xdr:spPr>
        <a:xfrm rot="17460000">
          <a:off x="15083581" y="1934410"/>
          <a:ext cx="64068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₂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r>
            <a:rPr kumimoji="1" lang="ja-JP" altLang="en-US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κ</a:t>
          </a:r>
          <a:r>
            <a:rPr kumimoji="1" lang="en-US" altLang="ja-JP" sz="900" i="1" baseline="-250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・</a:t>
          </a:r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80752</xdr:colOff>
      <xdr:row>12</xdr:row>
      <xdr:rowOff>115195</xdr:rowOff>
    </xdr:from>
    <xdr:ext cx="242374" cy="305853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9A9490FE-77E8-EED1-72BE-F6D24AA1E0B3}"/>
            </a:ext>
          </a:extLst>
        </xdr:cNvPr>
        <xdr:cNvSpPr txBox="1"/>
      </xdr:nvSpPr>
      <xdr:spPr>
        <a:xfrm rot="17460000">
          <a:off x="14908012" y="2911906"/>
          <a:ext cx="305853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₁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207718</xdr:colOff>
      <xdr:row>11</xdr:row>
      <xdr:rowOff>100742</xdr:rowOff>
    </xdr:from>
    <xdr:to>
      <xdr:col>66</xdr:col>
      <xdr:colOff>37720</xdr:colOff>
      <xdr:row>14</xdr:row>
      <xdr:rowOff>201795</xdr:rowOff>
    </xdr:to>
    <xdr:cxnSp macro="">
      <xdr:nvCxnSpPr>
        <xdr:cNvPr id="214" name="直線コネクタ 213">
          <a:extLst>
            <a:ext uri="{FF2B5EF4-FFF2-40B4-BE49-F238E27FC236}">
              <a16:creationId xmlns:a16="http://schemas.microsoft.com/office/drawing/2014/main" id="{D4C519B1-E9C9-435A-B291-F24AD2E371B5}"/>
            </a:ext>
          </a:extLst>
        </xdr:cNvPr>
        <xdr:cNvCxnSpPr/>
      </xdr:nvCxnSpPr>
      <xdr:spPr>
        <a:xfrm flipH="1">
          <a:off x="14838118" y="2637113"/>
          <a:ext cx="287202" cy="786853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95204</xdr:colOff>
      <xdr:row>5</xdr:row>
      <xdr:rowOff>106963</xdr:rowOff>
    </xdr:from>
    <xdr:to>
      <xdr:col>68</xdr:col>
      <xdr:colOff>30370</xdr:colOff>
      <xdr:row>11</xdr:row>
      <xdr:rowOff>108449</xdr:rowOff>
    </xdr:to>
    <xdr:cxnSp macro="">
      <xdr:nvCxnSpPr>
        <xdr:cNvPr id="217" name="直線コネクタ 216">
          <a:extLst>
            <a:ext uri="{FF2B5EF4-FFF2-40B4-BE49-F238E27FC236}">
              <a16:creationId xmlns:a16="http://schemas.microsoft.com/office/drawing/2014/main" id="{865A64A7-6C16-D0FC-B690-831F8744F72F}"/>
            </a:ext>
          </a:extLst>
        </xdr:cNvPr>
        <xdr:cNvCxnSpPr/>
      </xdr:nvCxnSpPr>
      <xdr:spPr>
        <a:xfrm rot="240000" flipH="1">
          <a:off x="15182804" y="1260849"/>
          <a:ext cx="392366" cy="1383971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147134</xdr:colOff>
      <xdr:row>11</xdr:row>
      <xdr:rowOff>70868</xdr:rowOff>
    </xdr:from>
    <xdr:to>
      <xdr:col>66</xdr:col>
      <xdr:colOff>168654</xdr:colOff>
      <xdr:row>11</xdr:row>
      <xdr:rowOff>139391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24910C75-700D-FE64-C41A-E0F2D7D9BF20}"/>
            </a:ext>
          </a:extLst>
        </xdr:cNvPr>
        <xdr:cNvCxnSpPr/>
      </xdr:nvCxnSpPr>
      <xdr:spPr>
        <a:xfrm rot="240000">
          <a:off x="15006134" y="2607239"/>
          <a:ext cx="250120" cy="6852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158297</xdr:colOff>
      <xdr:row>5</xdr:row>
      <xdr:rowOff>51258</xdr:rowOff>
    </xdr:from>
    <xdr:to>
      <xdr:col>67</xdr:col>
      <xdr:colOff>17854</xdr:colOff>
      <xdr:row>6</xdr:row>
      <xdr:rowOff>126509</xdr:rowOff>
    </xdr:to>
    <xdr:sp macro="" textlink="">
      <xdr:nvSpPr>
        <xdr:cNvPr id="221" name="円弧 220">
          <a:extLst>
            <a:ext uri="{FF2B5EF4-FFF2-40B4-BE49-F238E27FC236}">
              <a16:creationId xmlns:a16="http://schemas.microsoft.com/office/drawing/2014/main" id="{231F2344-2F4A-48CD-8AF3-1EA444047322}"/>
            </a:ext>
          </a:extLst>
        </xdr:cNvPr>
        <xdr:cNvSpPr/>
      </xdr:nvSpPr>
      <xdr:spPr>
        <a:xfrm rot="11398167">
          <a:off x="15017297" y="1205144"/>
          <a:ext cx="316757" cy="303851"/>
        </a:xfrm>
        <a:prstGeom prst="arc">
          <a:avLst>
            <a:gd name="adj1" fmla="val 15183608"/>
            <a:gd name="adj2" fmla="val 18522291"/>
          </a:avLst>
        </a:prstGeom>
        <a:noFill/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66</xdr:col>
      <xdr:colOff>111513</xdr:colOff>
      <xdr:row>4</xdr:row>
      <xdr:rowOff>199701</xdr:rowOff>
    </xdr:from>
    <xdr:to>
      <xdr:col>66</xdr:col>
      <xdr:colOff>111513</xdr:colOff>
      <xdr:row>6</xdr:row>
      <xdr:rowOff>196516</xdr:rowOff>
    </xdr:to>
    <xdr:cxnSp macro="">
      <xdr:nvCxnSpPr>
        <xdr:cNvPr id="222" name="直線コネクタ 221">
          <a:extLst>
            <a:ext uri="{FF2B5EF4-FFF2-40B4-BE49-F238E27FC236}">
              <a16:creationId xmlns:a16="http://schemas.microsoft.com/office/drawing/2014/main" id="{5A9E9C2B-E268-4515-9349-5B9DBE903835}"/>
            </a:ext>
          </a:extLst>
        </xdr:cNvPr>
        <xdr:cNvCxnSpPr/>
      </xdr:nvCxnSpPr>
      <xdr:spPr>
        <a:xfrm>
          <a:off x="15199113" y="1114101"/>
          <a:ext cx="0" cy="464901"/>
        </a:xfrm>
        <a:prstGeom prst="line">
          <a:avLst/>
        </a:prstGeom>
        <a:ln w="3175">
          <a:solidFill>
            <a:schemeClr val="tx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66</xdr:col>
      <xdr:colOff>35736</xdr:colOff>
      <xdr:row>6</xdr:row>
      <xdr:rowOff>11480</xdr:rowOff>
    </xdr:from>
    <xdr:ext cx="365165" cy="242374"/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96A3D6D4-CA11-41A8-B559-762288C17718}"/>
            </a:ext>
          </a:extLst>
        </xdr:cNvPr>
        <xdr:cNvSpPr txBox="1"/>
      </xdr:nvSpPr>
      <xdr:spPr>
        <a:xfrm>
          <a:off x="15197295" y="1417818"/>
          <a:ext cx="36516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θ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67</xdr:col>
      <xdr:colOff>7965</xdr:colOff>
      <xdr:row>6</xdr:row>
      <xdr:rowOff>10884</xdr:rowOff>
    </xdr:from>
    <xdr:ext cx="386644" cy="224998"/>
    <xdr:sp macro="" textlink="$BA$23">
      <xdr:nvSpPr>
        <xdr:cNvPr id="224" name="テキスト ボックス 223">
          <a:extLst>
            <a:ext uri="{FF2B5EF4-FFF2-40B4-BE49-F238E27FC236}">
              <a16:creationId xmlns:a16="http://schemas.microsoft.com/office/drawing/2014/main" id="{C0975D4B-B5D2-43C4-9D97-0065C025E544}"/>
            </a:ext>
          </a:extLst>
        </xdr:cNvPr>
        <xdr:cNvSpPr txBox="1"/>
      </xdr:nvSpPr>
      <xdr:spPr>
        <a:xfrm>
          <a:off x="15221026" y="1388642"/>
          <a:ext cx="38664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9FEB530-865A-437C-AB74-2D04B56CEDE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21.8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127920</xdr:colOff>
      <xdr:row>4</xdr:row>
      <xdr:rowOff>38075</xdr:rowOff>
    </xdr:from>
    <xdr:ext cx="263727" cy="224998"/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BBC8F0C3-1EA6-5CE6-9C17-C5077924A1F9}"/>
            </a:ext>
          </a:extLst>
        </xdr:cNvPr>
        <xdr:cNvSpPr txBox="1"/>
      </xdr:nvSpPr>
      <xdr:spPr>
        <a:xfrm>
          <a:off x="15215520" y="952475"/>
          <a:ext cx="26372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121330</xdr:colOff>
      <xdr:row>6</xdr:row>
      <xdr:rowOff>183140</xdr:rowOff>
    </xdr:from>
    <xdr:ext cx="289375" cy="224998"/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E00CDCB4-A569-6532-55F3-E1EA871018BB}"/>
            </a:ext>
          </a:extLst>
        </xdr:cNvPr>
        <xdr:cNvSpPr txBox="1"/>
      </xdr:nvSpPr>
      <xdr:spPr>
        <a:xfrm>
          <a:off x="15208930" y="1576511"/>
          <a:ext cx="28937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65</xdr:col>
      <xdr:colOff>150699</xdr:colOff>
      <xdr:row>6</xdr:row>
      <xdr:rowOff>196308</xdr:rowOff>
    </xdr:from>
    <xdr:to>
      <xdr:col>66</xdr:col>
      <xdr:colOff>188404</xdr:colOff>
      <xdr:row>7</xdr:row>
      <xdr:rowOff>32365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CDC11322-411A-4A14-AE2C-F8C7D6AC524A}"/>
            </a:ext>
          </a:extLst>
        </xdr:cNvPr>
        <xdr:cNvCxnSpPr/>
      </xdr:nvCxnSpPr>
      <xdr:spPr>
        <a:xfrm flipH="1" flipV="1">
          <a:off x="15009699" y="1589679"/>
          <a:ext cx="266305" cy="75542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102231</xdr:colOff>
      <xdr:row>14</xdr:row>
      <xdr:rowOff>40601</xdr:rowOff>
    </xdr:from>
    <xdr:to>
      <xdr:col>61</xdr:col>
      <xdr:colOff>102231</xdr:colOff>
      <xdr:row>16</xdr:row>
      <xdr:rowOff>72480</xdr:rowOff>
    </xdr:to>
    <xdr:cxnSp macro="">
      <xdr:nvCxnSpPr>
        <xdr:cNvPr id="242" name="直線コネクタ 241">
          <a:extLst>
            <a:ext uri="{FF2B5EF4-FFF2-40B4-BE49-F238E27FC236}">
              <a16:creationId xmlns:a16="http://schemas.microsoft.com/office/drawing/2014/main" id="{2E5026E8-B136-CF32-91AA-5D5CA464A985}"/>
            </a:ext>
          </a:extLst>
        </xdr:cNvPr>
        <xdr:cNvCxnSpPr/>
      </xdr:nvCxnSpPr>
      <xdr:spPr>
        <a:xfrm flipV="1">
          <a:off x="14046831" y="3262772"/>
          <a:ext cx="0" cy="499965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192976</xdr:colOff>
      <xdr:row>16</xdr:row>
      <xdr:rowOff>22085</xdr:rowOff>
    </xdr:from>
    <xdr:ext cx="315023" cy="224998"/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5F681AAA-3CF0-E81D-BFA0-C4651D8C0058}"/>
            </a:ext>
          </a:extLst>
        </xdr:cNvPr>
        <xdr:cNvSpPr txBox="1"/>
      </xdr:nvSpPr>
      <xdr:spPr>
        <a:xfrm>
          <a:off x="13908976" y="3712342"/>
          <a:ext cx="31502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V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78932</xdr:colOff>
      <xdr:row>12</xdr:row>
      <xdr:rowOff>115383</xdr:rowOff>
    </xdr:from>
    <xdr:to>
      <xdr:col>63</xdr:col>
      <xdr:colOff>21836</xdr:colOff>
      <xdr:row>14</xdr:row>
      <xdr:rowOff>22869</xdr:rowOff>
    </xdr:to>
    <xdr:cxnSp macro="">
      <xdr:nvCxnSpPr>
        <xdr:cNvPr id="247" name="直線コネクタ 246">
          <a:extLst>
            <a:ext uri="{FF2B5EF4-FFF2-40B4-BE49-F238E27FC236}">
              <a16:creationId xmlns:a16="http://schemas.microsoft.com/office/drawing/2014/main" id="{491F1937-2010-7F2C-76CD-BF13F9EC0124}"/>
            </a:ext>
          </a:extLst>
        </xdr:cNvPr>
        <xdr:cNvCxnSpPr/>
      </xdr:nvCxnSpPr>
      <xdr:spPr>
        <a:xfrm flipH="1">
          <a:off x="14252132" y="2880354"/>
          <a:ext cx="171504" cy="364686"/>
        </a:xfrm>
        <a:prstGeom prst="line">
          <a:avLst/>
        </a:prstGeom>
        <a:ln w="25400">
          <a:solidFill>
            <a:schemeClr val="tx1"/>
          </a:solidFill>
          <a:prstDash val="sysDash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61285</xdr:colOff>
      <xdr:row>11</xdr:row>
      <xdr:rowOff>122538</xdr:rowOff>
    </xdr:from>
    <xdr:ext cx="562846" cy="285527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C26DCA3D-4B8E-A92D-8E81-4E23D2A7C37D}"/>
            </a:ext>
          </a:extLst>
        </xdr:cNvPr>
        <xdr:cNvSpPr txBox="1"/>
      </xdr:nvSpPr>
      <xdr:spPr>
        <a:xfrm>
          <a:off x="14234485" y="2658909"/>
          <a:ext cx="562846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kumimoji="1" lang="ja-JP" altLang="en-US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合力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kumimoji="1" lang="ja-JP" altLang="en-US" sz="900" i="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141659</xdr:colOff>
      <xdr:row>14</xdr:row>
      <xdr:rowOff>77066</xdr:rowOff>
    </xdr:from>
    <xdr:to>
      <xdr:col>63</xdr:col>
      <xdr:colOff>46037</xdr:colOff>
      <xdr:row>14</xdr:row>
      <xdr:rowOff>77067</xdr:rowOff>
    </xdr:to>
    <xdr:cxnSp macro="">
      <xdr:nvCxnSpPr>
        <xdr:cNvPr id="262" name="直線コネクタ 261">
          <a:extLst>
            <a:ext uri="{FF2B5EF4-FFF2-40B4-BE49-F238E27FC236}">
              <a16:creationId xmlns:a16="http://schemas.microsoft.com/office/drawing/2014/main" id="{A827F333-B122-4D2C-BC74-D2BCEFD32A78}"/>
            </a:ext>
          </a:extLst>
        </xdr:cNvPr>
        <xdr:cNvCxnSpPr/>
      </xdr:nvCxnSpPr>
      <xdr:spPr>
        <a:xfrm>
          <a:off x="14086259" y="3299237"/>
          <a:ext cx="361578" cy="1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143923</xdr:colOff>
      <xdr:row>14</xdr:row>
      <xdr:rowOff>40161</xdr:rowOff>
    </xdr:from>
    <xdr:ext cx="323615" cy="224998"/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AF8E2BCA-5568-3362-5ABC-60CF8033C2BA}"/>
            </a:ext>
          </a:extLst>
        </xdr:cNvPr>
        <xdr:cNvSpPr txBox="1"/>
      </xdr:nvSpPr>
      <xdr:spPr>
        <a:xfrm>
          <a:off x="14088523" y="3262332"/>
          <a:ext cx="32361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62</xdr:col>
      <xdr:colOff>162073</xdr:colOff>
      <xdr:row>15</xdr:row>
      <xdr:rowOff>37946</xdr:rowOff>
    </xdr:from>
    <xdr:ext cx="315023" cy="224998"/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77B69215-7514-9B2A-CD2B-24C75642D237}"/>
            </a:ext>
          </a:extLst>
        </xdr:cNvPr>
        <xdr:cNvSpPr txBox="1"/>
      </xdr:nvSpPr>
      <xdr:spPr>
        <a:xfrm>
          <a:off x="14335273" y="3488717"/>
          <a:ext cx="31502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v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900" i="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59</xdr:col>
      <xdr:colOff>131500</xdr:colOff>
      <xdr:row>14</xdr:row>
      <xdr:rowOff>181855</xdr:rowOff>
    </xdr:from>
    <xdr:ext cx="315023" cy="224998"/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E27B5AC4-6A19-FEA4-700B-885DE819C210}"/>
            </a:ext>
          </a:extLst>
        </xdr:cNvPr>
        <xdr:cNvSpPr txBox="1"/>
      </xdr:nvSpPr>
      <xdr:spPr>
        <a:xfrm>
          <a:off x="13618900" y="3404026"/>
          <a:ext cx="31502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v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900" i="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60</xdr:col>
      <xdr:colOff>112361</xdr:colOff>
      <xdr:row>13</xdr:row>
      <xdr:rowOff>226970</xdr:rowOff>
    </xdr:from>
    <xdr:to>
      <xdr:col>60</xdr:col>
      <xdr:colOff>164026</xdr:colOff>
      <xdr:row>14</xdr:row>
      <xdr:rowOff>65403</xdr:rowOff>
    </xdr:to>
    <xdr:sp macro="" textlink="">
      <xdr:nvSpPr>
        <xdr:cNvPr id="274" name="楕円 273">
          <a:extLst>
            <a:ext uri="{FF2B5EF4-FFF2-40B4-BE49-F238E27FC236}">
              <a16:creationId xmlns:a16="http://schemas.microsoft.com/office/drawing/2014/main" id="{16097B5C-6651-7AC6-5151-C13AC311DEBF}"/>
            </a:ext>
          </a:extLst>
        </xdr:cNvPr>
        <xdr:cNvSpPr/>
      </xdr:nvSpPr>
      <xdr:spPr>
        <a:xfrm>
          <a:off x="13828361" y="3220541"/>
          <a:ext cx="51665" cy="67033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60</xdr:col>
      <xdr:colOff>140179</xdr:colOff>
      <xdr:row>12</xdr:row>
      <xdr:rowOff>6390</xdr:rowOff>
    </xdr:from>
    <xdr:to>
      <xdr:col>60</xdr:col>
      <xdr:colOff>140179</xdr:colOff>
      <xdr:row>13</xdr:row>
      <xdr:rowOff>219079</xdr:rowOff>
    </xdr:to>
    <xdr:cxnSp macro="">
      <xdr:nvCxnSpPr>
        <xdr:cNvPr id="275" name="直線コネクタ 274">
          <a:extLst>
            <a:ext uri="{FF2B5EF4-FFF2-40B4-BE49-F238E27FC236}">
              <a16:creationId xmlns:a16="http://schemas.microsoft.com/office/drawing/2014/main" id="{BB354EF6-F87A-09BB-F718-AFBD5FF3821E}"/>
            </a:ext>
          </a:extLst>
        </xdr:cNvPr>
        <xdr:cNvCxnSpPr/>
      </xdr:nvCxnSpPr>
      <xdr:spPr>
        <a:xfrm>
          <a:off x="13856179" y="2771361"/>
          <a:ext cx="0" cy="441289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134488</xdr:colOff>
      <xdr:row>11</xdr:row>
      <xdr:rowOff>33286</xdr:rowOff>
    </xdr:from>
    <xdr:ext cx="322396" cy="224998"/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8EE45E5E-96D4-DD54-1F66-952DB5539D32}"/>
            </a:ext>
          </a:extLst>
        </xdr:cNvPr>
        <xdr:cNvSpPr txBox="1"/>
      </xdr:nvSpPr>
      <xdr:spPr>
        <a:xfrm>
          <a:off x="13393288" y="2569657"/>
          <a:ext cx="32239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V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59</xdr:col>
      <xdr:colOff>23658</xdr:colOff>
      <xdr:row>14</xdr:row>
      <xdr:rowOff>45545</xdr:rowOff>
    </xdr:from>
    <xdr:to>
      <xdr:col>60</xdr:col>
      <xdr:colOff>103098</xdr:colOff>
      <xdr:row>14</xdr:row>
      <xdr:rowOff>45545</xdr:rowOff>
    </xdr:to>
    <xdr:cxnSp macro="">
      <xdr:nvCxnSpPr>
        <xdr:cNvPr id="280" name="直線コネクタ 279">
          <a:extLst>
            <a:ext uri="{FF2B5EF4-FFF2-40B4-BE49-F238E27FC236}">
              <a16:creationId xmlns:a16="http://schemas.microsoft.com/office/drawing/2014/main" id="{C33B04B6-9C91-4DDD-A0AE-5F31E02804DD}"/>
            </a:ext>
          </a:extLst>
        </xdr:cNvPr>
        <xdr:cNvCxnSpPr/>
      </xdr:nvCxnSpPr>
      <xdr:spPr>
        <a:xfrm flipH="1">
          <a:off x="13511058" y="3267716"/>
          <a:ext cx="308040" cy="0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116321</xdr:colOff>
      <xdr:row>14</xdr:row>
      <xdr:rowOff>14414</xdr:rowOff>
    </xdr:from>
    <xdr:ext cx="335220" cy="224998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39F64F96-5D78-B2EE-9B5D-525AB9A481EF}"/>
            </a:ext>
          </a:extLst>
        </xdr:cNvPr>
        <xdr:cNvSpPr txBox="1"/>
      </xdr:nvSpPr>
      <xdr:spPr>
        <a:xfrm>
          <a:off x="13146521" y="3236585"/>
          <a:ext cx="33522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59</xdr:col>
      <xdr:colOff>164787</xdr:colOff>
      <xdr:row>13</xdr:row>
      <xdr:rowOff>67636</xdr:rowOff>
    </xdr:from>
    <xdr:to>
      <xdr:col>61</xdr:col>
      <xdr:colOff>29647</xdr:colOff>
      <xdr:row>14</xdr:row>
      <xdr:rowOff>142886</xdr:rowOff>
    </xdr:to>
    <xdr:sp macro="" textlink="">
      <xdr:nvSpPr>
        <xdr:cNvPr id="299" name="円弧 298">
          <a:extLst>
            <a:ext uri="{FF2B5EF4-FFF2-40B4-BE49-F238E27FC236}">
              <a16:creationId xmlns:a16="http://schemas.microsoft.com/office/drawing/2014/main" id="{D6575344-5AC2-E534-854D-7331B00DFEB1}"/>
            </a:ext>
          </a:extLst>
        </xdr:cNvPr>
        <xdr:cNvSpPr/>
      </xdr:nvSpPr>
      <xdr:spPr>
        <a:xfrm>
          <a:off x="13652187" y="3061207"/>
          <a:ext cx="322060" cy="303850"/>
        </a:xfrm>
        <a:prstGeom prst="arc">
          <a:avLst>
            <a:gd name="adj1" fmla="val 12510240"/>
            <a:gd name="adj2" fmla="val 84120"/>
          </a:avLst>
        </a:prstGeom>
        <a:noFill/>
        <a:ln w="2540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56</xdr:col>
      <xdr:colOff>220252</xdr:colOff>
      <xdr:row>12</xdr:row>
      <xdr:rowOff>120955</xdr:rowOff>
    </xdr:from>
    <xdr:ext cx="319255" cy="224998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D8287E5A-E8DC-CC49-F107-2E52AB410254}"/>
            </a:ext>
          </a:extLst>
        </xdr:cNvPr>
        <xdr:cNvSpPr txBox="1"/>
      </xdr:nvSpPr>
      <xdr:spPr>
        <a:xfrm>
          <a:off x="13021852" y="2885926"/>
          <a:ext cx="31925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125376</xdr:colOff>
      <xdr:row>8</xdr:row>
      <xdr:rowOff>98444</xdr:rowOff>
    </xdr:from>
    <xdr:to>
      <xdr:col>62</xdr:col>
      <xdr:colOff>52754</xdr:colOff>
      <xdr:row>8</xdr:row>
      <xdr:rowOff>98444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CD10387D-AC96-964D-D324-A2A0C42D8CAF}"/>
            </a:ext>
          </a:extLst>
        </xdr:cNvPr>
        <xdr:cNvCxnSpPr/>
      </xdr:nvCxnSpPr>
      <xdr:spPr>
        <a:xfrm>
          <a:off x="13841376" y="1949015"/>
          <a:ext cx="38457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127329</xdr:colOff>
      <xdr:row>8</xdr:row>
      <xdr:rowOff>66549</xdr:rowOff>
    </xdr:from>
    <xdr:to>
      <xdr:col>60</xdr:col>
      <xdr:colOff>127329</xdr:colOff>
      <xdr:row>10</xdr:row>
      <xdr:rowOff>142195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DE4FB18C-7E62-50F0-6C8B-117CA84B1DFC}"/>
            </a:ext>
          </a:extLst>
        </xdr:cNvPr>
        <xdr:cNvCxnSpPr/>
      </xdr:nvCxnSpPr>
      <xdr:spPr>
        <a:xfrm>
          <a:off x="13843329" y="1917120"/>
          <a:ext cx="0" cy="532846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52092</xdr:colOff>
      <xdr:row>8</xdr:row>
      <xdr:rowOff>68651</xdr:rowOff>
    </xdr:from>
    <xdr:to>
      <xdr:col>62</xdr:col>
      <xdr:colOff>52092</xdr:colOff>
      <xdr:row>13</xdr:row>
      <xdr:rowOff>174160</xdr:rowOff>
    </xdr:to>
    <xdr:cxnSp macro="">
      <xdr:nvCxnSpPr>
        <xdr:cNvPr id="306" name="直線コネクタ 305">
          <a:extLst>
            <a:ext uri="{FF2B5EF4-FFF2-40B4-BE49-F238E27FC236}">
              <a16:creationId xmlns:a16="http://schemas.microsoft.com/office/drawing/2014/main" id="{2A054B34-5690-5111-70B5-C6ED5877ECAC}"/>
            </a:ext>
          </a:extLst>
        </xdr:cNvPr>
        <xdr:cNvCxnSpPr/>
      </xdr:nvCxnSpPr>
      <xdr:spPr>
        <a:xfrm>
          <a:off x="14225292" y="1919222"/>
          <a:ext cx="0" cy="124850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7023</xdr:colOff>
      <xdr:row>7</xdr:row>
      <xdr:rowOff>140151</xdr:rowOff>
    </xdr:from>
    <xdr:ext cx="336311" cy="224998"/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79F0CA21-C64F-13E5-974D-D2CC8C36C04C}"/>
            </a:ext>
          </a:extLst>
        </xdr:cNvPr>
        <xdr:cNvSpPr txBox="1"/>
      </xdr:nvSpPr>
      <xdr:spPr>
        <a:xfrm>
          <a:off x="13723023" y="1762122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d </a:t>
          </a:r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 i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101307</xdr:colOff>
      <xdr:row>9</xdr:row>
      <xdr:rowOff>92098</xdr:rowOff>
    </xdr:from>
    <xdr:to>
      <xdr:col>61</xdr:col>
      <xdr:colOff>101307</xdr:colOff>
      <xdr:row>13</xdr:row>
      <xdr:rowOff>180021</xdr:rowOff>
    </xdr:to>
    <xdr:cxnSp macro="">
      <xdr:nvCxnSpPr>
        <xdr:cNvPr id="311" name="直線コネクタ 310">
          <a:extLst>
            <a:ext uri="{FF2B5EF4-FFF2-40B4-BE49-F238E27FC236}">
              <a16:creationId xmlns:a16="http://schemas.microsoft.com/office/drawing/2014/main" id="{CE3F2102-34BD-22C0-4BBC-9163D8EE472D}"/>
            </a:ext>
          </a:extLst>
        </xdr:cNvPr>
        <xdr:cNvCxnSpPr/>
      </xdr:nvCxnSpPr>
      <xdr:spPr>
        <a:xfrm>
          <a:off x="14045907" y="2171269"/>
          <a:ext cx="0" cy="1002323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125376</xdr:colOff>
      <xdr:row>9</xdr:row>
      <xdr:rowOff>170161</xdr:rowOff>
    </xdr:from>
    <xdr:to>
      <xdr:col>61</xdr:col>
      <xdr:colOff>99646</xdr:colOff>
      <xdr:row>9</xdr:row>
      <xdr:rowOff>170161</xdr:rowOff>
    </xdr:to>
    <xdr:cxnSp macro="">
      <xdr:nvCxnSpPr>
        <xdr:cNvPr id="313" name="直線コネクタ 312">
          <a:extLst>
            <a:ext uri="{FF2B5EF4-FFF2-40B4-BE49-F238E27FC236}">
              <a16:creationId xmlns:a16="http://schemas.microsoft.com/office/drawing/2014/main" id="{CB6111DB-B3E6-387D-21E7-9E2E7487DCEC}"/>
            </a:ext>
          </a:extLst>
        </xdr:cNvPr>
        <xdr:cNvCxnSpPr/>
      </xdr:nvCxnSpPr>
      <xdr:spPr>
        <a:xfrm>
          <a:off x="13841376" y="2249332"/>
          <a:ext cx="20287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59602</xdr:colOff>
      <xdr:row>8</xdr:row>
      <xdr:rowOff>110842</xdr:rowOff>
    </xdr:from>
    <xdr:ext cx="638573" cy="285527"/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6F11489B-561F-F856-F082-5C674F08C3DD}"/>
            </a:ext>
          </a:extLst>
        </xdr:cNvPr>
        <xdr:cNvSpPr txBox="1"/>
      </xdr:nvSpPr>
      <xdr:spPr>
        <a:xfrm>
          <a:off x="13775602" y="1961413"/>
          <a:ext cx="638573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=κ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kumimoji="1" lang="ja-JP" altLang="en-US" sz="900" i="1">
              <a:latin typeface="Times New Roman" panose="02020603050405020304" pitchFamily="18" charset="0"/>
              <a:cs typeface="Times New Roman" panose="02020603050405020304" pitchFamily="18" charset="0"/>
            </a:rPr>
            <a:t>・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59</xdr:col>
      <xdr:colOff>72754</xdr:colOff>
      <xdr:row>11</xdr:row>
      <xdr:rowOff>32561</xdr:rowOff>
    </xdr:from>
    <xdr:ext cx="249748" cy="224998"/>
    <xdr:sp macro="" textlink="">
      <xdr:nvSpPr>
        <xdr:cNvPr id="319" name="テキスト ボックス 318">
          <a:extLst>
            <a:ext uri="{FF2B5EF4-FFF2-40B4-BE49-F238E27FC236}">
              <a16:creationId xmlns:a16="http://schemas.microsoft.com/office/drawing/2014/main" id="{38CD6112-DBCC-E4B8-353D-5F28A753A162}"/>
            </a:ext>
          </a:extLst>
        </xdr:cNvPr>
        <xdr:cNvSpPr txBox="1"/>
      </xdr:nvSpPr>
      <xdr:spPr>
        <a:xfrm>
          <a:off x="13560154" y="2568932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81718</xdr:colOff>
      <xdr:row>14</xdr:row>
      <xdr:rowOff>5667</xdr:rowOff>
    </xdr:from>
    <xdr:ext cx="249748" cy="224998"/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5CE42CDE-7073-309D-2CB9-FC0AB65B90CE}"/>
            </a:ext>
          </a:extLst>
        </xdr:cNvPr>
        <xdr:cNvSpPr txBox="1"/>
      </xdr:nvSpPr>
      <xdr:spPr>
        <a:xfrm>
          <a:off x="13340518" y="3227838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57</xdr:col>
      <xdr:colOff>161365</xdr:colOff>
      <xdr:row>12</xdr:row>
      <xdr:rowOff>140137</xdr:rowOff>
    </xdr:from>
    <xdr:ext cx="249748" cy="224998"/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331BFEB3-E2D4-7188-2923-2CFB206BC5D3}"/>
            </a:ext>
          </a:extLst>
        </xdr:cNvPr>
        <xdr:cNvSpPr txBox="1"/>
      </xdr:nvSpPr>
      <xdr:spPr>
        <a:xfrm>
          <a:off x="13191565" y="2905108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30</xdr:col>
      <xdr:colOff>50768</xdr:colOff>
      <xdr:row>17</xdr:row>
      <xdr:rowOff>175775</xdr:rowOff>
    </xdr:from>
    <xdr:ext cx="559769" cy="224998"/>
    <xdr:sp macro="" textlink="$G$11">
      <xdr:nvSpPr>
        <xdr:cNvPr id="3" name="テキスト ボックス 2">
          <a:extLst>
            <a:ext uri="{FF2B5EF4-FFF2-40B4-BE49-F238E27FC236}">
              <a16:creationId xmlns:a16="http://schemas.microsoft.com/office/drawing/2014/main" id="{3D72A28B-4146-EABB-9481-D4BD08821BB8}"/>
            </a:ext>
          </a:extLst>
        </xdr:cNvPr>
        <xdr:cNvSpPr txBox="1"/>
      </xdr:nvSpPr>
      <xdr:spPr>
        <a:xfrm>
          <a:off x="6987596" y="3896437"/>
          <a:ext cx="55976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BAC5C32-1F15-425F-A950-A0C82080307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149.723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31</xdr:col>
      <xdr:colOff>174760</xdr:colOff>
      <xdr:row>20</xdr:row>
      <xdr:rowOff>145663</xdr:rowOff>
    </xdr:from>
    <xdr:ext cx="502061" cy="224998"/>
    <xdr:sp macro="" textlink="$J$11">
      <xdr:nvSpPr>
        <xdr:cNvPr id="5" name="テキスト ボックス 4">
          <a:extLst>
            <a:ext uri="{FF2B5EF4-FFF2-40B4-BE49-F238E27FC236}">
              <a16:creationId xmlns:a16="http://schemas.microsoft.com/office/drawing/2014/main" id="{08196033-8EE0-AF31-5690-DEB385938219}"/>
            </a:ext>
          </a:extLst>
        </xdr:cNvPr>
        <xdr:cNvSpPr txBox="1"/>
      </xdr:nvSpPr>
      <xdr:spPr>
        <a:xfrm>
          <a:off x="7342815" y="4570518"/>
          <a:ext cx="50206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4CADACA-3AC7-45F6-9BB8-A77672F6B07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66.083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26</xdr:col>
      <xdr:colOff>228388</xdr:colOff>
      <xdr:row>24</xdr:row>
      <xdr:rowOff>187797</xdr:rowOff>
    </xdr:from>
    <xdr:ext cx="444352" cy="224998"/>
    <xdr:sp macro="" textlink="$H$20">
      <xdr:nvSpPr>
        <xdr:cNvPr id="8" name="テキスト ボックス 7">
          <a:extLst>
            <a:ext uri="{FF2B5EF4-FFF2-40B4-BE49-F238E27FC236}">
              <a16:creationId xmlns:a16="http://schemas.microsoft.com/office/drawing/2014/main" id="{160F371E-D790-8AFE-3F68-CDE7F165B9CA}"/>
            </a:ext>
          </a:extLst>
        </xdr:cNvPr>
        <xdr:cNvSpPr txBox="1"/>
      </xdr:nvSpPr>
      <xdr:spPr>
        <a:xfrm>
          <a:off x="6171988" y="546736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975BCD8-BDE4-46B0-851E-26F9FFDEF22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64</xdr:col>
      <xdr:colOff>204545</xdr:colOff>
      <xdr:row>3</xdr:row>
      <xdr:rowOff>13881</xdr:rowOff>
    </xdr:from>
    <xdr:ext cx="444352" cy="224998"/>
    <xdr:sp macro="" textlink="'1.条件'!T7">
      <xdr:nvSpPr>
        <xdr:cNvPr id="9" name="テキスト ボックス 8">
          <a:extLst>
            <a:ext uri="{FF2B5EF4-FFF2-40B4-BE49-F238E27FC236}">
              <a16:creationId xmlns:a16="http://schemas.microsoft.com/office/drawing/2014/main" id="{06CDEEBB-2DAF-6F2E-8ED9-6C154C48F6E8}"/>
            </a:ext>
          </a:extLst>
        </xdr:cNvPr>
        <xdr:cNvSpPr txBox="1"/>
      </xdr:nvSpPr>
      <xdr:spPr>
        <a:xfrm>
          <a:off x="14834945" y="699681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073291F-FF2A-4592-B3E3-08EC9F1BC712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57</xdr:col>
      <xdr:colOff>115023</xdr:colOff>
      <xdr:row>7</xdr:row>
      <xdr:rowOff>143625</xdr:rowOff>
    </xdr:from>
    <xdr:ext cx="224998" cy="444352"/>
    <xdr:sp macro="" textlink="'1.条件'!T6">
      <xdr:nvSpPr>
        <xdr:cNvPr id="10" name="テキスト ボックス 9">
          <a:extLst>
            <a:ext uri="{FF2B5EF4-FFF2-40B4-BE49-F238E27FC236}">
              <a16:creationId xmlns:a16="http://schemas.microsoft.com/office/drawing/2014/main" id="{1C39DE6D-A952-C045-984F-3E8F562D1391}"/>
            </a:ext>
          </a:extLst>
        </xdr:cNvPr>
        <xdr:cNvSpPr txBox="1"/>
      </xdr:nvSpPr>
      <xdr:spPr>
        <a:xfrm rot="16200000">
          <a:off x="13035546" y="1875273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1211461-6664-4F5C-9342-8CFF28976A0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60</xdr:col>
      <xdr:colOff>204246</xdr:colOff>
      <xdr:row>7</xdr:row>
      <xdr:rowOff>131186</xdr:rowOff>
    </xdr:from>
    <xdr:ext cx="444352" cy="224998"/>
    <xdr:sp macro="" textlink="$G$17">
      <xdr:nvSpPr>
        <xdr:cNvPr id="11" name="テキスト ボックス 10">
          <a:extLst>
            <a:ext uri="{FF2B5EF4-FFF2-40B4-BE49-F238E27FC236}">
              <a16:creationId xmlns:a16="http://schemas.microsoft.com/office/drawing/2014/main" id="{581D2063-96C9-77F8-ABF3-D852C17FB046}"/>
            </a:ext>
          </a:extLst>
        </xdr:cNvPr>
        <xdr:cNvSpPr txBox="1"/>
      </xdr:nvSpPr>
      <xdr:spPr>
        <a:xfrm>
          <a:off x="13920246" y="1753157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13D3674-B03A-49AF-BA03-4199FC906D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pPr/>
            <a:t>1.041</a:t>
          </a:fld>
          <a:endParaRPr kumimoji="1" lang="ja-JP" altLang="en-US" sz="900" i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59</xdr:col>
      <xdr:colOff>158063</xdr:colOff>
      <xdr:row>11</xdr:row>
      <xdr:rowOff>32560</xdr:rowOff>
    </xdr:from>
    <xdr:ext cx="559769" cy="224998"/>
    <xdr:sp macro="" textlink="$G$11">
      <xdr:nvSpPr>
        <xdr:cNvPr id="12" name="テキスト ボックス 11">
          <a:extLst>
            <a:ext uri="{FF2B5EF4-FFF2-40B4-BE49-F238E27FC236}">
              <a16:creationId xmlns:a16="http://schemas.microsoft.com/office/drawing/2014/main" id="{67AF9506-1D2A-53C3-E8FC-A04CF46E4448}"/>
            </a:ext>
          </a:extLst>
        </xdr:cNvPr>
        <xdr:cNvSpPr txBox="1"/>
      </xdr:nvSpPr>
      <xdr:spPr>
        <a:xfrm>
          <a:off x="13645463" y="2568931"/>
          <a:ext cx="55976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AAADAEB-CB8E-4548-B7B6-80F214B59E72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149.723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30257</xdr:colOff>
      <xdr:row>12</xdr:row>
      <xdr:rowOff>131172</xdr:rowOff>
    </xdr:from>
    <xdr:ext cx="559769" cy="224998"/>
    <xdr:sp macro="" textlink="$BG$19">
      <xdr:nvSpPr>
        <xdr:cNvPr id="13" name="テキスト ボックス 12">
          <a:extLst>
            <a:ext uri="{FF2B5EF4-FFF2-40B4-BE49-F238E27FC236}">
              <a16:creationId xmlns:a16="http://schemas.microsoft.com/office/drawing/2014/main" id="{A41E82CE-B7CD-A123-E8EF-33F055909D91}"/>
            </a:ext>
          </a:extLst>
        </xdr:cNvPr>
        <xdr:cNvSpPr txBox="1"/>
      </xdr:nvSpPr>
      <xdr:spPr>
        <a:xfrm>
          <a:off x="13289057" y="2896143"/>
          <a:ext cx="55976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49A3178-7A38-4F1D-A797-04FF7926668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155.825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198259</xdr:colOff>
      <xdr:row>14</xdr:row>
      <xdr:rowOff>14632</xdr:rowOff>
    </xdr:from>
    <xdr:ext cx="502061" cy="224998"/>
    <xdr:sp macro="" textlink="$J$11">
      <xdr:nvSpPr>
        <xdr:cNvPr id="15" name="テキスト ボックス 14">
          <a:extLst>
            <a:ext uri="{FF2B5EF4-FFF2-40B4-BE49-F238E27FC236}">
              <a16:creationId xmlns:a16="http://schemas.microsoft.com/office/drawing/2014/main" id="{89D40A0A-251F-FA95-241F-8207CD2E3636}"/>
            </a:ext>
          </a:extLst>
        </xdr:cNvPr>
        <xdr:cNvSpPr txBox="1"/>
      </xdr:nvSpPr>
      <xdr:spPr>
        <a:xfrm>
          <a:off x="13457059" y="3236803"/>
          <a:ext cx="50206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61F9077-237B-40D8-AF15-C8058DE47E1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66.083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61</xdr:col>
      <xdr:colOff>42062</xdr:colOff>
      <xdr:row>17</xdr:row>
      <xdr:rowOff>15696</xdr:rowOff>
    </xdr:from>
    <xdr:ext cx="444352" cy="224998"/>
    <xdr:sp macro="" textlink="$H$20">
      <xdr:nvSpPr>
        <xdr:cNvPr id="16" name="テキスト ボックス 15">
          <a:extLst>
            <a:ext uri="{FF2B5EF4-FFF2-40B4-BE49-F238E27FC236}">
              <a16:creationId xmlns:a16="http://schemas.microsoft.com/office/drawing/2014/main" id="{3B971D40-D7AB-844F-364C-02B8A3A226F0}"/>
            </a:ext>
          </a:extLst>
        </xdr:cNvPr>
        <xdr:cNvSpPr txBox="1"/>
      </xdr:nvSpPr>
      <xdr:spPr>
        <a:xfrm>
          <a:off x="13986662" y="3934553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FA56F37-4A2A-4A10-90D4-0599EE04117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31</xdr:col>
      <xdr:colOff>163285</xdr:colOff>
      <xdr:row>15</xdr:row>
      <xdr:rowOff>183931</xdr:rowOff>
    </xdr:from>
    <xdr:to>
      <xdr:col>33</xdr:col>
      <xdr:colOff>189187</xdr:colOff>
      <xdr:row>21</xdr:row>
      <xdr:rowOff>134820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DA45466-CEA8-4723-B775-50D6B9B636FE}"/>
            </a:ext>
          </a:extLst>
        </xdr:cNvPr>
        <xdr:cNvCxnSpPr/>
      </xdr:nvCxnSpPr>
      <xdr:spPr>
        <a:xfrm flipH="1">
          <a:off x="7331340" y="3442138"/>
          <a:ext cx="488357" cy="135965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204839</xdr:colOff>
      <xdr:row>4</xdr:row>
      <xdr:rowOff>192185</xdr:rowOff>
    </xdr:from>
    <xdr:to>
      <xdr:col>66</xdr:col>
      <xdr:colOff>108496</xdr:colOff>
      <xdr:row>14</xdr:row>
      <xdr:rowOff>29020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445B068-B81B-467A-81EC-C64F0FB305F7}"/>
            </a:ext>
          </a:extLst>
        </xdr:cNvPr>
        <xdr:cNvCxnSpPr/>
      </xdr:nvCxnSpPr>
      <xdr:spPr>
        <a:xfrm flipH="1">
          <a:off x="14378039" y="1106585"/>
          <a:ext cx="818057" cy="214460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144447</xdr:colOff>
      <xdr:row>14</xdr:row>
      <xdr:rowOff>34157</xdr:rowOff>
    </xdr:from>
    <xdr:to>
      <xdr:col>62</xdr:col>
      <xdr:colOff>188595</xdr:colOff>
      <xdr:row>15</xdr:row>
      <xdr:rowOff>178133</xdr:rowOff>
    </xdr:to>
    <xdr:sp macro="" textlink="">
      <xdr:nvSpPr>
        <xdr:cNvPr id="2" name="フローチャート: 手操作入力 1">
          <a:extLst>
            <a:ext uri="{FF2B5EF4-FFF2-40B4-BE49-F238E27FC236}">
              <a16:creationId xmlns:a16="http://schemas.microsoft.com/office/drawing/2014/main" id="{D1743F1F-34C9-4F84-84E6-EF43A91E586F}"/>
            </a:ext>
          </a:extLst>
        </xdr:cNvPr>
        <xdr:cNvSpPr/>
      </xdr:nvSpPr>
      <xdr:spPr>
        <a:xfrm flipV="1">
          <a:off x="13860447" y="3256328"/>
          <a:ext cx="501348" cy="372576"/>
        </a:xfrm>
        <a:prstGeom prst="flowChartManualInput">
          <a:avLst/>
        </a:prstGeom>
        <a:solidFill>
          <a:schemeClr val="accent2">
            <a:lumMod val="20000"/>
            <a:lumOff val="80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56711</xdr:colOff>
      <xdr:row>4</xdr:row>
      <xdr:rowOff>185691</xdr:rowOff>
    </xdr:from>
    <xdr:to>
      <xdr:col>66</xdr:col>
      <xdr:colOff>25622</xdr:colOff>
      <xdr:row>11</xdr:row>
      <xdr:rowOff>9061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3A65B5C2-601D-49B1-9B5A-2857109B11EE}"/>
            </a:ext>
          </a:extLst>
        </xdr:cNvPr>
        <xdr:cNvSpPr/>
      </xdr:nvSpPr>
      <xdr:spPr>
        <a:xfrm rot="12060000" flipH="1">
          <a:off x="14915711" y="1100091"/>
          <a:ext cx="197511" cy="1445341"/>
        </a:xfrm>
        <a:prstGeom prst="rtTriangle">
          <a:avLst/>
        </a:prstGeom>
        <a:solidFill>
          <a:schemeClr val="accent2">
            <a:lumMod val="20000"/>
            <a:lumOff val="80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22</xdr:col>
      <xdr:colOff>218772</xdr:colOff>
      <xdr:row>15</xdr:row>
      <xdr:rowOff>118562</xdr:rowOff>
    </xdr:from>
    <xdr:to>
      <xdr:col>25</xdr:col>
      <xdr:colOff>197673</xdr:colOff>
      <xdr:row>21</xdr:row>
      <xdr:rowOff>109583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020A8D3-FA40-476A-85DE-5D716CF1C75C}"/>
            </a:ext>
          </a:extLst>
        </xdr:cNvPr>
        <xdr:cNvCxnSpPr/>
      </xdr:nvCxnSpPr>
      <xdr:spPr>
        <a:xfrm flipV="1">
          <a:off x="5247972" y="3334202"/>
          <a:ext cx="664701" cy="138874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102941</xdr:colOff>
      <xdr:row>18</xdr:row>
      <xdr:rowOff>135618</xdr:rowOff>
    </xdr:from>
    <xdr:to>
      <xdr:col>29</xdr:col>
      <xdr:colOff>102941</xdr:colOff>
      <xdr:row>21</xdr:row>
      <xdr:rowOff>119224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21600A5-5D9A-4AC9-837C-C0E6E2E1756D}"/>
            </a:ext>
          </a:extLst>
        </xdr:cNvPr>
        <xdr:cNvCxnSpPr/>
      </xdr:nvCxnSpPr>
      <xdr:spPr>
        <a:xfrm>
          <a:off x="6786239" y="4083150"/>
          <a:ext cx="0" cy="689850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145202</xdr:colOff>
      <xdr:row>17</xdr:row>
      <xdr:rowOff>169491</xdr:rowOff>
    </xdr:from>
    <xdr:ext cx="323807" cy="22499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8A723A5-57FD-47C0-90C5-E8E6D7323B5D}"/>
            </a:ext>
          </a:extLst>
        </xdr:cNvPr>
        <xdr:cNvSpPr txBox="1"/>
      </xdr:nvSpPr>
      <xdr:spPr>
        <a:xfrm>
          <a:off x="6598041" y="3886564"/>
          <a:ext cx="32380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V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24</xdr:col>
      <xdr:colOff>28232</xdr:colOff>
      <xdr:row>22</xdr:row>
      <xdr:rowOff>202559</xdr:rowOff>
    </xdr:from>
    <xdr:ext cx="365165" cy="22499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120864-4A8E-4096-9D26-9C5C25C098BF}"/>
            </a:ext>
          </a:extLst>
        </xdr:cNvPr>
        <xdr:cNvSpPr txBox="1"/>
      </xdr:nvSpPr>
      <xdr:spPr>
        <a:xfrm>
          <a:off x="5514632" y="5035816"/>
          <a:ext cx="36516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25</xdr:col>
      <xdr:colOff>63705</xdr:colOff>
      <xdr:row>22</xdr:row>
      <xdr:rowOff>209623</xdr:rowOff>
    </xdr:from>
    <xdr:ext cx="444352" cy="224998"/>
    <xdr:sp macro="" textlink="$G$17">
      <xdr:nvSpPr>
        <xdr:cNvPr id="12" name="テキスト ボックス 11">
          <a:extLst>
            <a:ext uri="{FF2B5EF4-FFF2-40B4-BE49-F238E27FC236}">
              <a16:creationId xmlns:a16="http://schemas.microsoft.com/office/drawing/2014/main" id="{280C79C0-5C50-4DB9-B153-56CFE25BA96B}"/>
            </a:ext>
          </a:extLst>
        </xdr:cNvPr>
        <xdr:cNvSpPr txBox="1"/>
      </xdr:nvSpPr>
      <xdr:spPr>
        <a:xfrm>
          <a:off x="5778705" y="5042880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792447C-01CB-4946-87B7-0F4F2762754E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1.081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29</xdr:col>
      <xdr:colOff>138266</xdr:colOff>
      <xdr:row>17</xdr:row>
      <xdr:rowOff>164889</xdr:rowOff>
    </xdr:from>
    <xdr:ext cx="249748" cy="22499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CEE144F-2C3B-4EC7-A9F1-5DA391A8F7A0}"/>
            </a:ext>
          </a:extLst>
        </xdr:cNvPr>
        <xdr:cNvSpPr txBox="1"/>
      </xdr:nvSpPr>
      <xdr:spPr>
        <a:xfrm>
          <a:off x="6821564" y="3881962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31</xdr:col>
      <xdr:colOff>160766</xdr:colOff>
      <xdr:row>22</xdr:row>
      <xdr:rowOff>15240</xdr:rowOff>
    </xdr:from>
    <xdr:to>
      <xdr:col>31</xdr:col>
      <xdr:colOff>160766</xdr:colOff>
      <xdr:row>24</xdr:row>
      <xdr:rowOff>226228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C7028DCF-C440-49B7-9172-8BEE62710446}"/>
            </a:ext>
          </a:extLst>
        </xdr:cNvPr>
        <xdr:cNvCxnSpPr/>
      </xdr:nvCxnSpPr>
      <xdr:spPr>
        <a:xfrm>
          <a:off x="7247366" y="4846320"/>
          <a:ext cx="0" cy="679074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217503</xdr:colOff>
      <xdr:row>24</xdr:row>
      <xdr:rowOff>187797</xdr:rowOff>
    </xdr:from>
    <xdr:ext cx="349135" cy="22499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C1DBD79-F5C8-4C76-BD5A-6F386E4964C3}"/>
            </a:ext>
          </a:extLst>
        </xdr:cNvPr>
        <xdr:cNvSpPr txBox="1"/>
      </xdr:nvSpPr>
      <xdr:spPr>
        <a:xfrm>
          <a:off x="5932503" y="5478254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22</xdr:col>
      <xdr:colOff>224813</xdr:colOff>
      <xdr:row>24</xdr:row>
      <xdr:rowOff>207221</xdr:rowOff>
    </xdr:from>
    <xdr:to>
      <xdr:col>31</xdr:col>
      <xdr:colOff>160152</xdr:colOff>
      <xdr:row>24</xdr:row>
      <xdr:rowOff>207221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0DC4A18-989B-4FA1-AD7C-8F2C066AEE12}"/>
            </a:ext>
          </a:extLst>
        </xdr:cNvPr>
        <xdr:cNvCxnSpPr/>
      </xdr:nvCxnSpPr>
      <xdr:spPr>
        <a:xfrm>
          <a:off x="5254013" y="5495501"/>
          <a:ext cx="1992739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121727</xdr:colOff>
      <xdr:row>21</xdr:row>
      <xdr:rowOff>96445</xdr:rowOff>
    </xdr:from>
    <xdr:to>
      <xdr:col>31</xdr:col>
      <xdr:colOff>21745</xdr:colOff>
      <xdr:row>21</xdr:row>
      <xdr:rowOff>96445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074D090-95BA-4D57-ACF6-F10B3537F5F5}"/>
            </a:ext>
          </a:extLst>
        </xdr:cNvPr>
        <xdr:cNvCxnSpPr/>
      </xdr:nvCxnSpPr>
      <xdr:spPr>
        <a:xfrm rot="5400000">
          <a:off x="6985493" y="4569753"/>
          <a:ext cx="0" cy="360935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71683</xdr:colOff>
      <xdr:row>20</xdr:row>
      <xdr:rowOff>148848</xdr:rowOff>
    </xdr:from>
    <xdr:ext cx="335220" cy="22499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211321C-4FCA-4926-8861-77639E87BABD}"/>
            </a:ext>
          </a:extLst>
        </xdr:cNvPr>
        <xdr:cNvSpPr txBox="1"/>
      </xdr:nvSpPr>
      <xdr:spPr>
        <a:xfrm>
          <a:off x="6985439" y="4572165"/>
          <a:ext cx="33522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31</xdr:col>
      <xdr:colOff>29145</xdr:colOff>
      <xdr:row>20</xdr:row>
      <xdr:rowOff>145663</xdr:rowOff>
    </xdr:from>
    <xdr:ext cx="249748" cy="22499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7BA4507-0894-44D4-B139-CE7A47FDB228}"/>
            </a:ext>
          </a:extLst>
        </xdr:cNvPr>
        <xdr:cNvSpPr txBox="1"/>
      </xdr:nvSpPr>
      <xdr:spPr>
        <a:xfrm>
          <a:off x="7173360" y="4568980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22</xdr:col>
      <xdr:colOff>220854</xdr:colOff>
      <xdr:row>21</xdr:row>
      <xdr:rowOff>138729</xdr:rowOff>
    </xdr:from>
    <xdr:to>
      <xdr:col>31</xdr:col>
      <xdr:colOff>177120</xdr:colOff>
      <xdr:row>21</xdr:row>
      <xdr:rowOff>138729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2D3DC114-0F65-4973-B992-2EC426CBC186}"/>
            </a:ext>
          </a:extLst>
        </xdr:cNvPr>
        <xdr:cNvCxnSpPr/>
      </xdr:nvCxnSpPr>
      <xdr:spPr>
        <a:xfrm>
          <a:off x="5250054" y="4741209"/>
          <a:ext cx="2013666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1739</xdr:colOff>
      <xdr:row>22</xdr:row>
      <xdr:rowOff>45720</xdr:rowOff>
    </xdr:from>
    <xdr:to>
      <xdr:col>23</xdr:col>
      <xdr:colOff>1739</xdr:colOff>
      <xdr:row>24</xdr:row>
      <xdr:rowOff>226228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588CB876-ACE2-4389-9DD8-E4DB10D1042D}"/>
            </a:ext>
          </a:extLst>
        </xdr:cNvPr>
        <xdr:cNvCxnSpPr/>
      </xdr:nvCxnSpPr>
      <xdr:spPr>
        <a:xfrm>
          <a:off x="5259539" y="4876800"/>
          <a:ext cx="0" cy="648594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224813</xdr:colOff>
      <xdr:row>23</xdr:row>
      <xdr:rowOff>1481</xdr:rowOff>
    </xdr:from>
    <xdr:to>
      <xdr:col>29</xdr:col>
      <xdr:colOff>107813</xdr:colOff>
      <xdr:row>23</xdr:row>
      <xdr:rowOff>1481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6100E57C-130D-466B-99CE-26AA9901B837}"/>
            </a:ext>
          </a:extLst>
        </xdr:cNvPr>
        <xdr:cNvCxnSpPr/>
      </xdr:nvCxnSpPr>
      <xdr:spPr>
        <a:xfrm>
          <a:off x="5254013" y="5063338"/>
          <a:ext cx="14832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108355</xdr:colOff>
      <xdr:row>22</xdr:row>
      <xdr:rowOff>9276</xdr:rowOff>
    </xdr:from>
    <xdr:to>
      <xdr:col>29</xdr:col>
      <xdr:colOff>108355</xdr:colOff>
      <xdr:row>23</xdr:row>
      <xdr:rowOff>114300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149F30AD-C08C-426E-901D-90320F0F7C7C}"/>
            </a:ext>
          </a:extLst>
        </xdr:cNvPr>
        <xdr:cNvCxnSpPr/>
      </xdr:nvCxnSpPr>
      <xdr:spPr>
        <a:xfrm>
          <a:off x="6791653" y="4893510"/>
          <a:ext cx="0" cy="335483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138716</xdr:colOff>
      <xdr:row>9</xdr:row>
      <xdr:rowOff>32422</xdr:rowOff>
    </xdr:from>
    <xdr:ext cx="224998" cy="361959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88AEB32-0983-458C-BEA8-165F9B9B43A2}"/>
            </a:ext>
          </a:extLst>
        </xdr:cNvPr>
        <xdr:cNvSpPr txBox="1"/>
      </xdr:nvSpPr>
      <xdr:spPr>
        <a:xfrm rot="16200000">
          <a:off x="13100435" y="2180074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65</xdr:col>
      <xdr:colOff>32581</xdr:colOff>
      <xdr:row>4</xdr:row>
      <xdr:rowOff>196357</xdr:rowOff>
    </xdr:from>
    <xdr:to>
      <xdr:col>66</xdr:col>
      <xdr:colOff>91115</xdr:colOff>
      <xdr:row>4</xdr:row>
      <xdr:rowOff>196357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A78CCBD8-8640-42AD-A58E-BFAA0B187D0A}"/>
            </a:ext>
          </a:extLst>
        </xdr:cNvPr>
        <xdr:cNvCxnSpPr/>
      </xdr:nvCxnSpPr>
      <xdr:spPr>
        <a:xfrm>
          <a:off x="14891581" y="1110757"/>
          <a:ext cx="28713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200401</xdr:colOff>
      <xdr:row>4</xdr:row>
      <xdr:rowOff>78640</xdr:rowOff>
    </xdr:from>
    <xdr:to>
      <xdr:col>62</xdr:col>
      <xdr:colOff>200401</xdr:colOff>
      <xdr:row>14</xdr:row>
      <xdr:rowOff>145543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5CAFBDA0-463F-4FBE-B4D9-5663DAE7343C}"/>
            </a:ext>
          </a:extLst>
        </xdr:cNvPr>
        <xdr:cNvCxnSpPr/>
      </xdr:nvCxnSpPr>
      <xdr:spPr>
        <a:xfrm rot="6960000">
          <a:off x="13186264" y="2180377"/>
          <a:ext cx="237467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20893</xdr:colOff>
      <xdr:row>3</xdr:row>
      <xdr:rowOff>13881</xdr:rowOff>
    </xdr:from>
    <xdr:ext cx="336311" cy="224998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72B9A2F-A42F-468A-B4C2-92379B6914A9}"/>
            </a:ext>
          </a:extLst>
        </xdr:cNvPr>
        <xdr:cNvSpPr txBox="1"/>
      </xdr:nvSpPr>
      <xdr:spPr>
        <a:xfrm>
          <a:off x="14651293" y="699681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58</xdr:col>
      <xdr:colOff>21329</xdr:colOff>
      <xdr:row>4</xdr:row>
      <xdr:rowOff>195744</xdr:rowOff>
    </xdr:from>
    <xdr:to>
      <xdr:col>63</xdr:col>
      <xdr:colOff>122852</xdr:colOff>
      <xdr:row>4</xdr:row>
      <xdr:rowOff>195744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5E5958E2-7C6B-4B29-8305-44F91EAF7034}"/>
            </a:ext>
          </a:extLst>
        </xdr:cNvPr>
        <xdr:cNvCxnSpPr/>
      </xdr:nvCxnSpPr>
      <xdr:spPr>
        <a:xfrm>
          <a:off x="13280129" y="1110144"/>
          <a:ext cx="124452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101743</xdr:colOff>
      <xdr:row>4</xdr:row>
      <xdr:rowOff>188550</xdr:rowOff>
    </xdr:from>
    <xdr:to>
      <xdr:col>58</xdr:col>
      <xdr:colOff>101743</xdr:colOff>
      <xdr:row>14</xdr:row>
      <xdr:rowOff>17089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7FCE56B4-B290-4932-B64E-4C1EC970FFAF}"/>
            </a:ext>
          </a:extLst>
        </xdr:cNvPr>
        <xdr:cNvCxnSpPr/>
      </xdr:nvCxnSpPr>
      <xdr:spPr>
        <a:xfrm>
          <a:off x="13360543" y="1102950"/>
          <a:ext cx="0" cy="2136310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41655</xdr:colOff>
      <xdr:row>3</xdr:row>
      <xdr:rowOff>194264</xdr:rowOff>
    </xdr:from>
    <xdr:to>
      <xdr:col>65</xdr:col>
      <xdr:colOff>41655</xdr:colOff>
      <xdr:row>4</xdr:row>
      <xdr:rowOff>123375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F3034441-78CA-4C45-971A-368190827D6A}"/>
            </a:ext>
          </a:extLst>
        </xdr:cNvPr>
        <xdr:cNvCxnSpPr/>
      </xdr:nvCxnSpPr>
      <xdr:spPr>
        <a:xfrm>
          <a:off x="14900655" y="880064"/>
          <a:ext cx="0" cy="15771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46350</xdr:colOff>
      <xdr:row>14</xdr:row>
      <xdr:rowOff>26936</xdr:rowOff>
    </xdr:from>
    <xdr:to>
      <xdr:col>58</xdr:col>
      <xdr:colOff>203879</xdr:colOff>
      <xdr:row>14</xdr:row>
      <xdr:rowOff>26936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2DAF0CAD-C46A-4931-9261-57AD8DA4F649}"/>
            </a:ext>
          </a:extLst>
        </xdr:cNvPr>
        <xdr:cNvCxnSpPr/>
      </xdr:nvCxnSpPr>
      <xdr:spPr>
        <a:xfrm>
          <a:off x="13305150" y="3249107"/>
          <a:ext cx="15752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93864</xdr:colOff>
      <xdr:row>3</xdr:row>
      <xdr:rowOff>194264</xdr:rowOff>
    </xdr:from>
    <xdr:to>
      <xdr:col>66</xdr:col>
      <xdr:colOff>93864</xdr:colOff>
      <xdr:row>4</xdr:row>
      <xdr:rowOff>123375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DF06E2A1-A25A-43E2-956A-2F5DB8EFED3D}"/>
            </a:ext>
          </a:extLst>
        </xdr:cNvPr>
        <xdr:cNvCxnSpPr/>
      </xdr:nvCxnSpPr>
      <xdr:spPr>
        <a:xfrm>
          <a:off x="15181464" y="880064"/>
          <a:ext cx="0" cy="15771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41169</xdr:colOff>
      <xdr:row>4</xdr:row>
      <xdr:rowOff>3059</xdr:rowOff>
    </xdr:from>
    <xdr:to>
      <xdr:col>66</xdr:col>
      <xdr:colOff>93345</xdr:colOff>
      <xdr:row>4</xdr:row>
      <xdr:rowOff>3059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6AF8F460-A2F2-4ABB-9396-A0F04FD6A1BB}"/>
            </a:ext>
          </a:extLst>
        </xdr:cNvPr>
        <xdr:cNvCxnSpPr/>
      </xdr:nvCxnSpPr>
      <xdr:spPr>
        <a:xfrm>
          <a:off x="14900169" y="917459"/>
          <a:ext cx="28077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91996</xdr:colOff>
      <xdr:row>17</xdr:row>
      <xdr:rowOff>35203</xdr:rowOff>
    </xdr:from>
    <xdr:ext cx="349135" cy="224998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1732CB8-B42C-409D-B180-7CAE8149F41C}"/>
            </a:ext>
          </a:extLst>
        </xdr:cNvPr>
        <xdr:cNvSpPr txBox="1"/>
      </xdr:nvSpPr>
      <xdr:spPr>
        <a:xfrm>
          <a:off x="13807996" y="3943174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142521</xdr:colOff>
      <xdr:row>17</xdr:row>
      <xdr:rowOff>73234</xdr:rowOff>
    </xdr:from>
    <xdr:to>
      <xdr:col>62</xdr:col>
      <xdr:colOff>189321</xdr:colOff>
      <xdr:row>17</xdr:row>
      <xdr:rowOff>73234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F143B5F5-DB6E-4ADA-AFD5-CB160012F71D}"/>
            </a:ext>
          </a:extLst>
        </xdr:cNvPr>
        <xdr:cNvCxnSpPr/>
      </xdr:nvCxnSpPr>
      <xdr:spPr>
        <a:xfrm>
          <a:off x="13858521" y="3981205"/>
          <a:ext cx="504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144473</xdr:colOff>
      <xdr:row>16</xdr:row>
      <xdr:rowOff>30437</xdr:rowOff>
    </xdr:from>
    <xdr:to>
      <xdr:col>60</xdr:col>
      <xdr:colOff>144473</xdr:colOff>
      <xdr:row>17</xdr:row>
      <xdr:rowOff>116235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13104121-6B6E-4AB0-8C44-8EDADFA6A9E5}"/>
            </a:ext>
          </a:extLst>
        </xdr:cNvPr>
        <xdr:cNvCxnSpPr/>
      </xdr:nvCxnSpPr>
      <xdr:spPr>
        <a:xfrm>
          <a:off x="13860473" y="3709808"/>
          <a:ext cx="0" cy="314398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139470</xdr:colOff>
      <xdr:row>14</xdr:row>
      <xdr:rowOff>29317</xdr:rowOff>
    </xdr:from>
    <xdr:to>
      <xdr:col>62</xdr:col>
      <xdr:colOff>186270</xdr:colOff>
      <xdr:row>14</xdr:row>
      <xdr:rowOff>29317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2A2FFA3-B4DE-474F-8499-8C456D8E5312}"/>
            </a:ext>
          </a:extLst>
        </xdr:cNvPr>
        <xdr:cNvCxnSpPr/>
      </xdr:nvCxnSpPr>
      <xdr:spPr>
        <a:xfrm>
          <a:off x="13855470" y="3251488"/>
          <a:ext cx="504000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191435</xdr:colOff>
      <xdr:row>16</xdr:row>
      <xdr:rowOff>10558</xdr:rowOff>
    </xdr:from>
    <xdr:to>
      <xdr:col>62</xdr:col>
      <xdr:colOff>191435</xdr:colOff>
      <xdr:row>17</xdr:row>
      <xdr:rowOff>96356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FC627DFB-969C-46FF-9C3F-AF42352FCBE9}"/>
            </a:ext>
          </a:extLst>
        </xdr:cNvPr>
        <xdr:cNvCxnSpPr/>
      </xdr:nvCxnSpPr>
      <xdr:spPr>
        <a:xfrm>
          <a:off x="14364635" y="3689929"/>
          <a:ext cx="0" cy="314398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68</xdr:col>
      <xdr:colOff>7620</xdr:colOff>
      <xdr:row>5</xdr:row>
      <xdr:rowOff>96120</xdr:rowOff>
    </xdr:from>
    <xdr:to>
      <xdr:col>69</xdr:col>
      <xdr:colOff>186690</xdr:colOff>
      <xdr:row>6</xdr:row>
      <xdr:rowOff>13257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A134AE20-5C32-40FD-95FB-E851626F88BB}"/>
            </a:ext>
          </a:extLst>
        </xdr:cNvPr>
        <xdr:cNvCxnSpPr/>
      </xdr:nvCxnSpPr>
      <xdr:spPr>
        <a:xfrm>
          <a:off x="15552420" y="1250006"/>
          <a:ext cx="407670" cy="145737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45558</xdr:colOff>
      <xdr:row>5</xdr:row>
      <xdr:rowOff>225175</xdr:rowOff>
    </xdr:from>
    <xdr:to>
      <xdr:col>69</xdr:col>
      <xdr:colOff>148306</xdr:colOff>
      <xdr:row>15</xdr:row>
      <xdr:rowOff>85546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26560910-5D6A-4C2F-889C-1C8284F1953D}"/>
            </a:ext>
          </a:extLst>
        </xdr:cNvPr>
        <xdr:cNvCxnSpPr/>
      </xdr:nvCxnSpPr>
      <xdr:spPr>
        <a:xfrm flipH="1">
          <a:off x="15133158" y="1379061"/>
          <a:ext cx="788548" cy="2157256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130383</xdr:colOff>
      <xdr:row>14</xdr:row>
      <xdr:rowOff>99865</xdr:rowOff>
    </xdr:from>
    <xdr:to>
      <xdr:col>66</xdr:col>
      <xdr:colOff>106537</xdr:colOff>
      <xdr:row>15</xdr:row>
      <xdr:rowOff>112196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5448251A-3F6D-4C6C-8F6C-F2C6EBE9B588}"/>
            </a:ext>
          </a:extLst>
        </xdr:cNvPr>
        <xdr:cNvCxnSpPr/>
      </xdr:nvCxnSpPr>
      <xdr:spPr>
        <a:xfrm>
          <a:off x="14532183" y="3322036"/>
          <a:ext cx="661954" cy="24093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212720</xdr:colOff>
      <xdr:row>10</xdr:row>
      <xdr:rowOff>9417</xdr:rowOff>
    </xdr:from>
    <xdr:ext cx="242374" cy="271228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4723BEB-90BA-4CFF-8EC4-AAC89F59937F}"/>
            </a:ext>
          </a:extLst>
        </xdr:cNvPr>
        <xdr:cNvSpPr txBox="1"/>
      </xdr:nvSpPr>
      <xdr:spPr>
        <a:xfrm rot="17460000">
          <a:off x="15514493" y="2331615"/>
          <a:ext cx="27122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66</xdr:col>
      <xdr:colOff>195138</xdr:colOff>
      <xdr:row>7</xdr:row>
      <xdr:rowOff>113282</xdr:rowOff>
    </xdr:from>
    <xdr:ext cx="242374" cy="640688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A48F0F9-097D-4FDC-9114-36375B1EC193}"/>
            </a:ext>
          </a:extLst>
        </xdr:cNvPr>
        <xdr:cNvSpPr txBox="1"/>
      </xdr:nvSpPr>
      <xdr:spPr>
        <a:xfrm rot="17460000">
          <a:off x="15083581" y="1934410"/>
          <a:ext cx="64068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₂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κ</a:t>
          </a:r>
          <a:r>
            <a:rPr kumimoji="1" lang="en-US" altLang="ja-JP" sz="900" i="1" baseline="-250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・</a:t>
          </a:r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63339</xdr:colOff>
      <xdr:row>12</xdr:row>
      <xdr:rowOff>73286</xdr:rowOff>
    </xdr:from>
    <xdr:ext cx="242374" cy="305853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52ABDC75-2F7B-40F2-AA8B-13A7C52DDA8F}"/>
            </a:ext>
          </a:extLst>
        </xdr:cNvPr>
        <xdr:cNvSpPr txBox="1"/>
      </xdr:nvSpPr>
      <xdr:spPr>
        <a:xfrm rot="17460000">
          <a:off x="14890599" y="2869997"/>
          <a:ext cx="305853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₁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192817</xdr:colOff>
      <xdr:row>11</xdr:row>
      <xdr:rowOff>98623</xdr:rowOff>
    </xdr:from>
    <xdr:to>
      <xdr:col>66</xdr:col>
      <xdr:colOff>22888</xdr:colOff>
      <xdr:row>14</xdr:row>
      <xdr:rowOff>198175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4D374763-2F6C-4174-A267-EB2295F9FA5C}"/>
            </a:ext>
          </a:extLst>
        </xdr:cNvPr>
        <xdr:cNvCxnSpPr/>
      </xdr:nvCxnSpPr>
      <xdr:spPr>
        <a:xfrm flipH="1">
          <a:off x="14823217" y="2634994"/>
          <a:ext cx="287271" cy="785352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22830</xdr:colOff>
      <xdr:row>5</xdr:row>
      <xdr:rowOff>116337</xdr:rowOff>
    </xdr:from>
    <xdr:to>
      <xdr:col>68</xdr:col>
      <xdr:colOff>57222</xdr:colOff>
      <xdr:row>11</xdr:row>
      <xdr:rowOff>97176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3A634A6B-36AA-4992-8CE0-F9D1146CA2F9}"/>
            </a:ext>
          </a:extLst>
        </xdr:cNvPr>
        <xdr:cNvCxnSpPr/>
      </xdr:nvCxnSpPr>
      <xdr:spPr>
        <a:xfrm flipH="1">
          <a:off x="15110430" y="1270223"/>
          <a:ext cx="491592" cy="1363324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149829</xdr:colOff>
      <xdr:row>11</xdr:row>
      <xdr:rowOff>62228</xdr:rowOff>
    </xdr:from>
    <xdr:to>
      <xdr:col>66</xdr:col>
      <xdr:colOff>67545</xdr:colOff>
      <xdr:row>11</xdr:row>
      <xdr:rowOff>113527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F4A083E3-C7BB-4329-8F5F-AD4C1D3A14E1}"/>
            </a:ext>
          </a:extLst>
        </xdr:cNvPr>
        <xdr:cNvCxnSpPr/>
      </xdr:nvCxnSpPr>
      <xdr:spPr>
        <a:xfrm>
          <a:off x="15008829" y="2598599"/>
          <a:ext cx="146316" cy="5129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137509</xdr:colOff>
      <xdr:row>5</xdr:row>
      <xdr:rowOff>38024</xdr:rowOff>
    </xdr:from>
    <xdr:to>
      <xdr:col>66</xdr:col>
      <xdr:colOff>226486</xdr:colOff>
      <xdr:row>6</xdr:row>
      <xdr:rowOff>113275</xdr:rowOff>
    </xdr:to>
    <xdr:sp macro="" textlink="">
      <xdr:nvSpPr>
        <xdr:cNvPr id="51" name="円弧 50">
          <a:extLst>
            <a:ext uri="{FF2B5EF4-FFF2-40B4-BE49-F238E27FC236}">
              <a16:creationId xmlns:a16="http://schemas.microsoft.com/office/drawing/2014/main" id="{F630FEF8-922F-48B5-81D2-863E1B172F87}"/>
            </a:ext>
          </a:extLst>
        </xdr:cNvPr>
        <xdr:cNvSpPr/>
      </xdr:nvSpPr>
      <xdr:spPr>
        <a:xfrm rot="11917365">
          <a:off x="14996509" y="1191910"/>
          <a:ext cx="317577" cy="303851"/>
        </a:xfrm>
        <a:prstGeom prst="arc">
          <a:avLst>
            <a:gd name="adj1" fmla="val 14457045"/>
            <a:gd name="adj2" fmla="val 17704889"/>
          </a:avLst>
        </a:prstGeom>
        <a:noFill/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66</xdr:col>
      <xdr:colOff>92621</xdr:colOff>
      <xdr:row>4</xdr:row>
      <xdr:rowOff>199701</xdr:rowOff>
    </xdr:from>
    <xdr:to>
      <xdr:col>66</xdr:col>
      <xdr:colOff>92621</xdr:colOff>
      <xdr:row>6</xdr:row>
      <xdr:rowOff>232670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E47BC56A-6F1C-4E23-B0E3-0F6CCC60477A}"/>
            </a:ext>
          </a:extLst>
        </xdr:cNvPr>
        <xdr:cNvCxnSpPr/>
      </xdr:nvCxnSpPr>
      <xdr:spPr>
        <a:xfrm>
          <a:off x="15180221" y="1114101"/>
          <a:ext cx="0" cy="501055"/>
        </a:xfrm>
        <a:prstGeom prst="line">
          <a:avLst/>
        </a:prstGeom>
        <a:ln w="3175">
          <a:solidFill>
            <a:schemeClr val="tx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65</xdr:col>
      <xdr:colOff>223122</xdr:colOff>
      <xdr:row>6</xdr:row>
      <xdr:rowOff>296</xdr:rowOff>
    </xdr:from>
    <xdr:ext cx="300082" cy="242374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8A187F94-9060-4FB6-99C8-CFBFA22822B2}"/>
            </a:ext>
          </a:extLst>
        </xdr:cNvPr>
        <xdr:cNvSpPr txBox="1"/>
      </xdr:nvSpPr>
      <xdr:spPr>
        <a:xfrm>
          <a:off x="15094725" y="1404082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θ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101664</xdr:colOff>
      <xdr:row>6</xdr:row>
      <xdr:rowOff>20140</xdr:rowOff>
    </xdr:from>
    <xdr:ext cx="249748" cy="224998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DEE193C1-A8D5-4746-A626-7387B80C97FE}"/>
            </a:ext>
          </a:extLst>
        </xdr:cNvPr>
        <xdr:cNvSpPr txBox="1"/>
      </xdr:nvSpPr>
      <xdr:spPr>
        <a:xfrm>
          <a:off x="15189264" y="1413511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143631</xdr:colOff>
      <xdr:row>4</xdr:row>
      <xdr:rowOff>56150</xdr:rowOff>
    </xdr:from>
    <xdr:ext cx="263727" cy="224998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68EB4C73-E0BA-4385-B4A0-91C4A4E75338}"/>
            </a:ext>
          </a:extLst>
        </xdr:cNvPr>
        <xdr:cNvSpPr txBox="1"/>
      </xdr:nvSpPr>
      <xdr:spPr>
        <a:xfrm>
          <a:off x="15231231" y="970550"/>
          <a:ext cx="26372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105352</xdr:colOff>
      <xdr:row>6</xdr:row>
      <xdr:rowOff>203031</xdr:rowOff>
    </xdr:from>
    <xdr:ext cx="289375" cy="224998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DCBAD0B-BC6C-4555-848C-C0A7F4E30835}"/>
            </a:ext>
          </a:extLst>
        </xdr:cNvPr>
        <xdr:cNvSpPr txBox="1"/>
      </xdr:nvSpPr>
      <xdr:spPr>
        <a:xfrm>
          <a:off x="15192952" y="1596402"/>
          <a:ext cx="28937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65</xdr:col>
      <xdr:colOff>142588</xdr:colOff>
      <xdr:row>6</xdr:row>
      <xdr:rowOff>199790</xdr:rowOff>
    </xdr:from>
    <xdr:to>
      <xdr:col>66</xdr:col>
      <xdr:colOff>180293</xdr:colOff>
      <xdr:row>7</xdr:row>
      <xdr:rowOff>36666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45AA2215-69AF-4DF3-BBEF-F700B788B87A}"/>
            </a:ext>
          </a:extLst>
        </xdr:cNvPr>
        <xdr:cNvCxnSpPr/>
      </xdr:nvCxnSpPr>
      <xdr:spPr>
        <a:xfrm flipH="1" flipV="1">
          <a:off x="15001588" y="1593161"/>
          <a:ext cx="266305" cy="76361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102231</xdr:colOff>
      <xdr:row>14</xdr:row>
      <xdr:rowOff>29715</xdr:rowOff>
    </xdr:from>
    <xdr:to>
      <xdr:col>61</xdr:col>
      <xdr:colOff>102231</xdr:colOff>
      <xdr:row>16</xdr:row>
      <xdr:rowOff>61594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D261CD2F-8FBC-4C38-BD5D-23EA98065746}"/>
            </a:ext>
          </a:extLst>
        </xdr:cNvPr>
        <xdr:cNvCxnSpPr/>
      </xdr:nvCxnSpPr>
      <xdr:spPr>
        <a:xfrm flipV="1">
          <a:off x="14046831" y="3251886"/>
          <a:ext cx="0" cy="499965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192976</xdr:colOff>
      <xdr:row>16</xdr:row>
      <xdr:rowOff>22085</xdr:rowOff>
    </xdr:from>
    <xdr:ext cx="315023" cy="224998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36BD2A5D-0595-4991-8B8B-E769EF1DC1F7}"/>
            </a:ext>
          </a:extLst>
        </xdr:cNvPr>
        <xdr:cNvSpPr txBox="1"/>
      </xdr:nvSpPr>
      <xdr:spPr>
        <a:xfrm>
          <a:off x="13908976" y="3701456"/>
          <a:ext cx="31502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V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78932</xdr:colOff>
      <xdr:row>12</xdr:row>
      <xdr:rowOff>115383</xdr:rowOff>
    </xdr:from>
    <xdr:to>
      <xdr:col>63</xdr:col>
      <xdr:colOff>21836</xdr:colOff>
      <xdr:row>14</xdr:row>
      <xdr:rowOff>22869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31421CE3-8BAF-425D-A724-058A0ACD4C64}"/>
            </a:ext>
          </a:extLst>
        </xdr:cNvPr>
        <xdr:cNvCxnSpPr/>
      </xdr:nvCxnSpPr>
      <xdr:spPr>
        <a:xfrm flipH="1">
          <a:off x="14252132" y="2880354"/>
          <a:ext cx="171504" cy="364686"/>
        </a:xfrm>
        <a:prstGeom prst="line">
          <a:avLst/>
        </a:prstGeom>
        <a:ln w="25400">
          <a:solidFill>
            <a:schemeClr val="tx1"/>
          </a:solidFill>
          <a:prstDash val="sysDash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41415</xdr:colOff>
      <xdr:row>11</xdr:row>
      <xdr:rowOff>110248</xdr:rowOff>
    </xdr:from>
    <xdr:ext cx="562846" cy="285527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9F7FA8A2-1C3E-4FB0-9A46-7DD8C35A71F1}"/>
            </a:ext>
          </a:extLst>
        </xdr:cNvPr>
        <xdr:cNvSpPr txBox="1"/>
      </xdr:nvSpPr>
      <xdr:spPr>
        <a:xfrm>
          <a:off x="14214615" y="2646619"/>
          <a:ext cx="562846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kumimoji="1" lang="ja-JP" altLang="en-US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合力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kumimoji="1" lang="ja-JP" altLang="en-US" sz="900" i="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141659</xdr:colOff>
      <xdr:row>14</xdr:row>
      <xdr:rowOff>66180</xdr:rowOff>
    </xdr:from>
    <xdr:to>
      <xdr:col>63</xdr:col>
      <xdr:colOff>46037</xdr:colOff>
      <xdr:row>14</xdr:row>
      <xdr:rowOff>66181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E90D7EAA-A15E-4772-922D-F581CC276A74}"/>
            </a:ext>
          </a:extLst>
        </xdr:cNvPr>
        <xdr:cNvCxnSpPr/>
      </xdr:nvCxnSpPr>
      <xdr:spPr>
        <a:xfrm>
          <a:off x="14086259" y="3288351"/>
          <a:ext cx="361578" cy="1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143923</xdr:colOff>
      <xdr:row>14</xdr:row>
      <xdr:rowOff>29275</xdr:rowOff>
    </xdr:from>
    <xdr:ext cx="323615" cy="224998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A67BE06D-FA1F-46AE-B7C3-EE8E513B3D11}"/>
            </a:ext>
          </a:extLst>
        </xdr:cNvPr>
        <xdr:cNvSpPr txBox="1"/>
      </xdr:nvSpPr>
      <xdr:spPr>
        <a:xfrm>
          <a:off x="14088523" y="3251446"/>
          <a:ext cx="32361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62</xdr:col>
      <xdr:colOff>130897</xdr:colOff>
      <xdr:row>15</xdr:row>
      <xdr:rowOff>27060</xdr:rowOff>
    </xdr:from>
    <xdr:ext cx="315023" cy="224998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B06CC286-0D04-4489-9614-B55D2E6B1730}"/>
            </a:ext>
          </a:extLst>
        </xdr:cNvPr>
        <xdr:cNvSpPr txBox="1"/>
      </xdr:nvSpPr>
      <xdr:spPr>
        <a:xfrm>
          <a:off x="14304097" y="3477831"/>
          <a:ext cx="31502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v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900" i="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59</xdr:col>
      <xdr:colOff>131500</xdr:colOff>
      <xdr:row>14</xdr:row>
      <xdr:rowOff>170969</xdr:rowOff>
    </xdr:from>
    <xdr:ext cx="315023" cy="224998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34663478-B724-49A3-BEF5-EB625CB82E3F}"/>
            </a:ext>
          </a:extLst>
        </xdr:cNvPr>
        <xdr:cNvSpPr txBox="1"/>
      </xdr:nvSpPr>
      <xdr:spPr>
        <a:xfrm>
          <a:off x="13618900" y="3393140"/>
          <a:ext cx="31502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v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900" i="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60</xdr:col>
      <xdr:colOff>112361</xdr:colOff>
      <xdr:row>13</xdr:row>
      <xdr:rowOff>226970</xdr:rowOff>
    </xdr:from>
    <xdr:to>
      <xdr:col>60</xdr:col>
      <xdr:colOff>164026</xdr:colOff>
      <xdr:row>14</xdr:row>
      <xdr:rowOff>54517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C3F082AD-81FE-45F1-9597-8AEE84EE2660}"/>
            </a:ext>
          </a:extLst>
        </xdr:cNvPr>
        <xdr:cNvSpPr/>
      </xdr:nvSpPr>
      <xdr:spPr>
        <a:xfrm>
          <a:off x="13828361" y="3220541"/>
          <a:ext cx="51665" cy="56147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60</xdr:col>
      <xdr:colOff>140179</xdr:colOff>
      <xdr:row>12</xdr:row>
      <xdr:rowOff>6390</xdr:rowOff>
    </xdr:from>
    <xdr:to>
      <xdr:col>60</xdr:col>
      <xdr:colOff>140179</xdr:colOff>
      <xdr:row>13</xdr:row>
      <xdr:rowOff>219079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D49E7C2B-A51F-4D95-8769-0DA343F6FA20}"/>
            </a:ext>
          </a:extLst>
        </xdr:cNvPr>
        <xdr:cNvCxnSpPr/>
      </xdr:nvCxnSpPr>
      <xdr:spPr>
        <a:xfrm>
          <a:off x="13856179" y="2771361"/>
          <a:ext cx="0" cy="441289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134488</xdr:colOff>
      <xdr:row>11</xdr:row>
      <xdr:rowOff>33286</xdr:rowOff>
    </xdr:from>
    <xdr:ext cx="322396" cy="224998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969512CE-9478-46EA-A4B7-0FBF59801E63}"/>
            </a:ext>
          </a:extLst>
        </xdr:cNvPr>
        <xdr:cNvSpPr txBox="1"/>
      </xdr:nvSpPr>
      <xdr:spPr>
        <a:xfrm>
          <a:off x="13393288" y="2569657"/>
          <a:ext cx="32239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V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59</xdr:col>
      <xdr:colOff>23658</xdr:colOff>
      <xdr:row>14</xdr:row>
      <xdr:rowOff>34659</xdr:rowOff>
    </xdr:from>
    <xdr:to>
      <xdr:col>60</xdr:col>
      <xdr:colOff>103098</xdr:colOff>
      <xdr:row>14</xdr:row>
      <xdr:rowOff>34659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9DCCE691-4BFC-459A-8A5C-38944EDA8453}"/>
            </a:ext>
          </a:extLst>
        </xdr:cNvPr>
        <xdr:cNvCxnSpPr/>
      </xdr:nvCxnSpPr>
      <xdr:spPr>
        <a:xfrm flipH="1">
          <a:off x="13511058" y="3256830"/>
          <a:ext cx="308040" cy="0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116321</xdr:colOff>
      <xdr:row>14</xdr:row>
      <xdr:rowOff>14414</xdr:rowOff>
    </xdr:from>
    <xdr:ext cx="335220" cy="224998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6FFB602D-3A05-46C8-AFA6-824A572D23A0}"/>
            </a:ext>
          </a:extLst>
        </xdr:cNvPr>
        <xdr:cNvSpPr txBox="1"/>
      </xdr:nvSpPr>
      <xdr:spPr>
        <a:xfrm>
          <a:off x="13146521" y="3236585"/>
          <a:ext cx="33522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59</xdr:col>
      <xdr:colOff>164787</xdr:colOff>
      <xdr:row>13</xdr:row>
      <xdr:rowOff>67636</xdr:rowOff>
    </xdr:from>
    <xdr:to>
      <xdr:col>61</xdr:col>
      <xdr:colOff>29647</xdr:colOff>
      <xdr:row>14</xdr:row>
      <xdr:rowOff>142886</xdr:rowOff>
    </xdr:to>
    <xdr:sp macro="" textlink="">
      <xdr:nvSpPr>
        <xdr:cNvPr id="71" name="円弧 70">
          <a:extLst>
            <a:ext uri="{FF2B5EF4-FFF2-40B4-BE49-F238E27FC236}">
              <a16:creationId xmlns:a16="http://schemas.microsoft.com/office/drawing/2014/main" id="{ACB11C30-B65B-4CE4-989A-3175F835EAA3}"/>
            </a:ext>
          </a:extLst>
        </xdr:cNvPr>
        <xdr:cNvSpPr/>
      </xdr:nvSpPr>
      <xdr:spPr>
        <a:xfrm>
          <a:off x="13652187" y="3061207"/>
          <a:ext cx="322060" cy="303850"/>
        </a:xfrm>
        <a:prstGeom prst="arc">
          <a:avLst>
            <a:gd name="adj1" fmla="val 12510240"/>
            <a:gd name="adj2" fmla="val 84120"/>
          </a:avLst>
        </a:prstGeom>
        <a:noFill/>
        <a:ln w="2540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56</xdr:col>
      <xdr:colOff>220252</xdr:colOff>
      <xdr:row>12</xdr:row>
      <xdr:rowOff>120955</xdr:rowOff>
    </xdr:from>
    <xdr:ext cx="319255" cy="224998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F4B7232F-1F58-4319-B3E3-57B9C134C12D}"/>
            </a:ext>
          </a:extLst>
        </xdr:cNvPr>
        <xdr:cNvSpPr txBox="1"/>
      </xdr:nvSpPr>
      <xdr:spPr>
        <a:xfrm>
          <a:off x="13021852" y="2885926"/>
          <a:ext cx="31925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125376</xdr:colOff>
      <xdr:row>8</xdr:row>
      <xdr:rowOff>98444</xdr:rowOff>
    </xdr:from>
    <xdr:to>
      <xdr:col>62</xdr:col>
      <xdr:colOff>52754</xdr:colOff>
      <xdr:row>8</xdr:row>
      <xdr:rowOff>98444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2B298784-24B3-4D0E-A407-5C07C63E8D3D}"/>
            </a:ext>
          </a:extLst>
        </xdr:cNvPr>
        <xdr:cNvCxnSpPr/>
      </xdr:nvCxnSpPr>
      <xdr:spPr>
        <a:xfrm>
          <a:off x="13841376" y="1949015"/>
          <a:ext cx="38457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127329</xdr:colOff>
      <xdr:row>8</xdr:row>
      <xdr:rowOff>66549</xdr:rowOff>
    </xdr:from>
    <xdr:to>
      <xdr:col>60</xdr:col>
      <xdr:colOff>127329</xdr:colOff>
      <xdr:row>10</xdr:row>
      <xdr:rowOff>142195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7D063E01-AC53-4F3F-A25A-A02062C1E390}"/>
            </a:ext>
          </a:extLst>
        </xdr:cNvPr>
        <xdr:cNvCxnSpPr/>
      </xdr:nvCxnSpPr>
      <xdr:spPr>
        <a:xfrm>
          <a:off x="13843329" y="1917120"/>
          <a:ext cx="0" cy="532846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52092</xdr:colOff>
      <xdr:row>8</xdr:row>
      <xdr:rowOff>68651</xdr:rowOff>
    </xdr:from>
    <xdr:to>
      <xdr:col>62</xdr:col>
      <xdr:colOff>52092</xdr:colOff>
      <xdr:row>13</xdr:row>
      <xdr:rowOff>174160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C2F616C3-71D5-485E-B9C9-BB45AD5E75D7}"/>
            </a:ext>
          </a:extLst>
        </xdr:cNvPr>
        <xdr:cNvCxnSpPr/>
      </xdr:nvCxnSpPr>
      <xdr:spPr>
        <a:xfrm>
          <a:off x="14225292" y="1919222"/>
          <a:ext cx="0" cy="124850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7023</xdr:colOff>
      <xdr:row>7</xdr:row>
      <xdr:rowOff>140151</xdr:rowOff>
    </xdr:from>
    <xdr:ext cx="336311" cy="224998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B05DBC87-D713-4315-9EF3-054FB482BAE8}"/>
            </a:ext>
          </a:extLst>
        </xdr:cNvPr>
        <xdr:cNvSpPr txBox="1"/>
      </xdr:nvSpPr>
      <xdr:spPr>
        <a:xfrm>
          <a:off x="13723023" y="1762122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d </a:t>
          </a:r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 i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101307</xdr:colOff>
      <xdr:row>9</xdr:row>
      <xdr:rowOff>92098</xdr:rowOff>
    </xdr:from>
    <xdr:to>
      <xdr:col>61</xdr:col>
      <xdr:colOff>101307</xdr:colOff>
      <xdr:row>13</xdr:row>
      <xdr:rowOff>180021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D90EAEFF-190A-4B42-8851-E44A0CCD91F4}"/>
            </a:ext>
          </a:extLst>
        </xdr:cNvPr>
        <xdr:cNvCxnSpPr/>
      </xdr:nvCxnSpPr>
      <xdr:spPr>
        <a:xfrm>
          <a:off x="14045907" y="2171269"/>
          <a:ext cx="0" cy="1002323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125376</xdr:colOff>
      <xdr:row>9</xdr:row>
      <xdr:rowOff>170161</xdr:rowOff>
    </xdr:from>
    <xdr:to>
      <xdr:col>61</xdr:col>
      <xdr:colOff>99646</xdr:colOff>
      <xdr:row>9</xdr:row>
      <xdr:rowOff>170161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8D0EE5EC-EEE3-4774-8FDD-29AD959743F6}"/>
            </a:ext>
          </a:extLst>
        </xdr:cNvPr>
        <xdr:cNvCxnSpPr/>
      </xdr:nvCxnSpPr>
      <xdr:spPr>
        <a:xfrm>
          <a:off x="13841376" y="2249332"/>
          <a:ext cx="20287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59602</xdr:colOff>
      <xdr:row>8</xdr:row>
      <xdr:rowOff>110842</xdr:rowOff>
    </xdr:from>
    <xdr:ext cx="638573" cy="285527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20D9E6CB-3C30-4831-9057-295128BF5C7E}"/>
            </a:ext>
          </a:extLst>
        </xdr:cNvPr>
        <xdr:cNvSpPr txBox="1"/>
      </xdr:nvSpPr>
      <xdr:spPr>
        <a:xfrm>
          <a:off x="13775602" y="1961413"/>
          <a:ext cx="638573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=κ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kumimoji="1" lang="ja-JP" altLang="en-US" sz="900" i="1">
              <a:latin typeface="Times New Roman" panose="02020603050405020304" pitchFamily="18" charset="0"/>
              <a:cs typeface="Times New Roman" panose="02020603050405020304" pitchFamily="18" charset="0"/>
            </a:rPr>
            <a:t>・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59</xdr:col>
      <xdr:colOff>72754</xdr:colOff>
      <xdr:row>11</xdr:row>
      <xdr:rowOff>32561</xdr:rowOff>
    </xdr:from>
    <xdr:ext cx="249748" cy="224998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607731BB-E2BA-4D99-8421-CE15E7D25951}"/>
            </a:ext>
          </a:extLst>
        </xdr:cNvPr>
        <xdr:cNvSpPr txBox="1"/>
      </xdr:nvSpPr>
      <xdr:spPr>
        <a:xfrm>
          <a:off x="13560154" y="2568932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81718</xdr:colOff>
      <xdr:row>14</xdr:row>
      <xdr:rowOff>5667</xdr:rowOff>
    </xdr:from>
    <xdr:ext cx="249748" cy="224998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D75014E3-9B8C-4E46-ACB9-D182EBC7C964}"/>
            </a:ext>
          </a:extLst>
        </xdr:cNvPr>
        <xdr:cNvSpPr txBox="1"/>
      </xdr:nvSpPr>
      <xdr:spPr>
        <a:xfrm>
          <a:off x="13340518" y="3227838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57</xdr:col>
      <xdr:colOff>161365</xdr:colOff>
      <xdr:row>12</xdr:row>
      <xdr:rowOff>140137</xdr:rowOff>
    </xdr:from>
    <xdr:ext cx="249748" cy="224998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96BF1B3B-5BB7-435E-9EB5-D08FBA787D16}"/>
            </a:ext>
          </a:extLst>
        </xdr:cNvPr>
        <xdr:cNvSpPr txBox="1"/>
      </xdr:nvSpPr>
      <xdr:spPr>
        <a:xfrm>
          <a:off x="13191565" y="2905108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30</xdr:col>
      <xdr:colOff>17728</xdr:colOff>
      <xdr:row>17</xdr:row>
      <xdr:rowOff>175774</xdr:rowOff>
    </xdr:from>
    <xdr:ext cx="559769" cy="224998"/>
    <xdr:sp macro="" textlink="$G$11">
      <xdr:nvSpPr>
        <xdr:cNvPr id="83" name="テキスト ボックス 82">
          <a:extLst>
            <a:ext uri="{FF2B5EF4-FFF2-40B4-BE49-F238E27FC236}">
              <a16:creationId xmlns:a16="http://schemas.microsoft.com/office/drawing/2014/main" id="{EED5AE1B-11FB-B683-12AE-67D6EB8686FC}"/>
            </a:ext>
          </a:extLst>
        </xdr:cNvPr>
        <xdr:cNvSpPr txBox="1"/>
      </xdr:nvSpPr>
      <xdr:spPr>
        <a:xfrm>
          <a:off x="6875728" y="3855145"/>
          <a:ext cx="55976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8BB1DEF-288A-47FD-9A5E-EC45B11C605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152.533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31</xdr:col>
      <xdr:colOff>163490</xdr:colOff>
      <xdr:row>20</xdr:row>
      <xdr:rowOff>134777</xdr:rowOff>
    </xdr:from>
    <xdr:ext cx="502061" cy="224998"/>
    <xdr:sp macro="" textlink="$J$11">
      <xdr:nvSpPr>
        <xdr:cNvPr id="84" name="テキスト ボックス 83">
          <a:extLst>
            <a:ext uri="{FF2B5EF4-FFF2-40B4-BE49-F238E27FC236}">
              <a16:creationId xmlns:a16="http://schemas.microsoft.com/office/drawing/2014/main" id="{42803DD7-9407-82D3-7614-6E4300646A5A}"/>
            </a:ext>
          </a:extLst>
        </xdr:cNvPr>
        <xdr:cNvSpPr txBox="1"/>
      </xdr:nvSpPr>
      <xdr:spPr>
        <a:xfrm>
          <a:off x="7250090" y="4510834"/>
          <a:ext cx="50206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6CAF084-A831-4E28-BFD9-0E2385BC1B4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59.220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26</xdr:col>
      <xdr:colOff>206617</xdr:colOff>
      <xdr:row>24</xdr:row>
      <xdr:rowOff>187797</xdr:rowOff>
    </xdr:from>
    <xdr:ext cx="444352" cy="224998"/>
    <xdr:sp macro="" textlink="$H$20">
      <xdr:nvSpPr>
        <xdr:cNvPr id="85" name="テキスト ボックス 84">
          <a:extLst>
            <a:ext uri="{FF2B5EF4-FFF2-40B4-BE49-F238E27FC236}">
              <a16:creationId xmlns:a16="http://schemas.microsoft.com/office/drawing/2014/main" id="{1E1CA2E1-B828-BB39-93A6-321EA7348937}"/>
            </a:ext>
          </a:extLst>
        </xdr:cNvPr>
        <xdr:cNvSpPr txBox="1"/>
      </xdr:nvSpPr>
      <xdr:spPr>
        <a:xfrm>
          <a:off x="6150217" y="5478254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2816EC-E522-42EB-A517-F509A96B6A8B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64</xdr:col>
      <xdr:colOff>193431</xdr:colOff>
      <xdr:row>3</xdr:row>
      <xdr:rowOff>13880</xdr:rowOff>
    </xdr:from>
    <xdr:ext cx="444352" cy="224998"/>
    <xdr:sp macro="" textlink="'1.条件'!T7">
      <xdr:nvSpPr>
        <xdr:cNvPr id="86" name="テキスト ボックス 85">
          <a:extLst>
            <a:ext uri="{FF2B5EF4-FFF2-40B4-BE49-F238E27FC236}">
              <a16:creationId xmlns:a16="http://schemas.microsoft.com/office/drawing/2014/main" id="{C7E61FA9-1B2A-3537-E277-2367732718DB}"/>
            </a:ext>
          </a:extLst>
        </xdr:cNvPr>
        <xdr:cNvSpPr txBox="1"/>
      </xdr:nvSpPr>
      <xdr:spPr>
        <a:xfrm>
          <a:off x="14823831" y="699680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7210204-8880-419E-A4C7-71ED801A1DFE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57</xdr:col>
      <xdr:colOff>127830</xdr:colOff>
      <xdr:row>7</xdr:row>
      <xdr:rowOff>165397</xdr:rowOff>
    </xdr:from>
    <xdr:ext cx="224998" cy="444352"/>
    <xdr:sp macro="" textlink="$AX$21">
      <xdr:nvSpPr>
        <xdr:cNvPr id="87" name="テキスト ボックス 86">
          <a:extLst>
            <a:ext uri="{FF2B5EF4-FFF2-40B4-BE49-F238E27FC236}">
              <a16:creationId xmlns:a16="http://schemas.microsoft.com/office/drawing/2014/main" id="{B79D5D02-2504-A42F-5BB7-BBCBACA64EF6}"/>
            </a:ext>
          </a:extLst>
        </xdr:cNvPr>
        <xdr:cNvSpPr txBox="1"/>
      </xdr:nvSpPr>
      <xdr:spPr>
        <a:xfrm rot="16200000">
          <a:off x="13048353" y="189704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EBDD64D-5806-48BB-A91E-DD25959C7E33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59</xdr:col>
      <xdr:colOff>170725</xdr:colOff>
      <xdr:row>11</xdr:row>
      <xdr:rowOff>21675</xdr:rowOff>
    </xdr:from>
    <xdr:ext cx="559769" cy="224998"/>
    <xdr:sp macro="" textlink="$G$11">
      <xdr:nvSpPr>
        <xdr:cNvPr id="88" name="テキスト ボックス 87">
          <a:extLst>
            <a:ext uri="{FF2B5EF4-FFF2-40B4-BE49-F238E27FC236}">
              <a16:creationId xmlns:a16="http://schemas.microsoft.com/office/drawing/2014/main" id="{718A224D-FB1A-DAF6-5175-F1FCE136232D}"/>
            </a:ext>
          </a:extLst>
        </xdr:cNvPr>
        <xdr:cNvSpPr txBox="1"/>
      </xdr:nvSpPr>
      <xdr:spPr>
        <a:xfrm>
          <a:off x="13658125" y="2558046"/>
          <a:ext cx="55976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F775EB7-A983-48FC-902B-B0186625471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152.533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60</xdr:col>
      <xdr:colOff>224738</xdr:colOff>
      <xdr:row>7</xdr:row>
      <xdr:rowOff>140151</xdr:rowOff>
    </xdr:from>
    <xdr:ext cx="444352" cy="224998"/>
    <xdr:sp macro="" textlink="$G$17">
      <xdr:nvSpPr>
        <xdr:cNvPr id="89" name="テキスト ボックス 88">
          <a:extLst>
            <a:ext uri="{FF2B5EF4-FFF2-40B4-BE49-F238E27FC236}">
              <a16:creationId xmlns:a16="http://schemas.microsoft.com/office/drawing/2014/main" id="{79339FE9-A398-FB20-4611-D08B600956D5}"/>
            </a:ext>
          </a:extLst>
        </xdr:cNvPr>
        <xdr:cNvSpPr txBox="1"/>
      </xdr:nvSpPr>
      <xdr:spPr>
        <a:xfrm>
          <a:off x="13940738" y="1762122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90940FF-EEBC-42AA-9300-EC063CD3E78B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1.081</a:t>
          </a:fld>
          <a:endParaRPr kumimoji="1" lang="ja-JP" altLang="en-US" sz="900" i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35635</xdr:colOff>
      <xdr:row>12</xdr:row>
      <xdr:rowOff>141226</xdr:rowOff>
    </xdr:from>
    <xdr:ext cx="559769" cy="224998"/>
    <xdr:sp macro="" textlink="$BG$19">
      <xdr:nvSpPr>
        <xdr:cNvPr id="90" name="テキスト ボックス 89">
          <a:extLst>
            <a:ext uri="{FF2B5EF4-FFF2-40B4-BE49-F238E27FC236}">
              <a16:creationId xmlns:a16="http://schemas.microsoft.com/office/drawing/2014/main" id="{00138DDF-8220-D9C9-9DA2-AFA8190773CD}"/>
            </a:ext>
          </a:extLst>
        </xdr:cNvPr>
        <xdr:cNvSpPr txBox="1"/>
      </xdr:nvSpPr>
      <xdr:spPr>
        <a:xfrm>
          <a:off x="13294435" y="2906197"/>
          <a:ext cx="55976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3661360-2B5B-4279-B8D2-B6CEFCEB02C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164.933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179689</xdr:colOff>
      <xdr:row>14</xdr:row>
      <xdr:rowOff>16552</xdr:rowOff>
    </xdr:from>
    <xdr:ext cx="502061" cy="224998"/>
    <xdr:sp macro="" textlink="$J$11">
      <xdr:nvSpPr>
        <xdr:cNvPr id="91" name="テキスト ボックス 90">
          <a:extLst>
            <a:ext uri="{FF2B5EF4-FFF2-40B4-BE49-F238E27FC236}">
              <a16:creationId xmlns:a16="http://schemas.microsoft.com/office/drawing/2014/main" id="{092B2ACA-E1EC-1AA9-4948-ECFB79F55F55}"/>
            </a:ext>
          </a:extLst>
        </xdr:cNvPr>
        <xdr:cNvSpPr txBox="1"/>
      </xdr:nvSpPr>
      <xdr:spPr>
        <a:xfrm>
          <a:off x="13438489" y="3238723"/>
          <a:ext cx="50206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AF4F62C-4F85-499F-A887-93CAA79F453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59.220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61</xdr:col>
      <xdr:colOff>44915</xdr:colOff>
      <xdr:row>17</xdr:row>
      <xdr:rowOff>46089</xdr:rowOff>
    </xdr:from>
    <xdr:ext cx="444352" cy="224998"/>
    <xdr:sp macro="" textlink="$H$20">
      <xdr:nvSpPr>
        <xdr:cNvPr id="92" name="テキスト ボックス 91">
          <a:extLst>
            <a:ext uri="{FF2B5EF4-FFF2-40B4-BE49-F238E27FC236}">
              <a16:creationId xmlns:a16="http://schemas.microsoft.com/office/drawing/2014/main" id="{3AFA666A-7D27-5952-697C-4D07EA223A9D}"/>
            </a:ext>
          </a:extLst>
        </xdr:cNvPr>
        <xdr:cNvSpPr txBox="1"/>
      </xdr:nvSpPr>
      <xdr:spPr>
        <a:xfrm>
          <a:off x="13989515" y="3954060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31343C7-49FE-4507-BF51-EC397FEC4B73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198547</xdr:colOff>
      <xdr:row>6</xdr:row>
      <xdr:rowOff>15787</xdr:rowOff>
    </xdr:from>
    <xdr:ext cx="386644" cy="224998"/>
    <xdr:sp macro="" textlink="$BA$23">
      <xdr:nvSpPr>
        <xdr:cNvPr id="93" name="テキスト ボックス 92">
          <a:extLst>
            <a:ext uri="{FF2B5EF4-FFF2-40B4-BE49-F238E27FC236}">
              <a16:creationId xmlns:a16="http://schemas.microsoft.com/office/drawing/2014/main" id="{D6CC6A06-3B0C-FA4A-52DD-D5CE3121A544}"/>
            </a:ext>
          </a:extLst>
        </xdr:cNvPr>
        <xdr:cNvSpPr txBox="1"/>
      </xdr:nvSpPr>
      <xdr:spPr>
        <a:xfrm>
          <a:off x="15286147" y="1398273"/>
          <a:ext cx="38664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D1210D3-43C0-45BA-A283-9F707E095402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21.8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31</xdr:col>
      <xdr:colOff>185054</xdr:colOff>
      <xdr:row>15</xdr:row>
      <xdr:rowOff>152401</xdr:rowOff>
    </xdr:from>
    <xdr:to>
      <xdr:col>34</xdr:col>
      <xdr:colOff>24216</xdr:colOff>
      <xdr:row>21</xdr:row>
      <xdr:rowOff>123935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298F07B-29E4-4238-A23A-55380DA13535}"/>
            </a:ext>
          </a:extLst>
        </xdr:cNvPr>
        <xdr:cNvCxnSpPr/>
      </xdr:nvCxnSpPr>
      <xdr:spPr>
        <a:xfrm flipH="1">
          <a:off x="7271654" y="3374572"/>
          <a:ext cx="524962" cy="136490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180311</xdr:colOff>
      <xdr:row>4</xdr:row>
      <xdr:rowOff>204071</xdr:rowOff>
    </xdr:from>
    <xdr:to>
      <xdr:col>66</xdr:col>
      <xdr:colOff>88639</xdr:colOff>
      <xdr:row>14</xdr:row>
      <xdr:rowOff>27301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02981C9-C02E-4741-A3D8-F3635DD2678C}"/>
            </a:ext>
          </a:extLst>
        </xdr:cNvPr>
        <xdr:cNvCxnSpPr/>
      </xdr:nvCxnSpPr>
      <xdr:spPr>
        <a:xfrm flipH="1">
          <a:off x="14353511" y="1118471"/>
          <a:ext cx="822728" cy="213100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64</xdr:col>
      <xdr:colOff>16227</xdr:colOff>
      <xdr:row>32</xdr:row>
      <xdr:rowOff>111838</xdr:rowOff>
    </xdr:from>
    <xdr:to>
      <xdr:col>65</xdr:col>
      <xdr:colOff>207818</xdr:colOff>
      <xdr:row>32</xdr:row>
      <xdr:rowOff>111838</xdr:rowOff>
    </xdr:to>
    <xdr:cxnSp macro="">
      <xdr:nvCxnSpPr>
        <xdr:cNvPr id="202" name="直線コネクタ 201">
          <a:extLst>
            <a:ext uri="{FF2B5EF4-FFF2-40B4-BE49-F238E27FC236}">
              <a16:creationId xmlns:a16="http://schemas.microsoft.com/office/drawing/2014/main" id="{017D79B7-48E9-0C4F-C8DA-6C45EAE03529}"/>
            </a:ext>
          </a:extLst>
        </xdr:cNvPr>
        <xdr:cNvCxnSpPr/>
      </xdr:nvCxnSpPr>
      <xdr:spPr>
        <a:xfrm>
          <a:off x="14646627" y="7440893"/>
          <a:ext cx="420191" cy="0"/>
        </a:xfrm>
        <a:prstGeom prst="line">
          <a:avLst/>
        </a:prstGeom>
        <a:ln w="6350">
          <a:solidFill>
            <a:srgbClr val="FF0000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94</xdr:col>
      <xdr:colOff>6236</xdr:colOff>
      <xdr:row>12</xdr:row>
      <xdr:rowOff>129183</xdr:rowOff>
    </xdr:from>
    <xdr:to>
      <xdr:col>98</xdr:col>
      <xdr:colOff>41645</xdr:colOff>
      <xdr:row>21</xdr:row>
      <xdr:rowOff>188739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D7D022F8-2CF8-40A2-84E7-74EB19D30428}"/>
            </a:ext>
          </a:extLst>
        </xdr:cNvPr>
        <xdr:cNvCxnSpPr/>
      </xdr:nvCxnSpPr>
      <xdr:spPr>
        <a:xfrm flipH="1">
          <a:off x="13555222" y="2884909"/>
          <a:ext cx="953985" cy="2137237"/>
        </a:xfrm>
        <a:prstGeom prst="line">
          <a:avLst/>
        </a:prstGeom>
        <a:ln w="63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62202</xdr:colOff>
      <xdr:row>5</xdr:row>
      <xdr:rowOff>151562</xdr:rowOff>
    </xdr:from>
    <xdr:to>
      <xdr:col>31</xdr:col>
      <xdr:colOff>30496</xdr:colOff>
      <xdr:row>11</xdr:row>
      <xdr:rowOff>106561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248E40B6-FA71-4A7B-8EFB-3B929B532087}"/>
            </a:ext>
          </a:extLst>
        </xdr:cNvPr>
        <xdr:cNvSpPr/>
      </xdr:nvSpPr>
      <xdr:spPr>
        <a:xfrm flipV="1">
          <a:off x="6463002" y="1294562"/>
          <a:ext cx="654094" cy="1326599"/>
        </a:xfrm>
        <a:prstGeom prst="rtTriangle">
          <a:avLst/>
        </a:prstGeom>
        <a:solidFill>
          <a:schemeClr val="accent1">
            <a:lumMod val="20000"/>
            <a:lumOff val="80000"/>
          </a:schemeClr>
        </a:solidFill>
        <a:ln w="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97</xdr:col>
      <xdr:colOff>207814</xdr:colOff>
      <xdr:row>12</xdr:row>
      <xdr:rowOff>116183</xdr:rowOff>
    </xdr:from>
    <xdr:to>
      <xdr:col>98</xdr:col>
      <xdr:colOff>103156</xdr:colOff>
      <xdr:row>17</xdr:row>
      <xdr:rowOff>59319</xdr:rowOff>
    </xdr:to>
    <xdr:sp macro="" textlink="">
      <xdr:nvSpPr>
        <xdr:cNvPr id="180" name="二等辺三角形 179">
          <a:extLst>
            <a:ext uri="{FF2B5EF4-FFF2-40B4-BE49-F238E27FC236}">
              <a16:creationId xmlns:a16="http://schemas.microsoft.com/office/drawing/2014/main" id="{61A36942-8B00-4295-BD0B-587428417953}"/>
            </a:ext>
          </a:extLst>
        </xdr:cNvPr>
        <xdr:cNvSpPr/>
      </xdr:nvSpPr>
      <xdr:spPr>
        <a:xfrm rot="6720000">
          <a:off x="13899917" y="3340480"/>
          <a:ext cx="1086136" cy="123942"/>
        </a:xfrm>
        <a:prstGeom prst="triangle">
          <a:avLst>
            <a:gd name="adj" fmla="val 96246"/>
          </a:avLst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100</xdr:col>
      <xdr:colOff>130569</xdr:colOff>
      <xdr:row>18</xdr:row>
      <xdr:rowOff>172500</xdr:rowOff>
    </xdr:from>
    <xdr:ext cx="300082" cy="224998"/>
    <xdr:sp macro="" textlink="'1.条件'!T24">
      <xdr:nvSpPr>
        <xdr:cNvPr id="18" name="テキスト ボックス 17">
          <a:extLst>
            <a:ext uri="{FF2B5EF4-FFF2-40B4-BE49-F238E27FC236}">
              <a16:creationId xmlns:a16="http://schemas.microsoft.com/office/drawing/2014/main" id="{DD69C4D4-1C2A-45A9-8DBF-E4678C303B0D}"/>
            </a:ext>
          </a:extLst>
        </xdr:cNvPr>
        <xdr:cNvSpPr txBox="1"/>
      </xdr:nvSpPr>
      <xdr:spPr>
        <a:xfrm>
          <a:off x="14989569" y="4287300"/>
          <a:ext cx="30008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B156A8-7A46-4F04-94B6-50B77D094B7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30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91</xdr:col>
      <xdr:colOff>9536</xdr:colOff>
      <xdr:row>17</xdr:row>
      <xdr:rowOff>26403</xdr:rowOff>
    </xdr:from>
    <xdr:ext cx="224998" cy="361959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B1D00F70-9C84-42ED-AF47-2B2D3D10973F}"/>
            </a:ext>
          </a:extLst>
        </xdr:cNvPr>
        <xdr:cNvSpPr txBox="1"/>
      </xdr:nvSpPr>
      <xdr:spPr>
        <a:xfrm rot="16200000">
          <a:off x="12742655" y="3981084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93</xdr:col>
      <xdr:colOff>226</xdr:colOff>
      <xdr:row>18</xdr:row>
      <xdr:rowOff>209906</xdr:rowOff>
    </xdr:from>
    <xdr:ext cx="285527" cy="357790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DA15030-5A89-4DE8-B144-5E019CFC215D}"/>
            </a:ext>
          </a:extLst>
        </xdr:cNvPr>
        <xdr:cNvSpPr txBox="1"/>
      </xdr:nvSpPr>
      <xdr:spPr>
        <a:xfrm rot="17760000">
          <a:off x="13222895" y="4360837"/>
          <a:ext cx="35779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twoCellAnchor editAs="oneCell">
    <xdr:from>
      <xdr:col>92</xdr:col>
      <xdr:colOff>218023</xdr:colOff>
      <xdr:row>12</xdr:row>
      <xdr:rowOff>134457</xdr:rowOff>
    </xdr:from>
    <xdr:to>
      <xdr:col>97</xdr:col>
      <xdr:colOff>134238</xdr:colOff>
      <xdr:row>21</xdr:row>
      <xdr:rowOff>225318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89F8A25F-91CF-44BE-A467-F46882D55DD3}"/>
            </a:ext>
          </a:extLst>
        </xdr:cNvPr>
        <xdr:cNvCxnSpPr/>
      </xdr:nvCxnSpPr>
      <xdr:spPr>
        <a:xfrm flipH="1">
          <a:off x="13248223" y="2877657"/>
          <a:ext cx="1059215" cy="215914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95</xdr:col>
      <xdr:colOff>66766</xdr:colOff>
      <xdr:row>19</xdr:row>
      <xdr:rowOff>182907</xdr:rowOff>
    </xdr:from>
    <xdr:ext cx="285527" cy="357790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E5E8F068-4E5E-4A10-B19B-6F51CB8C28EC}"/>
            </a:ext>
          </a:extLst>
        </xdr:cNvPr>
        <xdr:cNvSpPr txBox="1"/>
      </xdr:nvSpPr>
      <xdr:spPr>
        <a:xfrm rot="17460000">
          <a:off x="13746635" y="4562438"/>
          <a:ext cx="35779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twoCellAnchor editAs="oneCell">
    <xdr:from>
      <xdr:col>91</xdr:col>
      <xdr:colOff>171352</xdr:colOff>
      <xdr:row>12</xdr:row>
      <xdr:rowOff>134811</xdr:rowOff>
    </xdr:from>
    <xdr:to>
      <xdr:col>97</xdr:col>
      <xdr:colOff>48260</xdr:colOff>
      <xdr:row>12</xdr:row>
      <xdr:rowOff>134811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A8A16486-72D0-4484-BBE3-104FEE067E4E}"/>
            </a:ext>
          </a:extLst>
        </xdr:cNvPr>
        <xdr:cNvCxnSpPr/>
      </xdr:nvCxnSpPr>
      <xdr:spPr>
        <a:xfrm>
          <a:off x="12972952" y="2878011"/>
          <a:ext cx="124850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91</xdr:col>
      <xdr:colOff>225870</xdr:colOff>
      <xdr:row>12</xdr:row>
      <xdr:rowOff>135638</xdr:rowOff>
    </xdr:from>
    <xdr:to>
      <xdr:col>92</xdr:col>
      <xdr:colOff>733</xdr:colOff>
      <xdr:row>21</xdr:row>
      <xdr:rowOff>208953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A8CAE644-CB4D-4F0C-B6A7-FCB4B1FCE02E}"/>
            </a:ext>
          </a:extLst>
        </xdr:cNvPr>
        <xdr:cNvCxnSpPr/>
      </xdr:nvCxnSpPr>
      <xdr:spPr>
        <a:xfrm>
          <a:off x="13027470" y="2878838"/>
          <a:ext cx="0" cy="2141601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91</xdr:col>
      <xdr:colOff>194612</xdr:colOff>
      <xdr:row>21</xdr:row>
      <xdr:rowOff>210778</xdr:rowOff>
    </xdr:from>
    <xdr:to>
      <xdr:col>92</xdr:col>
      <xdr:colOff>121095</xdr:colOff>
      <xdr:row>21</xdr:row>
      <xdr:rowOff>210778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A73C5950-5E0E-4EA5-A2E8-0C3AD6CA1D7A}"/>
            </a:ext>
          </a:extLst>
        </xdr:cNvPr>
        <xdr:cNvCxnSpPr/>
      </xdr:nvCxnSpPr>
      <xdr:spPr>
        <a:xfrm>
          <a:off x="12996212" y="5011378"/>
          <a:ext cx="15508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178186</xdr:colOff>
      <xdr:row>23</xdr:row>
      <xdr:rowOff>9447</xdr:rowOff>
    </xdr:from>
    <xdr:ext cx="349135" cy="224998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4E32618B-A41A-4546-BC1F-33C2EF4BA65E}"/>
            </a:ext>
          </a:extLst>
        </xdr:cNvPr>
        <xdr:cNvSpPr txBox="1"/>
      </xdr:nvSpPr>
      <xdr:spPr>
        <a:xfrm>
          <a:off x="13208386" y="5267247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92</xdr:col>
      <xdr:colOff>206960</xdr:colOff>
      <xdr:row>23</xdr:row>
      <xdr:rowOff>45573</xdr:rowOff>
    </xdr:from>
    <xdr:to>
      <xdr:col>95</xdr:col>
      <xdr:colOff>28915</xdr:colOff>
      <xdr:row>23</xdr:row>
      <xdr:rowOff>45573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28B23F05-DBC1-425D-9941-79D58E4C24B7}"/>
            </a:ext>
          </a:extLst>
        </xdr:cNvPr>
        <xdr:cNvCxnSpPr/>
      </xdr:nvCxnSpPr>
      <xdr:spPr>
        <a:xfrm>
          <a:off x="13237160" y="5303373"/>
          <a:ext cx="50775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92</xdr:col>
      <xdr:colOff>213291</xdr:colOff>
      <xdr:row>22</xdr:row>
      <xdr:rowOff>11865</xdr:rowOff>
    </xdr:from>
    <xdr:to>
      <xdr:col>92</xdr:col>
      <xdr:colOff>213291</xdr:colOff>
      <xdr:row>23</xdr:row>
      <xdr:rowOff>94900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C7781DAA-E3BD-4D35-B404-E2BAF375E4A3}"/>
            </a:ext>
          </a:extLst>
        </xdr:cNvPr>
        <xdr:cNvCxnSpPr/>
      </xdr:nvCxnSpPr>
      <xdr:spPr>
        <a:xfrm>
          <a:off x="13243491" y="5041065"/>
          <a:ext cx="0" cy="311635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92</xdr:col>
      <xdr:colOff>213629</xdr:colOff>
      <xdr:row>21</xdr:row>
      <xdr:rowOff>211676</xdr:rowOff>
    </xdr:from>
    <xdr:to>
      <xdr:col>95</xdr:col>
      <xdr:colOff>26381</xdr:colOff>
      <xdr:row>21</xdr:row>
      <xdr:rowOff>211676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FDF7EA1D-0CD8-4156-A30A-DA8948DD3D9B}"/>
            </a:ext>
          </a:extLst>
        </xdr:cNvPr>
        <xdr:cNvCxnSpPr/>
      </xdr:nvCxnSpPr>
      <xdr:spPr>
        <a:xfrm>
          <a:off x="13243829" y="5012276"/>
          <a:ext cx="498552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20595</xdr:colOff>
      <xdr:row>11</xdr:row>
      <xdr:rowOff>92644</xdr:rowOff>
    </xdr:from>
    <xdr:to>
      <xdr:col>98</xdr:col>
      <xdr:colOff>62916</xdr:colOff>
      <xdr:row>12</xdr:row>
      <xdr:rowOff>132248</xdr:rowOff>
    </xdr:to>
    <xdr:sp macro="" textlink="">
      <xdr:nvSpPr>
        <xdr:cNvPr id="109" name="正方形/長方形 108">
          <a:extLst>
            <a:ext uri="{FF2B5EF4-FFF2-40B4-BE49-F238E27FC236}">
              <a16:creationId xmlns:a16="http://schemas.microsoft.com/office/drawing/2014/main" id="{80FE42BE-BE65-4947-A773-6CF70FDB57EC}"/>
            </a:ext>
          </a:extLst>
        </xdr:cNvPr>
        <xdr:cNvSpPr/>
      </xdr:nvSpPr>
      <xdr:spPr>
        <a:xfrm>
          <a:off x="14422395" y="2607244"/>
          <a:ext cx="42321" cy="268204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98</xdr:col>
      <xdr:colOff>69117</xdr:colOff>
      <xdr:row>11</xdr:row>
      <xdr:rowOff>125436</xdr:rowOff>
    </xdr:from>
    <xdr:to>
      <xdr:col>98</xdr:col>
      <xdr:colOff>69117</xdr:colOff>
      <xdr:row>11</xdr:row>
      <xdr:rowOff>164218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E3B4AF6D-8F99-4220-8FF0-826690B4A8AA}"/>
            </a:ext>
          </a:extLst>
        </xdr:cNvPr>
        <xdr:cNvCxnSpPr/>
      </xdr:nvCxnSpPr>
      <xdr:spPr>
        <a:xfrm>
          <a:off x="14470917" y="2640036"/>
          <a:ext cx="0" cy="3878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98</xdr:col>
      <xdr:colOff>91977</xdr:colOff>
      <xdr:row>11</xdr:row>
      <xdr:rowOff>83362</xdr:rowOff>
    </xdr:from>
    <xdr:to>
      <xdr:col>98</xdr:col>
      <xdr:colOff>91977</xdr:colOff>
      <xdr:row>11</xdr:row>
      <xdr:rowOff>112162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9EAA363E-B0C2-4E4A-9ECD-8AE50145313F}"/>
            </a:ext>
          </a:extLst>
        </xdr:cNvPr>
        <xdr:cNvCxnSpPr/>
      </xdr:nvCxnSpPr>
      <xdr:spPr>
        <a:xfrm>
          <a:off x="14493777" y="2597962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98</xdr:col>
      <xdr:colOff>68692</xdr:colOff>
      <xdr:row>11</xdr:row>
      <xdr:rowOff>123745</xdr:rowOff>
    </xdr:from>
    <xdr:to>
      <xdr:col>98</xdr:col>
      <xdr:colOff>97492</xdr:colOff>
      <xdr:row>11</xdr:row>
      <xdr:rowOff>123745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F1E15318-9308-4260-B82C-0541072A9293}"/>
            </a:ext>
          </a:extLst>
        </xdr:cNvPr>
        <xdr:cNvCxnSpPr/>
      </xdr:nvCxnSpPr>
      <xdr:spPr>
        <a:xfrm rot="2700000">
          <a:off x="14484892" y="2623945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98</xdr:col>
      <xdr:colOff>81811</xdr:colOff>
      <xdr:row>11</xdr:row>
      <xdr:rowOff>59497</xdr:rowOff>
    </xdr:from>
    <xdr:to>
      <xdr:col>98</xdr:col>
      <xdr:colOff>81811</xdr:colOff>
      <xdr:row>11</xdr:row>
      <xdr:rowOff>88297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C7F227FC-28E5-43FB-9063-2FDAAD10F1A9}"/>
            </a:ext>
          </a:extLst>
        </xdr:cNvPr>
        <xdr:cNvCxnSpPr/>
      </xdr:nvCxnSpPr>
      <xdr:spPr>
        <a:xfrm rot="18900000">
          <a:off x="14483611" y="2574097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98</xdr:col>
      <xdr:colOff>93882</xdr:colOff>
      <xdr:row>11</xdr:row>
      <xdr:rowOff>176871</xdr:rowOff>
    </xdr:from>
    <xdr:to>
      <xdr:col>98</xdr:col>
      <xdr:colOff>93882</xdr:colOff>
      <xdr:row>11</xdr:row>
      <xdr:rowOff>205671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0B4D85A1-0878-444D-9D3D-F44F611B47DE}"/>
            </a:ext>
          </a:extLst>
        </xdr:cNvPr>
        <xdr:cNvCxnSpPr/>
      </xdr:nvCxnSpPr>
      <xdr:spPr>
        <a:xfrm>
          <a:off x="14495682" y="2691471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98</xdr:col>
      <xdr:colOff>74715</xdr:colOff>
      <xdr:row>11</xdr:row>
      <xdr:rowOff>213280</xdr:rowOff>
    </xdr:from>
    <xdr:to>
      <xdr:col>98</xdr:col>
      <xdr:colOff>95895</xdr:colOff>
      <xdr:row>11</xdr:row>
      <xdr:rowOff>213280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8C5969B8-69A4-44C8-95F5-5C6911542B7A}"/>
            </a:ext>
          </a:extLst>
        </xdr:cNvPr>
        <xdr:cNvCxnSpPr/>
      </xdr:nvCxnSpPr>
      <xdr:spPr>
        <a:xfrm rot="2700000">
          <a:off x="14487105" y="2717290"/>
          <a:ext cx="0" cy="2118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98</xdr:col>
      <xdr:colOff>83716</xdr:colOff>
      <xdr:row>11</xdr:row>
      <xdr:rowOff>155065</xdr:rowOff>
    </xdr:from>
    <xdr:to>
      <xdr:col>98</xdr:col>
      <xdr:colOff>83716</xdr:colOff>
      <xdr:row>11</xdr:row>
      <xdr:rowOff>183865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14BDB2C8-297A-4B20-804D-6C663BBAEC85}"/>
            </a:ext>
          </a:extLst>
        </xdr:cNvPr>
        <xdr:cNvCxnSpPr/>
      </xdr:nvCxnSpPr>
      <xdr:spPr>
        <a:xfrm rot="18900000">
          <a:off x="14485516" y="2669665"/>
          <a:ext cx="0" cy="2880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95</xdr:col>
      <xdr:colOff>23794</xdr:colOff>
      <xdr:row>22</xdr:row>
      <xdr:rowOff>1511</xdr:rowOff>
    </xdr:from>
    <xdr:to>
      <xdr:col>95</xdr:col>
      <xdr:colOff>23794</xdr:colOff>
      <xdr:row>23</xdr:row>
      <xdr:rowOff>81948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E8B19A36-450D-4A5E-8B97-89D73B7211FE}"/>
            </a:ext>
          </a:extLst>
        </xdr:cNvPr>
        <xdr:cNvCxnSpPr/>
      </xdr:nvCxnSpPr>
      <xdr:spPr>
        <a:xfrm>
          <a:off x="13739794" y="5030711"/>
          <a:ext cx="0" cy="309037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97</xdr:col>
      <xdr:colOff>125892</xdr:colOff>
      <xdr:row>12</xdr:row>
      <xdr:rowOff>131730</xdr:rowOff>
    </xdr:from>
    <xdr:to>
      <xdr:col>98</xdr:col>
      <xdr:colOff>187043</xdr:colOff>
      <xdr:row>12</xdr:row>
      <xdr:rowOff>131730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131A47A9-03EF-442E-9A1D-AAF3A80F4E28}"/>
            </a:ext>
          </a:extLst>
        </xdr:cNvPr>
        <xdr:cNvCxnSpPr/>
      </xdr:nvCxnSpPr>
      <xdr:spPr>
        <a:xfrm>
          <a:off x="14299092" y="2874930"/>
          <a:ext cx="28975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96</xdr:col>
      <xdr:colOff>104455</xdr:colOff>
      <xdr:row>10</xdr:row>
      <xdr:rowOff>10887</xdr:rowOff>
    </xdr:from>
    <xdr:ext cx="336311" cy="224998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D8C89D5F-81DE-4699-BCD6-D2478959EE33}"/>
            </a:ext>
          </a:extLst>
        </xdr:cNvPr>
        <xdr:cNvSpPr txBox="1"/>
      </xdr:nvSpPr>
      <xdr:spPr>
        <a:xfrm>
          <a:off x="14049055" y="2296887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97</xdr:col>
      <xdr:colOff>140581</xdr:colOff>
      <xdr:row>10</xdr:row>
      <xdr:rowOff>217418</xdr:rowOff>
    </xdr:from>
    <xdr:to>
      <xdr:col>97</xdr:col>
      <xdr:colOff>140581</xdr:colOff>
      <xdr:row>11</xdr:row>
      <xdr:rowOff>171867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246ADAAB-9C83-44CA-B1DF-CD8CD0F8EBD8}"/>
            </a:ext>
          </a:extLst>
        </xdr:cNvPr>
        <xdr:cNvCxnSpPr/>
      </xdr:nvCxnSpPr>
      <xdr:spPr>
        <a:xfrm>
          <a:off x="14313781" y="2503418"/>
          <a:ext cx="0" cy="18304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98</xdr:col>
      <xdr:colOff>212282</xdr:colOff>
      <xdr:row>10</xdr:row>
      <xdr:rowOff>217418</xdr:rowOff>
    </xdr:from>
    <xdr:to>
      <xdr:col>98</xdr:col>
      <xdr:colOff>212282</xdr:colOff>
      <xdr:row>11</xdr:row>
      <xdr:rowOff>171867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62857BB2-8B11-455F-A416-E980D5261519}"/>
            </a:ext>
          </a:extLst>
        </xdr:cNvPr>
        <xdr:cNvCxnSpPr/>
      </xdr:nvCxnSpPr>
      <xdr:spPr>
        <a:xfrm>
          <a:off x="14614082" y="2503418"/>
          <a:ext cx="0" cy="18304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97</xdr:col>
      <xdr:colOff>156789</xdr:colOff>
      <xdr:row>11</xdr:row>
      <xdr:rowOff>16891</xdr:rowOff>
    </xdr:from>
    <xdr:to>
      <xdr:col>98</xdr:col>
      <xdr:colOff>205304</xdr:colOff>
      <xdr:row>11</xdr:row>
      <xdr:rowOff>16891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3B0DA2D7-C4DC-4787-9411-822FB648FDEB}"/>
            </a:ext>
          </a:extLst>
        </xdr:cNvPr>
        <xdr:cNvCxnSpPr/>
      </xdr:nvCxnSpPr>
      <xdr:spPr>
        <a:xfrm>
          <a:off x="14329989" y="2531491"/>
          <a:ext cx="27711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95</xdr:col>
      <xdr:colOff>27041</xdr:colOff>
      <xdr:row>12</xdr:row>
      <xdr:rowOff>123702</xdr:rowOff>
    </xdr:from>
    <xdr:to>
      <xdr:col>103</xdr:col>
      <xdr:colOff>184831</xdr:colOff>
      <xdr:row>21</xdr:row>
      <xdr:rowOff>209083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C3246FE6-FD09-4BD9-A92C-0ACEF6895FAA}"/>
            </a:ext>
          </a:extLst>
        </xdr:cNvPr>
        <xdr:cNvCxnSpPr/>
      </xdr:nvCxnSpPr>
      <xdr:spPr>
        <a:xfrm flipV="1">
          <a:off x="13743041" y="2866902"/>
          <a:ext cx="1986590" cy="2153667"/>
        </a:xfrm>
        <a:prstGeom prst="line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98</xdr:col>
      <xdr:colOff>94583</xdr:colOff>
      <xdr:row>12</xdr:row>
      <xdr:rowOff>131730</xdr:rowOff>
    </xdr:from>
    <xdr:to>
      <xdr:col>104</xdr:col>
      <xdr:colOff>87684</xdr:colOff>
      <xdr:row>12</xdr:row>
      <xdr:rowOff>131730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B1235928-2CB1-497F-8E79-7DFAA0B3F35F}"/>
            </a:ext>
          </a:extLst>
        </xdr:cNvPr>
        <xdr:cNvCxnSpPr/>
      </xdr:nvCxnSpPr>
      <xdr:spPr>
        <a:xfrm>
          <a:off x="14496383" y="2874930"/>
          <a:ext cx="1364701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99</xdr:col>
      <xdr:colOff>206386</xdr:colOff>
      <xdr:row>10</xdr:row>
      <xdr:rowOff>10887</xdr:rowOff>
    </xdr:from>
    <xdr:ext cx="374783" cy="224998"/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1664E3EC-58D5-49A0-9129-4FBFC304F514}"/>
            </a:ext>
          </a:extLst>
        </xdr:cNvPr>
        <xdr:cNvSpPr txBox="1"/>
      </xdr:nvSpPr>
      <xdr:spPr>
        <a:xfrm>
          <a:off x="14836786" y="2296887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u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94</xdr:col>
      <xdr:colOff>207231</xdr:colOff>
      <xdr:row>21</xdr:row>
      <xdr:rowOff>68302</xdr:rowOff>
    </xdr:from>
    <xdr:to>
      <xdr:col>96</xdr:col>
      <xdr:colOff>99</xdr:colOff>
      <xdr:row>22</xdr:row>
      <xdr:rowOff>70333</xdr:rowOff>
    </xdr:to>
    <xdr:sp macro="" textlink="">
      <xdr:nvSpPr>
        <xdr:cNvPr id="126" name="円弧 125">
          <a:extLst>
            <a:ext uri="{FF2B5EF4-FFF2-40B4-BE49-F238E27FC236}">
              <a16:creationId xmlns:a16="http://schemas.microsoft.com/office/drawing/2014/main" id="{13654410-2BCA-4B95-ADD3-912D20ADC86A}"/>
            </a:ext>
          </a:extLst>
        </xdr:cNvPr>
        <xdr:cNvSpPr/>
      </xdr:nvSpPr>
      <xdr:spPr>
        <a:xfrm rot="1800000">
          <a:off x="13694631" y="4868902"/>
          <a:ext cx="246604" cy="230631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95</xdr:col>
      <xdr:colOff>31696</xdr:colOff>
      <xdr:row>21</xdr:row>
      <xdr:rowOff>207246</xdr:rowOff>
    </xdr:from>
    <xdr:to>
      <xdr:col>97</xdr:col>
      <xdr:colOff>152958</xdr:colOff>
      <xdr:row>21</xdr:row>
      <xdr:rowOff>207246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B11FAE9C-9F70-486A-B679-E8282AE6949A}"/>
            </a:ext>
          </a:extLst>
        </xdr:cNvPr>
        <xdr:cNvCxnSpPr/>
      </xdr:nvCxnSpPr>
      <xdr:spPr>
        <a:xfrm>
          <a:off x="13747696" y="5007846"/>
          <a:ext cx="578462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95</xdr:col>
      <xdr:colOff>183646</xdr:colOff>
      <xdr:row>20</xdr:row>
      <xdr:rowOff>203284</xdr:rowOff>
    </xdr:from>
    <xdr:ext cx="355097" cy="242374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96E15A8A-7F24-4152-AB47-6A3DDBE9EB73}"/>
            </a:ext>
          </a:extLst>
        </xdr:cNvPr>
        <xdr:cNvSpPr txBox="1"/>
      </xdr:nvSpPr>
      <xdr:spPr>
        <a:xfrm>
          <a:off x="13899646" y="4775284"/>
          <a:ext cx="355097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ω=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98</xdr:col>
      <xdr:colOff>39516</xdr:colOff>
      <xdr:row>13</xdr:row>
      <xdr:rowOff>14238</xdr:rowOff>
    </xdr:from>
    <xdr:to>
      <xdr:col>99</xdr:col>
      <xdr:colOff>55247</xdr:colOff>
      <xdr:row>14</xdr:row>
      <xdr:rowOff>20153</xdr:rowOff>
    </xdr:to>
    <xdr:sp macro="" textlink="">
      <xdr:nvSpPr>
        <xdr:cNvPr id="129" name="円弧 128">
          <a:extLst>
            <a:ext uri="{FF2B5EF4-FFF2-40B4-BE49-F238E27FC236}">
              <a16:creationId xmlns:a16="http://schemas.microsoft.com/office/drawing/2014/main" id="{1F3102D1-1539-4E38-A2B4-5913394DF0B1}"/>
            </a:ext>
          </a:extLst>
        </xdr:cNvPr>
        <xdr:cNvSpPr/>
      </xdr:nvSpPr>
      <xdr:spPr>
        <a:xfrm rot="9761260">
          <a:off x="14441316" y="2986038"/>
          <a:ext cx="244331" cy="234515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98</xdr:col>
      <xdr:colOff>190551</xdr:colOff>
      <xdr:row>12</xdr:row>
      <xdr:rowOff>132557</xdr:rowOff>
    </xdr:from>
    <xdr:to>
      <xdr:col>98</xdr:col>
      <xdr:colOff>190551</xdr:colOff>
      <xdr:row>15</xdr:row>
      <xdr:rowOff>111063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0793D70C-546C-480D-9774-BDB7643A7630}"/>
            </a:ext>
          </a:extLst>
        </xdr:cNvPr>
        <xdr:cNvCxnSpPr/>
      </xdr:nvCxnSpPr>
      <xdr:spPr>
        <a:xfrm>
          <a:off x="14592351" y="2875757"/>
          <a:ext cx="0" cy="675192"/>
        </a:xfrm>
        <a:prstGeom prst="line">
          <a:avLst/>
        </a:prstGeom>
        <a:ln w="3175">
          <a:solidFill>
            <a:schemeClr val="tx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97</xdr:col>
      <xdr:colOff>219265</xdr:colOff>
      <xdr:row>13</xdr:row>
      <xdr:rowOff>208455</xdr:rowOff>
    </xdr:from>
    <xdr:ext cx="300082" cy="242374"/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5F55A92C-162C-471C-BE83-DA40839660A0}"/>
            </a:ext>
          </a:extLst>
        </xdr:cNvPr>
        <xdr:cNvSpPr txBox="1"/>
      </xdr:nvSpPr>
      <xdr:spPr>
        <a:xfrm>
          <a:off x="14392465" y="3180255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α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98</xdr:col>
      <xdr:colOff>209341</xdr:colOff>
      <xdr:row>11</xdr:row>
      <xdr:rowOff>16891</xdr:rowOff>
    </xdr:from>
    <xdr:to>
      <xdr:col>103</xdr:col>
      <xdr:colOff>191824</xdr:colOff>
      <xdr:row>11</xdr:row>
      <xdr:rowOff>16891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E4FF202F-6A31-48FB-A46F-A95B6F94DDB7}"/>
            </a:ext>
          </a:extLst>
        </xdr:cNvPr>
        <xdr:cNvCxnSpPr/>
      </xdr:nvCxnSpPr>
      <xdr:spPr>
        <a:xfrm>
          <a:off x="14611141" y="2531491"/>
          <a:ext cx="1125483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103</xdr:col>
      <xdr:colOff>191292</xdr:colOff>
      <xdr:row>10</xdr:row>
      <xdr:rowOff>217418</xdr:rowOff>
    </xdr:from>
    <xdr:to>
      <xdr:col>103</xdr:col>
      <xdr:colOff>191292</xdr:colOff>
      <xdr:row>11</xdr:row>
      <xdr:rowOff>171867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9F788FA0-F30F-4D8D-BB7D-5A9A89F2E080}"/>
            </a:ext>
          </a:extLst>
        </xdr:cNvPr>
        <xdr:cNvCxnSpPr/>
      </xdr:nvCxnSpPr>
      <xdr:spPr>
        <a:xfrm>
          <a:off x="15736092" y="2503418"/>
          <a:ext cx="0" cy="183049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99</xdr:col>
      <xdr:colOff>191206</xdr:colOff>
      <xdr:row>13</xdr:row>
      <xdr:rowOff>204882</xdr:rowOff>
    </xdr:from>
    <xdr:to>
      <xdr:col>99</xdr:col>
      <xdr:colOff>191206</xdr:colOff>
      <xdr:row>16</xdr:row>
      <xdr:rowOff>108197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19527C44-680A-4FCD-85A1-DC36D0428BBF}"/>
            </a:ext>
          </a:extLst>
        </xdr:cNvPr>
        <xdr:cNvCxnSpPr/>
      </xdr:nvCxnSpPr>
      <xdr:spPr>
        <a:xfrm>
          <a:off x="14821606" y="3176682"/>
          <a:ext cx="0" cy="600001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99</xdr:col>
      <xdr:colOff>24796</xdr:colOff>
      <xdr:row>13</xdr:row>
      <xdr:rowOff>40168</xdr:rowOff>
    </xdr:from>
    <xdr:ext cx="374718" cy="224998"/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AC81EC50-770E-407F-9ED5-A0F9C95DE4B2}"/>
            </a:ext>
          </a:extLst>
        </xdr:cNvPr>
        <xdr:cNvSpPr txBox="1"/>
      </xdr:nvSpPr>
      <xdr:spPr>
        <a:xfrm>
          <a:off x="14655196" y="3011968"/>
          <a:ext cx="37471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98</xdr:col>
      <xdr:colOff>206563</xdr:colOff>
      <xdr:row>18</xdr:row>
      <xdr:rowOff>38692</xdr:rowOff>
    </xdr:from>
    <xdr:to>
      <xdr:col>100</xdr:col>
      <xdr:colOff>213023</xdr:colOff>
      <xdr:row>18</xdr:row>
      <xdr:rowOff>38692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76A15950-A93E-4140-A437-20A84CCDD9E7}"/>
            </a:ext>
          </a:extLst>
        </xdr:cNvPr>
        <xdr:cNvCxnSpPr/>
      </xdr:nvCxnSpPr>
      <xdr:spPr>
        <a:xfrm rot="2460000">
          <a:off x="14608363" y="4153492"/>
          <a:ext cx="463660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99</xdr:col>
      <xdr:colOff>126430</xdr:colOff>
      <xdr:row>17</xdr:row>
      <xdr:rowOff>120996</xdr:rowOff>
    </xdr:from>
    <xdr:to>
      <xdr:col>99</xdr:col>
      <xdr:colOff>126430</xdr:colOff>
      <xdr:row>20</xdr:row>
      <xdr:rowOff>12219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FD22E33E-95E0-49F9-96D6-A84EA8FDA37E}"/>
            </a:ext>
          </a:extLst>
        </xdr:cNvPr>
        <xdr:cNvCxnSpPr/>
      </xdr:nvCxnSpPr>
      <xdr:spPr>
        <a:xfrm rot="4260000">
          <a:off x="14468318" y="4295708"/>
          <a:ext cx="577023" cy="0"/>
        </a:xfrm>
        <a:prstGeom prst="line">
          <a:avLst/>
        </a:prstGeom>
        <a:ln w="25400">
          <a:solidFill>
            <a:schemeClr val="tx1"/>
          </a:solidFill>
          <a:prstDash val="solid"/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98</xdr:col>
      <xdr:colOff>224135</xdr:colOff>
      <xdr:row>17</xdr:row>
      <xdr:rowOff>174196</xdr:rowOff>
    </xdr:from>
    <xdr:to>
      <xdr:col>100</xdr:col>
      <xdr:colOff>8451</xdr:colOff>
      <xdr:row>18</xdr:row>
      <xdr:rowOff>179037</xdr:rowOff>
    </xdr:to>
    <xdr:sp macro="" textlink="">
      <xdr:nvSpPr>
        <xdr:cNvPr id="138" name="円弧 137">
          <a:extLst>
            <a:ext uri="{FF2B5EF4-FFF2-40B4-BE49-F238E27FC236}">
              <a16:creationId xmlns:a16="http://schemas.microsoft.com/office/drawing/2014/main" id="{564ECCDB-2350-48E9-B52B-2DA796550750}"/>
            </a:ext>
          </a:extLst>
        </xdr:cNvPr>
        <xdr:cNvSpPr/>
      </xdr:nvSpPr>
      <xdr:spPr>
        <a:xfrm rot="5940764">
          <a:off x="14629972" y="4056359"/>
          <a:ext cx="233441" cy="241516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99</xdr:col>
      <xdr:colOff>126425</xdr:colOff>
      <xdr:row>18</xdr:row>
      <xdr:rowOff>147062</xdr:rowOff>
    </xdr:from>
    <xdr:ext cx="300082" cy="242374"/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4D230BE5-5B5F-4F95-880D-057957DFFB8F}"/>
            </a:ext>
          </a:extLst>
        </xdr:cNvPr>
        <xdr:cNvSpPr txBox="1"/>
      </xdr:nvSpPr>
      <xdr:spPr>
        <a:xfrm>
          <a:off x="14756825" y="4261862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φ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95</xdr:col>
      <xdr:colOff>95487</xdr:colOff>
      <xdr:row>18</xdr:row>
      <xdr:rowOff>191081</xdr:rowOff>
    </xdr:from>
    <xdr:to>
      <xdr:col>96</xdr:col>
      <xdr:colOff>72495</xdr:colOff>
      <xdr:row>18</xdr:row>
      <xdr:rowOff>191081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1642E3F7-5B20-4938-9385-BB83FC3F5688}"/>
            </a:ext>
          </a:extLst>
        </xdr:cNvPr>
        <xdr:cNvCxnSpPr/>
      </xdr:nvCxnSpPr>
      <xdr:spPr>
        <a:xfrm rot="5160000">
          <a:off x="13914291" y="4203077"/>
          <a:ext cx="0" cy="205608"/>
        </a:xfrm>
        <a:prstGeom prst="line">
          <a:avLst/>
        </a:prstGeom>
        <a:ln w="25400">
          <a:solidFill>
            <a:schemeClr val="tx1"/>
          </a:solidFill>
          <a:prstDash val="solid"/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95</xdr:col>
      <xdr:colOff>53266</xdr:colOff>
      <xdr:row>18</xdr:row>
      <xdr:rowOff>106630</xdr:rowOff>
    </xdr:from>
    <xdr:to>
      <xdr:col>96</xdr:col>
      <xdr:colOff>80245</xdr:colOff>
      <xdr:row>18</xdr:row>
      <xdr:rowOff>180433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91144D60-1817-49CE-B2CD-8A708001A4AC}"/>
            </a:ext>
          </a:extLst>
        </xdr:cNvPr>
        <xdr:cNvCxnSpPr/>
      </xdr:nvCxnSpPr>
      <xdr:spPr>
        <a:xfrm rot="240000">
          <a:off x="13769266" y="4221430"/>
          <a:ext cx="255579" cy="73803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94</xdr:col>
      <xdr:colOff>146423</xdr:colOff>
      <xdr:row>17</xdr:row>
      <xdr:rowOff>79136</xdr:rowOff>
    </xdr:from>
    <xdr:ext cx="355097" cy="242374"/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C87BC9D3-5944-4A1F-829F-072B139F0330}"/>
            </a:ext>
          </a:extLst>
        </xdr:cNvPr>
        <xdr:cNvSpPr txBox="1"/>
      </xdr:nvSpPr>
      <xdr:spPr>
        <a:xfrm>
          <a:off x="13633823" y="3965336"/>
          <a:ext cx="355097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δ=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95</xdr:col>
      <xdr:colOff>122313</xdr:colOff>
      <xdr:row>18</xdr:row>
      <xdr:rowOff>76515</xdr:rowOff>
    </xdr:from>
    <xdr:to>
      <xdr:col>96</xdr:col>
      <xdr:colOff>158455</xdr:colOff>
      <xdr:row>19</xdr:row>
      <xdr:rowOff>75897</xdr:rowOff>
    </xdr:to>
    <xdr:sp macro="" textlink="">
      <xdr:nvSpPr>
        <xdr:cNvPr id="143" name="円弧 142">
          <a:extLst>
            <a:ext uri="{FF2B5EF4-FFF2-40B4-BE49-F238E27FC236}">
              <a16:creationId xmlns:a16="http://schemas.microsoft.com/office/drawing/2014/main" id="{1557435B-0109-4F69-9755-B7D8E4CD7F87}"/>
            </a:ext>
          </a:extLst>
        </xdr:cNvPr>
        <xdr:cNvSpPr/>
      </xdr:nvSpPr>
      <xdr:spPr>
        <a:xfrm rot="11882846">
          <a:off x="13838313" y="4191315"/>
          <a:ext cx="264742" cy="227982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95</xdr:col>
      <xdr:colOff>127567</xdr:colOff>
      <xdr:row>18</xdr:row>
      <xdr:rowOff>11325</xdr:rowOff>
    </xdr:from>
    <xdr:to>
      <xdr:col>96</xdr:col>
      <xdr:colOff>144197</xdr:colOff>
      <xdr:row>19</xdr:row>
      <xdr:rowOff>23268</xdr:rowOff>
    </xdr:to>
    <xdr:sp macro="" textlink="">
      <xdr:nvSpPr>
        <xdr:cNvPr id="144" name="円弧 143">
          <a:extLst>
            <a:ext uri="{FF2B5EF4-FFF2-40B4-BE49-F238E27FC236}">
              <a16:creationId xmlns:a16="http://schemas.microsoft.com/office/drawing/2014/main" id="{ABC2B648-0CB4-46F1-9DD3-AE30954DBEA9}"/>
            </a:ext>
          </a:extLst>
        </xdr:cNvPr>
        <xdr:cNvSpPr/>
      </xdr:nvSpPr>
      <xdr:spPr>
        <a:xfrm rot="16419954">
          <a:off x="13845910" y="4123782"/>
          <a:ext cx="240543" cy="245230"/>
        </a:xfrm>
        <a:prstGeom prst="arc">
          <a:avLst>
            <a:gd name="adj1" fmla="val 16200000"/>
            <a:gd name="adj2" fmla="val 20343566"/>
          </a:avLst>
        </a:prstGeom>
        <a:noFill/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94</xdr:col>
      <xdr:colOff>48919</xdr:colOff>
      <xdr:row>18</xdr:row>
      <xdr:rowOff>113741</xdr:rowOff>
    </xdr:from>
    <xdr:ext cx="255198" cy="224998"/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1C1A71E1-91ED-4B86-A4C3-AF31B5F1AABE}"/>
            </a:ext>
          </a:extLst>
        </xdr:cNvPr>
        <xdr:cNvSpPr txBox="1"/>
      </xdr:nvSpPr>
      <xdr:spPr>
        <a:xfrm>
          <a:off x="13536319" y="4228541"/>
          <a:ext cx="25519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99</xdr:col>
      <xdr:colOff>89765</xdr:colOff>
      <xdr:row>17</xdr:row>
      <xdr:rowOff>69694</xdr:rowOff>
    </xdr:from>
    <xdr:to>
      <xdr:col>99</xdr:col>
      <xdr:colOff>138458</xdr:colOff>
      <xdr:row>17</xdr:row>
      <xdr:rowOff>116064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F95D664D-3D71-441E-B19A-67AC726C2785}"/>
            </a:ext>
          </a:extLst>
        </xdr:cNvPr>
        <xdr:cNvCxnSpPr/>
      </xdr:nvCxnSpPr>
      <xdr:spPr>
        <a:xfrm>
          <a:off x="14720165" y="3955894"/>
          <a:ext cx="48693" cy="46370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99</xdr:col>
      <xdr:colOff>91818</xdr:colOff>
      <xdr:row>17</xdr:row>
      <xdr:rowOff>117809</xdr:rowOff>
    </xdr:from>
    <xdr:to>
      <xdr:col>99</xdr:col>
      <xdr:colOff>137383</xdr:colOff>
      <xdr:row>17</xdr:row>
      <xdr:rowOff>163081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7BA67220-A2EE-4C3F-A442-72EAE43D6747}"/>
            </a:ext>
          </a:extLst>
        </xdr:cNvPr>
        <xdr:cNvCxnSpPr/>
      </xdr:nvCxnSpPr>
      <xdr:spPr>
        <a:xfrm rot="5400000">
          <a:off x="14722365" y="4003862"/>
          <a:ext cx="45272" cy="45565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96</xdr:col>
      <xdr:colOff>14026</xdr:colOff>
      <xdr:row>18</xdr:row>
      <xdr:rowOff>89365</xdr:rowOff>
    </xdr:from>
    <xdr:to>
      <xdr:col>96</xdr:col>
      <xdr:colOff>85942</xdr:colOff>
      <xdr:row>18</xdr:row>
      <xdr:rowOff>110498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E47B1416-5252-4C91-AF61-4C54278095B6}"/>
            </a:ext>
          </a:extLst>
        </xdr:cNvPr>
        <xdr:cNvCxnSpPr/>
      </xdr:nvCxnSpPr>
      <xdr:spPr>
        <a:xfrm rot="240000">
          <a:off x="13958626" y="4204165"/>
          <a:ext cx="71916" cy="21133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95</xdr:col>
      <xdr:colOff>225701</xdr:colOff>
      <xdr:row>18</xdr:row>
      <xdr:rowOff>89442</xdr:rowOff>
    </xdr:from>
    <xdr:to>
      <xdr:col>96</xdr:col>
      <xdr:colOff>14498</xdr:colOff>
      <xdr:row>18</xdr:row>
      <xdr:rowOff>145430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9AD42A0F-FCB6-4969-8D00-B70058490F2F}"/>
            </a:ext>
          </a:extLst>
        </xdr:cNvPr>
        <xdr:cNvCxnSpPr/>
      </xdr:nvCxnSpPr>
      <xdr:spPr>
        <a:xfrm rot="240000" flipH="1">
          <a:off x="13941701" y="4204242"/>
          <a:ext cx="17397" cy="55988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98</xdr:col>
      <xdr:colOff>204675</xdr:colOff>
      <xdr:row>11</xdr:row>
      <xdr:rowOff>202817</xdr:rowOff>
    </xdr:from>
    <xdr:to>
      <xdr:col>98</xdr:col>
      <xdr:colOff>206071</xdr:colOff>
      <xdr:row>12</xdr:row>
      <xdr:rowOff>125934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90D05F58-453C-4FF1-B096-0A39179DE7EE}"/>
            </a:ext>
          </a:extLst>
        </xdr:cNvPr>
        <xdr:cNvCxnSpPr/>
      </xdr:nvCxnSpPr>
      <xdr:spPr>
        <a:xfrm flipH="1">
          <a:off x="14606475" y="2717417"/>
          <a:ext cx="1396" cy="151717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99</xdr:col>
      <xdr:colOff>87004</xdr:colOff>
      <xdr:row>11</xdr:row>
      <xdr:rowOff>202817</xdr:rowOff>
    </xdr:from>
    <xdr:to>
      <xdr:col>99</xdr:col>
      <xdr:colOff>88400</xdr:colOff>
      <xdr:row>12</xdr:row>
      <xdr:rowOff>125934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1A6D9BC3-DEF2-4C11-AD42-B0C380A540B1}"/>
            </a:ext>
          </a:extLst>
        </xdr:cNvPr>
        <xdr:cNvCxnSpPr/>
      </xdr:nvCxnSpPr>
      <xdr:spPr>
        <a:xfrm flipH="1">
          <a:off x="14717404" y="2717417"/>
          <a:ext cx="1396" cy="151717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99</xdr:col>
      <xdr:colOff>199504</xdr:colOff>
      <xdr:row>11</xdr:row>
      <xdr:rowOff>202817</xdr:rowOff>
    </xdr:from>
    <xdr:to>
      <xdr:col>99</xdr:col>
      <xdr:colOff>200900</xdr:colOff>
      <xdr:row>12</xdr:row>
      <xdr:rowOff>125934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DF97AA5D-1F14-44D9-9CBC-A28A628239AE}"/>
            </a:ext>
          </a:extLst>
        </xdr:cNvPr>
        <xdr:cNvCxnSpPr/>
      </xdr:nvCxnSpPr>
      <xdr:spPr>
        <a:xfrm flipH="1">
          <a:off x="14829904" y="2717417"/>
          <a:ext cx="1396" cy="151717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100</xdr:col>
      <xdr:colOff>79336</xdr:colOff>
      <xdr:row>11</xdr:row>
      <xdr:rowOff>202817</xdr:rowOff>
    </xdr:from>
    <xdr:to>
      <xdr:col>100</xdr:col>
      <xdr:colOff>80732</xdr:colOff>
      <xdr:row>12</xdr:row>
      <xdr:rowOff>125934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17031604-CEE3-4BA9-BB3D-0FB37A39A5E8}"/>
            </a:ext>
          </a:extLst>
        </xdr:cNvPr>
        <xdr:cNvCxnSpPr/>
      </xdr:nvCxnSpPr>
      <xdr:spPr>
        <a:xfrm flipH="1">
          <a:off x="14938336" y="2717417"/>
          <a:ext cx="1396" cy="151717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100</xdr:col>
      <xdr:colOff>175798</xdr:colOff>
      <xdr:row>11</xdr:row>
      <xdr:rowOff>202817</xdr:rowOff>
    </xdr:from>
    <xdr:to>
      <xdr:col>100</xdr:col>
      <xdr:colOff>177194</xdr:colOff>
      <xdr:row>12</xdr:row>
      <xdr:rowOff>125934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BE3AB4F0-36EF-45B9-9B15-49851A27AD51}"/>
            </a:ext>
          </a:extLst>
        </xdr:cNvPr>
        <xdr:cNvCxnSpPr/>
      </xdr:nvCxnSpPr>
      <xdr:spPr>
        <a:xfrm flipH="1">
          <a:off x="15034798" y="2717417"/>
          <a:ext cx="1396" cy="151717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101</xdr:col>
      <xdr:colOff>50703</xdr:colOff>
      <xdr:row>11</xdr:row>
      <xdr:rowOff>202817</xdr:rowOff>
    </xdr:from>
    <xdr:to>
      <xdr:col>101</xdr:col>
      <xdr:colOff>52099</xdr:colOff>
      <xdr:row>12</xdr:row>
      <xdr:rowOff>125934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857FF3AA-B0B0-4E07-BFE6-EC52117D9DBD}"/>
            </a:ext>
          </a:extLst>
        </xdr:cNvPr>
        <xdr:cNvCxnSpPr/>
      </xdr:nvCxnSpPr>
      <xdr:spPr>
        <a:xfrm flipH="1">
          <a:off x="15138303" y="2717417"/>
          <a:ext cx="1396" cy="151717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101</xdr:col>
      <xdr:colOff>160243</xdr:colOff>
      <xdr:row>11</xdr:row>
      <xdr:rowOff>202817</xdr:rowOff>
    </xdr:from>
    <xdr:to>
      <xdr:col>101</xdr:col>
      <xdr:colOff>161639</xdr:colOff>
      <xdr:row>12</xdr:row>
      <xdr:rowOff>125934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1930F03B-A0B1-4B90-8322-9E04E5ACC776}"/>
            </a:ext>
          </a:extLst>
        </xdr:cNvPr>
        <xdr:cNvCxnSpPr/>
      </xdr:nvCxnSpPr>
      <xdr:spPr>
        <a:xfrm flipH="1">
          <a:off x="15247843" y="2717417"/>
          <a:ext cx="1396" cy="151717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102</xdr:col>
      <xdr:colOff>41245</xdr:colOff>
      <xdr:row>11</xdr:row>
      <xdr:rowOff>202817</xdr:rowOff>
    </xdr:from>
    <xdr:to>
      <xdr:col>102</xdr:col>
      <xdr:colOff>42641</xdr:colOff>
      <xdr:row>12</xdr:row>
      <xdr:rowOff>125934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8B2D9541-1893-41BB-BABF-B2044EDB802C}"/>
            </a:ext>
          </a:extLst>
        </xdr:cNvPr>
        <xdr:cNvCxnSpPr/>
      </xdr:nvCxnSpPr>
      <xdr:spPr>
        <a:xfrm flipH="1">
          <a:off x="15357445" y="2717417"/>
          <a:ext cx="1396" cy="151717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102</xdr:col>
      <xdr:colOff>154187</xdr:colOff>
      <xdr:row>11</xdr:row>
      <xdr:rowOff>202817</xdr:rowOff>
    </xdr:from>
    <xdr:to>
      <xdr:col>102</xdr:col>
      <xdr:colOff>155583</xdr:colOff>
      <xdr:row>12</xdr:row>
      <xdr:rowOff>125934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76ED035A-278E-4F65-A936-BFDCB70496A1}"/>
            </a:ext>
          </a:extLst>
        </xdr:cNvPr>
        <xdr:cNvCxnSpPr/>
      </xdr:nvCxnSpPr>
      <xdr:spPr>
        <a:xfrm flipH="1">
          <a:off x="15470387" y="2717417"/>
          <a:ext cx="1396" cy="151717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103</xdr:col>
      <xdr:colOff>48998</xdr:colOff>
      <xdr:row>11</xdr:row>
      <xdr:rowOff>202817</xdr:rowOff>
    </xdr:from>
    <xdr:to>
      <xdr:col>103</xdr:col>
      <xdr:colOff>50394</xdr:colOff>
      <xdr:row>12</xdr:row>
      <xdr:rowOff>125934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9E65F074-1DAF-4528-B92B-7CD4DEDB2BF9}"/>
            </a:ext>
          </a:extLst>
        </xdr:cNvPr>
        <xdr:cNvCxnSpPr/>
      </xdr:nvCxnSpPr>
      <xdr:spPr>
        <a:xfrm flipH="1">
          <a:off x="15593798" y="2717417"/>
          <a:ext cx="1396" cy="151717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100</xdr:col>
      <xdr:colOff>80851</xdr:colOff>
      <xdr:row>11</xdr:row>
      <xdr:rowOff>12063</xdr:rowOff>
    </xdr:from>
    <xdr:ext cx="336311" cy="224998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238200C2-52DF-495A-A5A5-90DE421E31C9}"/>
            </a:ext>
          </a:extLst>
        </xdr:cNvPr>
        <xdr:cNvSpPr txBox="1"/>
      </xdr:nvSpPr>
      <xdr:spPr>
        <a:xfrm>
          <a:off x="14939851" y="2526663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103</xdr:col>
      <xdr:colOff>163884</xdr:colOff>
      <xdr:row>11</xdr:row>
      <xdr:rowOff>202817</xdr:rowOff>
    </xdr:from>
    <xdr:to>
      <xdr:col>103</xdr:col>
      <xdr:colOff>165280</xdr:colOff>
      <xdr:row>12</xdr:row>
      <xdr:rowOff>125934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0C706C82-C1BE-4959-95BD-416BEF155E75}"/>
            </a:ext>
          </a:extLst>
        </xdr:cNvPr>
        <xdr:cNvCxnSpPr/>
      </xdr:nvCxnSpPr>
      <xdr:spPr>
        <a:xfrm flipH="1">
          <a:off x="15708684" y="2717417"/>
          <a:ext cx="1396" cy="151717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91</xdr:col>
      <xdr:colOff>9535</xdr:colOff>
      <xdr:row>15</xdr:row>
      <xdr:rowOff>172985</xdr:rowOff>
    </xdr:from>
    <xdr:ext cx="224998" cy="444352"/>
    <xdr:sp macro="" textlink="'1.条件'!T6">
      <xdr:nvSpPr>
        <xdr:cNvPr id="164" name="テキスト ボックス 163">
          <a:extLst>
            <a:ext uri="{FF2B5EF4-FFF2-40B4-BE49-F238E27FC236}">
              <a16:creationId xmlns:a16="http://schemas.microsoft.com/office/drawing/2014/main" id="{26577DD8-59DF-47FA-B48E-AB7AF73A278A}"/>
            </a:ext>
          </a:extLst>
        </xdr:cNvPr>
        <xdr:cNvSpPr txBox="1"/>
      </xdr:nvSpPr>
      <xdr:spPr>
        <a:xfrm rot="16200000">
          <a:off x="12701458" y="3711662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150FA9F-C979-434C-B24E-705E253846D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6.000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97</xdr:col>
      <xdr:colOff>74520</xdr:colOff>
      <xdr:row>10</xdr:row>
      <xdr:rowOff>10886</xdr:rowOff>
    </xdr:from>
    <xdr:ext cx="444352" cy="224998"/>
    <xdr:sp macro="" textlink="'1.条件'!T7">
      <xdr:nvSpPr>
        <xdr:cNvPr id="165" name="テキスト ボックス 164">
          <a:extLst>
            <a:ext uri="{FF2B5EF4-FFF2-40B4-BE49-F238E27FC236}">
              <a16:creationId xmlns:a16="http://schemas.microsoft.com/office/drawing/2014/main" id="{A56B18D9-C524-4EA5-8FCD-D63ADA8CCC91}"/>
            </a:ext>
          </a:extLst>
        </xdr:cNvPr>
        <xdr:cNvSpPr txBox="1"/>
      </xdr:nvSpPr>
      <xdr:spPr>
        <a:xfrm>
          <a:off x="14247720" y="2296886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9C3E346-BB4E-4DE1-8AF6-EC2E07846450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93</xdr:col>
      <xdr:colOff>129824</xdr:colOff>
      <xdr:row>17</xdr:row>
      <xdr:rowOff>204724</xdr:rowOff>
    </xdr:from>
    <xdr:ext cx="224998" cy="444352"/>
    <xdr:sp macro="" textlink="'1.条件'!T9">
      <xdr:nvSpPr>
        <xdr:cNvPr id="166" name="テキスト ボックス 165">
          <a:extLst>
            <a:ext uri="{FF2B5EF4-FFF2-40B4-BE49-F238E27FC236}">
              <a16:creationId xmlns:a16="http://schemas.microsoft.com/office/drawing/2014/main" id="{3D89017D-D23E-4101-91E4-8DCD97D0CD7E}"/>
            </a:ext>
          </a:extLst>
        </xdr:cNvPr>
        <xdr:cNvSpPr txBox="1"/>
      </xdr:nvSpPr>
      <xdr:spPr>
        <a:xfrm rot="17760000">
          <a:off x="13278947" y="4200601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DEF5E5E-65E4-4B68-982A-EE6EA8E0C3E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95</xdr:col>
      <xdr:colOff>174159</xdr:colOff>
      <xdr:row>18</xdr:row>
      <xdr:rowOff>169233</xdr:rowOff>
    </xdr:from>
    <xdr:ext cx="224998" cy="444352"/>
    <xdr:sp macro="" textlink="'1.条件'!T10">
      <xdr:nvSpPr>
        <xdr:cNvPr id="167" name="テキスト ボックス 166">
          <a:extLst>
            <a:ext uri="{FF2B5EF4-FFF2-40B4-BE49-F238E27FC236}">
              <a16:creationId xmlns:a16="http://schemas.microsoft.com/office/drawing/2014/main" id="{12ACDF4E-286E-4192-AD0A-727D53DC01CB}"/>
            </a:ext>
          </a:extLst>
        </xdr:cNvPr>
        <xdr:cNvSpPr txBox="1"/>
      </xdr:nvSpPr>
      <xdr:spPr>
        <a:xfrm rot="17460000">
          <a:off x="13780482" y="4393710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22FD523-5332-486C-9DA7-7C2CB95F7C0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93</xdr:col>
      <xdr:colOff>148781</xdr:colOff>
      <xdr:row>23</xdr:row>
      <xdr:rowOff>18428</xdr:rowOff>
    </xdr:from>
    <xdr:ext cx="444352" cy="224998"/>
    <xdr:sp macro="" textlink="'1.条件'!T8">
      <xdr:nvSpPr>
        <xdr:cNvPr id="168" name="テキスト ボックス 167">
          <a:extLst>
            <a:ext uri="{FF2B5EF4-FFF2-40B4-BE49-F238E27FC236}">
              <a16:creationId xmlns:a16="http://schemas.microsoft.com/office/drawing/2014/main" id="{986EEF37-DF92-4E9C-910D-D27A5E805ACC}"/>
            </a:ext>
          </a:extLst>
        </xdr:cNvPr>
        <xdr:cNvSpPr txBox="1"/>
      </xdr:nvSpPr>
      <xdr:spPr>
        <a:xfrm>
          <a:off x="13407581" y="527622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F2F7B346-EE5D-4F5C-8401-AA4E9B0FF16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100</xdr:col>
      <xdr:colOff>57160</xdr:colOff>
      <xdr:row>13</xdr:row>
      <xdr:rowOff>29936</xdr:rowOff>
    </xdr:from>
    <xdr:ext cx="559769" cy="224998"/>
    <xdr:sp macro="" textlink="'2.土-常'!$BM$9">
      <xdr:nvSpPr>
        <xdr:cNvPr id="170" name="テキスト ボックス 169">
          <a:extLst>
            <a:ext uri="{FF2B5EF4-FFF2-40B4-BE49-F238E27FC236}">
              <a16:creationId xmlns:a16="http://schemas.microsoft.com/office/drawing/2014/main" id="{BCCFB016-26D3-42C8-94BC-9DC908ED8039}"/>
            </a:ext>
          </a:extLst>
        </xdr:cNvPr>
        <xdr:cNvSpPr txBox="1"/>
      </xdr:nvSpPr>
      <xdr:spPr>
        <a:xfrm>
          <a:off x="14916160" y="3001736"/>
          <a:ext cx="55976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B535EC2-8D51-4786-A733-5C2ED865F1D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214.071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98</xdr:col>
      <xdr:colOff>3474</xdr:colOff>
      <xdr:row>14</xdr:row>
      <xdr:rowOff>81891</xdr:rowOff>
    </xdr:from>
    <xdr:ext cx="425053" cy="224998"/>
    <xdr:sp macro="" textlink="$CE$17">
      <xdr:nvSpPr>
        <xdr:cNvPr id="171" name="テキスト ボックス 170">
          <a:extLst>
            <a:ext uri="{FF2B5EF4-FFF2-40B4-BE49-F238E27FC236}">
              <a16:creationId xmlns:a16="http://schemas.microsoft.com/office/drawing/2014/main" id="{AA3B553D-F326-4203-8C31-38154CAD4447}"/>
            </a:ext>
          </a:extLst>
        </xdr:cNvPr>
        <xdr:cNvSpPr txBox="1"/>
      </xdr:nvSpPr>
      <xdr:spPr>
        <a:xfrm>
          <a:off x="14405274" y="3282291"/>
          <a:ext cx="42505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32612CB-453C-4536-B7AE-9E757FEB58B5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-21.8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98</xdr:col>
      <xdr:colOff>111386</xdr:colOff>
      <xdr:row>14</xdr:row>
      <xdr:rowOff>1201</xdr:rowOff>
    </xdr:from>
    <xdr:ext cx="249748" cy="224998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34C0BA24-65E4-4C51-A702-A7A67B342103}"/>
            </a:ext>
          </a:extLst>
        </xdr:cNvPr>
        <xdr:cNvSpPr txBox="1"/>
      </xdr:nvSpPr>
      <xdr:spPr>
        <a:xfrm>
          <a:off x="14513186" y="3201601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100</xdr:col>
      <xdr:colOff>29109</xdr:colOff>
      <xdr:row>18</xdr:row>
      <xdr:rowOff>157882</xdr:rowOff>
    </xdr:from>
    <xdr:ext cx="249748" cy="224998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3580447A-992D-42FC-8929-9755DAFB8570}"/>
            </a:ext>
          </a:extLst>
        </xdr:cNvPr>
        <xdr:cNvSpPr txBox="1"/>
      </xdr:nvSpPr>
      <xdr:spPr>
        <a:xfrm>
          <a:off x="14888109" y="4272682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96</xdr:col>
      <xdr:colOff>165744</xdr:colOff>
      <xdr:row>20</xdr:row>
      <xdr:rowOff>204965</xdr:rowOff>
    </xdr:from>
    <xdr:ext cx="300082" cy="224998"/>
    <xdr:sp macro="" textlink="'2.土-常'!$BM$5">
      <xdr:nvSpPr>
        <xdr:cNvPr id="175" name="テキスト ボックス 174">
          <a:extLst>
            <a:ext uri="{FF2B5EF4-FFF2-40B4-BE49-F238E27FC236}">
              <a16:creationId xmlns:a16="http://schemas.microsoft.com/office/drawing/2014/main" id="{98807F36-695B-4E6C-85A5-4858681AA220}"/>
            </a:ext>
          </a:extLst>
        </xdr:cNvPr>
        <xdr:cNvSpPr txBox="1"/>
      </xdr:nvSpPr>
      <xdr:spPr>
        <a:xfrm>
          <a:off x="14110344" y="4776965"/>
          <a:ext cx="30008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5D3B0B1-DB83-46EF-8E34-DF7558F73DC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47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101</xdr:col>
      <xdr:colOff>26895</xdr:colOff>
      <xdr:row>10</xdr:row>
      <xdr:rowOff>10886</xdr:rowOff>
    </xdr:from>
    <xdr:ext cx="444352" cy="224998"/>
    <xdr:sp macro="" textlink="'2.土-常'!$BM$7">
      <xdr:nvSpPr>
        <xdr:cNvPr id="176" name="テキスト ボックス 175">
          <a:extLst>
            <a:ext uri="{FF2B5EF4-FFF2-40B4-BE49-F238E27FC236}">
              <a16:creationId xmlns:a16="http://schemas.microsoft.com/office/drawing/2014/main" id="{3C3C382D-E0B7-46B1-A63B-8F31B7943F00}"/>
            </a:ext>
          </a:extLst>
        </xdr:cNvPr>
        <xdr:cNvSpPr txBox="1"/>
      </xdr:nvSpPr>
      <xdr:spPr>
        <a:xfrm>
          <a:off x="15114495" y="2296886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89C4DDD-9731-4710-A489-93BB48264CC9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3.195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95</xdr:col>
      <xdr:colOff>108509</xdr:colOff>
      <xdr:row>17</xdr:row>
      <xdr:rowOff>83426</xdr:rowOff>
    </xdr:from>
    <xdr:ext cx="300082" cy="224998"/>
    <xdr:sp macro="" textlink="'2.土-常'!$P$23">
      <xdr:nvSpPr>
        <xdr:cNvPr id="177" name="テキスト ボックス 176">
          <a:extLst>
            <a:ext uri="{FF2B5EF4-FFF2-40B4-BE49-F238E27FC236}">
              <a16:creationId xmlns:a16="http://schemas.microsoft.com/office/drawing/2014/main" id="{F0F40670-FB96-4070-8D83-4BC860611F0E}"/>
            </a:ext>
          </a:extLst>
        </xdr:cNvPr>
        <xdr:cNvSpPr txBox="1"/>
      </xdr:nvSpPr>
      <xdr:spPr>
        <a:xfrm>
          <a:off x="13824509" y="3969626"/>
          <a:ext cx="30008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A4317-8654-4260-A586-52995751738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20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94</xdr:col>
      <xdr:colOff>144430</xdr:colOff>
      <xdr:row>18</xdr:row>
      <xdr:rowOff>125131</xdr:rowOff>
    </xdr:from>
    <xdr:ext cx="249748" cy="224998"/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BFFC6623-FC59-4B0B-9A19-6E5281103DD7}"/>
            </a:ext>
          </a:extLst>
        </xdr:cNvPr>
        <xdr:cNvSpPr txBox="1"/>
      </xdr:nvSpPr>
      <xdr:spPr>
        <a:xfrm>
          <a:off x="13631830" y="4239931"/>
          <a:ext cx="24974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93</xdr:col>
      <xdr:colOff>225857</xdr:colOff>
      <xdr:row>18</xdr:row>
      <xdr:rowOff>218681</xdr:rowOff>
    </xdr:from>
    <xdr:ext cx="502061" cy="224998"/>
    <xdr:sp macro="" textlink="'2.土-常'!$BM$11">
      <xdr:nvSpPr>
        <xdr:cNvPr id="179" name="テキスト ボックス 178">
          <a:extLst>
            <a:ext uri="{FF2B5EF4-FFF2-40B4-BE49-F238E27FC236}">
              <a16:creationId xmlns:a16="http://schemas.microsoft.com/office/drawing/2014/main" id="{C0342FB6-0F35-40F2-9C19-A4BE39828C8C}"/>
            </a:ext>
          </a:extLst>
        </xdr:cNvPr>
        <xdr:cNvSpPr txBox="1"/>
      </xdr:nvSpPr>
      <xdr:spPr>
        <a:xfrm>
          <a:off x="13484657" y="4333481"/>
          <a:ext cx="50206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3DD5508-FCAD-4700-BC4F-4C957D713EA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66.116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96</xdr:col>
      <xdr:colOff>90017</xdr:colOff>
      <xdr:row>14</xdr:row>
      <xdr:rowOff>13851</xdr:rowOff>
    </xdr:from>
    <xdr:ext cx="286104" cy="224998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94E90DC0-890A-4620-8CF6-A6DD7D449FA7}"/>
            </a:ext>
          </a:extLst>
        </xdr:cNvPr>
        <xdr:cNvSpPr txBox="1"/>
      </xdr:nvSpPr>
      <xdr:spPr>
        <a:xfrm>
          <a:off x="14098291" y="3228865"/>
          <a:ext cx="28610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96</xdr:col>
      <xdr:colOff>67850</xdr:colOff>
      <xdr:row>14</xdr:row>
      <xdr:rowOff>215739</xdr:rowOff>
    </xdr:from>
    <xdr:to>
      <xdr:col>97</xdr:col>
      <xdr:colOff>105245</xdr:colOff>
      <xdr:row>14</xdr:row>
      <xdr:rowOff>215739</xdr:rowOff>
    </xdr:to>
    <xdr:cxnSp macro="">
      <xdr:nvCxnSpPr>
        <xdr:cNvPr id="182" name="直線コネクタ 181">
          <a:extLst>
            <a:ext uri="{FF2B5EF4-FFF2-40B4-BE49-F238E27FC236}">
              <a16:creationId xmlns:a16="http://schemas.microsoft.com/office/drawing/2014/main" id="{DB8F3FC1-4222-4288-A984-56DC409B179F}"/>
            </a:ext>
          </a:extLst>
        </xdr:cNvPr>
        <xdr:cNvCxnSpPr/>
      </xdr:nvCxnSpPr>
      <xdr:spPr>
        <a:xfrm>
          <a:off x="14076124" y="3430753"/>
          <a:ext cx="267039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96</xdr:col>
      <xdr:colOff>62134</xdr:colOff>
      <xdr:row>14</xdr:row>
      <xdr:rowOff>184220</xdr:rowOff>
    </xdr:from>
    <xdr:to>
      <xdr:col>96</xdr:col>
      <xdr:colOff>62134</xdr:colOff>
      <xdr:row>15</xdr:row>
      <xdr:rowOff>122074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DA25C0DF-9F59-47E9-8314-572CAA33D3E0}"/>
            </a:ext>
          </a:extLst>
        </xdr:cNvPr>
        <xdr:cNvCxnSpPr/>
      </xdr:nvCxnSpPr>
      <xdr:spPr>
        <a:xfrm>
          <a:off x="14070408" y="3399234"/>
          <a:ext cx="0" cy="178384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169893</xdr:colOff>
      <xdr:row>15</xdr:row>
      <xdr:rowOff>148458</xdr:rowOff>
    </xdr:from>
    <xdr:ext cx="224998" cy="286104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99A0486F-1158-40AA-B064-F96BBA06F008}"/>
            </a:ext>
          </a:extLst>
        </xdr:cNvPr>
        <xdr:cNvSpPr txBox="1"/>
      </xdr:nvSpPr>
      <xdr:spPr>
        <a:xfrm rot="16200000">
          <a:off x="13398140" y="3608011"/>
          <a:ext cx="28610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94</xdr:col>
      <xdr:colOff>122392</xdr:colOff>
      <xdr:row>15</xdr:row>
      <xdr:rowOff>159661</xdr:rowOff>
    </xdr:from>
    <xdr:to>
      <xdr:col>95</xdr:col>
      <xdr:colOff>20817</xdr:colOff>
      <xdr:row>15</xdr:row>
      <xdr:rowOff>159661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01EE1C91-0B5D-4CF8-A996-4A98C4C43BE9}"/>
            </a:ext>
          </a:extLst>
        </xdr:cNvPr>
        <xdr:cNvCxnSpPr/>
      </xdr:nvCxnSpPr>
      <xdr:spPr>
        <a:xfrm>
          <a:off x="13609792" y="3588661"/>
          <a:ext cx="127025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93</xdr:col>
      <xdr:colOff>112376</xdr:colOff>
      <xdr:row>12</xdr:row>
      <xdr:rowOff>141302</xdr:rowOff>
    </xdr:from>
    <xdr:to>
      <xdr:col>93</xdr:col>
      <xdr:colOff>112376</xdr:colOff>
      <xdr:row>16</xdr:row>
      <xdr:rowOff>219984</xdr:rowOff>
    </xdr:to>
    <xdr:cxnSp macro="">
      <xdr:nvCxnSpPr>
        <xdr:cNvPr id="186" name="直線コネクタ 185">
          <a:extLst>
            <a:ext uri="{FF2B5EF4-FFF2-40B4-BE49-F238E27FC236}">
              <a16:creationId xmlns:a16="http://schemas.microsoft.com/office/drawing/2014/main" id="{5D3348B3-B636-464C-88F2-3B575C64E52C}"/>
            </a:ext>
          </a:extLst>
        </xdr:cNvPr>
        <xdr:cNvCxnSpPr/>
      </xdr:nvCxnSpPr>
      <xdr:spPr>
        <a:xfrm>
          <a:off x="13371176" y="2884502"/>
          <a:ext cx="0" cy="1003968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96</xdr:col>
      <xdr:colOff>220206</xdr:colOff>
      <xdr:row>16</xdr:row>
      <xdr:rowOff>223059</xdr:rowOff>
    </xdr:from>
    <xdr:to>
      <xdr:col>97</xdr:col>
      <xdr:colOff>140059</xdr:colOff>
      <xdr:row>16</xdr:row>
      <xdr:rowOff>223059</xdr:rowOff>
    </xdr:to>
    <xdr:cxnSp macro="">
      <xdr:nvCxnSpPr>
        <xdr:cNvPr id="187" name="直線コネクタ 186">
          <a:extLst>
            <a:ext uri="{FF2B5EF4-FFF2-40B4-BE49-F238E27FC236}">
              <a16:creationId xmlns:a16="http://schemas.microsoft.com/office/drawing/2014/main" id="{237E5160-A7FD-4A51-8294-32B5261FFBD6}"/>
            </a:ext>
          </a:extLst>
        </xdr:cNvPr>
        <xdr:cNvCxnSpPr/>
      </xdr:nvCxnSpPr>
      <xdr:spPr>
        <a:xfrm>
          <a:off x="14164806" y="3880659"/>
          <a:ext cx="148453" cy="0"/>
        </a:xfrm>
        <a:prstGeom prst="line">
          <a:avLst/>
        </a:prstGeom>
        <a:ln w="12700">
          <a:solidFill>
            <a:srgbClr val="FF0000"/>
          </a:solidFill>
          <a:headEnd type="triangle" w="sm" len="med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97</xdr:col>
      <xdr:colOff>147071</xdr:colOff>
      <xdr:row>16</xdr:row>
      <xdr:rowOff>62919</xdr:rowOff>
    </xdr:from>
    <xdr:ext cx="263727" cy="224998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6DC7F97E-9959-4455-AADB-48087D7BA59F}"/>
            </a:ext>
          </a:extLst>
        </xdr:cNvPr>
        <xdr:cNvSpPr txBox="1"/>
      </xdr:nvSpPr>
      <xdr:spPr>
        <a:xfrm>
          <a:off x="14320271" y="3720519"/>
          <a:ext cx="26372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92</xdr:col>
      <xdr:colOff>125512</xdr:colOff>
      <xdr:row>14</xdr:row>
      <xdr:rowOff>68182</xdr:rowOff>
    </xdr:from>
    <xdr:ext cx="224998" cy="292581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29C8E02D-8D37-47B0-A8B9-007D59E90DAB}"/>
            </a:ext>
          </a:extLst>
        </xdr:cNvPr>
        <xdr:cNvSpPr txBox="1"/>
      </xdr:nvSpPr>
      <xdr:spPr>
        <a:xfrm rot="16200000">
          <a:off x="13121920" y="3302374"/>
          <a:ext cx="29258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97</xdr:col>
      <xdr:colOff>124607</xdr:colOff>
      <xdr:row>15</xdr:row>
      <xdr:rowOff>139512</xdr:rowOff>
    </xdr:from>
    <xdr:to>
      <xdr:col>98</xdr:col>
      <xdr:colOff>127283</xdr:colOff>
      <xdr:row>15</xdr:row>
      <xdr:rowOff>157512</xdr:rowOff>
    </xdr:to>
    <xdr:cxnSp macro="">
      <xdr:nvCxnSpPr>
        <xdr:cNvPr id="190" name="直線コネクタ 189">
          <a:extLst>
            <a:ext uri="{FF2B5EF4-FFF2-40B4-BE49-F238E27FC236}">
              <a16:creationId xmlns:a16="http://schemas.microsoft.com/office/drawing/2014/main" id="{7D5C72EB-0434-4519-95EE-F8FDA947D101}"/>
            </a:ext>
          </a:extLst>
        </xdr:cNvPr>
        <xdr:cNvCxnSpPr/>
      </xdr:nvCxnSpPr>
      <xdr:spPr>
        <a:xfrm>
          <a:off x="14297807" y="3568512"/>
          <a:ext cx="231276" cy="18000"/>
        </a:xfrm>
        <a:prstGeom prst="line">
          <a:avLst/>
        </a:prstGeom>
        <a:ln w="25400">
          <a:solidFill>
            <a:srgbClr val="FF0000"/>
          </a:solidFill>
          <a:headEnd type="triangle" w="med" len="med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98</xdr:col>
      <xdr:colOff>83806</xdr:colOff>
      <xdr:row>15</xdr:row>
      <xdr:rowOff>36921</xdr:rowOff>
    </xdr:from>
    <xdr:ext cx="276551" cy="224998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F5802D19-0EDF-400A-B79C-AF91BCA030B3}"/>
            </a:ext>
          </a:extLst>
        </xdr:cNvPr>
        <xdr:cNvSpPr txBox="1"/>
      </xdr:nvSpPr>
      <xdr:spPr>
        <a:xfrm>
          <a:off x="14485606" y="3465921"/>
          <a:ext cx="27655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96</xdr:col>
      <xdr:colOff>23760</xdr:colOff>
      <xdr:row>16</xdr:row>
      <xdr:rowOff>196494</xdr:rowOff>
    </xdr:from>
    <xdr:to>
      <xdr:col>96</xdr:col>
      <xdr:colOff>76159</xdr:colOff>
      <xdr:row>17</xdr:row>
      <xdr:rowOff>17326</xdr:rowOff>
    </xdr:to>
    <xdr:sp macro="" textlink="">
      <xdr:nvSpPr>
        <xdr:cNvPr id="192" name="楕円 191">
          <a:extLst>
            <a:ext uri="{FF2B5EF4-FFF2-40B4-BE49-F238E27FC236}">
              <a16:creationId xmlns:a16="http://schemas.microsoft.com/office/drawing/2014/main" id="{C38DB747-504D-41A3-9D00-904C89161011}"/>
            </a:ext>
          </a:extLst>
        </xdr:cNvPr>
        <xdr:cNvSpPr/>
      </xdr:nvSpPr>
      <xdr:spPr>
        <a:xfrm>
          <a:off x="14032034" y="3870795"/>
          <a:ext cx="52399" cy="50476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93</xdr:col>
      <xdr:colOff>52746</xdr:colOff>
      <xdr:row>16</xdr:row>
      <xdr:rowOff>224712</xdr:rowOff>
    </xdr:from>
    <xdr:to>
      <xdr:col>95</xdr:col>
      <xdr:colOff>33239</xdr:colOff>
      <xdr:row>16</xdr:row>
      <xdr:rowOff>224712</xdr:rowOff>
    </xdr:to>
    <xdr:cxnSp macro="">
      <xdr:nvCxnSpPr>
        <xdr:cNvPr id="193" name="直線コネクタ 192">
          <a:extLst>
            <a:ext uri="{FF2B5EF4-FFF2-40B4-BE49-F238E27FC236}">
              <a16:creationId xmlns:a16="http://schemas.microsoft.com/office/drawing/2014/main" id="{F809BCD6-C546-3F96-A3FD-84069FEC03A1}"/>
            </a:ext>
          </a:extLst>
        </xdr:cNvPr>
        <xdr:cNvCxnSpPr/>
      </xdr:nvCxnSpPr>
      <xdr:spPr>
        <a:xfrm>
          <a:off x="13311546" y="3882312"/>
          <a:ext cx="437693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94</xdr:col>
      <xdr:colOff>168132</xdr:colOff>
      <xdr:row>15</xdr:row>
      <xdr:rowOff>155851</xdr:rowOff>
    </xdr:from>
    <xdr:to>
      <xdr:col>94</xdr:col>
      <xdr:colOff>168132</xdr:colOff>
      <xdr:row>16</xdr:row>
      <xdr:rowOff>219983</xdr:rowOff>
    </xdr:to>
    <xdr:cxnSp macro="">
      <xdr:nvCxnSpPr>
        <xdr:cNvPr id="195" name="直線コネクタ 194">
          <a:extLst>
            <a:ext uri="{FF2B5EF4-FFF2-40B4-BE49-F238E27FC236}">
              <a16:creationId xmlns:a16="http://schemas.microsoft.com/office/drawing/2014/main" id="{D6B90A85-7B3E-95F7-4BB4-1C619690F39F}"/>
            </a:ext>
          </a:extLst>
        </xdr:cNvPr>
        <xdr:cNvCxnSpPr/>
      </xdr:nvCxnSpPr>
      <xdr:spPr>
        <a:xfrm>
          <a:off x="13655532" y="3584851"/>
          <a:ext cx="0" cy="292732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97</xdr:col>
      <xdr:colOff>102176</xdr:colOff>
      <xdr:row>14</xdr:row>
      <xdr:rowOff>184220</xdr:rowOff>
    </xdr:from>
    <xdr:to>
      <xdr:col>97</xdr:col>
      <xdr:colOff>102176</xdr:colOff>
      <xdr:row>15</xdr:row>
      <xdr:rowOff>122074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C404B946-4534-62D9-02C2-C107906A8ADF}"/>
            </a:ext>
          </a:extLst>
        </xdr:cNvPr>
        <xdr:cNvCxnSpPr/>
      </xdr:nvCxnSpPr>
      <xdr:spPr>
        <a:xfrm>
          <a:off x="14275376" y="3384620"/>
          <a:ext cx="0" cy="17734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101</xdr:col>
      <xdr:colOff>28880</xdr:colOff>
      <xdr:row>11</xdr:row>
      <xdr:rowOff>13400</xdr:rowOff>
    </xdr:from>
    <xdr:ext cx="300082" cy="224998"/>
    <xdr:sp macro="" textlink="'1.条件'!T37">
      <xdr:nvSpPr>
        <xdr:cNvPr id="199" name="テキスト ボックス 198">
          <a:extLst>
            <a:ext uri="{FF2B5EF4-FFF2-40B4-BE49-F238E27FC236}">
              <a16:creationId xmlns:a16="http://schemas.microsoft.com/office/drawing/2014/main" id="{F12FA203-85B0-A046-3DBA-D292BAAE8026}"/>
            </a:ext>
          </a:extLst>
        </xdr:cNvPr>
        <xdr:cNvSpPr txBox="1"/>
      </xdr:nvSpPr>
      <xdr:spPr>
        <a:xfrm>
          <a:off x="15116480" y="2528000"/>
          <a:ext cx="30008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CE608FE-4973-41A2-BB2B-496D439D9A8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30</xdr:col>
      <xdr:colOff>26686</xdr:colOff>
      <xdr:row>5</xdr:row>
      <xdr:rowOff>154201</xdr:rowOff>
    </xdr:from>
    <xdr:to>
      <xdr:col>32</xdr:col>
      <xdr:colOff>96534</xdr:colOff>
      <xdr:row>11</xdr:row>
      <xdr:rowOff>122461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CB4B9125-EEE7-4FA6-B5C8-ED6BD24D9B49}"/>
            </a:ext>
          </a:extLst>
        </xdr:cNvPr>
        <xdr:cNvSpPr/>
      </xdr:nvSpPr>
      <xdr:spPr>
        <a:xfrm flipH="1">
          <a:off x="6884686" y="1297201"/>
          <a:ext cx="527048" cy="1339860"/>
        </a:xfrm>
        <a:prstGeom prst="rtTriangle">
          <a:avLst/>
        </a:prstGeom>
        <a:solidFill>
          <a:schemeClr val="accent6">
            <a:lumMod val="20000"/>
            <a:lumOff val="80000"/>
          </a:schemeClr>
        </a:solidFill>
        <a:ln w="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66581</xdr:colOff>
      <xdr:row>5</xdr:row>
      <xdr:rowOff>145555</xdr:rowOff>
    </xdr:from>
    <xdr:to>
      <xdr:col>32</xdr:col>
      <xdr:colOff>96535</xdr:colOff>
      <xdr:row>11</xdr:row>
      <xdr:rowOff>116111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C22DBE8-C9A0-4C9A-A38B-793F219C2238}"/>
            </a:ext>
          </a:extLst>
        </xdr:cNvPr>
        <xdr:cNvSpPr/>
      </xdr:nvSpPr>
      <xdr:spPr>
        <a:xfrm>
          <a:off x="6467381" y="1288555"/>
          <a:ext cx="944354" cy="1342156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23</xdr:col>
      <xdr:colOff>173797</xdr:colOff>
      <xdr:row>9</xdr:row>
      <xdr:rowOff>61954</xdr:rowOff>
    </xdr:from>
    <xdr:ext cx="224998" cy="39081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2C8A2A8-54FA-4A23-BF8B-F3D40F5D25B3}"/>
            </a:ext>
          </a:extLst>
        </xdr:cNvPr>
        <xdr:cNvSpPr txBox="1"/>
      </xdr:nvSpPr>
      <xdr:spPr>
        <a:xfrm rot="16200000">
          <a:off x="5348689" y="2202262"/>
          <a:ext cx="39081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27</xdr:col>
      <xdr:colOff>110684</xdr:colOff>
      <xdr:row>3</xdr:row>
      <xdr:rowOff>47624</xdr:rowOff>
    </xdr:from>
    <xdr:ext cx="368371" cy="2249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3EE60C-E67D-4CF4-9330-B6D21111CB1E}"/>
            </a:ext>
          </a:extLst>
        </xdr:cNvPr>
        <xdr:cNvSpPr txBox="1"/>
      </xdr:nvSpPr>
      <xdr:spPr>
        <a:xfrm>
          <a:off x="6282884" y="733424"/>
          <a:ext cx="3683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31</xdr:col>
      <xdr:colOff>30950</xdr:colOff>
      <xdr:row>5</xdr:row>
      <xdr:rowOff>145288</xdr:rowOff>
    </xdr:from>
    <xdr:to>
      <xdr:col>32</xdr:col>
      <xdr:colOff>90350</xdr:colOff>
      <xdr:row>5</xdr:row>
      <xdr:rowOff>145288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91555BF-2106-496E-961B-732A90D47A78}"/>
            </a:ext>
          </a:extLst>
        </xdr:cNvPr>
        <xdr:cNvCxnSpPr/>
      </xdr:nvCxnSpPr>
      <xdr:spPr>
        <a:xfrm>
          <a:off x="7117550" y="1288288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191692</xdr:colOff>
      <xdr:row>3</xdr:row>
      <xdr:rowOff>52851</xdr:rowOff>
    </xdr:from>
    <xdr:ext cx="336311" cy="2249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88D9DAA-0894-4871-A30C-E4329A17F44D}"/>
            </a:ext>
          </a:extLst>
        </xdr:cNvPr>
        <xdr:cNvSpPr txBox="1"/>
      </xdr:nvSpPr>
      <xdr:spPr>
        <a:xfrm>
          <a:off x="7049692" y="738651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24</xdr:col>
      <xdr:colOff>119743</xdr:colOff>
      <xdr:row>5</xdr:row>
      <xdr:rowOff>153133</xdr:rowOff>
    </xdr:from>
    <xdr:to>
      <xdr:col>26</xdr:col>
      <xdr:colOff>122731</xdr:colOff>
      <xdr:row>5</xdr:row>
      <xdr:rowOff>153133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5718241-2735-41D4-9C78-E484BE40C095}"/>
            </a:ext>
          </a:extLst>
        </xdr:cNvPr>
        <xdr:cNvCxnSpPr/>
      </xdr:nvCxnSpPr>
      <xdr:spPr>
        <a:xfrm>
          <a:off x="5606143" y="1296133"/>
          <a:ext cx="46018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164747</xdr:colOff>
      <xdr:row>5</xdr:row>
      <xdr:rowOff>132188</xdr:rowOff>
    </xdr:from>
    <xdr:to>
      <xdr:col>24</xdr:col>
      <xdr:colOff>164747</xdr:colOff>
      <xdr:row>15</xdr:row>
      <xdr:rowOff>12799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A1417D1-272E-427E-B987-52DD57F76CC0}"/>
            </a:ext>
          </a:extLst>
        </xdr:cNvPr>
        <xdr:cNvCxnSpPr/>
      </xdr:nvCxnSpPr>
      <xdr:spPr>
        <a:xfrm>
          <a:off x="5651147" y="1275188"/>
          <a:ext cx="0" cy="2177497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38153</xdr:colOff>
      <xdr:row>3</xdr:row>
      <xdr:rowOff>214744</xdr:rowOff>
    </xdr:from>
    <xdr:to>
      <xdr:col>31</xdr:col>
      <xdr:colOff>38153</xdr:colOff>
      <xdr:row>5</xdr:row>
      <xdr:rowOff>37135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6B5DCF1-ADC3-42DA-BCFE-38F4AD30D74C}"/>
            </a:ext>
          </a:extLst>
        </xdr:cNvPr>
        <xdr:cNvCxnSpPr/>
      </xdr:nvCxnSpPr>
      <xdr:spPr>
        <a:xfrm>
          <a:off x="7124753" y="900544"/>
          <a:ext cx="0" cy="27959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124307</xdr:colOff>
      <xdr:row>15</xdr:row>
      <xdr:rowOff>15749</xdr:rowOff>
    </xdr:from>
    <xdr:to>
      <xdr:col>25</xdr:col>
      <xdr:colOff>78681</xdr:colOff>
      <xdr:row>15</xdr:row>
      <xdr:rowOff>15749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CF3AB5A-10CF-49FF-B758-4054C65D4F22}"/>
            </a:ext>
          </a:extLst>
        </xdr:cNvPr>
        <xdr:cNvCxnSpPr/>
      </xdr:nvCxnSpPr>
      <xdr:spPr>
        <a:xfrm>
          <a:off x="5610707" y="3444749"/>
          <a:ext cx="18297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102198</xdr:colOff>
      <xdr:row>3</xdr:row>
      <xdr:rowOff>205298</xdr:rowOff>
    </xdr:from>
    <xdr:to>
      <xdr:col>32</xdr:col>
      <xdr:colOff>102198</xdr:colOff>
      <xdr:row>5</xdr:row>
      <xdr:rowOff>29340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329DBD5-F44E-4779-8255-B1C0FD270147}"/>
            </a:ext>
          </a:extLst>
        </xdr:cNvPr>
        <xdr:cNvCxnSpPr/>
      </xdr:nvCxnSpPr>
      <xdr:spPr>
        <a:xfrm>
          <a:off x="7417398" y="891098"/>
          <a:ext cx="0" cy="28124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140837</xdr:colOff>
      <xdr:row>3</xdr:row>
      <xdr:rowOff>195851</xdr:rowOff>
    </xdr:from>
    <xdr:to>
      <xdr:col>26</xdr:col>
      <xdr:colOff>140837</xdr:colOff>
      <xdr:row>5</xdr:row>
      <xdr:rowOff>14723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D8132AD-B136-4C1D-8427-79C476724E2F}"/>
            </a:ext>
          </a:extLst>
        </xdr:cNvPr>
        <xdr:cNvCxnSpPr/>
      </xdr:nvCxnSpPr>
      <xdr:spPr>
        <a:xfrm>
          <a:off x="6084437" y="881651"/>
          <a:ext cx="0" cy="27607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138536</xdr:colOff>
      <xdr:row>4</xdr:row>
      <xdr:rowOff>28144</xdr:rowOff>
    </xdr:from>
    <xdr:to>
      <xdr:col>31</xdr:col>
      <xdr:colOff>39536</xdr:colOff>
      <xdr:row>4</xdr:row>
      <xdr:rowOff>28144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9A0E2BC0-D9E4-4179-928C-AE20D916CB9D}"/>
            </a:ext>
          </a:extLst>
        </xdr:cNvPr>
        <xdr:cNvCxnSpPr/>
      </xdr:nvCxnSpPr>
      <xdr:spPr>
        <a:xfrm>
          <a:off x="6082136" y="942544"/>
          <a:ext cx="1044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37348</xdr:colOff>
      <xdr:row>4</xdr:row>
      <xdr:rowOff>28130</xdr:rowOff>
    </xdr:from>
    <xdr:to>
      <xdr:col>32</xdr:col>
      <xdr:colOff>96748</xdr:colOff>
      <xdr:row>4</xdr:row>
      <xdr:rowOff>28130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D6EB12A5-B406-4D9B-A073-B8DB1B1D8B20}"/>
            </a:ext>
          </a:extLst>
        </xdr:cNvPr>
        <xdr:cNvCxnSpPr/>
      </xdr:nvCxnSpPr>
      <xdr:spPr>
        <a:xfrm>
          <a:off x="7123948" y="942530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77190</xdr:colOff>
      <xdr:row>8</xdr:row>
      <xdr:rowOff>208</xdr:rowOff>
    </xdr:from>
    <xdr:ext cx="300082" cy="285527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3D53DF1-C8D6-4B8D-9791-D39DDF1A3050}"/>
            </a:ext>
          </a:extLst>
        </xdr:cNvPr>
        <xdr:cNvSpPr txBox="1"/>
      </xdr:nvSpPr>
      <xdr:spPr>
        <a:xfrm>
          <a:off x="6706590" y="1829008"/>
          <a:ext cx="300082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①</a:t>
          </a:r>
        </a:p>
      </xdr:txBody>
    </xdr:sp>
    <xdr:clientData/>
  </xdr:oneCellAnchor>
  <xdr:oneCellAnchor>
    <xdr:from>
      <xdr:col>28</xdr:col>
      <xdr:colOff>126607</xdr:colOff>
      <xdr:row>6</xdr:row>
      <xdr:rowOff>145531</xdr:rowOff>
    </xdr:from>
    <xdr:ext cx="300082" cy="28552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E2135D6-19AB-49F0-840E-016285490A8D}"/>
            </a:ext>
          </a:extLst>
        </xdr:cNvPr>
        <xdr:cNvSpPr txBox="1"/>
      </xdr:nvSpPr>
      <xdr:spPr>
        <a:xfrm>
          <a:off x="6527407" y="1517131"/>
          <a:ext cx="300082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i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②</a:t>
          </a:r>
        </a:p>
      </xdr:txBody>
    </xdr:sp>
    <xdr:clientData/>
  </xdr:oneCellAnchor>
  <xdr:oneCellAnchor>
    <xdr:from>
      <xdr:col>26</xdr:col>
      <xdr:colOff>209215</xdr:colOff>
      <xdr:row>11</xdr:row>
      <xdr:rowOff>22685</xdr:rowOff>
    </xdr:from>
    <xdr:ext cx="357790" cy="285527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4CDBE5E-6E00-4A2E-8DA3-024AB64A39A0}"/>
            </a:ext>
          </a:extLst>
        </xdr:cNvPr>
        <xdr:cNvSpPr txBox="1"/>
      </xdr:nvSpPr>
      <xdr:spPr>
        <a:xfrm>
          <a:off x="6152815" y="2537285"/>
          <a:ext cx="35779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kumimoji="1" lang="ja-JP" altLang="en-US" sz="900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点</a:t>
          </a:r>
        </a:p>
      </xdr:txBody>
    </xdr:sp>
    <xdr:clientData/>
  </xdr:oneCellAnchor>
  <xdr:oneCellAnchor>
    <xdr:from>
      <xdr:col>30</xdr:col>
      <xdr:colOff>110019</xdr:colOff>
      <xdr:row>9</xdr:row>
      <xdr:rowOff>197387</xdr:rowOff>
    </xdr:from>
    <xdr:ext cx="300082" cy="285527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BE05D78-952C-4A00-BCE2-B37CA4016E96}"/>
            </a:ext>
          </a:extLst>
        </xdr:cNvPr>
        <xdr:cNvSpPr txBox="1"/>
      </xdr:nvSpPr>
      <xdr:spPr>
        <a:xfrm>
          <a:off x="6968019" y="2254787"/>
          <a:ext cx="300082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i="0">
              <a:solidFill>
                <a:schemeClr val="accent6">
                  <a:lumMod val="7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③</a:t>
          </a:r>
        </a:p>
      </xdr:txBody>
    </xdr:sp>
    <xdr:clientData/>
  </xdr:oneCellAnchor>
  <xdr:twoCellAnchor editAs="oneCell">
    <xdr:from>
      <xdr:col>28</xdr:col>
      <xdr:colOff>192179</xdr:colOff>
      <xdr:row>5</xdr:row>
      <xdr:rowOff>28803</xdr:rowOff>
    </xdr:from>
    <xdr:to>
      <xdr:col>28</xdr:col>
      <xdr:colOff>192179</xdr:colOff>
      <xdr:row>15</xdr:row>
      <xdr:rowOff>128362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595AF6B4-6F18-4BF7-89D0-A7AD0D891123}"/>
            </a:ext>
          </a:extLst>
        </xdr:cNvPr>
        <xdr:cNvCxnSpPr/>
      </xdr:nvCxnSpPr>
      <xdr:spPr>
        <a:xfrm rot="6960000">
          <a:off x="5394756" y="2370026"/>
          <a:ext cx="239644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107081</xdr:colOff>
      <xdr:row>14</xdr:row>
      <xdr:rowOff>223989</xdr:rowOff>
    </xdr:from>
    <xdr:to>
      <xdr:col>28</xdr:col>
      <xdr:colOff>153881</xdr:colOff>
      <xdr:row>14</xdr:row>
      <xdr:rowOff>223989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98269E38-16A5-4AC8-BD17-6B97E82BDD92}"/>
            </a:ext>
          </a:extLst>
        </xdr:cNvPr>
        <xdr:cNvCxnSpPr/>
      </xdr:nvCxnSpPr>
      <xdr:spPr>
        <a:xfrm>
          <a:off x="6050681" y="3424389"/>
          <a:ext cx="504000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33244</xdr:colOff>
      <xdr:row>11</xdr:row>
      <xdr:rowOff>85580</xdr:rowOff>
    </xdr:from>
    <xdr:to>
      <xdr:col>28</xdr:col>
      <xdr:colOff>79468</xdr:colOff>
      <xdr:row>11</xdr:row>
      <xdr:rowOff>133534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976204F1-2A5A-44E3-BABB-8E1E12A0DFD2}"/>
            </a:ext>
          </a:extLst>
        </xdr:cNvPr>
        <xdr:cNvSpPr/>
      </xdr:nvSpPr>
      <xdr:spPr>
        <a:xfrm>
          <a:off x="6434044" y="2600180"/>
          <a:ext cx="46224" cy="47954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28</xdr:col>
      <xdr:colOff>99799</xdr:colOff>
      <xdr:row>3</xdr:row>
      <xdr:rowOff>36738</xdr:rowOff>
    </xdr:from>
    <xdr:ext cx="444352" cy="224998"/>
    <xdr:sp macro="" textlink="'2.自と衝'!AF13">
      <xdr:nvSpPr>
        <xdr:cNvPr id="37" name="テキスト ボックス 36">
          <a:extLst>
            <a:ext uri="{FF2B5EF4-FFF2-40B4-BE49-F238E27FC236}">
              <a16:creationId xmlns:a16="http://schemas.microsoft.com/office/drawing/2014/main" id="{730D3534-CA0B-4735-A958-C0CAB41719FF}"/>
            </a:ext>
          </a:extLst>
        </xdr:cNvPr>
        <xdr:cNvSpPr txBox="1"/>
      </xdr:nvSpPr>
      <xdr:spPr>
        <a:xfrm>
          <a:off x="6500599" y="72253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165EEE5-2AE7-4F41-8567-4EF0A976B78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3.000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31</xdr:col>
      <xdr:colOff>151802</xdr:colOff>
      <xdr:row>3</xdr:row>
      <xdr:rowOff>52851</xdr:rowOff>
    </xdr:from>
    <xdr:ext cx="444352" cy="224998"/>
    <xdr:sp macro="" textlink="'1.条件'!T7">
      <xdr:nvSpPr>
        <xdr:cNvPr id="38" name="テキスト ボックス 37">
          <a:extLst>
            <a:ext uri="{FF2B5EF4-FFF2-40B4-BE49-F238E27FC236}">
              <a16:creationId xmlns:a16="http://schemas.microsoft.com/office/drawing/2014/main" id="{467A237A-E789-4766-895F-AE5E09BF2BCF}"/>
            </a:ext>
          </a:extLst>
        </xdr:cNvPr>
        <xdr:cNvSpPr txBox="1"/>
      </xdr:nvSpPr>
      <xdr:spPr>
        <a:xfrm>
          <a:off x="7238402" y="738651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34F48A0-FA92-45EF-BC48-C832F3EBF19C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23</xdr:col>
      <xdr:colOff>176037</xdr:colOff>
      <xdr:row>8</xdr:row>
      <xdr:rowOff>10212</xdr:rowOff>
    </xdr:from>
    <xdr:ext cx="224998" cy="444352"/>
    <xdr:sp macro="" textlink="'1.条件'!T6">
      <xdr:nvSpPr>
        <xdr:cNvPr id="39" name="テキスト ボックス 38">
          <a:extLst>
            <a:ext uri="{FF2B5EF4-FFF2-40B4-BE49-F238E27FC236}">
              <a16:creationId xmlns:a16="http://schemas.microsoft.com/office/drawing/2014/main" id="{82F332F4-994C-407D-A05B-95B1A8452921}"/>
            </a:ext>
          </a:extLst>
        </xdr:cNvPr>
        <xdr:cNvSpPr txBox="1"/>
      </xdr:nvSpPr>
      <xdr:spPr>
        <a:xfrm rot="16200000">
          <a:off x="5324160" y="1948689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75D5D61-78FE-4F4D-95C3-F22D79CEBC8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6.000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26</xdr:col>
      <xdr:colOff>43548</xdr:colOff>
      <xdr:row>5</xdr:row>
      <xdr:rowOff>168672</xdr:rowOff>
    </xdr:from>
    <xdr:to>
      <xdr:col>26</xdr:col>
      <xdr:colOff>43548</xdr:colOff>
      <xdr:row>11</xdr:row>
      <xdr:rowOff>108853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2D61D0BD-C4A4-4BDE-957D-6465B465AAA9}"/>
            </a:ext>
          </a:extLst>
        </xdr:cNvPr>
        <xdr:cNvCxnSpPr/>
      </xdr:nvCxnSpPr>
      <xdr:spPr>
        <a:xfrm>
          <a:off x="5987148" y="1311672"/>
          <a:ext cx="0" cy="1311781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56685</xdr:colOff>
      <xdr:row>7</xdr:row>
      <xdr:rowOff>102276</xdr:rowOff>
    </xdr:from>
    <xdr:ext cx="224998" cy="292581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3A322DF-D081-461B-B8CA-9184DE8DAA6D}"/>
            </a:ext>
          </a:extLst>
        </xdr:cNvPr>
        <xdr:cNvSpPr txBox="1"/>
      </xdr:nvSpPr>
      <xdr:spPr>
        <a:xfrm rot="16200000">
          <a:off x="5737893" y="1736268"/>
          <a:ext cx="29258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25</xdr:col>
      <xdr:colOff>195943</xdr:colOff>
      <xdr:row>11</xdr:row>
      <xdr:rowOff>105510</xdr:rowOff>
    </xdr:from>
    <xdr:to>
      <xdr:col>27</xdr:col>
      <xdr:colOff>35164</xdr:colOff>
      <xdr:row>11</xdr:row>
      <xdr:rowOff>105510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D4283819-FF3C-4393-801A-695B76497022}"/>
            </a:ext>
          </a:extLst>
        </xdr:cNvPr>
        <xdr:cNvCxnSpPr/>
      </xdr:nvCxnSpPr>
      <xdr:spPr>
        <a:xfrm>
          <a:off x="5910943" y="2620110"/>
          <a:ext cx="296421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61565</xdr:colOff>
      <xdr:row>12</xdr:row>
      <xdr:rowOff>107466</xdr:rowOff>
    </xdr:from>
    <xdr:ext cx="292581" cy="224998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417E97E7-0758-4231-8D81-A5F25FFF1493}"/>
            </a:ext>
          </a:extLst>
        </xdr:cNvPr>
        <xdr:cNvSpPr txBox="1"/>
      </xdr:nvSpPr>
      <xdr:spPr>
        <a:xfrm>
          <a:off x="7148165" y="2850666"/>
          <a:ext cx="29258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59571</xdr:colOff>
      <xdr:row>4</xdr:row>
      <xdr:rowOff>226881</xdr:rowOff>
    </xdr:from>
    <xdr:to>
      <xdr:col>31</xdr:col>
      <xdr:colOff>42688</xdr:colOff>
      <xdr:row>5</xdr:row>
      <xdr:rowOff>1103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75577520-B230-427B-90F8-BF696AC7A555}"/>
            </a:ext>
          </a:extLst>
        </xdr:cNvPr>
        <xdr:cNvCxnSpPr/>
      </xdr:nvCxnSpPr>
      <xdr:spPr>
        <a:xfrm>
          <a:off x="6460371" y="1141281"/>
          <a:ext cx="668917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66483</xdr:colOff>
      <xdr:row>4</xdr:row>
      <xdr:rowOff>186406</xdr:rowOff>
    </xdr:from>
    <xdr:to>
      <xdr:col>28</xdr:col>
      <xdr:colOff>66483</xdr:colOff>
      <xdr:row>5</xdr:row>
      <xdr:rowOff>55930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401C0D3F-FDDE-489C-BAEB-89E1C812CB84}"/>
            </a:ext>
          </a:extLst>
        </xdr:cNvPr>
        <xdr:cNvCxnSpPr/>
      </xdr:nvCxnSpPr>
      <xdr:spPr>
        <a:xfrm>
          <a:off x="6467283" y="1100806"/>
          <a:ext cx="0" cy="98124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34424</xdr:colOff>
      <xdr:row>12</xdr:row>
      <xdr:rowOff>149938</xdr:rowOff>
    </xdr:from>
    <xdr:to>
      <xdr:col>32</xdr:col>
      <xdr:colOff>99224</xdr:colOff>
      <xdr:row>12</xdr:row>
      <xdr:rowOff>149938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A6227B97-E96A-47FD-96CF-EC69A099DA60}"/>
            </a:ext>
          </a:extLst>
        </xdr:cNvPr>
        <xdr:cNvCxnSpPr/>
      </xdr:nvCxnSpPr>
      <xdr:spPr>
        <a:xfrm>
          <a:off x="6892424" y="2893138"/>
          <a:ext cx="522000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31045</xdr:colOff>
      <xdr:row>12</xdr:row>
      <xdr:rowOff>23003</xdr:rowOff>
    </xdr:from>
    <xdr:to>
      <xdr:col>30</xdr:col>
      <xdr:colOff>31045</xdr:colOff>
      <xdr:row>12</xdr:row>
      <xdr:rowOff>218848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51BDBC28-83C4-43BA-8DBE-3F1181F03397}"/>
            </a:ext>
          </a:extLst>
        </xdr:cNvPr>
        <xdr:cNvCxnSpPr/>
      </xdr:nvCxnSpPr>
      <xdr:spPr>
        <a:xfrm>
          <a:off x="6889045" y="2766203"/>
          <a:ext cx="0" cy="19584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211679</xdr:colOff>
      <xdr:row>4</xdr:row>
      <xdr:rowOff>30722</xdr:rowOff>
    </xdr:from>
    <xdr:ext cx="292581" cy="224998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A951DFF9-494E-4499-93A3-9230988AE474}"/>
            </a:ext>
          </a:extLst>
        </xdr:cNvPr>
        <xdr:cNvSpPr txBox="1"/>
      </xdr:nvSpPr>
      <xdr:spPr>
        <a:xfrm>
          <a:off x="6841079" y="945122"/>
          <a:ext cx="29258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32</xdr:col>
      <xdr:colOff>96669</xdr:colOff>
      <xdr:row>12</xdr:row>
      <xdr:rowOff>31464</xdr:rowOff>
    </xdr:from>
    <xdr:to>
      <xdr:col>32</xdr:col>
      <xdr:colOff>96669</xdr:colOff>
      <xdr:row>13</xdr:row>
      <xdr:rowOff>1531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A8F7B3C7-F7BF-4D2D-8D6E-7125AE06A93F}"/>
            </a:ext>
          </a:extLst>
        </xdr:cNvPr>
        <xdr:cNvCxnSpPr/>
      </xdr:nvCxnSpPr>
      <xdr:spPr>
        <a:xfrm>
          <a:off x="7411869" y="2774664"/>
          <a:ext cx="0" cy="19584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152633</xdr:colOff>
      <xdr:row>13</xdr:row>
      <xdr:rowOff>171953</xdr:rowOff>
    </xdr:from>
    <xdr:ext cx="285527" cy="35779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905E722-7C2A-49C4-A040-3D2FBC8925AB}"/>
            </a:ext>
          </a:extLst>
        </xdr:cNvPr>
        <xdr:cNvSpPr txBox="1"/>
      </xdr:nvSpPr>
      <xdr:spPr>
        <a:xfrm rot="17760000">
          <a:off x="5831502" y="3179884"/>
          <a:ext cx="35779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oneCellAnchor>
    <xdr:from>
      <xdr:col>26</xdr:col>
      <xdr:colOff>53631</xdr:colOff>
      <xdr:row>12</xdr:row>
      <xdr:rowOff>166771</xdr:rowOff>
    </xdr:from>
    <xdr:ext cx="224998" cy="444352"/>
    <xdr:sp macro="" textlink="'1.条件'!T9">
      <xdr:nvSpPr>
        <xdr:cNvPr id="44" name="テキスト ボックス 43">
          <a:extLst>
            <a:ext uri="{FF2B5EF4-FFF2-40B4-BE49-F238E27FC236}">
              <a16:creationId xmlns:a16="http://schemas.microsoft.com/office/drawing/2014/main" id="{D7C1AF14-ABF8-4C6F-A5FB-FBF73B5DED1F}"/>
            </a:ext>
          </a:extLst>
        </xdr:cNvPr>
        <xdr:cNvSpPr txBox="1"/>
      </xdr:nvSpPr>
      <xdr:spPr>
        <a:xfrm rot="17760000">
          <a:off x="5887554" y="301964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DEF5E5E-65E4-4B68-982A-EE6EA8E0C3E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28</xdr:col>
      <xdr:colOff>140856</xdr:colOff>
      <xdr:row>13</xdr:row>
      <xdr:rowOff>175646</xdr:rowOff>
    </xdr:from>
    <xdr:ext cx="285527" cy="35779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EFC426B-7EDE-4449-82E0-77DC88773C3A}"/>
            </a:ext>
          </a:extLst>
        </xdr:cNvPr>
        <xdr:cNvSpPr txBox="1"/>
      </xdr:nvSpPr>
      <xdr:spPr>
        <a:xfrm rot="17460000">
          <a:off x="6505525" y="3183577"/>
          <a:ext cx="35779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oneCellAnchor>
    <xdr:from>
      <xdr:col>29</xdr:col>
      <xdr:colOff>13553</xdr:colOff>
      <xdr:row>12</xdr:row>
      <xdr:rowOff>180260</xdr:rowOff>
    </xdr:from>
    <xdr:ext cx="224998" cy="444352"/>
    <xdr:sp macro="" textlink="'1.条件'!T10">
      <xdr:nvSpPr>
        <xdr:cNvPr id="46" name="テキスト ボックス 45">
          <a:extLst>
            <a:ext uri="{FF2B5EF4-FFF2-40B4-BE49-F238E27FC236}">
              <a16:creationId xmlns:a16="http://schemas.microsoft.com/office/drawing/2014/main" id="{76BAF63D-07D4-4D26-B146-F999748223C1}"/>
            </a:ext>
          </a:extLst>
        </xdr:cNvPr>
        <xdr:cNvSpPr txBox="1"/>
      </xdr:nvSpPr>
      <xdr:spPr>
        <a:xfrm rot="17460000">
          <a:off x="6533276" y="3033137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22FD523-5332-486C-9DA7-7C2CB95F7C0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147336</xdr:colOff>
      <xdr:row>5</xdr:row>
      <xdr:rowOff>146591</xdr:rowOff>
    </xdr:from>
    <xdr:to>
      <xdr:col>32</xdr:col>
      <xdr:colOff>94148</xdr:colOff>
      <xdr:row>15</xdr:row>
      <xdr:rowOff>19071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54ECAF0-E0C5-4276-8BDD-1ACABF80944D}"/>
            </a:ext>
          </a:extLst>
        </xdr:cNvPr>
        <xdr:cNvCxnSpPr/>
      </xdr:nvCxnSpPr>
      <xdr:spPr>
        <a:xfrm flipH="1">
          <a:off x="6548136" y="1289591"/>
          <a:ext cx="861212" cy="21693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95</xdr:col>
      <xdr:colOff>10570</xdr:colOff>
      <xdr:row>12</xdr:row>
      <xdr:rowOff>124698</xdr:rowOff>
    </xdr:from>
    <xdr:to>
      <xdr:col>98</xdr:col>
      <xdr:colOff>186858</xdr:colOff>
      <xdr:row>22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6FF18A6D-5885-4427-B3F7-612C2B0AFEB9}"/>
            </a:ext>
          </a:extLst>
        </xdr:cNvPr>
        <xdr:cNvCxnSpPr/>
      </xdr:nvCxnSpPr>
      <xdr:spPr>
        <a:xfrm flipH="1">
          <a:off x="13726570" y="2867898"/>
          <a:ext cx="862088" cy="21693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166390</xdr:colOff>
      <xdr:row>4</xdr:row>
      <xdr:rowOff>32222</xdr:rowOff>
    </xdr:from>
    <xdr:ext cx="444352" cy="224998"/>
    <xdr:sp macro="" textlink="'1.条件'!T9">
      <xdr:nvSpPr>
        <xdr:cNvPr id="47" name="テキスト ボックス 46">
          <a:extLst>
            <a:ext uri="{FF2B5EF4-FFF2-40B4-BE49-F238E27FC236}">
              <a16:creationId xmlns:a16="http://schemas.microsoft.com/office/drawing/2014/main" id="{AEB48F53-A86B-4DDD-ADD8-19433C72879A}"/>
            </a:ext>
          </a:extLst>
        </xdr:cNvPr>
        <xdr:cNvSpPr txBox="1"/>
      </xdr:nvSpPr>
      <xdr:spPr>
        <a:xfrm>
          <a:off x="6567190" y="946622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DEF5E5E-65E4-4B68-982A-EE6EA8E0C3E7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0.500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30</xdr:col>
      <xdr:colOff>10908</xdr:colOff>
      <xdr:row>12</xdr:row>
      <xdr:rowOff>115778</xdr:rowOff>
    </xdr:from>
    <xdr:ext cx="444352" cy="224998"/>
    <xdr:sp macro="" textlink="'1.条件'!T10">
      <xdr:nvSpPr>
        <xdr:cNvPr id="48" name="テキスト ボックス 47">
          <a:extLst>
            <a:ext uri="{FF2B5EF4-FFF2-40B4-BE49-F238E27FC236}">
              <a16:creationId xmlns:a16="http://schemas.microsoft.com/office/drawing/2014/main" id="{AB5834F8-88D5-4FEE-A7B4-7B4A62ADE2BC}"/>
            </a:ext>
          </a:extLst>
        </xdr:cNvPr>
        <xdr:cNvSpPr txBox="1"/>
      </xdr:nvSpPr>
      <xdr:spPr>
        <a:xfrm>
          <a:off x="6868908" y="285897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22FD523-5332-486C-9DA7-7C2CB95F7C0C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95</xdr:col>
      <xdr:colOff>122520</xdr:colOff>
      <xdr:row>16</xdr:row>
      <xdr:rowOff>83933</xdr:rowOff>
    </xdr:from>
    <xdr:to>
      <xdr:col>97</xdr:col>
      <xdr:colOff>5490</xdr:colOff>
      <xdr:row>17</xdr:row>
      <xdr:rowOff>206458</xdr:rowOff>
    </xdr:to>
    <xdr:sp macro="" textlink="">
      <xdr:nvSpPr>
        <xdr:cNvPr id="41" name="矢印: 環状 40">
          <a:extLst>
            <a:ext uri="{FF2B5EF4-FFF2-40B4-BE49-F238E27FC236}">
              <a16:creationId xmlns:a16="http://schemas.microsoft.com/office/drawing/2014/main" id="{291337E1-0DD8-432D-9250-B30D14486EFC}"/>
            </a:ext>
          </a:extLst>
        </xdr:cNvPr>
        <xdr:cNvSpPr/>
      </xdr:nvSpPr>
      <xdr:spPr>
        <a:xfrm rot="20940662">
          <a:off x="13838520" y="3741533"/>
          <a:ext cx="340170" cy="351125"/>
        </a:xfrm>
        <a:prstGeom prst="circularArrow">
          <a:avLst>
            <a:gd name="adj1" fmla="val 9006"/>
            <a:gd name="adj2" fmla="val 1201318"/>
            <a:gd name="adj3" fmla="val 20575211"/>
            <a:gd name="adj4" fmla="val 12777058"/>
            <a:gd name="adj5" fmla="val 1244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95</xdr:col>
      <xdr:colOff>195704</xdr:colOff>
      <xdr:row>16</xdr:row>
      <xdr:rowOff>177084</xdr:rowOff>
    </xdr:from>
    <xdr:ext cx="314958" cy="224998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C8284BD-3081-4493-93F4-D5CB45D230AF}"/>
            </a:ext>
          </a:extLst>
        </xdr:cNvPr>
        <xdr:cNvSpPr txBox="1"/>
      </xdr:nvSpPr>
      <xdr:spPr>
        <a:xfrm>
          <a:off x="13911704" y="3834684"/>
          <a:ext cx="3149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95</xdr:col>
      <xdr:colOff>140893</xdr:colOff>
      <xdr:row>15</xdr:row>
      <xdr:rowOff>209661</xdr:rowOff>
    </xdr:from>
    <xdr:to>
      <xdr:col>97</xdr:col>
      <xdr:colOff>40648</xdr:colOff>
      <xdr:row>17</xdr:row>
      <xdr:rowOff>114247</xdr:rowOff>
    </xdr:to>
    <xdr:sp macro="" textlink="">
      <xdr:nvSpPr>
        <xdr:cNvPr id="50" name="矢印: 環状 49">
          <a:extLst>
            <a:ext uri="{FF2B5EF4-FFF2-40B4-BE49-F238E27FC236}">
              <a16:creationId xmlns:a16="http://schemas.microsoft.com/office/drawing/2014/main" id="{5BE91B40-E901-4C43-A586-2A7B53B6A927}"/>
            </a:ext>
          </a:extLst>
        </xdr:cNvPr>
        <xdr:cNvSpPr/>
      </xdr:nvSpPr>
      <xdr:spPr>
        <a:xfrm rot="986520" flipH="1">
          <a:off x="13897353" y="3648776"/>
          <a:ext cx="358304" cy="363135"/>
        </a:xfrm>
        <a:prstGeom prst="circularArrow">
          <a:avLst>
            <a:gd name="adj1" fmla="val 9006"/>
            <a:gd name="adj2" fmla="val 1201318"/>
            <a:gd name="adj3" fmla="val 20575211"/>
            <a:gd name="adj4" fmla="val 12777058"/>
            <a:gd name="adj5" fmla="val 1244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96</xdr:col>
      <xdr:colOff>87662</xdr:colOff>
      <xdr:row>15</xdr:row>
      <xdr:rowOff>101150</xdr:rowOff>
    </xdr:from>
    <xdr:ext cx="314958" cy="224998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7F07336-48DE-4545-9A50-A8665E005274}"/>
            </a:ext>
          </a:extLst>
        </xdr:cNvPr>
        <xdr:cNvSpPr txBox="1"/>
      </xdr:nvSpPr>
      <xdr:spPr>
        <a:xfrm>
          <a:off x="14073397" y="3540265"/>
          <a:ext cx="3149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59</xdr:col>
      <xdr:colOff>130254</xdr:colOff>
      <xdr:row>30</xdr:row>
      <xdr:rowOff>61954</xdr:rowOff>
    </xdr:from>
    <xdr:ext cx="224998" cy="390813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3923EBC-CE13-4938-B0B8-A125955F1D79}"/>
            </a:ext>
          </a:extLst>
        </xdr:cNvPr>
        <xdr:cNvSpPr txBox="1"/>
      </xdr:nvSpPr>
      <xdr:spPr>
        <a:xfrm rot="16200000">
          <a:off x="13534746" y="7013748"/>
          <a:ext cx="39081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63</xdr:col>
      <xdr:colOff>67141</xdr:colOff>
      <xdr:row>24</xdr:row>
      <xdr:rowOff>47624</xdr:rowOff>
    </xdr:from>
    <xdr:ext cx="368371" cy="224998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2E2B982-9231-4493-AD33-CA25B1824260}"/>
            </a:ext>
          </a:extLst>
        </xdr:cNvPr>
        <xdr:cNvSpPr txBox="1"/>
      </xdr:nvSpPr>
      <xdr:spPr>
        <a:xfrm>
          <a:off x="14468941" y="5544910"/>
          <a:ext cx="3683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66</xdr:col>
      <xdr:colOff>216007</xdr:colOff>
      <xdr:row>26</xdr:row>
      <xdr:rowOff>145288</xdr:rowOff>
    </xdr:from>
    <xdr:to>
      <xdr:col>68</xdr:col>
      <xdr:colOff>46807</xdr:colOff>
      <xdr:row>26</xdr:row>
      <xdr:rowOff>145288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A43FA4BA-944F-49D0-A86D-C302DA7ACEC9}"/>
            </a:ext>
          </a:extLst>
        </xdr:cNvPr>
        <xdr:cNvCxnSpPr/>
      </xdr:nvCxnSpPr>
      <xdr:spPr>
        <a:xfrm>
          <a:off x="15303607" y="6099774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66</xdr:col>
      <xdr:colOff>148149</xdr:colOff>
      <xdr:row>24</xdr:row>
      <xdr:rowOff>52851</xdr:rowOff>
    </xdr:from>
    <xdr:ext cx="336311" cy="224998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CFF3AF8-AF28-4806-926B-4A7538A5753C}"/>
            </a:ext>
          </a:extLst>
        </xdr:cNvPr>
        <xdr:cNvSpPr txBox="1"/>
      </xdr:nvSpPr>
      <xdr:spPr>
        <a:xfrm>
          <a:off x="15235749" y="5550137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76200</xdr:colOff>
      <xdr:row>26</xdr:row>
      <xdr:rowOff>153133</xdr:rowOff>
    </xdr:from>
    <xdr:to>
      <xdr:col>62</xdr:col>
      <xdr:colOff>79188</xdr:colOff>
      <xdr:row>26</xdr:row>
      <xdr:rowOff>153133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14295023-1B10-46B9-AF2B-306E6C8BB014}"/>
            </a:ext>
          </a:extLst>
        </xdr:cNvPr>
        <xdr:cNvCxnSpPr/>
      </xdr:nvCxnSpPr>
      <xdr:spPr>
        <a:xfrm>
          <a:off x="13792200" y="6107619"/>
          <a:ext cx="46018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121204</xdr:colOff>
      <xdr:row>26</xdr:row>
      <xdr:rowOff>132188</xdr:rowOff>
    </xdr:from>
    <xdr:to>
      <xdr:col>60</xdr:col>
      <xdr:colOff>121204</xdr:colOff>
      <xdr:row>36</xdr:row>
      <xdr:rowOff>23685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4E8285AC-85AA-4A71-AB4F-539A7E683362}"/>
            </a:ext>
          </a:extLst>
        </xdr:cNvPr>
        <xdr:cNvCxnSpPr/>
      </xdr:nvCxnSpPr>
      <xdr:spPr>
        <a:xfrm>
          <a:off x="13837204" y="6086674"/>
          <a:ext cx="0" cy="2177497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223210</xdr:colOff>
      <xdr:row>24</xdr:row>
      <xdr:rowOff>214744</xdr:rowOff>
    </xdr:from>
    <xdr:to>
      <xdr:col>66</xdr:col>
      <xdr:colOff>223210</xdr:colOff>
      <xdr:row>26</xdr:row>
      <xdr:rowOff>37135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DEB54F81-316D-40EB-A423-741AF52F43DC}"/>
            </a:ext>
          </a:extLst>
        </xdr:cNvPr>
        <xdr:cNvCxnSpPr/>
      </xdr:nvCxnSpPr>
      <xdr:spPr>
        <a:xfrm>
          <a:off x="15310810" y="5712030"/>
          <a:ext cx="0" cy="27959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80764</xdr:colOff>
      <xdr:row>36</xdr:row>
      <xdr:rowOff>26635</xdr:rowOff>
    </xdr:from>
    <xdr:to>
      <xdr:col>61</xdr:col>
      <xdr:colOff>35138</xdr:colOff>
      <xdr:row>36</xdr:row>
      <xdr:rowOff>26635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8E63DC22-A668-4392-B47D-8C54592EAC23}"/>
            </a:ext>
          </a:extLst>
        </xdr:cNvPr>
        <xdr:cNvCxnSpPr/>
      </xdr:nvCxnSpPr>
      <xdr:spPr>
        <a:xfrm>
          <a:off x="13796764" y="8267121"/>
          <a:ext cx="18297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68</xdr:col>
      <xdr:colOff>58655</xdr:colOff>
      <xdr:row>24</xdr:row>
      <xdr:rowOff>205298</xdr:rowOff>
    </xdr:from>
    <xdr:to>
      <xdr:col>68</xdr:col>
      <xdr:colOff>58655</xdr:colOff>
      <xdr:row>26</xdr:row>
      <xdr:rowOff>29340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EF5C72C5-0623-40C2-AFC0-5A8F5809BA63}"/>
            </a:ext>
          </a:extLst>
        </xdr:cNvPr>
        <xdr:cNvCxnSpPr/>
      </xdr:nvCxnSpPr>
      <xdr:spPr>
        <a:xfrm>
          <a:off x="15603455" y="5702584"/>
          <a:ext cx="0" cy="28124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97294</xdr:colOff>
      <xdr:row>24</xdr:row>
      <xdr:rowOff>195851</xdr:rowOff>
    </xdr:from>
    <xdr:to>
      <xdr:col>62</xdr:col>
      <xdr:colOff>97294</xdr:colOff>
      <xdr:row>26</xdr:row>
      <xdr:rowOff>14723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98AC1655-359D-403E-8EAD-02B713849918}"/>
            </a:ext>
          </a:extLst>
        </xdr:cNvPr>
        <xdr:cNvCxnSpPr/>
      </xdr:nvCxnSpPr>
      <xdr:spPr>
        <a:xfrm>
          <a:off x="14270494" y="5693137"/>
          <a:ext cx="0" cy="276072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94993</xdr:colOff>
      <xdr:row>25</xdr:row>
      <xdr:rowOff>28144</xdr:rowOff>
    </xdr:from>
    <xdr:to>
      <xdr:col>66</xdr:col>
      <xdr:colOff>224593</xdr:colOff>
      <xdr:row>25</xdr:row>
      <xdr:rowOff>28144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A7337D43-7434-4E78-9EFD-D2EB24211446}"/>
            </a:ext>
          </a:extLst>
        </xdr:cNvPr>
        <xdr:cNvCxnSpPr/>
      </xdr:nvCxnSpPr>
      <xdr:spPr>
        <a:xfrm>
          <a:off x="14268193" y="5754030"/>
          <a:ext cx="1044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222405</xdr:colOff>
      <xdr:row>25</xdr:row>
      <xdr:rowOff>28130</xdr:rowOff>
    </xdr:from>
    <xdr:to>
      <xdr:col>68</xdr:col>
      <xdr:colOff>53205</xdr:colOff>
      <xdr:row>25</xdr:row>
      <xdr:rowOff>28130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9D63343A-9BF6-427A-B4F0-09F0F1B66CAC}"/>
            </a:ext>
          </a:extLst>
        </xdr:cNvPr>
        <xdr:cNvCxnSpPr/>
      </xdr:nvCxnSpPr>
      <xdr:spPr>
        <a:xfrm>
          <a:off x="15310005" y="5754016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148636</xdr:colOff>
      <xdr:row>26</xdr:row>
      <xdr:rowOff>28803</xdr:rowOff>
    </xdr:from>
    <xdr:to>
      <xdr:col>64</xdr:col>
      <xdr:colOff>148636</xdr:colOff>
      <xdr:row>36</xdr:row>
      <xdr:rowOff>139248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5E413D76-C1FF-411C-93F4-B1E463F2B98C}"/>
            </a:ext>
          </a:extLst>
        </xdr:cNvPr>
        <xdr:cNvCxnSpPr/>
      </xdr:nvCxnSpPr>
      <xdr:spPr>
        <a:xfrm rot="6960000">
          <a:off x="13580813" y="7181512"/>
          <a:ext cx="239644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63538</xdr:colOff>
      <xdr:row>35</xdr:row>
      <xdr:rowOff>223989</xdr:rowOff>
    </xdr:from>
    <xdr:to>
      <xdr:col>64</xdr:col>
      <xdr:colOff>110338</xdr:colOff>
      <xdr:row>35</xdr:row>
      <xdr:rowOff>223989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1D78ECE2-4410-4CB7-AA53-F77F9E9633F0}"/>
            </a:ext>
          </a:extLst>
        </xdr:cNvPr>
        <xdr:cNvCxnSpPr/>
      </xdr:nvCxnSpPr>
      <xdr:spPr>
        <a:xfrm>
          <a:off x="14236738" y="8235875"/>
          <a:ext cx="504000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56256</xdr:colOff>
      <xdr:row>24</xdr:row>
      <xdr:rowOff>36738</xdr:rowOff>
    </xdr:from>
    <xdr:ext cx="444352" cy="224998"/>
    <xdr:sp macro="" textlink="'2.自と衝'!AF13">
      <xdr:nvSpPr>
        <xdr:cNvPr id="80" name="テキスト ボックス 79">
          <a:extLst>
            <a:ext uri="{FF2B5EF4-FFF2-40B4-BE49-F238E27FC236}">
              <a16:creationId xmlns:a16="http://schemas.microsoft.com/office/drawing/2014/main" id="{6A33387B-0558-4EE0-888A-708FCFC961D4}"/>
            </a:ext>
          </a:extLst>
        </xdr:cNvPr>
        <xdr:cNvSpPr txBox="1"/>
      </xdr:nvSpPr>
      <xdr:spPr>
        <a:xfrm>
          <a:off x="14686656" y="5534024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165EEE5-2AE7-4F41-8567-4EF0A976B78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3.000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67</xdr:col>
      <xdr:colOff>108259</xdr:colOff>
      <xdr:row>24</xdr:row>
      <xdr:rowOff>52851</xdr:rowOff>
    </xdr:from>
    <xdr:ext cx="444352" cy="224998"/>
    <xdr:sp macro="" textlink="'1.条件'!T7">
      <xdr:nvSpPr>
        <xdr:cNvPr id="81" name="テキスト ボックス 80">
          <a:extLst>
            <a:ext uri="{FF2B5EF4-FFF2-40B4-BE49-F238E27FC236}">
              <a16:creationId xmlns:a16="http://schemas.microsoft.com/office/drawing/2014/main" id="{51BF1987-B50D-485C-A69F-0C20BC684911}"/>
            </a:ext>
          </a:extLst>
        </xdr:cNvPr>
        <xdr:cNvSpPr txBox="1"/>
      </xdr:nvSpPr>
      <xdr:spPr>
        <a:xfrm>
          <a:off x="15424459" y="5550137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34F48A0-FA92-45EF-BC48-C832F3EBF19C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59</xdr:col>
      <xdr:colOff>132494</xdr:colOff>
      <xdr:row>29</xdr:row>
      <xdr:rowOff>10212</xdr:rowOff>
    </xdr:from>
    <xdr:ext cx="224998" cy="444352"/>
    <xdr:sp macro="" textlink="'1.条件'!T6">
      <xdr:nvSpPr>
        <xdr:cNvPr id="82" name="テキスト ボックス 81">
          <a:extLst>
            <a:ext uri="{FF2B5EF4-FFF2-40B4-BE49-F238E27FC236}">
              <a16:creationId xmlns:a16="http://schemas.microsoft.com/office/drawing/2014/main" id="{B5EEE95A-8FD6-4914-A291-697267C22567}"/>
            </a:ext>
          </a:extLst>
        </xdr:cNvPr>
        <xdr:cNvSpPr txBox="1"/>
      </xdr:nvSpPr>
      <xdr:spPr>
        <a:xfrm rot="16200000">
          <a:off x="13510217" y="676017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75D5D61-78FE-4F4D-95C3-F22D79CEBC8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6.000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5</xdr:colOff>
      <xdr:row>26</xdr:row>
      <xdr:rowOff>168672</xdr:rowOff>
    </xdr:from>
    <xdr:to>
      <xdr:col>62</xdr:col>
      <xdr:colOff>5</xdr:colOff>
      <xdr:row>32</xdr:row>
      <xdr:rowOff>108853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F2873892-9D4B-41E3-89EA-74CA982CCE98}"/>
            </a:ext>
          </a:extLst>
        </xdr:cNvPr>
        <xdr:cNvCxnSpPr/>
      </xdr:nvCxnSpPr>
      <xdr:spPr>
        <a:xfrm>
          <a:off x="14173205" y="6123158"/>
          <a:ext cx="0" cy="1311781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13142</xdr:colOff>
      <xdr:row>28</xdr:row>
      <xdr:rowOff>102276</xdr:rowOff>
    </xdr:from>
    <xdr:ext cx="224998" cy="292581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A3D63C41-1693-4C4A-9B18-6C1851BE684C}"/>
            </a:ext>
          </a:extLst>
        </xdr:cNvPr>
        <xdr:cNvSpPr txBox="1"/>
      </xdr:nvSpPr>
      <xdr:spPr>
        <a:xfrm rot="16200000">
          <a:off x="13923950" y="6547754"/>
          <a:ext cx="29258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61</xdr:col>
      <xdr:colOff>152400</xdr:colOff>
      <xdr:row>32</xdr:row>
      <xdr:rowOff>105510</xdr:rowOff>
    </xdr:from>
    <xdr:to>
      <xdr:col>62</xdr:col>
      <xdr:colOff>220221</xdr:colOff>
      <xdr:row>32</xdr:row>
      <xdr:rowOff>105510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5040D782-6DD9-47B1-BCEC-EF974E9A0B93}"/>
            </a:ext>
          </a:extLst>
        </xdr:cNvPr>
        <xdr:cNvCxnSpPr/>
      </xdr:nvCxnSpPr>
      <xdr:spPr>
        <a:xfrm>
          <a:off x="14097000" y="7431596"/>
          <a:ext cx="296421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18022</xdr:colOff>
      <xdr:row>33</xdr:row>
      <xdr:rowOff>107466</xdr:rowOff>
    </xdr:from>
    <xdr:ext cx="292581" cy="224998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5E53C278-697B-4BE4-AD7F-3A9461D79F0F}"/>
            </a:ext>
          </a:extLst>
        </xdr:cNvPr>
        <xdr:cNvSpPr txBox="1"/>
      </xdr:nvSpPr>
      <xdr:spPr>
        <a:xfrm>
          <a:off x="15334222" y="7662152"/>
          <a:ext cx="29258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16028</xdr:colOff>
      <xdr:row>25</xdr:row>
      <xdr:rowOff>226881</xdr:rowOff>
    </xdr:from>
    <xdr:to>
      <xdr:col>67</xdr:col>
      <xdr:colOff>1967</xdr:colOff>
      <xdr:row>26</xdr:row>
      <xdr:rowOff>1103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DDB70FC9-952A-430A-AA1A-29886A1C6DFA}"/>
            </a:ext>
          </a:extLst>
        </xdr:cNvPr>
        <xdr:cNvCxnSpPr/>
      </xdr:nvCxnSpPr>
      <xdr:spPr>
        <a:xfrm>
          <a:off x="14646428" y="5952767"/>
          <a:ext cx="668917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22940</xdr:colOff>
      <xdr:row>25</xdr:row>
      <xdr:rowOff>186406</xdr:rowOff>
    </xdr:from>
    <xdr:to>
      <xdr:col>64</xdr:col>
      <xdr:colOff>22940</xdr:colOff>
      <xdr:row>26</xdr:row>
      <xdr:rowOff>55930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F9870B3D-901B-46C9-B267-D3F99E491438}"/>
            </a:ext>
          </a:extLst>
        </xdr:cNvPr>
        <xdr:cNvCxnSpPr/>
      </xdr:nvCxnSpPr>
      <xdr:spPr>
        <a:xfrm>
          <a:off x="14653340" y="5912292"/>
          <a:ext cx="0" cy="98124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219481</xdr:colOff>
      <xdr:row>33</xdr:row>
      <xdr:rowOff>149938</xdr:rowOff>
    </xdr:from>
    <xdr:to>
      <xdr:col>68</xdr:col>
      <xdr:colOff>55681</xdr:colOff>
      <xdr:row>33</xdr:row>
      <xdr:rowOff>149938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8368B43F-CF03-4A54-9D21-6885B4D8D68F}"/>
            </a:ext>
          </a:extLst>
        </xdr:cNvPr>
        <xdr:cNvCxnSpPr/>
      </xdr:nvCxnSpPr>
      <xdr:spPr>
        <a:xfrm>
          <a:off x="15078481" y="7704624"/>
          <a:ext cx="522000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216102</xdr:colOff>
      <xdr:row>33</xdr:row>
      <xdr:rowOff>23003</xdr:rowOff>
    </xdr:from>
    <xdr:to>
      <xdr:col>65</xdr:col>
      <xdr:colOff>216102</xdr:colOff>
      <xdr:row>33</xdr:row>
      <xdr:rowOff>218848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D9DAE3A2-E88F-411D-BF31-B19C0116F7F8}"/>
            </a:ext>
          </a:extLst>
        </xdr:cNvPr>
        <xdr:cNvCxnSpPr/>
      </xdr:nvCxnSpPr>
      <xdr:spPr>
        <a:xfrm>
          <a:off x="15075102" y="7577689"/>
          <a:ext cx="0" cy="19584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65</xdr:col>
      <xdr:colOff>168136</xdr:colOff>
      <xdr:row>25</xdr:row>
      <xdr:rowOff>30722</xdr:rowOff>
    </xdr:from>
    <xdr:ext cx="292581" cy="224998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2AB61AE2-82EC-41DE-90B5-56BF88FEC220}"/>
            </a:ext>
          </a:extLst>
        </xdr:cNvPr>
        <xdr:cNvSpPr txBox="1"/>
      </xdr:nvSpPr>
      <xdr:spPr>
        <a:xfrm>
          <a:off x="15027136" y="5756608"/>
          <a:ext cx="29258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68</xdr:col>
      <xdr:colOff>53126</xdr:colOff>
      <xdr:row>28</xdr:row>
      <xdr:rowOff>157655</xdr:rowOff>
    </xdr:from>
    <xdr:to>
      <xdr:col>68</xdr:col>
      <xdr:colOff>53126</xdr:colOff>
      <xdr:row>34</xdr:row>
      <xdr:rowOff>1531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63716392-2881-443D-9ACC-E8BC5E5A6B39}"/>
            </a:ext>
          </a:extLst>
        </xdr:cNvPr>
        <xdr:cNvCxnSpPr/>
      </xdr:nvCxnSpPr>
      <xdr:spPr>
        <a:xfrm>
          <a:off x="15776602" y="6642538"/>
          <a:ext cx="0" cy="1225792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109090</xdr:colOff>
      <xdr:row>34</xdr:row>
      <xdr:rowOff>171953</xdr:rowOff>
    </xdr:from>
    <xdr:ext cx="285527" cy="357790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2AA71A57-CECA-4294-8030-2A953CFA5FC7}"/>
            </a:ext>
          </a:extLst>
        </xdr:cNvPr>
        <xdr:cNvSpPr txBox="1"/>
      </xdr:nvSpPr>
      <xdr:spPr>
        <a:xfrm rot="17760000">
          <a:off x="14017559" y="7991370"/>
          <a:ext cx="35779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oneCellAnchor>
    <xdr:from>
      <xdr:col>62</xdr:col>
      <xdr:colOff>10088</xdr:colOff>
      <xdr:row>33</xdr:row>
      <xdr:rowOff>166771</xdr:rowOff>
    </xdr:from>
    <xdr:ext cx="224998" cy="444352"/>
    <xdr:sp macro="" textlink="'1.条件'!T9">
      <xdr:nvSpPr>
        <xdr:cNvPr id="94" name="テキスト ボックス 93">
          <a:extLst>
            <a:ext uri="{FF2B5EF4-FFF2-40B4-BE49-F238E27FC236}">
              <a16:creationId xmlns:a16="http://schemas.microsoft.com/office/drawing/2014/main" id="{9BC909CE-54BB-4D7E-AE0C-A286B28C26C9}"/>
            </a:ext>
          </a:extLst>
        </xdr:cNvPr>
        <xdr:cNvSpPr txBox="1"/>
      </xdr:nvSpPr>
      <xdr:spPr>
        <a:xfrm rot="17760000">
          <a:off x="14073611" y="7831134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DEF5E5E-65E4-4B68-982A-EE6EA8E0C3E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64</xdr:col>
      <xdr:colOff>97313</xdr:colOff>
      <xdr:row>34</xdr:row>
      <xdr:rowOff>175646</xdr:rowOff>
    </xdr:from>
    <xdr:ext cx="285527" cy="357790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2C9792EA-6E32-414C-BC1B-FE46E0E6EF6E}"/>
            </a:ext>
          </a:extLst>
        </xdr:cNvPr>
        <xdr:cNvSpPr txBox="1"/>
      </xdr:nvSpPr>
      <xdr:spPr>
        <a:xfrm rot="17460000">
          <a:off x="14691582" y="7995063"/>
          <a:ext cx="35779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oneCellAnchor>
    <xdr:from>
      <xdr:col>64</xdr:col>
      <xdr:colOff>198610</xdr:colOff>
      <xdr:row>33</xdr:row>
      <xdr:rowOff>180260</xdr:rowOff>
    </xdr:from>
    <xdr:ext cx="224998" cy="444352"/>
    <xdr:sp macro="" textlink="'1.条件'!T10">
      <xdr:nvSpPr>
        <xdr:cNvPr id="97" name="テキスト ボックス 96">
          <a:extLst>
            <a:ext uri="{FF2B5EF4-FFF2-40B4-BE49-F238E27FC236}">
              <a16:creationId xmlns:a16="http://schemas.microsoft.com/office/drawing/2014/main" id="{3D1DE7F1-541A-4AFC-844B-E69AA5D90DAE}"/>
            </a:ext>
          </a:extLst>
        </xdr:cNvPr>
        <xdr:cNvSpPr txBox="1"/>
      </xdr:nvSpPr>
      <xdr:spPr>
        <a:xfrm rot="17460000">
          <a:off x="14719333" y="7844623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22FD523-5332-486C-9DA7-7C2CB95F7C0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103793</xdr:colOff>
      <xdr:row>26</xdr:row>
      <xdr:rowOff>146591</xdr:rowOff>
    </xdr:from>
    <xdr:to>
      <xdr:col>68</xdr:col>
      <xdr:colOff>50605</xdr:colOff>
      <xdr:row>36</xdr:row>
      <xdr:rowOff>29957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C9A32EC1-B08B-489E-AC83-0D43B491E05A}"/>
            </a:ext>
          </a:extLst>
        </xdr:cNvPr>
        <xdr:cNvCxnSpPr/>
      </xdr:nvCxnSpPr>
      <xdr:spPr>
        <a:xfrm flipH="1">
          <a:off x="14734193" y="6101077"/>
          <a:ext cx="861212" cy="21693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122847</xdr:colOff>
      <xdr:row>25</xdr:row>
      <xdr:rowOff>32222</xdr:rowOff>
    </xdr:from>
    <xdr:ext cx="444352" cy="224998"/>
    <xdr:sp macro="" textlink="'1.条件'!T9">
      <xdr:nvSpPr>
        <xdr:cNvPr id="150" name="テキスト ボックス 149">
          <a:extLst>
            <a:ext uri="{FF2B5EF4-FFF2-40B4-BE49-F238E27FC236}">
              <a16:creationId xmlns:a16="http://schemas.microsoft.com/office/drawing/2014/main" id="{22A5DF61-7536-4CD1-BF7E-6CA8F055A423}"/>
            </a:ext>
          </a:extLst>
        </xdr:cNvPr>
        <xdr:cNvSpPr txBox="1"/>
      </xdr:nvSpPr>
      <xdr:spPr>
        <a:xfrm>
          <a:off x="14753247" y="575810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DEF5E5E-65E4-4B68-982A-EE6EA8E0C3E7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0.500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195965</xdr:colOff>
      <xdr:row>33</xdr:row>
      <xdr:rowOff>115778</xdr:rowOff>
    </xdr:from>
    <xdr:ext cx="444352" cy="224998"/>
    <xdr:sp macro="" textlink="'1.条件'!T10">
      <xdr:nvSpPr>
        <xdr:cNvPr id="163" name="テキスト ボックス 162">
          <a:extLst>
            <a:ext uri="{FF2B5EF4-FFF2-40B4-BE49-F238E27FC236}">
              <a16:creationId xmlns:a16="http://schemas.microsoft.com/office/drawing/2014/main" id="{F542B9E4-8BE3-4135-800F-1E828FFA6BA8}"/>
            </a:ext>
          </a:extLst>
        </xdr:cNvPr>
        <xdr:cNvSpPr txBox="1"/>
      </xdr:nvSpPr>
      <xdr:spPr>
        <a:xfrm>
          <a:off x="15054965" y="7670464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22FD523-5332-486C-9DA7-7C2CB95F7C0C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84453</xdr:colOff>
      <xdr:row>26</xdr:row>
      <xdr:rowOff>158092</xdr:rowOff>
    </xdr:from>
    <xdr:to>
      <xdr:col>67</xdr:col>
      <xdr:colOff>118818</xdr:colOff>
      <xdr:row>35</xdr:row>
      <xdr:rowOff>223763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9568B4F5-FC72-4BAA-A184-BD9E877E2E3F}"/>
            </a:ext>
          </a:extLst>
        </xdr:cNvPr>
        <xdr:cNvCxnSpPr/>
      </xdr:nvCxnSpPr>
      <xdr:spPr>
        <a:xfrm flipH="1">
          <a:off x="14486253" y="6112578"/>
          <a:ext cx="948765" cy="2123071"/>
        </a:xfrm>
        <a:prstGeom prst="line">
          <a:avLst/>
        </a:prstGeom>
        <a:ln w="63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60739</xdr:colOff>
      <xdr:row>32</xdr:row>
      <xdr:rowOff>10024</xdr:rowOff>
    </xdr:from>
    <xdr:to>
      <xdr:col>65</xdr:col>
      <xdr:colOff>172309</xdr:colOff>
      <xdr:row>33</xdr:row>
      <xdr:rowOff>128921</xdr:rowOff>
    </xdr:to>
    <xdr:sp macro="" textlink="">
      <xdr:nvSpPr>
        <xdr:cNvPr id="172" name="矢印: 環状 171">
          <a:extLst>
            <a:ext uri="{FF2B5EF4-FFF2-40B4-BE49-F238E27FC236}">
              <a16:creationId xmlns:a16="http://schemas.microsoft.com/office/drawing/2014/main" id="{B29950D4-B0E9-416E-8E37-946C99917D09}"/>
            </a:ext>
          </a:extLst>
        </xdr:cNvPr>
        <xdr:cNvSpPr/>
      </xdr:nvSpPr>
      <xdr:spPr>
        <a:xfrm rot="20940662">
          <a:off x="14691139" y="7336110"/>
          <a:ext cx="340170" cy="347497"/>
        </a:xfrm>
        <a:prstGeom prst="circularArrow">
          <a:avLst>
            <a:gd name="adj1" fmla="val 9006"/>
            <a:gd name="adj2" fmla="val 1201318"/>
            <a:gd name="adj3" fmla="val 20575211"/>
            <a:gd name="adj4" fmla="val 12777058"/>
            <a:gd name="adj5" fmla="val 12447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64</xdr:col>
      <xdr:colOff>133923</xdr:colOff>
      <xdr:row>32</xdr:row>
      <xdr:rowOff>99547</xdr:rowOff>
    </xdr:from>
    <xdr:ext cx="314958" cy="224998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BB2A567A-C5D5-4A66-94DA-261738052725}"/>
            </a:ext>
          </a:extLst>
        </xdr:cNvPr>
        <xdr:cNvSpPr txBox="1"/>
      </xdr:nvSpPr>
      <xdr:spPr>
        <a:xfrm>
          <a:off x="14764323" y="7425633"/>
          <a:ext cx="3149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endParaRPr kumimoji="1" lang="ja-JP" altLang="en-US" sz="900" baseline="-25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178809</xdr:colOff>
      <xdr:row>32</xdr:row>
      <xdr:rowOff>86454</xdr:rowOff>
    </xdr:from>
    <xdr:to>
      <xdr:col>64</xdr:col>
      <xdr:colOff>225033</xdr:colOff>
      <xdr:row>32</xdr:row>
      <xdr:rowOff>134408</xdr:rowOff>
    </xdr:to>
    <xdr:sp macro="" textlink="">
      <xdr:nvSpPr>
        <xdr:cNvPr id="196" name="楕円 195">
          <a:extLst>
            <a:ext uri="{FF2B5EF4-FFF2-40B4-BE49-F238E27FC236}">
              <a16:creationId xmlns:a16="http://schemas.microsoft.com/office/drawing/2014/main" id="{4AF0BE7D-E8EE-4342-A7F6-53B7EA92120F}"/>
            </a:ext>
          </a:extLst>
        </xdr:cNvPr>
        <xdr:cNvSpPr/>
      </xdr:nvSpPr>
      <xdr:spPr>
        <a:xfrm>
          <a:off x="14809209" y="7412540"/>
          <a:ext cx="46224" cy="47954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64</xdr:col>
      <xdr:colOff>77203</xdr:colOff>
      <xdr:row>33</xdr:row>
      <xdr:rowOff>104217</xdr:rowOff>
    </xdr:from>
    <xdr:ext cx="305405" cy="224998"/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CA8C7C48-8B09-455C-B807-1B9CB390B234}"/>
            </a:ext>
          </a:extLst>
        </xdr:cNvPr>
        <xdr:cNvSpPr txBox="1"/>
      </xdr:nvSpPr>
      <xdr:spPr>
        <a:xfrm>
          <a:off x="14707603" y="7658903"/>
          <a:ext cx="30540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19133</xdr:colOff>
      <xdr:row>33</xdr:row>
      <xdr:rowOff>31464</xdr:rowOff>
    </xdr:from>
    <xdr:to>
      <xdr:col>64</xdr:col>
      <xdr:colOff>19133</xdr:colOff>
      <xdr:row>34</xdr:row>
      <xdr:rowOff>1531</xdr:rowOff>
    </xdr:to>
    <xdr:cxnSp macro="">
      <xdr:nvCxnSpPr>
        <xdr:cNvPr id="200" name="直線コネクタ 199">
          <a:extLst>
            <a:ext uri="{FF2B5EF4-FFF2-40B4-BE49-F238E27FC236}">
              <a16:creationId xmlns:a16="http://schemas.microsoft.com/office/drawing/2014/main" id="{7FB7ED99-5A15-43CE-977D-497C9B7A781D}"/>
            </a:ext>
          </a:extLst>
        </xdr:cNvPr>
        <xdr:cNvCxnSpPr/>
      </xdr:nvCxnSpPr>
      <xdr:spPr>
        <a:xfrm>
          <a:off x="14649533" y="7586150"/>
          <a:ext cx="0" cy="19584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16227</xdr:colOff>
      <xdr:row>33</xdr:row>
      <xdr:rowOff>149938</xdr:rowOff>
    </xdr:from>
    <xdr:to>
      <xdr:col>66</xdr:col>
      <xdr:colOff>2064</xdr:colOff>
      <xdr:row>33</xdr:row>
      <xdr:rowOff>149938</xdr:rowOff>
    </xdr:to>
    <xdr:cxnSp macro="">
      <xdr:nvCxnSpPr>
        <xdr:cNvPr id="201" name="直線コネクタ 200">
          <a:extLst>
            <a:ext uri="{FF2B5EF4-FFF2-40B4-BE49-F238E27FC236}">
              <a16:creationId xmlns:a16="http://schemas.microsoft.com/office/drawing/2014/main" id="{0EB7F9D8-7400-40C8-BB99-5173315E8EA9}"/>
            </a:ext>
          </a:extLst>
        </xdr:cNvPr>
        <xdr:cNvCxnSpPr/>
      </xdr:nvCxnSpPr>
      <xdr:spPr>
        <a:xfrm>
          <a:off x="14646627" y="7704624"/>
          <a:ext cx="443037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24389</xdr:colOff>
      <xdr:row>29</xdr:row>
      <xdr:rowOff>109757</xdr:rowOff>
    </xdr:from>
    <xdr:to>
      <xdr:col>66</xdr:col>
      <xdr:colOff>70613</xdr:colOff>
      <xdr:row>29</xdr:row>
      <xdr:rowOff>157711</xdr:rowOff>
    </xdr:to>
    <xdr:sp macro="" textlink="">
      <xdr:nvSpPr>
        <xdr:cNvPr id="79" name="楕円 78">
          <a:extLst>
            <a:ext uri="{FF2B5EF4-FFF2-40B4-BE49-F238E27FC236}">
              <a16:creationId xmlns:a16="http://schemas.microsoft.com/office/drawing/2014/main" id="{40CC516B-1A9F-4802-943F-18E1FAD18233}"/>
            </a:ext>
          </a:extLst>
        </xdr:cNvPr>
        <xdr:cNvSpPr/>
      </xdr:nvSpPr>
      <xdr:spPr>
        <a:xfrm>
          <a:off x="15111989" y="6753012"/>
          <a:ext cx="46224" cy="47954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64</xdr:col>
      <xdr:colOff>198430</xdr:colOff>
      <xdr:row>27</xdr:row>
      <xdr:rowOff>86899</xdr:rowOff>
    </xdr:from>
    <xdr:ext cx="312265" cy="224998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2D2170F4-E330-5712-E923-29C041B32865}"/>
            </a:ext>
          </a:extLst>
        </xdr:cNvPr>
        <xdr:cNvSpPr txBox="1"/>
      </xdr:nvSpPr>
      <xdr:spPr>
        <a:xfrm>
          <a:off x="14828830" y="6272954"/>
          <a:ext cx="31226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'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202706</xdr:colOff>
      <xdr:row>28</xdr:row>
      <xdr:rowOff>14147</xdr:rowOff>
    </xdr:from>
    <xdr:to>
      <xdr:col>64</xdr:col>
      <xdr:colOff>202706</xdr:colOff>
      <xdr:row>32</xdr:row>
      <xdr:rowOff>194</xdr:rowOff>
    </xdr:to>
    <xdr:cxnSp macro="">
      <xdr:nvCxnSpPr>
        <xdr:cNvPr id="205" name="直線コネクタ 204">
          <a:extLst>
            <a:ext uri="{FF2B5EF4-FFF2-40B4-BE49-F238E27FC236}">
              <a16:creationId xmlns:a16="http://schemas.microsoft.com/office/drawing/2014/main" id="{E61E5F4F-6D8A-E76D-FD85-3ABE98B955DB}"/>
            </a:ext>
          </a:extLst>
        </xdr:cNvPr>
        <xdr:cNvCxnSpPr/>
      </xdr:nvCxnSpPr>
      <xdr:spPr>
        <a:xfrm>
          <a:off x="15001272" y="6499030"/>
          <a:ext cx="0" cy="905508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204355</xdr:colOff>
      <xdr:row>28</xdr:row>
      <xdr:rowOff>52957</xdr:rowOff>
    </xdr:from>
    <xdr:to>
      <xdr:col>66</xdr:col>
      <xdr:colOff>41564</xdr:colOff>
      <xdr:row>28</xdr:row>
      <xdr:rowOff>52957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64779299-BC72-54E4-815D-B9CAC1102E5E}"/>
            </a:ext>
          </a:extLst>
        </xdr:cNvPr>
        <xdr:cNvCxnSpPr/>
      </xdr:nvCxnSpPr>
      <xdr:spPr>
        <a:xfrm>
          <a:off x="14834755" y="6467612"/>
          <a:ext cx="294409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43378</xdr:colOff>
      <xdr:row>28</xdr:row>
      <xdr:rowOff>3756</xdr:rowOff>
    </xdr:from>
    <xdr:to>
      <xdr:col>66</xdr:col>
      <xdr:colOff>43378</xdr:colOff>
      <xdr:row>29</xdr:row>
      <xdr:rowOff>195</xdr:rowOff>
    </xdr:to>
    <xdr:cxnSp macro="">
      <xdr:nvCxnSpPr>
        <xdr:cNvPr id="207" name="直線コネクタ 206">
          <a:extLst>
            <a:ext uri="{FF2B5EF4-FFF2-40B4-BE49-F238E27FC236}">
              <a16:creationId xmlns:a16="http://schemas.microsoft.com/office/drawing/2014/main" id="{8DE45F6C-04F2-C291-BB72-C1FEEF44E23D}"/>
            </a:ext>
          </a:extLst>
        </xdr:cNvPr>
        <xdr:cNvCxnSpPr/>
      </xdr:nvCxnSpPr>
      <xdr:spPr>
        <a:xfrm>
          <a:off x="15304399" y="6488639"/>
          <a:ext cx="0" cy="222216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104912</xdr:colOff>
      <xdr:row>26</xdr:row>
      <xdr:rowOff>62653</xdr:rowOff>
    </xdr:from>
    <xdr:ext cx="320344" cy="224998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72D1A9A4-AAC2-9E32-BF88-4B962D655A9C}"/>
            </a:ext>
          </a:extLst>
        </xdr:cNvPr>
        <xdr:cNvSpPr txBox="1"/>
      </xdr:nvSpPr>
      <xdr:spPr>
        <a:xfrm>
          <a:off x="14735312" y="6020108"/>
          <a:ext cx="32034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</a:t>
          </a:r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19133</xdr:colOff>
      <xdr:row>26</xdr:row>
      <xdr:rowOff>208110</xdr:rowOff>
    </xdr:from>
    <xdr:to>
      <xdr:col>64</xdr:col>
      <xdr:colOff>19133</xdr:colOff>
      <xdr:row>32</xdr:row>
      <xdr:rowOff>194</xdr:rowOff>
    </xdr:to>
    <xdr:cxnSp macro="">
      <xdr:nvCxnSpPr>
        <xdr:cNvPr id="210" name="直線コネクタ 209">
          <a:extLst>
            <a:ext uri="{FF2B5EF4-FFF2-40B4-BE49-F238E27FC236}">
              <a16:creationId xmlns:a16="http://schemas.microsoft.com/office/drawing/2014/main" id="{CF1C3615-8B17-3749-ECDD-FF127A8C56E2}"/>
            </a:ext>
          </a:extLst>
        </xdr:cNvPr>
        <xdr:cNvCxnSpPr/>
      </xdr:nvCxnSpPr>
      <xdr:spPr>
        <a:xfrm>
          <a:off x="14817699" y="6230538"/>
          <a:ext cx="0" cy="11740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16227</xdr:colOff>
      <xdr:row>27</xdr:row>
      <xdr:rowOff>28711</xdr:rowOff>
    </xdr:from>
    <xdr:to>
      <xdr:col>66</xdr:col>
      <xdr:colOff>41564</xdr:colOff>
      <xdr:row>27</xdr:row>
      <xdr:rowOff>28711</xdr:rowOff>
    </xdr:to>
    <xdr:cxnSp macro="">
      <xdr:nvCxnSpPr>
        <xdr:cNvPr id="211" name="直線コネクタ 210">
          <a:extLst>
            <a:ext uri="{FF2B5EF4-FFF2-40B4-BE49-F238E27FC236}">
              <a16:creationId xmlns:a16="http://schemas.microsoft.com/office/drawing/2014/main" id="{C4F9B6E5-CA07-75F4-22AF-D7DC08AAE6A4}"/>
            </a:ext>
          </a:extLst>
        </xdr:cNvPr>
        <xdr:cNvCxnSpPr/>
      </xdr:nvCxnSpPr>
      <xdr:spPr>
        <a:xfrm>
          <a:off x="14646627" y="6214766"/>
          <a:ext cx="482537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43378</xdr:colOff>
      <xdr:row>26</xdr:row>
      <xdr:rowOff>208110</xdr:rowOff>
    </xdr:from>
    <xdr:to>
      <xdr:col>66</xdr:col>
      <xdr:colOff>43378</xdr:colOff>
      <xdr:row>27</xdr:row>
      <xdr:rowOff>175355</xdr:rowOff>
    </xdr:to>
    <xdr:cxnSp macro="">
      <xdr:nvCxnSpPr>
        <xdr:cNvPr id="212" name="直線コネクタ 211">
          <a:extLst>
            <a:ext uri="{FF2B5EF4-FFF2-40B4-BE49-F238E27FC236}">
              <a16:creationId xmlns:a16="http://schemas.microsoft.com/office/drawing/2014/main" id="{50EBD630-09A8-164A-00D1-F0593C3BA216}"/>
            </a:ext>
          </a:extLst>
        </xdr:cNvPr>
        <xdr:cNvCxnSpPr/>
      </xdr:nvCxnSpPr>
      <xdr:spPr>
        <a:xfrm>
          <a:off x="15130978" y="6165565"/>
          <a:ext cx="0" cy="195845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46842</xdr:colOff>
      <xdr:row>29</xdr:row>
      <xdr:rowOff>166548</xdr:rowOff>
    </xdr:from>
    <xdr:to>
      <xdr:col>66</xdr:col>
      <xdr:colOff>46842</xdr:colOff>
      <xdr:row>30</xdr:row>
      <xdr:rowOff>133793</xdr:rowOff>
    </xdr:to>
    <xdr:cxnSp macro="">
      <xdr:nvCxnSpPr>
        <xdr:cNvPr id="215" name="直線コネクタ 214">
          <a:extLst>
            <a:ext uri="{FF2B5EF4-FFF2-40B4-BE49-F238E27FC236}">
              <a16:creationId xmlns:a16="http://schemas.microsoft.com/office/drawing/2014/main" id="{C88E18CB-A00A-7E32-F96E-642DFB9D6CCC}"/>
            </a:ext>
          </a:extLst>
        </xdr:cNvPr>
        <xdr:cNvCxnSpPr/>
      </xdr:nvCxnSpPr>
      <xdr:spPr>
        <a:xfrm>
          <a:off x="15134442" y="6809803"/>
          <a:ext cx="0" cy="195845"/>
        </a:xfrm>
        <a:prstGeom prst="line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65</xdr:col>
      <xdr:colOff>196268</xdr:colOff>
      <xdr:row>29</xdr:row>
      <xdr:rowOff>85693</xdr:rowOff>
    </xdr:from>
    <xdr:ext cx="314958" cy="224998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8889CBD5-B48A-F9A2-7351-36834C8791FF}"/>
            </a:ext>
          </a:extLst>
        </xdr:cNvPr>
        <xdr:cNvSpPr txBox="1"/>
      </xdr:nvSpPr>
      <xdr:spPr>
        <a:xfrm>
          <a:off x="15055268" y="6728948"/>
          <a:ext cx="3149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endParaRPr kumimoji="1" lang="ja-JP" altLang="en-US" sz="900" baseline="-25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37191</xdr:colOff>
      <xdr:row>5</xdr:row>
      <xdr:rowOff>32926</xdr:rowOff>
    </xdr:from>
    <xdr:to>
      <xdr:col>63</xdr:col>
      <xdr:colOff>108432</xdr:colOff>
      <xdr:row>5</xdr:row>
      <xdr:rowOff>32926</xdr:rowOff>
    </xdr:to>
    <xdr:cxnSp macro="">
      <xdr:nvCxnSpPr>
        <xdr:cNvPr id="266" name="直線コネクタ 265">
          <a:extLst>
            <a:ext uri="{FF2B5EF4-FFF2-40B4-BE49-F238E27FC236}">
              <a16:creationId xmlns:a16="http://schemas.microsoft.com/office/drawing/2014/main" id="{0D6D4D85-95AD-4D8F-8E06-F11FBFB24ADE}"/>
            </a:ext>
          </a:extLst>
        </xdr:cNvPr>
        <xdr:cNvCxnSpPr/>
      </xdr:nvCxnSpPr>
      <xdr:spPr>
        <a:xfrm>
          <a:off x="14345374" y="1186812"/>
          <a:ext cx="302018" cy="0"/>
        </a:xfrm>
        <a:prstGeom prst="line">
          <a:avLst/>
        </a:prstGeom>
        <a:ln w="31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226422</xdr:colOff>
      <xdr:row>2</xdr:row>
      <xdr:rowOff>10885</xdr:rowOff>
    </xdr:from>
    <xdr:to>
      <xdr:col>64</xdr:col>
      <xdr:colOff>32187</xdr:colOff>
      <xdr:row>11</xdr:row>
      <xdr:rowOff>65670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7B40C85-E751-4451-847A-06C608439B34}"/>
            </a:ext>
          </a:extLst>
        </xdr:cNvPr>
        <xdr:cNvCxnSpPr/>
      </xdr:nvCxnSpPr>
      <xdr:spPr>
        <a:xfrm flipH="1">
          <a:off x="13842273" y="472439"/>
          <a:ext cx="959651" cy="2144842"/>
        </a:xfrm>
        <a:prstGeom prst="line">
          <a:avLst/>
        </a:prstGeom>
        <a:ln w="63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217036</xdr:colOff>
      <xdr:row>6</xdr:row>
      <xdr:rowOff>109074</xdr:rowOff>
    </xdr:from>
    <xdr:to>
      <xdr:col>29</xdr:col>
      <xdr:colOff>185947</xdr:colOff>
      <xdr:row>12</xdr:row>
      <xdr:rowOff>182814</xdr:rowOff>
    </xdr:to>
    <xdr:sp macro="" textlink="">
      <xdr:nvSpPr>
        <xdr:cNvPr id="4" name="直角三角形 3">
          <a:extLst>
            <a:ext uri="{FF2B5EF4-FFF2-40B4-BE49-F238E27FC236}">
              <a16:creationId xmlns:a16="http://schemas.microsoft.com/office/drawing/2014/main" id="{B69F11A8-0029-4DD5-A51B-BF6A00052E74}"/>
            </a:ext>
          </a:extLst>
        </xdr:cNvPr>
        <xdr:cNvSpPr/>
      </xdr:nvSpPr>
      <xdr:spPr>
        <a:xfrm rot="12060000" flipH="1">
          <a:off x="6617836" y="1491560"/>
          <a:ext cx="197511" cy="1445340"/>
        </a:xfrm>
        <a:prstGeom prst="rtTriangle">
          <a:avLst/>
        </a:prstGeom>
        <a:solidFill>
          <a:schemeClr val="accent2">
            <a:lumMod val="20000"/>
            <a:lumOff val="80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74853</xdr:colOff>
      <xdr:row>9</xdr:row>
      <xdr:rowOff>154727</xdr:rowOff>
    </xdr:from>
    <xdr:to>
      <xdr:col>28</xdr:col>
      <xdr:colOff>160713</xdr:colOff>
      <xdr:row>12</xdr:row>
      <xdr:rowOff>158072</xdr:rowOff>
    </xdr:to>
    <xdr:sp macro="" textlink="">
      <xdr:nvSpPr>
        <xdr:cNvPr id="5" name="直角三角形 4">
          <a:extLst>
            <a:ext uri="{FF2B5EF4-FFF2-40B4-BE49-F238E27FC236}">
              <a16:creationId xmlns:a16="http://schemas.microsoft.com/office/drawing/2014/main" id="{E720CA48-6845-444D-99E2-CDC1D92C6D63}"/>
            </a:ext>
          </a:extLst>
        </xdr:cNvPr>
        <xdr:cNvSpPr/>
      </xdr:nvSpPr>
      <xdr:spPr>
        <a:xfrm rot="12120000" flipH="1">
          <a:off x="6475653" y="2223013"/>
          <a:ext cx="85860" cy="689145"/>
        </a:xfrm>
        <a:prstGeom prst="rtTriangle">
          <a:avLst/>
        </a:prstGeom>
        <a:solidFill>
          <a:schemeClr val="bg1">
            <a:lumMod val="85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30</xdr:col>
      <xdr:colOff>1701</xdr:colOff>
      <xdr:row>7</xdr:row>
      <xdr:rowOff>84299</xdr:rowOff>
    </xdr:from>
    <xdr:ext cx="386644" cy="224998"/>
    <xdr:sp macro="" textlink="$Q$7">
      <xdr:nvSpPr>
        <xdr:cNvPr id="143" name="テキスト ボックス 142">
          <a:extLst>
            <a:ext uri="{FF2B5EF4-FFF2-40B4-BE49-F238E27FC236}">
              <a16:creationId xmlns:a16="http://schemas.microsoft.com/office/drawing/2014/main" id="{DCB85BBA-913E-42E1-8328-D1928E4BD4DC}"/>
            </a:ext>
          </a:extLst>
        </xdr:cNvPr>
        <xdr:cNvSpPr txBox="1"/>
      </xdr:nvSpPr>
      <xdr:spPr>
        <a:xfrm>
          <a:off x="6859701" y="1695385"/>
          <a:ext cx="38664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6A7D9F1-AFA1-4592-89D6-A307310DE752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21.8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30</xdr:col>
      <xdr:colOff>15994</xdr:colOff>
      <xdr:row>5</xdr:row>
      <xdr:rowOff>227615</xdr:rowOff>
    </xdr:from>
    <xdr:ext cx="370486" cy="224998"/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19195A75-5E54-4A97-A295-A555C250EA0C}"/>
            </a:ext>
          </a:extLst>
        </xdr:cNvPr>
        <xdr:cNvSpPr txBox="1"/>
      </xdr:nvSpPr>
      <xdr:spPr>
        <a:xfrm rot="1181880">
          <a:off x="6873994" y="1370615"/>
          <a:ext cx="37048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30</xdr:col>
      <xdr:colOff>18476</xdr:colOff>
      <xdr:row>8</xdr:row>
      <xdr:rowOff>161611</xdr:rowOff>
    </xdr:from>
    <xdr:ext cx="396134" cy="224998"/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E5FD0956-94FE-4D6E-B539-D76FEF1A935F}"/>
            </a:ext>
          </a:extLst>
        </xdr:cNvPr>
        <xdr:cNvSpPr txBox="1"/>
      </xdr:nvSpPr>
      <xdr:spPr>
        <a:xfrm>
          <a:off x="6876476" y="2001297"/>
          <a:ext cx="39613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31</xdr:col>
      <xdr:colOff>24079</xdr:colOff>
      <xdr:row>8</xdr:row>
      <xdr:rowOff>190600</xdr:rowOff>
    </xdr:from>
    <xdr:ext cx="444352" cy="224998"/>
    <xdr:sp macro="" textlink="$Q$5">
      <xdr:nvSpPr>
        <xdr:cNvPr id="146" name="テキスト ボックス 145">
          <a:extLst>
            <a:ext uri="{FF2B5EF4-FFF2-40B4-BE49-F238E27FC236}">
              <a16:creationId xmlns:a16="http://schemas.microsoft.com/office/drawing/2014/main" id="{1FF4EB06-B373-412B-8682-624B7E795FFC}"/>
            </a:ext>
          </a:extLst>
        </xdr:cNvPr>
        <xdr:cNvSpPr txBox="1"/>
      </xdr:nvSpPr>
      <xdr:spPr>
        <a:xfrm>
          <a:off x="7110679" y="2030286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B57E517-CA03-4E21-909F-55CE20B8281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7.121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31</xdr:col>
      <xdr:colOff>59308</xdr:colOff>
      <xdr:row>9</xdr:row>
      <xdr:rowOff>92080</xdr:rowOff>
    </xdr:from>
    <xdr:ext cx="242374" cy="444352"/>
    <xdr:sp macro="" textlink="$G$7">
      <xdr:nvSpPr>
        <xdr:cNvPr id="147" name="テキスト ボックス 146">
          <a:extLst>
            <a:ext uri="{FF2B5EF4-FFF2-40B4-BE49-F238E27FC236}">
              <a16:creationId xmlns:a16="http://schemas.microsoft.com/office/drawing/2014/main" id="{12FE8E72-C66C-42D7-8A26-C090B9F6355B}"/>
            </a:ext>
          </a:extLst>
        </xdr:cNvPr>
        <xdr:cNvSpPr txBox="1"/>
      </xdr:nvSpPr>
      <xdr:spPr>
        <a:xfrm rot="17460000">
          <a:off x="7044919" y="2261355"/>
          <a:ext cx="44435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3432FF7-ABBF-4790-8465-7C0004CD2BA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pPr/>
            <a:t>3.877</a:t>
          </a:fld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30</xdr:col>
      <xdr:colOff>226949</xdr:colOff>
      <xdr:row>10</xdr:row>
      <xdr:rowOff>132778</xdr:rowOff>
    </xdr:from>
    <xdr:ext cx="242374" cy="249748"/>
    <xdr:sp macro="" textlink="#REF!">
      <xdr:nvSpPr>
        <xdr:cNvPr id="148" name="テキスト ボックス 147">
          <a:extLst>
            <a:ext uri="{FF2B5EF4-FFF2-40B4-BE49-F238E27FC236}">
              <a16:creationId xmlns:a16="http://schemas.microsoft.com/office/drawing/2014/main" id="{0EF8DD2B-B9A9-4E5A-BAB6-D72F731E3CCD}"/>
            </a:ext>
          </a:extLst>
        </xdr:cNvPr>
        <xdr:cNvSpPr txBox="1"/>
      </xdr:nvSpPr>
      <xdr:spPr>
        <a:xfrm rot="17460000">
          <a:off x="7081262" y="2433351"/>
          <a:ext cx="24974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t>=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31</xdr:col>
      <xdr:colOff>185038</xdr:colOff>
      <xdr:row>11</xdr:row>
      <xdr:rowOff>19615</xdr:rowOff>
    </xdr:from>
    <xdr:ext cx="242374" cy="249748"/>
    <xdr:sp macro="" textlink="#REF!">
      <xdr:nvSpPr>
        <xdr:cNvPr id="149" name="テキスト ボックス 148">
          <a:extLst>
            <a:ext uri="{FF2B5EF4-FFF2-40B4-BE49-F238E27FC236}">
              <a16:creationId xmlns:a16="http://schemas.microsoft.com/office/drawing/2014/main" id="{B299EC9C-EC8F-43A7-92EA-8DA03116EEB3}"/>
            </a:ext>
          </a:extLst>
        </xdr:cNvPr>
        <xdr:cNvSpPr txBox="1"/>
      </xdr:nvSpPr>
      <xdr:spPr>
        <a:xfrm rot="17460000">
          <a:off x="7267951" y="2548788"/>
          <a:ext cx="24974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t>=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32</xdr:col>
      <xdr:colOff>20119</xdr:colOff>
      <xdr:row>9</xdr:row>
      <xdr:rowOff>199501</xdr:rowOff>
    </xdr:from>
    <xdr:ext cx="242374" cy="444352"/>
    <xdr:sp macro="" textlink="$G$5">
      <xdr:nvSpPr>
        <xdr:cNvPr id="150" name="テキスト ボックス 149">
          <a:extLst>
            <a:ext uri="{FF2B5EF4-FFF2-40B4-BE49-F238E27FC236}">
              <a16:creationId xmlns:a16="http://schemas.microsoft.com/office/drawing/2014/main" id="{3D748BC7-B21F-48F1-9B5C-913B8B4EA36A}"/>
            </a:ext>
          </a:extLst>
        </xdr:cNvPr>
        <xdr:cNvSpPr txBox="1"/>
      </xdr:nvSpPr>
      <xdr:spPr>
        <a:xfrm rot="17460000">
          <a:off x="7234330" y="2368776"/>
          <a:ext cx="44435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DB5AAC0-1272-4B6A-8805-35C9DF9E544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pPr/>
            <a:t>6.462</a:t>
          </a:fld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30</xdr:col>
      <xdr:colOff>215120</xdr:colOff>
      <xdr:row>6</xdr:row>
      <xdr:rowOff>67266</xdr:rowOff>
    </xdr:from>
    <xdr:ext cx="444352" cy="224998"/>
    <xdr:sp macro="" textlink="$Q$6">
      <xdr:nvSpPr>
        <xdr:cNvPr id="151" name="テキスト ボックス 150">
          <a:extLst>
            <a:ext uri="{FF2B5EF4-FFF2-40B4-BE49-F238E27FC236}">
              <a16:creationId xmlns:a16="http://schemas.microsoft.com/office/drawing/2014/main" id="{BFA11D0E-851A-4B06-976E-DBA809F2544E}"/>
            </a:ext>
          </a:extLst>
        </xdr:cNvPr>
        <xdr:cNvSpPr txBox="1"/>
      </xdr:nvSpPr>
      <xdr:spPr>
        <a:xfrm rot="1249213">
          <a:off x="7073120" y="1449752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5FADEDB-F12F-4E05-AC19-CC8DB11B0F2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3.673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29</xdr:col>
      <xdr:colOff>8426</xdr:colOff>
      <xdr:row>9</xdr:row>
      <xdr:rowOff>77248</xdr:rowOff>
    </xdr:from>
    <xdr:ext cx="317266" cy="224998"/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86FE09E7-8BB0-4449-9EBD-FE8344544ED6}"/>
            </a:ext>
          </a:extLst>
        </xdr:cNvPr>
        <xdr:cNvSpPr txBox="1"/>
      </xdr:nvSpPr>
      <xdr:spPr>
        <a:xfrm rot="1331345">
          <a:off x="6637826" y="2145534"/>
          <a:ext cx="31726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' </a:t>
          </a:r>
          <a:endParaRPr kumimoji="1" lang="ja-JP" altLang="en-US" sz="9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139075</xdr:colOff>
      <xdr:row>7</xdr:row>
      <xdr:rowOff>224843</xdr:rowOff>
    </xdr:from>
    <xdr:to>
      <xdr:col>30</xdr:col>
      <xdr:colOff>110147</xdr:colOff>
      <xdr:row>8</xdr:row>
      <xdr:rowOff>47955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A00C3EFC-592E-452A-BCE0-33F8E934DA6E}"/>
            </a:ext>
          </a:extLst>
        </xdr:cNvPr>
        <xdr:cNvCxnSpPr/>
      </xdr:nvCxnSpPr>
      <xdr:spPr>
        <a:xfrm rot="240000" flipH="1" flipV="1">
          <a:off x="6768475" y="1835929"/>
          <a:ext cx="199672" cy="51712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37058</xdr:colOff>
      <xdr:row>7</xdr:row>
      <xdr:rowOff>217382</xdr:rowOff>
    </xdr:from>
    <xdr:ext cx="369525" cy="224998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97989563-A09A-49B2-A958-BB4868D17C5E}"/>
            </a:ext>
          </a:extLst>
        </xdr:cNvPr>
        <xdr:cNvSpPr txBox="1"/>
      </xdr:nvSpPr>
      <xdr:spPr>
        <a:xfrm>
          <a:off x="6895058" y="1828468"/>
          <a:ext cx="36952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tzi</a:t>
          </a:r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191588</xdr:colOff>
      <xdr:row>2</xdr:row>
      <xdr:rowOff>149057</xdr:rowOff>
    </xdr:from>
    <xdr:to>
      <xdr:col>64</xdr:col>
      <xdr:colOff>65312</xdr:colOff>
      <xdr:row>2</xdr:row>
      <xdr:rowOff>149057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3CF48A5F-9962-4B7C-A889-B8C3D97DA805}"/>
            </a:ext>
          </a:extLst>
        </xdr:cNvPr>
        <xdr:cNvCxnSpPr/>
      </xdr:nvCxnSpPr>
      <xdr:spPr>
        <a:xfrm>
          <a:off x="14499771" y="610611"/>
          <a:ext cx="335278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65614</xdr:colOff>
      <xdr:row>2</xdr:row>
      <xdr:rowOff>107943</xdr:rowOff>
    </xdr:from>
    <xdr:to>
      <xdr:col>64</xdr:col>
      <xdr:colOff>65614</xdr:colOff>
      <xdr:row>3</xdr:row>
      <xdr:rowOff>37053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A20FC197-3B5A-43C1-8DBD-7DC326E1ACFB}"/>
            </a:ext>
          </a:extLst>
        </xdr:cNvPr>
        <xdr:cNvCxnSpPr/>
      </xdr:nvCxnSpPr>
      <xdr:spPr>
        <a:xfrm>
          <a:off x="30698014" y="565143"/>
          <a:ext cx="0" cy="15771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182792</xdr:colOff>
      <xdr:row>2</xdr:row>
      <xdr:rowOff>107944</xdr:rowOff>
    </xdr:from>
    <xdr:to>
      <xdr:col>62</xdr:col>
      <xdr:colOff>182792</xdr:colOff>
      <xdr:row>3</xdr:row>
      <xdr:rowOff>37054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E5F6FB0C-6E3A-48CE-94C0-0F2CB3889D13}"/>
            </a:ext>
          </a:extLst>
        </xdr:cNvPr>
        <xdr:cNvCxnSpPr/>
      </xdr:nvCxnSpPr>
      <xdr:spPr>
        <a:xfrm>
          <a:off x="14490975" y="569498"/>
          <a:ext cx="0" cy="159887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9488</xdr:colOff>
      <xdr:row>1</xdr:row>
      <xdr:rowOff>183422</xdr:rowOff>
    </xdr:from>
    <xdr:ext cx="316049" cy="224998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275D74CB-CBCA-49F8-88CF-6519BAD962DC}"/>
            </a:ext>
          </a:extLst>
        </xdr:cNvPr>
        <xdr:cNvSpPr txBox="1"/>
      </xdr:nvSpPr>
      <xdr:spPr>
        <a:xfrm>
          <a:off x="14548448" y="414199"/>
          <a:ext cx="31604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zi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148327</xdr:colOff>
      <xdr:row>3</xdr:row>
      <xdr:rowOff>88061</xdr:rowOff>
    </xdr:from>
    <xdr:to>
      <xdr:col>61</xdr:col>
      <xdr:colOff>148327</xdr:colOff>
      <xdr:row>5</xdr:row>
      <xdr:rowOff>44002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AA4787C2-E164-4B2B-ADA0-0F72662A5CCC}"/>
            </a:ext>
          </a:extLst>
        </xdr:cNvPr>
        <xdr:cNvCxnSpPr/>
      </xdr:nvCxnSpPr>
      <xdr:spPr>
        <a:xfrm>
          <a:off x="30094927" y="773861"/>
          <a:ext cx="0" cy="417495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47749</xdr:colOff>
      <xdr:row>3</xdr:row>
      <xdr:rowOff>92556</xdr:rowOff>
    </xdr:from>
    <xdr:to>
      <xdr:col>63</xdr:col>
      <xdr:colOff>200935</xdr:colOff>
      <xdr:row>3</xdr:row>
      <xdr:rowOff>92556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4A1008B0-0C91-48E7-BD32-B29CE47AD589}"/>
            </a:ext>
          </a:extLst>
        </xdr:cNvPr>
        <xdr:cNvCxnSpPr/>
      </xdr:nvCxnSpPr>
      <xdr:spPr>
        <a:xfrm>
          <a:off x="29994349" y="778356"/>
          <a:ext cx="610386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172321</xdr:colOff>
      <xdr:row>3</xdr:row>
      <xdr:rowOff>148592</xdr:rowOff>
    </xdr:from>
    <xdr:ext cx="224998" cy="316049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F292BBD5-ACC3-4B14-B2D1-795536CEA012}"/>
            </a:ext>
          </a:extLst>
        </xdr:cNvPr>
        <xdr:cNvSpPr txBox="1"/>
      </xdr:nvSpPr>
      <xdr:spPr>
        <a:xfrm rot="16200000">
          <a:off x="29844795" y="879918"/>
          <a:ext cx="31604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zi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55</xdr:col>
      <xdr:colOff>77229</xdr:colOff>
      <xdr:row>18</xdr:row>
      <xdr:rowOff>192772</xdr:rowOff>
    </xdr:from>
    <xdr:ext cx="224998" cy="292581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1DF6E79E-8ED2-43BE-8877-ADE9A3F22555}"/>
            </a:ext>
          </a:extLst>
        </xdr:cNvPr>
        <xdr:cNvSpPr txBox="1"/>
      </xdr:nvSpPr>
      <xdr:spPr>
        <a:xfrm rot="16200000">
          <a:off x="28618437" y="4402324"/>
          <a:ext cx="29258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28</xdr:col>
      <xdr:colOff>188869</xdr:colOff>
      <xdr:row>6</xdr:row>
      <xdr:rowOff>122575</xdr:rowOff>
    </xdr:from>
    <xdr:to>
      <xdr:col>30</xdr:col>
      <xdr:colOff>23297</xdr:colOff>
      <xdr:row>6</xdr:row>
      <xdr:rowOff>122575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10AEF304-E2EF-4854-95E8-658C11790204}"/>
            </a:ext>
          </a:extLst>
        </xdr:cNvPr>
        <xdr:cNvCxnSpPr/>
      </xdr:nvCxnSpPr>
      <xdr:spPr>
        <a:xfrm>
          <a:off x="6589669" y="1505061"/>
          <a:ext cx="2916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123964</xdr:colOff>
      <xdr:row>6</xdr:row>
      <xdr:rowOff>7965</xdr:rowOff>
    </xdr:from>
    <xdr:to>
      <xdr:col>26</xdr:col>
      <xdr:colOff>123964</xdr:colOff>
      <xdr:row>16</xdr:row>
      <xdr:rowOff>82441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8E89E773-EC73-40B5-B21F-54835D5BAAB2}"/>
            </a:ext>
          </a:extLst>
        </xdr:cNvPr>
        <xdr:cNvCxnSpPr/>
      </xdr:nvCxnSpPr>
      <xdr:spPr>
        <a:xfrm rot="6960000">
          <a:off x="4881883" y="2576132"/>
          <a:ext cx="237136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173056</xdr:colOff>
      <xdr:row>4</xdr:row>
      <xdr:rowOff>179379</xdr:rowOff>
    </xdr:from>
    <xdr:ext cx="336311" cy="224998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132FFFBF-B57F-4B9E-A01C-7832F7EC1208}"/>
            </a:ext>
          </a:extLst>
        </xdr:cNvPr>
        <xdr:cNvSpPr txBox="1"/>
      </xdr:nvSpPr>
      <xdr:spPr>
        <a:xfrm>
          <a:off x="6345256" y="1093779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193818</xdr:colOff>
      <xdr:row>5</xdr:row>
      <xdr:rowOff>131162</xdr:rowOff>
    </xdr:from>
    <xdr:to>
      <xdr:col>28</xdr:col>
      <xdr:colOff>193818</xdr:colOff>
      <xdr:row>6</xdr:row>
      <xdr:rowOff>52700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BE5CBEF5-FF9C-406A-B137-E609A8AA0EAD}"/>
            </a:ext>
          </a:extLst>
        </xdr:cNvPr>
        <xdr:cNvCxnSpPr/>
      </xdr:nvCxnSpPr>
      <xdr:spPr>
        <a:xfrm>
          <a:off x="6594618" y="1274162"/>
          <a:ext cx="0" cy="161024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26865</xdr:colOff>
      <xdr:row>5</xdr:row>
      <xdr:rowOff>131162</xdr:rowOff>
    </xdr:from>
    <xdr:to>
      <xdr:col>30</xdr:col>
      <xdr:colOff>26865</xdr:colOff>
      <xdr:row>6</xdr:row>
      <xdr:rowOff>52700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2D768367-3D1F-4E7A-A3EF-C0E983FCF81C}"/>
            </a:ext>
          </a:extLst>
        </xdr:cNvPr>
        <xdr:cNvCxnSpPr/>
      </xdr:nvCxnSpPr>
      <xdr:spPr>
        <a:xfrm>
          <a:off x="6884865" y="1274162"/>
          <a:ext cx="0" cy="161024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193332</xdr:colOff>
      <xdr:row>5</xdr:row>
      <xdr:rowOff>168557</xdr:rowOff>
    </xdr:from>
    <xdr:to>
      <xdr:col>30</xdr:col>
      <xdr:colOff>27760</xdr:colOff>
      <xdr:row>5</xdr:row>
      <xdr:rowOff>168557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4A11A0D8-0D16-4E4E-9F14-9DE90FA2F36F}"/>
            </a:ext>
          </a:extLst>
        </xdr:cNvPr>
        <xdr:cNvCxnSpPr/>
      </xdr:nvCxnSpPr>
      <xdr:spPr>
        <a:xfrm>
          <a:off x="6594132" y="1311557"/>
          <a:ext cx="29162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55140</xdr:colOff>
      <xdr:row>15</xdr:row>
      <xdr:rowOff>205699</xdr:rowOff>
    </xdr:from>
    <xdr:to>
      <xdr:col>26</xdr:col>
      <xdr:colOff>105568</xdr:colOff>
      <xdr:row>15</xdr:row>
      <xdr:rowOff>205699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5063BE21-BF5F-4352-ADA7-0A864CC2AA0D}"/>
            </a:ext>
          </a:extLst>
        </xdr:cNvPr>
        <xdr:cNvCxnSpPr/>
      </xdr:nvCxnSpPr>
      <xdr:spPr>
        <a:xfrm>
          <a:off x="5541540" y="3645585"/>
          <a:ext cx="507628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55350</xdr:colOff>
      <xdr:row>6</xdr:row>
      <xdr:rowOff>218532</xdr:rowOff>
    </xdr:from>
    <xdr:to>
      <xdr:col>33</xdr:col>
      <xdr:colOff>148316</xdr:colOff>
      <xdr:row>7</xdr:row>
      <xdr:rowOff>178308</xdr:rowOff>
    </xdr:to>
    <xdr:cxnSp macro="">
      <xdr:nvCxnSpPr>
        <xdr:cNvPr id="170" name="直線コネクタ 169">
          <a:extLst>
            <a:ext uri="{FF2B5EF4-FFF2-40B4-BE49-F238E27FC236}">
              <a16:creationId xmlns:a16="http://schemas.microsoft.com/office/drawing/2014/main" id="{3CCDFAE6-BE97-4B76-9CF2-D1FA0F2FF774}"/>
            </a:ext>
          </a:extLst>
        </xdr:cNvPr>
        <xdr:cNvCxnSpPr/>
      </xdr:nvCxnSpPr>
      <xdr:spPr>
        <a:xfrm>
          <a:off x="7141950" y="1601018"/>
          <a:ext cx="550166" cy="18837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210100</xdr:colOff>
      <xdr:row>7</xdr:row>
      <xdr:rowOff>168912</xdr:rowOff>
    </xdr:from>
    <xdr:to>
      <xdr:col>33</xdr:col>
      <xdr:colOff>107856</xdr:colOff>
      <xdr:row>17</xdr:row>
      <xdr:rowOff>15727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FE131981-9FFF-45BB-B4CB-A84A21928DB6}"/>
            </a:ext>
          </a:extLst>
        </xdr:cNvPr>
        <xdr:cNvCxnSpPr/>
      </xdr:nvCxnSpPr>
      <xdr:spPr>
        <a:xfrm flipH="1">
          <a:off x="6839500" y="1779998"/>
          <a:ext cx="812156" cy="2154586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6051</xdr:colOff>
      <xdr:row>16</xdr:row>
      <xdr:rowOff>15242</xdr:rowOff>
    </xdr:from>
    <xdr:to>
      <xdr:col>30</xdr:col>
      <xdr:colOff>31030</xdr:colOff>
      <xdr:row>17</xdr:row>
      <xdr:rowOff>28178</xdr:rowOff>
    </xdr:to>
    <xdr:cxnSp macro="">
      <xdr:nvCxnSpPr>
        <xdr:cNvPr id="172" name="直線コネクタ 171">
          <a:extLst>
            <a:ext uri="{FF2B5EF4-FFF2-40B4-BE49-F238E27FC236}">
              <a16:creationId xmlns:a16="http://schemas.microsoft.com/office/drawing/2014/main" id="{5EF1EA7E-89B4-4969-9A95-8AB91701D81A}"/>
            </a:ext>
          </a:extLst>
        </xdr:cNvPr>
        <xdr:cNvCxnSpPr/>
      </xdr:nvCxnSpPr>
      <xdr:spPr>
        <a:xfrm>
          <a:off x="6178251" y="3694613"/>
          <a:ext cx="710779" cy="25242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153428</xdr:colOff>
      <xdr:row>11</xdr:row>
      <xdr:rowOff>122934</xdr:rowOff>
    </xdr:from>
    <xdr:ext cx="242374" cy="271228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06708557-9DED-4CD4-BDFF-E6DE605C34FA}"/>
            </a:ext>
          </a:extLst>
        </xdr:cNvPr>
        <xdr:cNvSpPr txBox="1"/>
      </xdr:nvSpPr>
      <xdr:spPr>
        <a:xfrm rot="17460000">
          <a:off x="7225601" y="2662847"/>
          <a:ext cx="27122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30</xdr:col>
      <xdr:colOff>118701</xdr:colOff>
      <xdr:row>9</xdr:row>
      <xdr:rowOff>61064</xdr:rowOff>
    </xdr:from>
    <xdr:ext cx="242374" cy="640688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7E4B2422-E771-45E4-BDFE-2959D0CCFAB2}"/>
            </a:ext>
          </a:extLst>
        </xdr:cNvPr>
        <xdr:cNvSpPr txBox="1"/>
      </xdr:nvSpPr>
      <xdr:spPr>
        <a:xfrm rot="17460000">
          <a:off x="6777544" y="2328507"/>
          <a:ext cx="64068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₂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κ</a:t>
          </a:r>
          <a:r>
            <a:rPr kumimoji="1" lang="en-US" altLang="ja-JP" sz="900" i="1" baseline="-250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・</a:t>
          </a:r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29</xdr:col>
      <xdr:colOff>28813</xdr:colOff>
      <xdr:row>14</xdr:row>
      <xdr:rowOff>26286</xdr:rowOff>
    </xdr:from>
    <xdr:ext cx="242374" cy="305853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AF91DB8F-03BF-4FA4-991F-383EAEFA8222}"/>
            </a:ext>
          </a:extLst>
        </xdr:cNvPr>
        <xdr:cNvSpPr txBox="1"/>
      </xdr:nvSpPr>
      <xdr:spPr>
        <a:xfrm rot="17460000">
          <a:off x="6626473" y="3269312"/>
          <a:ext cx="305853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₁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129859</xdr:colOff>
      <xdr:row>13</xdr:row>
      <xdr:rowOff>53679</xdr:rowOff>
    </xdr:from>
    <xdr:to>
      <xdr:col>29</xdr:col>
      <xdr:colOff>192727</xdr:colOff>
      <xdr:row>16</xdr:row>
      <xdr:rowOff>137424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821DCD38-7CB2-4C9C-A23C-48FDEB3424DA}"/>
            </a:ext>
          </a:extLst>
        </xdr:cNvPr>
        <xdr:cNvCxnSpPr/>
      </xdr:nvCxnSpPr>
      <xdr:spPr>
        <a:xfrm flipH="1">
          <a:off x="6530659" y="3036365"/>
          <a:ext cx="291468" cy="780430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192988</xdr:colOff>
      <xdr:row>7</xdr:row>
      <xdr:rowOff>51790</xdr:rowOff>
    </xdr:from>
    <xdr:to>
      <xdr:col>32</xdr:col>
      <xdr:colOff>15387</xdr:colOff>
      <xdr:row>13</xdr:row>
      <xdr:rowOff>57540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23C99D5B-4366-4EE3-A1C8-6BB6A3048DFA}"/>
            </a:ext>
          </a:extLst>
        </xdr:cNvPr>
        <xdr:cNvCxnSpPr/>
      </xdr:nvCxnSpPr>
      <xdr:spPr>
        <a:xfrm flipH="1">
          <a:off x="6822388" y="1662876"/>
          <a:ext cx="508199" cy="1377350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76289</xdr:colOff>
      <xdr:row>6</xdr:row>
      <xdr:rowOff>161530</xdr:rowOff>
    </xdr:from>
    <xdr:to>
      <xdr:col>30</xdr:col>
      <xdr:colOff>180816</xdr:colOff>
      <xdr:row>7</xdr:row>
      <xdr:rowOff>165918</xdr:rowOff>
    </xdr:to>
    <xdr:sp macro="" textlink="">
      <xdr:nvSpPr>
        <xdr:cNvPr id="178" name="円弧 177">
          <a:extLst>
            <a:ext uri="{FF2B5EF4-FFF2-40B4-BE49-F238E27FC236}">
              <a16:creationId xmlns:a16="http://schemas.microsoft.com/office/drawing/2014/main" id="{B09FDC08-6934-490B-B5F3-3E52487B6234}"/>
            </a:ext>
          </a:extLst>
        </xdr:cNvPr>
        <xdr:cNvSpPr/>
      </xdr:nvSpPr>
      <xdr:spPr>
        <a:xfrm rot="11917365">
          <a:off x="6705689" y="1544016"/>
          <a:ext cx="333127" cy="232988"/>
        </a:xfrm>
        <a:prstGeom prst="arc">
          <a:avLst>
            <a:gd name="adj1" fmla="val 14457045"/>
            <a:gd name="adj2" fmla="val 17459712"/>
          </a:avLst>
        </a:prstGeom>
        <a:noFill/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30</xdr:col>
      <xdr:colOff>30160</xdr:colOff>
      <xdr:row>6</xdr:row>
      <xdr:rowOff>125713</xdr:rowOff>
    </xdr:from>
    <xdr:to>
      <xdr:col>30</xdr:col>
      <xdr:colOff>30160</xdr:colOff>
      <xdr:row>8</xdr:row>
      <xdr:rowOff>16220</xdr:rowOff>
    </xdr:to>
    <xdr:cxnSp macro="">
      <xdr:nvCxnSpPr>
        <xdr:cNvPr id="179" name="直線コネクタ 178">
          <a:extLst>
            <a:ext uri="{FF2B5EF4-FFF2-40B4-BE49-F238E27FC236}">
              <a16:creationId xmlns:a16="http://schemas.microsoft.com/office/drawing/2014/main" id="{3A0D266E-0982-49C9-ABAE-08BFFEBB1CB3}"/>
            </a:ext>
          </a:extLst>
        </xdr:cNvPr>
        <xdr:cNvCxnSpPr/>
      </xdr:nvCxnSpPr>
      <xdr:spPr>
        <a:xfrm>
          <a:off x="6888160" y="1508199"/>
          <a:ext cx="0" cy="347707"/>
        </a:xfrm>
        <a:prstGeom prst="line">
          <a:avLst/>
        </a:prstGeom>
        <a:ln w="3175">
          <a:solidFill>
            <a:schemeClr val="tx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151146</xdr:colOff>
      <xdr:row>6</xdr:row>
      <xdr:rowOff>224783</xdr:rowOff>
    </xdr:from>
    <xdr:ext cx="365165" cy="242374"/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38440059-8062-436F-84CA-0904C98523B3}"/>
            </a:ext>
          </a:extLst>
        </xdr:cNvPr>
        <xdr:cNvSpPr txBox="1"/>
      </xdr:nvSpPr>
      <xdr:spPr>
        <a:xfrm>
          <a:off x="6780546" y="1607269"/>
          <a:ext cx="36516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θ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43291</xdr:colOff>
      <xdr:row>8</xdr:row>
      <xdr:rowOff>216152</xdr:rowOff>
    </xdr:from>
    <xdr:to>
      <xdr:col>30</xdr:col>
      <xdr:colOff>88771</xdr:colOff>
      <xdr:row>9</xdr:row>
      <xdr:rowOff>67226</xdr:rowOff>
    </xdr:to>
    <xdr:cxnSp macro="">
      <xdr:nvCxnSpPr>
        <xdr:cNvPr id="181" name="直線コネクタ 180">
          <a:extLst>
            <a:ext uri="{FF2B5EF4-FFF2-40B4-BE49-F238E27FC236}">
              <a16:creationId xmlns:a16="http://schemas.microsoft.com/office/drawing/2014/main" id="{86F2A3CD-585C-48F9-8887-C19359BC73B9}"/>
            </a:ext>
          </a:extLst>
        </xdr:cNvPr>
        <xdr:cNvCxnSpPr/>
      </xdr:nvCxnSpPr>
      <xdr:spPr>
        <a:xfrm rot="240000" flipH="1" flipV="1">
          <a:off x="6672691" y="2055838"/>
          <a:ext cx="274080" cy="79674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126793</xdr:colOff>
      <xdr:row>4</xdr:row>
      <xdr:rowOff>179379</xdr:rowOff>
    </xdr:from>
    <xdr:ext cx="444352" cy="224998"/>
    <xdr:sp macro="" textlink="'1.条件'!T7">
      <xdr:nvSpPr>
        <xdr:cNvPr id="183" name="テキスト ボックス 182">
          <a:extLst>
            <a:ext uri="{FF2B5EF4-FFF2-40B4-BE49-F238E27FC236}">
              <a16:creationId xmlns:a16="http://schemas.microsoft.com/office/drawing/2014/main" id="{3CF814C2-3ABB-44B0-88AD-89079D705D62}"/>
            </a:ext>
          </a:extLst>
        </xdr:cNvPr>
        <xdr:cNvSpPr txBox="1"/>
      </xdr:nvSpPr>
      <xdr:spPr>
        <a:xfrm>
          <a:off x="6527593" y="1093779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073291F-FF2A-4592-B3E3-08EC9F1BC712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24</xdr:col>
      <xdr:colOff>36384</xdr:colOff>
      <xdr:row>7</xdr:row>
      <xdr:rowOff>54338</xdr:rowOff>
    </xdr:from>
    <xdr:ext cx="224998" cy="290464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21EDDA52-4925-444D-A6AA-A0A7CD75C23F}"/>
            </a:ext>
          </a:extLst>
        </xdr:cNvPr>
        <xdr:cNvSpPr txBox="1"/>
      </xdr:nvSpPr>
      <xdr:spPr>
        <a:xfrm rot="16200000">
          <a:off x="5490051" y="1698157"/>
          <a:ext cx="29046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24</xdr:col>
      <xdr:colOff>211698</xdr:colOff>
      <xdr:row>6</xdr:row>
      <xdr:rowOff>117875</xdr:rowOff>
    </xdr:from>
    <xdr:to>
      <xdr:col>26</xdr:col>
      <xdr:colOff>145475</xdr:colOff>
      <xdr:row>6</xdr:row>
      <xdr:rowOff>117875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06CCDB4C-E5AB-4226-B35F-9BCBEDAC4021}"/>
            </a:ext>
          </a:extLst>
        </xdr:cNvPr>
        <xdr:cNvCxnSpPr/>
      </xdr:nvCxnSpPr>
      <xdr:spPr>
        <a:xfrm>
          <a:off x="5698098" y="1500361"/>
          <a:ext cx="390977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26608</xdr:colOff>
      <xdr:row>6</xdr:row>
      <xdr:rowOff>119409</xdr:rowOff>
    </xdr:from>
    <xdr:to>
      <xdr:col>25</xdr:col>
      <xdr:colOff>26608</xdr:colOff>
      <xdr:row>9</xdr:row>
      <xdr:rowOff>159659</xdr:rowOff>
    </xdr:to>
    <xdr:cxnSp macro="">
      <xdr:nvCxnSpPr>
        <xdr:cNvPr id="186" name="直線コネクタ 185">
          <a:extLst>
            <a:ext uri="{FF2B5EF4-FFF2-40B4-BE49-F238E27FC236}">
              <a16:creationId xmlns:a16="http://schemas.microsoft.com/office/drawing/2014/main" id="{8B99B391-8B8B-4511-89DE-71D29FA4BCCB}"/>
            </a:ext>
          </a:extLst>
        </xdr:cNvPr>
        <xdr:cNvCxnSpPr/>
      </xdr:nvCxnSpPr>
      <xdr:spPr>
        <a:xfrm>
          <a:off x="5741608" y="1501895"/>
          <a:ext cx="0" cy="72605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205873</xdr:colOff>
      <xdr:row>9</xdr:row>
      <xdr:rowOff>161575</xdr:rowOff>
    </xdr:from>
    <xdr:to>
      <xdr:col>26</xdr:col>
      <xdr:colOff>166013</xdr:colOff>
      <xdr:row>9</xdr:row>
      <xdr:rowOff>161575</xdr:rowOff>
    </xdr:to>
    <xdr:cxnSp macro="">
      <xdr:nvCxnSpPr>
        <xdr:cNvPr id="187" name="直線コネクタ 186">
          <a:extLst>
            <a:ext uri="{FF2B5EF4-FFF2-40B4-BE49-F238E27FC236}">
              <a16:creationId xmlns:a16="http://schemas.microsoft.com/office/drawing/2014/main" id="{8B231E89-E242-4D38-A6F6-78C8D013F0C7}"/>
            </a:ext>
          </a:extLst>
        </xdr:cNvPr>
        <xdr:cNvCxnSpPr/>
      </xdr:nvCxnSpPr>
      <xdr:spPr>
        <a:xfrm>
          <a:off x="5692273" y="2229861"/>
          <a:ext cx="417340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13600</xdr:colOff>
      <xdr:row>5</xdr:row>
      <xdr:rowOff>146089</xdr:rowOff>
    </xdr:from>
    <xdr:to>
      <xdr:col>27</xdr:col>
      <xdr:colOff>53653</xdr:colOff>
      <xdr:row>8</xdr:row>
      <xdr:rowOff>161101</xdr:rowOff>
    </xdr:to>
    <xdr:cxnSp macro="">
      <xdr:nvCxnSpPr>
        <xdr:cNvPr id="188" name="直線コネクタ 187">
          <a:extLst>
            <a:ext uri="{FF2B5EF4-FFF2-40B4-BE49-F238E27FC236}">
              <a16:creationId xmlns:a16="http://schemas.microsoft.com/office/drawing/2014/main" id="{BCE594BB-B459-4186-BF44-BA6ED21F33B8}"/>
            </a:ext>
          </a:extLst>
        </xdr:cNvPr>
        <xdr:cNvCxnSpPr/>
      </xdr:nvCxnSpPr>
      <xdr:spPr>
        <a:xfrm flipH="1">
          <a:off x="5957200" y="1289089"/>
          <a:ext cx="268653" cy="711698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178546</xdr:colOff>
      <xdr:row>8</xdr:row>
      <xdr:rowOff>145559</xdr:rowOff>
    </xdr:from>
    <xdr:to>
      <xdr:col>27</xdr:col>
      <xdr:colOff>56886</xdr:colOff>
      <xdr:row>9</xdr:row>
      <xdr:rowOff>30844</xdr:rowOff>
    </xdr:to>
    <xdr:cxnSp macro="">
      <xdr:nvCxnSpPr>
        <xdr:cNvPr id="189" name="直線コネクタ 188">
          <a:extLst>
            <a:ext uri="{FF2B5EF4-FFF2-40B4-BE49-F238E27FC236}">
              <a16:creationId xmlns:a16="http://schemas.microsoft.com/office/drawing/2014/main" id="{6943A1BE-D7BA-4FAB-B238-3E296ED57515}"/>
            </a:ext>
          </a:extLst>
        </xdr:cNvPr>
        <xdr:cNvCxnSpPr/>
      </xdr:nvCxnSpPr>
      <xdr:spPr>
        <a:xfrm>
          <a:off x="5893546" y="1985245"/>
          <a:ext cx="335540" cy="11388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152957</xdr:colOff>
      <xdr:row>6</xdr:row>
      <xdr:rowOff>127724</xdr:rowOff>
    </xdr:from>
    <xdr:ext cx="224998" cy="286297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7147BEA0-4E8A-4EA8-8EE2-D529AD9065E2}"/>
            </a:ext>
          </a:extLst>
        </xdr:cNvPr>
        <xdr:cNvSpPr txBox="1"/>
      </xdr:nvSpPr>
      <xdr:spPr>
        <a:xfrm rot="17233223">
          <a:off x="5837307" y="1540860"/>
          <a:ext cx="28629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z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i</a:t>
          </a:r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'</a:t>
          </a:r>
          <a:endParaRPr kumimoji="1" lang="ja-JP" altLang="en-US" sz="900" i="1">
            <a:solidFill>
              <a:srgbClr val="FF0000"/>
            </a:solidFill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27</xdr:col>
      <xdr:colOff>81104</xdr:colOff>
      <xdr:row>9</xdr:row>
      <xdr:rowOff>166111</xdr:rowOff>
    </xdr:from>
    <xdr:to>
      <xdr:col>28</xdr:col>
      <xdr:colOff>152344</xdr:colOff>
      <xdr:row>9</xdr:row>
      <xdr:rowOff>166111</xdr:rowOff>
    </xdr:to>
    <xdr:cxnSp macro="">
      <xdr:nvCxnSpPr>
        <xdr:cNvPr id="191" name="直線コネクタ 190">
          <a:extLst>
            <a:ext uri="{FF2B5EF4-FFF2-40B4-BE49-F238E27FC236}">
              <a16:creationId xmlns:a16="http://schemas.microsoft.com/office/drawing/2014/main" id="{7C0C17B3-77D3-40B3-ADE0-2D60F63E1A03}"/>
            </a:ext>
          </a:extLst>
        </xdr:cNvPr>
        <xdr:cNvCxnSpPr/>
      </xdr:nvCxnSpPr>
      <xdr:spPr>
        <a:xfrm>
          <a:off x="6253304" y="2238751"/>
          <a:ext cx="299840" cy="0"/>
        </a:xfrm>
        <a:prstGeom prst="line">
          <a:avLst/>
        </a:prstGeom>
        <a:ln w="31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56</xdr:col>
      <xdr:colOff>65580</xdr:colOff>
      <xdr:row>18</xdr:row>
      <xdr:rowOff>52874</xdr:rowOff>
    </xdr:from>
    <xdr:ext cx="224998" cy="290464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3E6877C4-A9BE-4547-BDDB-5A8739DCCC7E}"/>
            </a:ext>
          </a:extLst>
        </xdr:cNvPr>
        <xdr:cNvSpPr txBox="1"/>
      </xdr:nvSpPr>
      <xdr:spPr>
        <a:xfrm rot="16200000">
          <a:off x="28836447" y="4261367"/>
          <a:ext cx="29046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56</xdr:col>
      <xdr:colOff>5979</xdr:colOff>
      <xdr:row>15</xdr:row>
      <xdr:rowOff>143195</xdr:rowOff>
    </xdr:from>
    <xdr:to>
      <xdr:col>59</xdr:col>
      <xdr:colOff>21051</xdr:colOff>
      <xdr:row>15</xdr:row>
      <xdr:rowOff>143195</xdr:rowOff>
    </xdr:to>
    <xdr:cxnSp macro="">
      <xdr:nvCxnSpPr>
        <xdr:cNvPr id="193" name="直線コネクタ 192">
          <a:extLst>
            <a:ext uri="{FF2B5EF4-FFF2-40B4-BE49-F238E27FC236}">
              <a16:creationId xmlns:a16="http://schemas.microsoft.com/office/drawing/2014/main" id="{AF354716-2691-40B1-88BB-935FC6EC66CA}"/>
            </a:ext>
          </a:extLst>
        </xdr:cNvPr>
        <xdr:cNvCxnSpPr/>
      </xdr:nvCxnSpPr>
      <xdr:spPr>
        <a:xfrm flipH="1">
          <a:off x="28809579" y="3633155"/>
          <a:ext cx="700872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89503</xdr:colOff>
      <xdr:row>15</xdr:row>
      <xdr:rowOff>154709</xdr:rowOff>
    </xdr:from>
    <xdr:to>
      <xdr:col>57</xdr:col>
      <xdr:colOff>89503</xdr:colOff>
      <xdr:row>21</xdr:row>
      <xdr:rowOff>197038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2DA53AFF-8EC8-43D4-8B89-30D6979255E2}"/>
            </a:ext>
          </a:extLst>
        </xdr:cNvPr>
        <xdr:cNvCxnSpPr/>
      </xdr:nvCxnSpPr>
      <xdr:spPr>
        <a:xfrm>
          <a:off x="29121703" y="3644669"/>
          <a:ext cx="0" cy="1435857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94374</xdr:colOff>
      <xdr:row>23</xdr:row>
      <xdr:rowOff>51474</xdr:rowOff>
    </xdr:from>
    <xdr:to>
      <xdr:col>62</xdr:col>
      <xdr:colOff>78214</xdr:colOff>
      <xdr:row>23</xdr:row>
      <xdr:rowOff>51474</xdr:rowOff>
    </xdr:to>
    <xdr:cxnSp macro="">
      <xdr:nvCxnSpPr>
        <xdr:cNvPr id="195" name="直線コネクタ 194">
          <a:extLst>
            <a:ext uri="{FF2B5EF4-FFF2-40B4-BE49-F238E27FC236}">
              <a16:creationId xmlns:a16="http://schemas.microsoft.com/office/drawing/2014/main" id="{B271F499-BECD-4B00-B3CB-86351C917718}"/>
            </a:ext>
          </a:extLst>
        </xdr:cNvPr>
        <xdr:cNvCxnSpPr/>
      </xdr:nvCxnSpPr>
      <xdr:spPr>
        <a:xfrm>
          <a:off x="13784543" y="5351033"/>
          <a:ext cx="440179" cy="0"/>
        </a:xfrm>
        <a:prstGeom prst="line">
          <a:avLst/>
        </a:prstGeom>
        <a:ln w="31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56</xdr:col>
      <xdr:colOff>2262</xdr:colOff>
      <xdr:row>23</xdr:row>
      <xdr:rowOff>58907</xdr:rowOff>
    </xdr:from>
    <xdr:to>
      <xdr:col>60</xdr:col>
      <xdr:colOff>18000</xdr:colOff>
      <xdr:row>23</xdr:row>
      <xdr:rowOff>58907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56E4BAF5-F32C-4BA4-B91F-B5CC7B24C307}"/>
            </a:ext>
          </a:extLst>
        </xdr:cNvPr>
        <xdr:cNvCxnSpPr/>
      </xdr:nvCxnSpPr>
      <xdr:spPr>
        <a:xfrm>
          <a:off x="28805862" y="5377667"/>
          <a:ext cx="930138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56</xdr:col>
      <xdr:colOff>41747</xdr:colOff>
      <xdr:row>15</xdr:row>
      <xdr:rowOff>150525</xdr:rowOff>
    </xdr:from>
    <xdr:to>
      <xdr:col>56</xdr:col>
      <xdr:colOff>41747</xdr:colOff>
      <xdr:row>23</xdr:row>
      <xdr:rowOff>27848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209E82E8-E3EE-4E6C-8658-BB45D799DE06}"/>
            </a:ext>
          </a:extLst>
        </xdr:cNvPr>
        <xdr:cNvCxnSpPr/>
      </xdr:nvCxnSpPr>
      <xdr:spPr>
        <a:xfrm>
          <a:off x="28845347" y="3640485"/>
          <a:ext cx="0" cy="1728051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93441</xdr:colOff>
      <xdr:row>6</xdr:row>
      <xdr:rowOff>117474</xdr:rowOff>
    </xdr:from>
    <xdr:to>
      <xdr:col>30</xdr:col>
      <xdr:colOff>33574</xdr:colOff>
      <xdr:row>15</xdr:row>
      <xdr:rowOff>210410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21792429-E64E-4852-83C1-25FFA27883C3}"/>
            </a:ext>
          </a:extLst>
        </xdr:cNvPr>
        <xdr:cNvCxnSpPr/>
      </xdr:nvCxnSpPr>
      <xdr:spPr>
        <a:xfrm flipH="1">
          <a:off x="6037041" y="1499960"/>
          <a:ext cx="854533" cy="215033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35527</xdr:colOff>
      <xdr:row>12</xdr:row>
      <xdr:rowOff>146142</xdr:rowOff>
    </xdr:from>
    <xdr:to>
      <xdr:col>30</xdr:col>
      <xdr:colOff>38650</xdr:colOff>
      <xdr:row>13</xdr:row>
      <xdr:rowOff>81019</xdr:rowOff>
    </xdr:to>
    <xdr:cxnSp macro="">
      <xdr:nvCxnSpPr>
        <xdr:cNvPr id="222" name="直線コネクタ 221">
          <a:extLst>
            <a:ext uri="{FF2B5EF4-FFF2-40B4-BE49-F238E27FC236}">
              <a16:creationId xmlns:a16="http://schemas.microsoft.com/office/drawing/2014/main" id="{7D3423FB-2DE7-4F49-B231-E52539C125AF}"/>
            </a:ext>
          </a:extLst>
        </xdr:cNvPr>
        <xdr:cNvCxnSpPr/>
      </xdr:nvCxnSpPr>
      <xdr:spPr>
        <a:xfrm>
          <a:off x="6436327" y="2900228"/>
          <a:ext cx="460323" cy="163477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189033</xdr:colOff>
      <xdr:row>5</xdr:row>
      <xdr:rowOff>111580</xdr:rowOff>
    </xdr:from>
    <xdr:to>
      <xdr:col>28</xdr:col>
      <xdr:colOff>102513</xdr:colOff>
      <xdr:row>5</xdr:row>
      <xdr:rowOff>237522</xdr:rowOff>
    </xdr:to>
    <xdr:cxnSp macro="">
      <xdr:nvCxnSpPr>
        <xdr:cNvPr id="223" name="直線コネクタ 222">
          <a:extLst>
            <a:ext uri="{FF2B5EF4-FFF2-40B4-BE49-F238E27FC236}">
              <a16:creationId xmlns:a16="http://schemas.microsoft.com/office/drawing/2014/main" id="{D1602051-1871-4920-A5D5-33628C33AA51}"/>
            </a:ext>
          </a:extLst>
        </xdr:cNvPr>
        <xdr:cNvCxnSpPr/>
      </xdr:nvCxnSpPr>
      <xdr:spPr>
        <a:xfrm>
          <a:off x="6132633" y="1254580"/>
          <a:ext cx="370680" cy="125942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155706</xdr:colOff>
      <xdr:row>1</xdr:row>
      <xdr:rowOff>216085</xdr:rowOff>
    </xdr:from>
    <xdr:to>
      <xdr:col>64</xdr:col>
      <xdr:colOff>124617</xdr:colOff>
      <xdr:row>8</xdr:row>
      <xdr:rowOff>49629</xdr:rowOff>
    </xdr:to>
    <xdr:sp macro="" textlink="">
      <xdr:nvSpPr>
        <xdr:cNvPr id="224" name="直角三角形 223">
          <a:extLst>
            <a:ext uri="{FF2B5EF4-FFF2-40B4-BE49-F238E27FC236}">
              <a16:creationId xmlns:a16="http://schemas.microsoft.com/office/drawing/2014/main" id="{AB0614BD-8EAA-4A61-B41E-A89191D0D65E}"/>
            </a:ext>
          </a:extLst>
        </xdr:cNvPr>
        <xdr:cNvSpPr/>
      </xdr:nvSpPr>
      <xdr:spPr>
        <a:xfrm rot="12060000" flipH="1">
          <a:off x="30559506" y="444685"/>
          <a:ext cx="197511" cy="1448984"/>
        </a:xfrm>
        <a:prstGeom prst="rtTriangle">
          <a:avLst/>
        </a:prstGeom>
        <a:solidFill>
          <a:schemeClr val="accent2">
            <a:lumMod val="20000"/>
            <a:lumOff val="80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13523</xdr:colOff>
      <xdr:row>5</xdr:row>
      <xdr:rowOff>21542</xdr:rowOff>
    </xdr:from>
    <xdr:to>
      <xdr:col>63</xdr:col>
      <xdr:colOff>99383</xdr:colOff>
      <xdr:row>8</xdr:row>
      <xdr:rowOff>24887</xdr:rowOff>
    </xdr:to>
    <xdr:sp macro="" textlink="">
      <xdr:nvSpPr>
        <xdr:cNvPr id="225" name="直角三角形 224">
          <a:extLst>
            <a:ext uri="{FF2B5EF4-FFF2-40B4-BE49-F238E27FC236}">
              <a16:creationId xmlns:a16="http://schemas.microsoft.com/office/drawing/2014/main" id="{BC8A79B4-7227-44C9-9810-8A04BEAB21C0}"/>
            </a:ext>
          </a:extLst>
        </xdr:cNvPr>
        <xdr:cNvSpPr/>
      </xdr:nvSpPr>
      <xdr:spPr>
        <a:xfrm rot="12120000" flipH="1">
          <a:off x="30417323" y="1179782"/>
          <a:ext cx="85860" cy="689145"/>
        </a:xfrm>
        <a:prstGeom prst="rtTriangle">
          <a:avLst/>
        </a:prstGeom>
        <a:solidFill>
          <a:schemeClr val="bg1">
            <a:lumMod val="85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64</xdr:col>
      <xdr:colOff>171148</xdr:colOff>
      <xdr:row>2</xdr:row>
      <xdr:rowOff>187997</xdr:rowOff>
    </xdr:from>
    <xdr:ext cx="386644" cy="224998"/>
    <xdr:sp macro="" textlink="$L$31">
      <xdr:nvSpPr>
        <xdr:cNvPr id="226" name="テキスト ボックス 225">
          <a:extLst>
            <a:ext uri="{FF2B5EF4-FFF2-40B4-BE49-F238E27FC236}">
              <a16:creationId xmlns:a16="http://schemas.microsoft.com/office/drawing/2014/main" id="{92E428D7-C246-4DA6-9451-8EEE94BFDD39}"/>
            </a:ext>
          </a:extLst>
        </xdr:cNvPr>
        <xdr:cNvSpPr txBox="1"/>
      </xdr:nvSpPr>
      <xdr:spPr>
        <a:xfrm>
          <a:off x="15013583" y="651823"/>
          <a:ext cx="38664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C460DC6-57F9-457A-AE31-8466D0ED43D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21.8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64</xdr:col>
      <xdr:colOff>185441</xdr:colOff>
      <xdr:row>1</xdr:row>
      <xdr:rowOff>91827</xdr:rowOff>
    </xdr:from>
    <xdr:ext cx="370486" cy="224998"/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B94E53B5-F6F8-4886-A447-A956BED50880}"/>
            </a:ext>
          </a:extLst>
        </xdr:cNvPr>
        <xdr:cNvSpPr txBox="1"/>
      </xdr:nvSpPr>
      <xdr:spPr>
        <a:xfrm rot="1181880">
          <a:off x="30817841" y="320427"/>
          <a:ext cx="37048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64</xdr:col>
      <xdr:colOff>187923</xdr:colOff>
      <xdr:row>4</xdr:row>
      <xdr:rowOff>36709</xdr:rowOff>
    </xdr:from>
    <xdr:ext cx="396134" cy="224998"/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981003A9-5049-4840-9E26-3555562C47CF}"/>
            </a:ext>
          </a:extLst>
        </xdr:cNvPr>
        <xdr:cNvSpPr txBox="1"/>
      </xdr:nvSpPr>
      <xdr:spPr>
        <a:xfrm>
          <a:off x="30820323" y="951109"/>
          <a:ext cx="39613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193526</xdr:colOff>
      <xdr:row>4</xdr:row>
      <xdr:rowOff>65698</xdr:rowOff>
    </xdr:from>
    <xdr:ext cx="444352" cy="224998"/>
    <xdr:sp macro="" textlink="$Q$5">
      <xdr:nvSpPr>
        <xdr:cNvPr id="229" name="テキスト ボックス 228">
          <a:extLst>
            <a:ext uri="{FF2B5EF4-FFF2-40B4-BE49-F238E27FC236}">
              <a16:creationId xmlns:a16="http://schemas.microsoft.com/office/drawing/2014/main" id="{9BA475AA-E1C1-4D6B-BA0D-AFB87836DCC6}"/>
            </a:ext>
          </a:extLst>
        </xdr:cNvPr>
        <xdr:cNvSpPr txBox="1"/>
      </xdr:nvSpPr>
      <xdr:spPr>
        <a:xfrm>
          <a:off x="15052526" y="98009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C97993A-BF31-46F8-968A-EC0E1F24DB74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7.121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228755</xdr:colOff>
      <xdr:row>4</xdr:row>
      <xdr:rowOff>199091</xdr:rowOff>
    </xdr:from>
    <xdr:ext cx="242374" cy="444352"/>
    <xdr:sp macro="" textlink="$G$7">
      <xdr:nvSpPr>
        <xdr:cNvPr id="230" name="テキスト ボックス 229">
          <a:extLst>
            <a:ext uri="{FF2B5EF4-FFF2-40B4-BE49-F238E27FC236}">
              <a16:creationId xmlns:a16="http://schemas.microsoft.com/office/drawing/2014/main" id="{63BF41F7-AE4B-4F04-9FB0-809C4017A4E0}"/>
            </a:ext>
          </a:extLst>
        </xdr:cNvPr>
        <xdr:cNvSpPr txBox="1"/>
      </xdr:nvSpPr>
      <xdr:spPr>
        <a:xfrm rot="17460000">
          <a:off x="30988766" y="1214480"/>
          <a:ext cx="44435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3432FF7-ABBF-4790-8465-7C0004CD2BA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pPr/>
            <a:t>3.877</a:t>
          </a:fld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167796</xdr:colOff>
      <xdr:row>6</xdr:row>
      <xdr:rowOff>729</xdr:rowOff>
    </xdr:from>
    <xdr:ext cx="242374" cy="249748"/>
    <xdr:sp macro="" textlink="#REF!">
      <xdr:nvSpPr>
        <xdr:cNvPr id="231" name="テキスト ボックス 230">
          <a:extLst>
            <a:ext uri="{FF2B5EF4-FFF2-40B4-BE49-F238E27FC236}">
              <a16:creationId xmlns:a16="http://schemas.microsoft.com/office/drawing/2014/main" id="{E30B17E9-C8E4-49D4-99CF-23E6E60270FD}"/>
            </a:ext>
          </a:extLst>
        </xdr:cNvPr>
        <xdr:cNvSpPr txBox="1"/>
      </xdr:nvSpPr>
      <xdr:spPr>
        <a:xfrm rot="17460000">
          <a:off x="31025109" y="1391256"/>
          <a:ext cx="24974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t>=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123708</xdr:colOff>
      <xdr:row>6</xdr:row>
      <xdr:rowOff>115030</xdr:rowOff>
    </xdr:from>
    <xdr:ext cx="242374" cy="249748"/>
    <xdr:sp macro="" textlink="#REF!">
      <xdr:nvSpPr>
        <xdr:cNvPr id="232" name="テキスト ボックス 231">
          <a:extLst>
            <a:ext uri="{FF2B5EF4-FFF2-40B4-BE49-F238E27FC236}">
              <a16:creationId xmlns:a16="http://schemas.microsoft.com/office/drawing/2014/main" id="{1F197B58-BE1D-433B-93CA-B79835D6A2B4}"/>
            </a:ext>
          </a:extLst>
        </xdr:cNvPr>
        <xdr:cNvSpPr txBox="1"/>
      </xdr:nvSpPr>
      <xdr:spPr>
        <a:xfrm rot="17460000">
          <a:off x="31209621" y="1505557"/>
          <a:ext cx="24974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t>=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189566</xdr:colOff>
      <xdr:row>5</xdr:row>
      <xdr:rowOff>66316</xdr:rowOff>
    </xdr:from>
    <xdr:ext cx="242374" cy="444352"/>
    <xdr:sp macro="" textlink="$G$5">
      <xdr:nvSpPr>
        <xdr:cNvPr id="233" name="テキスト ボックス 232">
          <a:extLst>
            <a:ext uri="{FF2B5EF4-FFF2-40B4-BE49-F238E27FC236}">
              <a16:creationId xmlns:a16="http://schemas.microsoft.com/office/drawing/2014/main" id="{25E6D78C-3F40-49C2-A489-BA03D5316ED8}"/>
            </a:ext>
          </a:extLst>
        </xdr:cNvPr>
        <xdr:cNvSpPr txBox="1"/>
      </xdr:nvSpPr>
      <xdr:spPr>
        <a:xfrm rot="17460000">
          <a:off x="15176177" y="1310305"/>
          <a:ext cx="44435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0C59391-17DE-4CBC-98B2-58EE684FF4B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pPr/>
            <a:t>6.462</a:t>
          </a:fld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153790</xdr:colOff>
      <xdr:row>1</xdr:row>
      <xdr:rowOff>170964</xdr:rowOff>
    </xdr:from>
    <xdr:ext cx="444352" cy="224998"/>
    <xdr:sp macro="" textlink="$Q$6">
      <xdr:nvSpPr>
        <xdr:cNvPr id="234" name="テキスト ボックス 233">
          <a:extLst>
            <a:ext uri="{FF2B5EF4-FFF2-40B4-BE49-F238E27FC236}">
              <a16:creationId xmlns:a16="http://schemas.microsoft.com/office/drawing/2014/main" id="{9FFEE49F-83D0-4D1C-8206-5C43200592E0}"/>
            </a:ext>
          </a:extLst>
        </xdr:cNvPr>
        <xdr:cNvSpPr txBox="1"/>
      </xdr:nvSpPr>
      <xdr:spPr>
        <a:xfrm rot="1249213">
          <a:off x="31014790" y="399564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5FADEDB-F12F-4E05-AC19-CC8DB11B0F2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3.673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63</xdr:col>
      <xdr:colOff>177873</xdr:colOff>
      <xdr:row>4</xdr:row>
      <xdr:rowOff>180946</xdr:rowOff>
    </xdr:from>
    <xdr:ext cx="317266" cy="224998"/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4A4E0190-1A64-4FB8-A13C-92DCB3C9D1C3}"/>
            </a:ext>
          </a:extLst>
        </xdr:cNvPr>
        <xdr:cNvSpPr txBox="1"/>
      </xdr:nvSpPr>
      <xdr:spPr>
        <a:xfrm rot="1331345">
          <a:off x="30581673" y="1095346"/>
          <a:ext cx="31726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' </a:t>
          </a:r>
          <a:endParaRPr kumimoji="1" lang="ja-JP" altLang="en-US" sz="9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77745</xdr:colOff>
      <xdr:row>3</xdr:row>
      <xdr:rowOff>99941</xdr:rowOff>
    </xdr:from>
    <xdr:to>
      <xdr:col>65</xdr:col>
      <xdr:colOff>48817</xdr:colOff>
      <xdr:row>3</xdr:row>
      <xdr:rowOff>151653</xdr:rowOff>
    </xdr:to>
    <xdr:cxnSp macro="">
      <xdr:nvCxnSpPr>
        <xdr:cNvPr id="236" name="直線コネクタ 235">
          <a:extLst>
            <a:ext uri="{FF2B5EF4-FFF2-40B4-BE49-F238E27FC236}">
              <a16:creationId xmlns:a16="http://schemas.microsoft.com/office/drawing/2014/main" id="{6894BBBD-B226-48C1-83A4-E7ABA6FCB963}"/>
            </a:ext>
          </a:extLst>
        </xdr:cNvPr>
        <xdr:cNvCxnSpPr/>
      </xdr:nvCxnSpPr>
      <xdr:spPr>
        <a:xfrm rot="240000" flipH="1" flipV="1">
          <a:off x="30710145" y="785741"/>
          <a:ext cx="199672" cy="51712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206505</xdr:colOff>
      <xdr:row>3</xdr:row>
      <xdr:rowOff>92480</xdr:rowOff>
    </xdr:from>
    <xdr:ext cx="369525" cy="224998"/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D3A19E4C-9E2D-4432-9E9B-A21C97D9531B}"/>
            </a:ext>
          </a:extLst>
        </xdr:cNvPr>
        <xdr:cNvSpPr txBox="1"/>
      </xdr:nvSpPr>
      <xdr:spPr>
        <a:xfrm>
          <a:off x="30838905" y="778280"/>
          <a:ext cx="36952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tzi</a:t>
          </a:r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127539</xdr:colOff>
      <xdr:row>1</xdr:row>
      <xdr:rowOff>229586</xdr:rowOff>
    </xdr:from>
    <xdr:to>
      <xdr:col>64</xdr:col>
      <xdr:colOff>192744</xdr:colOff>
      <xdr:row>2</xdr:row>
      <xdr:rowOff>6600</xdr:rowOff>
    </xdr:to>
    <xdr:cxnSp macro="">
      <xdr:nvCxnSpPr>
        <xdr:cNvPr id="238" name="直線コネクタ 237">
          <a:extLst>
            <a:ext uri="{FF2B5EF4-FFF2-40B4-BE49-F238E27FC236}">
              <a16:creationId xmlns:a16="http://schemas.microsoft.com/office/drawing/2014/main" id="{191B6328-A552-44B5-AF9D-66A3FFAB6FB9}"/>
            </a:ext>
          </a:extLst>
        </xdr:cNvPr>
        <xdr:cNvCxnSpPr/>
      </xdr:nvCxnSpPr>
      <xdr:spPr>
        <a:xfrm>
          <a:off x="30531339" y="458186"/>
          <a:ext cx="293805" cy="192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62633</xdr:colOff>
      <xdr:row>1</xdr:row>
      <xdr:rowOff>111663</xdr:rowOff>
    </xdr:from>
    <xdr:to>
      <xdr:col>61</xdr:col>
      <xdr:colOff>62633</xdr:colOff>
      <xdr:row>11</xdr:row>
      <xdr:rowOff>194657</xdr:rowOff>
    </xdr:to>
    <xdr:cxnSp macro="">
      <xdr:nvCxnSpPr>
        <xdr:cNvPr id="239" name="直線コネクタ 238">
          <a:extLst>
            <a:ext uri="{FF2B5EF4-FFF2-40B4-BE49-F238E27FC236}">
              <a16:creationId xmlns:a16="http://schemas.microsoft.com/office/drawing/2014/main" id="{96DB2E17-1AFF-4C15-8C05-14C63CFB243E}"/>
            </a:ext>
          </a:extLst>
        </xdr:cNvPr>
        <xdr:cNvCxnSpPr/>
      </xdr:nvCxnSpPr>
      <xdr:spPr>
        <a:xfrm rot="6960000">
          <a:off x="28814938" y="1534558"/>
          <a:ext cx="238858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111725</xdr:colOff>
      <xdr:row>0</xdr:row>
      <xdr:rowOff>43591</xdr:rowOff>
    </xdr:from>
    <xdr:ext cx="336311" cy="224998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A3977ACE-2DF2-49F6-89C7-A171EB53344E}"/>
            </a:ext>
          </a:extLst>
        </xdr:cNvPr>
        <xdr:cNvSpPr txBox="1"/>
      </xdr:nvSpPr>
      <xdr:spPr>
        <a:xfrm>
          <a:off x="30286925" y="43591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132488</xdr:colOff>
      <xdr:row>0</xdr:row>
      <xdr:rowOff>227287</xdr:rowOff>
    </xdr:from>
    <xdr:to>
      <xdr:col>63</xdr:col>
      <xdr:colOff>132488</xdr:colOff>
      <xdr:row>1</xdr:row>
      <xdr:rowOff>156398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904D491C-ED9E-4B39-83E2-84914317DB12}"/>
            </a:ext>
          </a:extLst>
        </xdr:cNvPr>
        <xdr:cNvCxnSpPr/>
      </xdr:nvCxnSpPr>
      <xdr:spPr>
        <a:xfrm>
          <a:off x="30536288" y="227287"/>
          <a:ext cx="0" cy="15771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196312</xdr:colOff>
      <xdr:row>0</xdr:row>
      <xdr:rowOff>227287</xdr:rowOff>
    </xdr:from>
    <xdr:to>
      <xdr:col>64</xdr:col>
      <xdr:colOff>196312</xdr:colOff>
      <xdr:row>1</xdr:row>
      <xdr:rowOff>156398</xdr:rowOff>
    </xdr:to>
    <xdr:cxnSp macro="">
      <xdr:nvCxnSpPr>
        <xdr:cNvPr id="242" name="直線コネクタ 241">
          <a:extLst>
            <a:ext uri="{FF2B5EF4-FFF2-40B4-BE49-F238E27FC236}">
              <a16:creationId xmlns:a16="http://schemas.microsoft.com/office/drawing/2014/main" id="{E8D60DF6-FD9E-49D3-BFB6-7ECB18B00FE2}"/>
            </a:ext>
          </a:extLst>
        </xdr:cNvPr>
        <xdr:cNvCxnSpPr/>
      </xdr:nvCxnSpPr>
      <xdr:spPr>
        <a:xfrm>
          <a:off x="30828712" y="227287"/>
          <a:ext cx="0" cy="15771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132002</xdr:colOff>
      <xdr:row>1</xdr:row>
      <xdr:rowOff>32769</xdr:rowOff>
    </xdr:from>
    <xdr:to>
      <xdr:col>64</xdr:col>
      <xdr:colOff>197207</xdr:colOff>
      <xdr:row>1</xdr:row>
      <xdr:rowOff>32769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E49A392A-5B60-4B84-8C4A-402C81C1D6B2}"/>
            </a:ext>
          </a:extLst>
        </xdr:cNvPr>
        <xdr:cNvCxnSpPr/>
      </xdr:nvCxnSpPr>
      <xdr:spPr>
        <a:xfrm>
          <a:off x="30535802" y="261369"/>
          <a:ext cx="29380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224587</xdr:colOff>
      <xdr:row>11</xdr:row>
      <xdr:rowOff>64232</xdr:rowOff>
    </xdr:from>
    <xdr:to>
      <xdr:col>61</xdr:col>
      <xdr:colOff>44237</xdr:colOff>
      <xdr:row>11</xdr:row>
      <xdr:rowOff>64232</xdr:rowOff>
    </xdr:to>
    <xdr:cxnSp macro="">
      <xdr:nvCxnSpPr>
        <xdr:cNvPr id="244" name="直線コネクタ 243">
          <a:extLst>
            <a:ext uri="{FF2B5EF4-FFF2-40B4-BE49-F238E27FC236}">
              <a16:creationId xmlns:a16="http://schemas.microsoft.com/office/drawing/2014/main" id="{5EC1C41F-6058-4A95-AA7A-9B8EB70C1DB2}"/>
            </a:ext>
          </a:extLst>
        </xdr:cNvPr>
        <xdr:cNvCxnSpPr/>
      </xdr:nvCxnSpPr>
      <xdr:spPr>
        <a:xfrm>
          <a:off x="29485387" y="2609312"/>
          <a:ext cx="505450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224797</xdr:colOff>
      <xdr:row>2</xdr:row>
      <xdr:rowOff>93630</xdr:rowOff>
    </xdr:from>
    <xdr:to>
      <xdr:col>68</xdr:col>
      <xdr:colOff>86985</xdr:colOff>
      <xdr:row>3</xdr:row>
      <xdr:rowOff>53406</xdr:rowOff>
    </xdr:to>
    <xdr:cxnSp macro="">
      <xdr:nvCxnSpPr>
        <xdr:cNvPr id="245" name="直線コネクタ 244">
          <a:extLst>
            <a:ext uri="{FF2B5EF4-FFF2-40B4-BE49-F238E27FC236}">
              <a16:creationId xmlns:a16="http://schemas.microsoft.com/office/drawing/2014/main" id="{6528F985-4B0F-4054-8DE2-E7BDC0E88D3C}"/>
            </a:ext>
          </a:extLst>
        </xdr:cNvPr>
        <xdr:cNvCxnSpPr/>
      </xdr:nvCxnSpPr>
      <xdr:spPr>
        <a:xfrm>
          <a:off x="31085797" y="550830"/>
          <a:ext cx="547988" cy="18837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148770</xdr:colOff>
      <xdr:row>3</xdr:row>
      <xdr:rowOff>44010</xdr:rowOff>
    </xdr:from>
    <xdr:to>
      <xdr:col>68</xdr:col>
      <xdr:colOff>46525</xdr:colOff>
      <xdr:row>12</xdr:row>
      <xdr:rowOff>135516</xdr:rowOff>
    </xdr:to>
    <xdr:cxnSp macro="">
      <xdr:nvCxnSpPr>
        <xdr:cNvPr id="246" name="直線コネクタ 245">
          <a:extLst>
            <a:ext uri="{FF2B5EF4-FFF2-40B4-BE49-F238E27FC236}">
              <a16:creationId xmlns:a16="http://schemas.microsoft.com/office/drawing/2014/main" id="{08A998C5-1148-494E-94C2-255CC7124F6E}"/>
            </a:ext>
          </a:extLst>
        </xdr:cNvPr>
        <xdr:cNvCxnSpPr/>
      </xdr:nvCxnSpPr>
      <xdr:spPr>
        <a:xfrm flipH="1">
          <a:off x="30781170" y="729810"/>
          <a:ext cx="812155" cy="2168501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175497</xdr:colOff>
      <xdr:row>11</xdr:row>
      <xdr:rowOff>113260</xdr:rowOff>
    </xdr:from>
    <xdr:to>
      <xdr:col>64</xdr:col>
      <xdr:colOff>200477</xdr:colOff>
      <xdr:row>12</xdr:row>
      <xdr:rowOff>137082</xdr:rowOff>
    </xdr:to>
    <xdr:cxnSp macro="">
      <xdr:nvCxnSpPr>
        <xdr:cNvPr id="247" name="直線コネクタ 246">
          <a:extLst>
            <a:ext uri="{FF2B5EF4-FFF2-40B4-BE49-F238E27FC236}">
              <a16:creationId xmlns:a16="http://schemas.microsoft.com/office/drawing/2014/main" id="{5764438C-3570-4B52-A9D3-98DA1BDED6A0}"/>
            </a:ext>
          </a:extLst>
        </xdr:cNvPr>
        <xdr:cNvCxnSpPr/>
      </xdr:nvCxnSpPr>
      <xdr:spPr>
        <a:xfrm>
          <a:off x="30122097" y="2658340"/>
          <a:ext cx="710780" cy="25242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66</xdr:col>
      <xdr:colOff>92098</xdr:colOff>
      <xdr:row>6</xdr:row>
      <xdr:rowOff>221662</xdr:rowOff>
    </xdr:from>
    <xdr:ext cx="242374" cy="271228"/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ED3C191F-88D4-45DB-A60C-4FD241EFE31F}"/>
            </a:ext>
          </a:extLst>
        </xdr:cNvPr>
        <xdr:cNvSpPr txBox="1"/>
      </xdr:nvSpPr>
      <xdr:spPr>
        <a:xfrm rot="17460000">
          <a:off x="31167271" y="1622929"/>
          <a:ext cx="27122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65</xdr:col>
      <xdr:colOff>57371</xdr:colOff>
      <xdr:row>4</xdr:row>
      <xdr:rowOff>164762</xdr:rowOff>
    </xdr:from>
    <xdr:ext cx="242374" cy="640688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05FB1160-D9FA-4CD6-AEBA-2DD6968BBDA0}"/>
            </a:ext>
          </a:extLst>
        </xdr:cNvPr>
        <xdr:cNvSpPr txBox="1"/>
      </xdr:nvSpPr>
      <xdr:spPr>
        <a:xfrm rot="17460000">
          <a:off x="30719214" y="1278319"/>
          <a:ext cx="64068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₂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κ</a:t>
          </a:r>
          <a:r>
            <a:rPr kumimoji="1" lang="en-US" altLang="ja-JP" sz="900" i="1" baseline="-250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・</a:t>
          </a:r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63</xdr:col>
      <xdr:colOff>198260</xdr:colOff>
      <xdr:row>9</xdr:row>
      <xdr:rowOff>121702</xdr:rowOff>
    </xdr:from>
    <xdr:ext cx="242374" cy="305853"/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4B85C572-D6D4-45AF-895A-EC63425941BF}"/>
            </a:ext>
          </a:extLst>
        </xdr:cNvPr>
        <xdr:cNvSpPr txBox="1"/>
      </xdr:nvSpPr>
      <xdr:spPr>
        <a:xfrm rot="17460000">
          <a:off x="30570320" y="2226082"/>
          <a:ext cx="305853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₁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68529</xdr:colOff>
      <xdr:row>8</xdr:row>
      <xdr:rowOff>149094</xdr:rowOff>
    </xdr:from>
    <xdr:to>
      <xdr:col>64</xdr:col>
      <xdr:colOff>131397</xdr:colOff>
      <xdr:row>12</xdr:row>
      <xdr:rowOff>19020</xdr:rowOff>
    </xdr:to>
    <xdr:cxnSp macro="">
      <xdr:nvCxnSpPr>
        <xdr:cNvPr id="251" name="直線コネクタ 250">
          <a:extLst>
            <a:ext uri="{FF2B5EF4-FFF2-40B4-BE49-F238E27FC236}">
              <a16:creationId xmlns:a16="http://schemas.microsoft.com/office/drawing/2014/main" id="{6299A5C5-DAB3-49E2-863F-054EFCCDE86F}"/>
            </a:ext>
          </a:extLst>
        </xdr:cNvPr>
        <xdr:cNvCxnSpPr/>
      </xdr:nvCxnSpPr>
      <xdr:spPr>
        <a:xfrm flipH="1">
          <a:off x="30472329" y="1993134"/>
          <a:ext cx="291468" cy="788523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131658</xdr:colOff>
      <xdr:row>2</xdr:row>
      <xdr:rowOff>155488</xdr:rowOff>
    </xdr:from>
    <xdr:to>
      <xdr:col>66</xdr:col>
      <xdr:colOff>184834</xdr:colOff>
      <xdr:row>8</xdr:row>
      <xdr:rowOff>152798</xdr:rowOff>
    </xdr:to>
    <xdr:cxnSp macro="">
      <xdr:nvCxnSpPr>
        <xdr:cNvPr id="252" name="直線コネクタ 251">
          <a:extLst>
            <a:ext uri="{FF2B5EF4-FFF2-40B4-BE49-F238E27FC236}">
              <a16:creationId xmlns:a16="http://schemas.microsoft.com/office/drawing/2014/main" id="{28CADD5D-6D13-4101-B591-C0826F8B6377}"/>
            </a:ext>
          </a:extLst>
        </xdr:cNvPr>
        <xdr:cNvCxnSpPr/>
      </xdr:nvCxnSpPr>
      <xdr:spPr>
        <a:xfrm flipH="1">
          <a:off x="30764058" y="612688"/>
          <a:ext cx="510376" cy="1384308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14959</xdr:colOff>
      <xdr:row>2</xdr:row>
      <xdr:rowOff>36628</xdr:rowOff>
    </xdr:from>
    <xdr:to>
      <xdr:col>65</xdr:col>
      <xdr:colOff>119486</xdr:colOff>
      <xdr:row>3</xdr:row>
      <xdr:rowOff>41016</xdr:rowOff>
    </xdr:to>
    <xdr:sp macro="" textlink="">
      <xdr:nvSpPr>
        <xdr:cNvPr id="253" name="円弧 252">
          <a:extLst>
            <a:ext uri="{FF2B5EF4-FFF2-40B4-BE49-F238E27FC236}">
              <a16:creationId xmlns:a16="http://schemas.microsoft.com/office/drawing/2014/main" id="{A488853A-97A8-44A3-A963-4620D70FE74E}"/>
            </a:ext>
          </a:extLst>
        </xdr:cNvPr>
        <xdr:cNvSpPr/>
      </xdr:nvSpPr>
      <xdr:spPr>
        <a:xfrm rot="11917365">
          <a:off x="30647359" y="493828"/>
          <a:ext cx="333127" cy="232988"/>
        </a:xfrm>
        <a:prstGeom prst="arc">
          <a:avLst>
            <a:gd name="adj1" fmla="val 14457045"/>
            <a:gd name="adj2" fmla="val 17459712"/>
          </a:avLst>
        </a:prstGeom>
        <a:noFill/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64</xdr:col>
      <xdr:colOff>199607</xdr:colOff>
      <xdr:row>2</xdr:row>
      <xdr:rowOff>1947</xdr:rowOff>
    </xdr:from>
    <xdr:to>
      <xdr:col>64</xdr:col>
      <xdr:colOff>199607</xdr:colOff>
      <xdr:row>3</xdr:row>
      <xdr:rowOff>119918</xdr:rowOff>
    </xdr:to>
    <xdr:cxnSp macro="">
      <xdr:nvCxnSpPr>
        <xdr:cNvPr id="254" name="直線コネクタ 253">
          <a:extLst>
            <a:ext uri="{FF2B5EF4-FFF2-40B4-BE49-F238E27FC236}">
              <a16:creationId xmlns:a16="http://schemas.microsoft.com/office/drawing/2014/main" id="{D42D36E8-A200-47ED-AEB0-B24982DC94B0}"/>
            </a:ext>
          </a:extLst>
        </xdr:cNvPr>
        <xdr:cNvCxnSpPr/>
      </xdr:nvCxnSpPr>
      <xdr:spPr>
        <a:xfrm>
          <a:off x="30832007" y="459147"/>
          <a:ext cx="0" cy="346571"/>
        </a:xfrm>
        <a:prstGeom prst="line">
          <a:avLst/>
        </a:prstGeom>
        <a:ln w="3175">
          <a:solidFill>
            <a:schemeClr val="tx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89816</xdr:colOff>
      <xdr:row>2</xdr:row>
      <xdr:rowOff>99881</xdr:rowOff>
    </xdr:from>
    <xdr:ext cx="365165" cy="242374"/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8F974CAA-04B7-493E-9507-43DE6E63107F}"/>
            </a:ext>
          </a:extLst>
        </xdr:cNvPr>
        <xdr:cNvSpPr txBox="1"/>
      </xdr:nvSpPr>
      <xdr:spPr>
        <a:xfrm>
          <a:off x="14720216" y="557081"/>
          <a:ext cx="36516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θ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212738</xdr:colOff>
      <xdr:row>4</xdr:row>
      <xdr:rowOff>91250</xdr:rowOff>
    </xdr:from>
    <xdr:to>
      <xdr:col>65</xdr:col>
      <xdr:colOff>27441</xdr:colOff>
      <xdr:row>4</xdr:row>
      <xdr:rowOff>170924</xdr:rowOff>
    </xdr:to>
    <xdr:cxnSp macro="">
      <xdr:nvCxnSpPr>
        <xdr:cNvPr id="256" name="直線コネクタ 255">
          <a:extLst>
            <a:ext uri="{FF2B5EF4-FFF2-40B4-BE49-F238E27FC236}">
              <a16:creationId xmlns:a16="http://schemas.microsoft.com/office/drawing/2014/main" id="{47624A59-E6E2-407A-BA00-3DBB88B762D0}"/>
            </a:ext>
          </a:extLst>
        </xdr:cNvPr>
        <xdr:cNvCxnSpPr/>
      </xdr:nvCxnSpPr>
      <xdr:spPr>
        <a:xfrm rot="240000" flipH="1" flipV="1">
          <a:off x="30616538" y="1005650"/>
          <a:ext cx="271903" cy="79674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140332</xdr:colOff>
      <xdr:row>5</xdr:row>
      <xdr:rowOff>4354</xdr:rowOff>
    </xdr:from>
    <xdr:to>
      <xdr:col>62</xdr:col>
      <xdr:colOff>194206</xdr:colOff>
      <xdr:row>5</xdr:row>
      <xdr:rowOff>60718</xdr:rowOff>
    </xdr:to>
    <xdr:sp macro="" textlink="">
      <xdr:nvSpPr>
        <xdr:cNvPr id="257" name="楕円 256">
          <a:extLst>
            <a:ext uri="{FF2B5EF4-FFF2-40B4-BE49-F238E27FC236}">
              <a16:creationId xmlns:a16="http://schemas.microsoft.com/office/drawing/2014/main" id="{463E4922-90E3-4E43-B062-ADE5A0C7F992}"/>
            </a:ext>
          </a:extLst>
        </xdr:cNvPr>
        <xdr:cNvSpPr/>
      </xdr:nvSpPr>
      <xdr:spPr>
        <a:xfrm>
          <a:off x="14448515" y="1158240"/>
          <a:ext cx="53874" cy="56364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63</xdr:col>
      <xdr:colOff>65463</xdr:colOff>
      <xdr:row>0</xdr:row>
      <xdr:rowOff>43591</xdr:rowOff>
    </xdr:from>
    <xdr:ext cx="444352" cy="224998"/>
    <xdr:sp macro="" textlink="'1.条件'!T7">
      <xdr:nvSpPr>
        <xdr:cNvPr id="258" name="テキスト ボックス 257">
          <a:extLst>
            <a:ext uri="{FF2B5EF4-FFF2-40B4-BE49-F238E27FC236}">
              <a16:creationId xmlns:a16="http://schemas.microsoft.com/office/drawing/2014/main" id="{E135D631-A39A-44E1-B2E9-A894F5FFB1B5}"/>
            </a:ext>
          </a:extLst>
        </xdr:cNvPr>
        <xdr:cNvSpPr txBox="1"/>
      </xdr:nvSpPr>
      <xdr:spPr>
        <a:xfrm>
          <a:off x="30469263" y="43591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073291F-FF2A-4592-B3E3-08EC9F1BC712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205831</xdr:colOff>
      <xdr:row>2</xdr:row>
      <xdr:rowOff>158036</xdr:rowOff>
    </xdr:from>
    <xdr:ext cx="224998" cy="290464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73301255-D5A8-4C07-9A67-A1696A6408D7}"/>
            </a:ext>
          </a:extLst>
        </xdr:cNvPr>
        <xdr:cNvSpPr txBox="1"/>
      </xdr:nvSpPr>
      <xdr:spPr>
        <a:xfrm rot="16200000">
          <a:off x="29433898" y="647969"/>
          <a:ext cx="29046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59</xdr:col>
      <xdr:colOff>150368</xdr:colOff>
      <xdr:row>1</xdr:row>
      <xdr:rowOff>224886</xdr:rowOff>
    </xdr:from>
    <xdr:to>
      <xdr:col>61</xdr:col>
      <xdr:colOff>84144</xdr:colOff>
      <xdr:row>2</xdr:row>
      <xdr:rowOff>193</xdr:rowOff>
    </xdr:to>
    <xdr:cxnSp macro="">
      <xdr:nvCxnSpPr>
        <xdr:cNvPr id="260" name="直線コネクタ 259">
          <a:extLst>
            <a:ext uri="{FF2B5EF4-FFF2-40B4-BE49-F238E27FC236}">
              <a16:creationId xmlns:a16="http://schemas.microsoft.com/office/drawing/2014/main" id="{ACE42B26-A2F8-4448-B42A-85417ADB8787}"/>
            </a:ext>
          </a:extLst>
        </xdr:cNvPr>
        <xdr:cNvCxnSpPr/>
      </xdr:nvCxnSpPr>
      <xdr:spPr>
        <a:xfrm>
          <a:off x="29639768" y="453486"/>
          <a:ext cx="390976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196055</xdr:colOff>
      <xdr:row>1</xdr:row>
      <xdr:rowOff>226420</xdr:rowOff>
    </xdr:from>
    <xdr:to>
      <xdr:col>59</xdr:col>
      <xdr:colOff>196055</xdr:colOff>
      <xdr:row>5</xdr:row>
      <xdr:rowOff>37360</xdr:rowOff>
    </xdr:to>
    <xdr:cxnSp macro="">
      <xdr:nvCxnSpPr>
        <xdr:cNvPr id="261" name="直線コネクタ 260">
          <a:extLst>
            <a:ext uri="{FF2B5EF4-FFF2-40B4-BE49-F238E27FC236}">
              <a16:creationId xmlns:a16="http://schemas.microsoft.com/office/drawing/2014/main" id="{8F61C7AE-1ABD-4B09-93DD-B0502FBA9A3A}"/>
            </a:ext>
          </a:extLst>
        </xdr:cNvPr>
        <xdr:cNvCxnSpPr/>
      </xdr:nvCxnSpPr>
      <xdr:spPr>
        <a:xfrm>
          <a:off x="29685455" y="455020"/>
          <a:ext cx="0" cy="729694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161118</xdr:colOff>
      <xdr:row>5</xdr:row>
      <xdr:rowOff>28390</xdr:rowOff>
    </xdr:from>
    <xdr:to>
      <xdr:col>61</xdr:col>
      <xdr:colOff>183068</xdr:colOff>
      <xdr:row>5</xdr:row>
      <xdr:rowOff>28390</xdr:rowOff>
    </xdr:to>
    <xdr:cxnSp macro="">
      <xdr:nvCxnSpPr>
        <xdr:cNvPr id="262" name="直線コネクタ 261">
          <a:extLst>
            <a:ext uri="{FF2B5EF4-FFF2-40B4-BE49-F238E27FC236}">
              <a16:creationId xmlns:a16="http://schemas.microsoft.com/office/drawing/2014/main" id="{9D01CC37-8497-4EEA-BAE7-3E25825A01F6}"/>
            </a:ext>
          </a:extLst>
        </xdr:cNvPr>
        <xdr:cNvCxnSpPr/>
      </xdr:nvCxnSpPr>
      <xdr:spPr>
        <a:xfrm>
          <a:off x="29650518" y="1186630"/>
          <a:ext cx="479150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183046</xdr:colOff>
      <xdr:row>1</xdr:row>
      <xdr:rowOff>11437</xdr:rowOff>
    </xdr:from>
    <xdr:to>
      <xdr:col>61</xdr:col>
      <xdr:colOff>223099</xdr:colOff>
      <xdr:row>4</xdr:row>
      <xdr:rowOff>36199</xdr:rowOff>
    </xdr:to>
    <xdr:cxnSp macro="">
      <xdr:nvCxnSpPr>
        <xdr:cNvPr id="263" name="直線コネクタ 262">
          <a:extLst>
            <a:ext uri="{FF2B5EF4-FFF2-40B4-BE49-F238E27FC236}">
              <a16:creationId xmlns:a16="http://schemas.microsoft.com/office/drawing/2014/main" id="{4567827D-A191-4F09-9F96-7725ADE0E38D}"/>
            </a:ext>
          </a:extLst>
        </xdr:cNvPr>
        <xdr:cNvCxnSpPr/>
      </xdr:nvCxnSpPr>
      <xdr:spPr>
        <a:xfrm flipH="1">
          <a:off x="29901046" y="240037"/>
          <a:ext cx="268653" cy="710562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95279</xdr:colOff>
      <xdr:row>4</xdr:row>
      <xdr:rowOff>13059</xdr:rowOff>
    </xdr:from>
    <xdr:to>
      <xdr:col>61</xdr:col>
      <xdr:colOff>30120</xdr:colOff>
      <xdr:row>4</xdr:row>
      <xdr:rowOff>68551</xdr:rowOff>
    </xdr:to>
    <xdr:cxnSp macro="">
      <xdr:nvCxnSpPr>
        <xdr:cNvPr id="264" name="直線コネクタ 263">
          <a:extLst>
            <a:ext uri="{FF2B5EF4-FFF2-40B4-BE49-F238E27FC236}">
              <a16:creationId xmlns:a16="http://schemas.microsoft.com/office/drawing/2014/main" id="{8CDF8EF0-D887-414E-92DB-86465823BACB}"/>
            </a:ext>
          </a:extLst>
        </xdr:cNvPr>
        <xdr:cNvCxnSpPr/>
      </xdr:nvCxnSpPr>
      <xdr:spPr>
        <a:xfrm flipH="1" flipV="1">
          <a:off x="29813279" y="927459"/>
          <a:ext cx="163441" cy="55492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91626</xdr:colOff>
      <xdr:row>2</xdr:row>
      <xdr:rowOff>3958</xdr:rowOff>
    </xdr:from>
    <xdr:ext cx="224998" cy="286297"/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DAC52DBB-A9EA-46DD-B920-8BC4CBDB07D4}"/>
            </a:ext>
          </a:extLst>
        </xdr:cNvPr>
        <xdr:cNvSpPr txBox="1"/>
      </xdr:nvSpPr>
      <xdr:spPr>
        <a:xfrm rot="17233223">
          <a:off x="29778976" y="491808"/>
          <a:ext cx="28629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z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i</a:t>
          </a:r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'</a:t>
          </a:r>
          <a:endParaRPr kumimoji="1" lang="ja-JP" altLang="en-US" sz="900" i="1">
            <a:solidFill>
              <a:srgbClr val="FF0000"/>
            </a:solidFill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32110</xdr:colOff>
      <xdr:row>1</xdr:row>
      <xdr:rowOff>224485</xdr:rowOff>
    </xdr:from>
    <xdr:to>
      <xdr:col>64</xdr:col>
      <xdr:colOff>203021</xdr:colOff>
      <xdr:row>11</xdr:row>
      <xdr:rowOff>79828</xdr:rowOff>
    </xdr:to>
    <xdr:cxnSp macro="">
      <xdr:nvCxnSpPr>
        <xdr:cNvPr id="267" name="直線コネクタ 266">
          <a:extLst>
            <a:ext uri="{FF2B5EF4-FFF2-40B4-BE49-F238E27FC236}">
              <a16:creationId xmlns:a16="http://schemas.microsoft.com/office/drawing/2014/main" id="{1E20F79F-0680-45CC-A69C-3E79EB223BE7}"/>
            </a:ext>
          </a:extLst>
        </xdr:cNvPr>
        <xdr:cNvCxnSpPr/>
      </xdr:nvCxnSpPr>
      <xdr:spPr>
        <a:xfrm flipH="1">
          <a:off x="29978710" y="453085"/>
          <a:ext cx="856711" cy="21609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204974</xdr:colOff>
      <xdr:row>8</xdr:row>
      <xdr:rowOff>14093</xdr:rowOff>
    </xdr:from>
    <xdr:to>
      <xdr:col>64</xdr:col>
      <xdr:colOff>208097</xdr:colOff>
      <xdr:row>8</xdr:row>
      <xdr:rowOff>176434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5C0FEE92-ECAF-407B-A140-D5322234D8CA}"/>
            </a:ext>
          </a:extLst>
        </xdr:cNvPr>
        <xdr:cNvCxnSpPr/>
      </xdr:nvCxnSpPr>
      <xdr:spPr>
        <a:xfrm>
          <a:off x="30380174" y="1858133"/>
          <a:ext cx="460323" cy="16234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127702</xdr:colOff>
      <xdr:row>0</xdr:row>
      <xdr:rowOff>207705</xdr:rowOff>
    </xdr:from>
    <xdr:to>
      <xdr:col>63</xdr:col>
      <xdr:colOff>41183</xdr:colOff>
      <xdr:row>1</xdr:row>
      <xdr:rowOff>101734</xdr:rowOff>
    </xdr:to>
    <xdr:cxnSp macro="">
      <xdr:nvCxnSpPr>
        <xdr:cNvPr id="269" name="直線コネクタ 268">
          <a:extLst>
            <a:ext uri="{FF2B5EF4-FFF2-40B4-BE49-F238E27FC236}">
              <a16:creationId xmlns:a16="http://schemas.microsoft.com/office/drawing/2014/main" id="{397FC4E3-F4E3-4346-9BED-7B0E8BA6872F}"/>
            </a:ext>
          </a:extLst>
        </xdr:cNvPr>
        <xdr:cNvCxnSpPr/>
      </xdr:nvCxnSpPr>
      <xdr:spPr>
        <a:xfrm>
          <a:off x="30074302" y="207705"/>
          <a:ext cx="370681" cy="122629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49161</xdr:colOff>
      <xdr:row>17</xdr:row>
      <xdr:rowOff>27732</xdr:rowOff>
    </xdr:from>
    <xdr:to>
      <xdr:col>64</xdr:col>
      <xdr:colOff>61913</xdr:colOff>
      <xdr:row>17</xdr:row>
      <xdr:rowOff>27732</xdr:rowOff>
    </xdr:to>
    <xdr:cxnSp macro="">
      <xdr:nvCxnSpPr>
        <xdr:cNvPr id="270" name="直線コネクタ 269">
          <a:extLst>
            <a:ext uri="{FF2B5EF4-FFF2-40B4-BE49-F238E27FC236}">
              <a16:creationId xmlns:a16="http://schemas.microsoft.com/office/drawing/2014/main" id="{55AB4D18-03BD-42B1-9852-21C516F5519A}"/>
            </a:ext>
          </a:extLst>
        </xdr:cNvPr>
        <xdr:cNvCxnSpPr/>
      </xdr:nvCxnSpPr>
      <xdr:spPr>
        <a:xfrm>
          <a:off x="14043742" y="3977022"/>
          <a:ext cx="701010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69894</xdr:colOff>
      <xdr:row>16</xdr:row>
      <xdr:rowOff>209135</xdr:rowOff>
    </xdr:from>
    <xdr:to>
      <xdr:col>64</xdr:col>
      <xdr:colOff>69894</xdr:colOff>
      <xdr:row>17</xdr:row>
      <xdr:rowOff>223929</xdr:rowOff>
    </xdr:to>
    <xdr:cxnSp macro="">
      <xdr:nvCxnSpPr>
        <xdr:cNvPr id="271" name="直線コネクタ 270">
          <a:extLst>
            <a:ext uri="{FF2B5EF4-FFF2-40B4-BE49-F238E27FC236}">
              <a16:creationId xmlns:a16="http://schemas.microsoft.com/office/drawing/2014/main" id="{25020335-8B62-4D2D-BABC-4112586A74F1}"/>
            </a:ext>
          </a:extLst>
        </xdr:cNvPr>
        <xdr:cNvCxnSpPr/>
      </xdr:nvCxnSpPr>
      <xdr:spPr>
        <a:xfrm>
          <a:off x="30702294" y="3927695"/>
          <a:ext cx="0" cy="25428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48562</xdr:colOff>
      <xdr:row>16</xdr:row>
      <xdr:rowOff>219991</xdr:rowOff>
    </xdr:from>
    <xdr:to>
      <xdr:col>61</xdr:col>
      <xdr:colOff>48562</xdr:colOff>
      <xdr:row>17</xdr:row>
      <xdr:rowOff>185293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338B13A8-9D3E-4D6B-AD7D-4B0404321154}"/>
            </a:ext>
          </a:extLst>
        </xdr:cNvPr>
        <xdr:cNvCxnSpPr/>
      </xdr:nvCxnSpPr>
      <xdr:spPr>
        <a:xfrm>
          <a:off x="14043143" y="3923475"/>
          <a:ext cx="0" cy="211108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38843</xdr:colOff>
      <xdr:row>16</xdr:row>
      <xdr:rowOff>52571</xdr:rowOff>
    </xdr:from>
    <xdr:ext cx="316049" cy="224998"/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BD47C0AD-EC32-4275-AF7D-054ADEBA8DFB}"/>
            </a:ext>
          </a:extLst>
        </xdr:cNvPr>
        <xdr:cNvSpPr txBox="1"/>
      </xdr:nvSpPr>
      <xdr:spPr>
        <a:xfrm>
          <a:off x="14262843" y="3756055"/>
          <a:ext cx="31604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zi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59</xdr:col>
      <xdr:colOff>185945</xdr:colOff>
      <xdr:row>18</xdr:row>
      <xdr:rowOff>58185</xdr:rowOff>
    </xdr:from>
    <xdr:to>
      <xdr:col>59</xdr:col>
      <xdr:colOff>185945</xdr:colOff>
      <xdr:row>23</xdr:row>
      <xdr:rowOff>53201</xdr:rowOff>
    </xdr:to>
    <xdr:cxnSp macro="">
      <xdr:nvCxnSpPr>
        <xdr:cNvPr id="274" name="直線コネクタ 273">
          <a:extLst>
            <a:ext uri="{FF2B5EF4-FFF2-40B4-BE49-F238E27FC236}">
              <a16:creationId xmlns:a16="http://schemas.microsoft.com/office/drawing/2014/main" id="{04D6AEE3-3CBE-43EE-8F8B-E1251F556812}"/>
            </a:ext>
          </a:extLst>
        </xdr:cNvPr>
        <xdr:cNvCxnSpPr/>
      </xdr:nvCxnSpPr>
      <xdr:spPr>
        <a:xfrm>
          <a:off x="29675345" y="4233945"/>
          <a:ext cx="0" cy="1138016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142875</xdr:colOff>
      <xdr:row>18</xdr:row>
      <xdr:rowOff>47430</xdr:rowOff>
    </xdr:from>
    <xdr:to>
      <xdr:col>60</xdr:col>
      <xdr:colOff>100013</xdr:colOff>
      <xdr:row>18</xdr:row>
      <xdr:rowOff>47430</xdr:rowOff>
    </xdr:to>
    <xdr:cxnSp macro="">
      <xdr:nvCxnSpPr>
        <xdr:cNvPr id="275" name="直線コネクタ 274">
          <a:extLst>
            <a:ext uri="{FF2B5EF4-FFF2-40B4-BE49-F238E27FC236}">
              <a16:creationId xmlns:a16="http://schemas.microsoft.com/office/drawing/2014/main" id="{C7225D28-1132-4191-AF5A-235AD92ACF8A}"/>
            </a:ext>
          </a:extLst>
        </xdr:cNvPr>
        <xdr:cNvCxnSpPr/>
      </xdr:nvCxnSpPr>
      <xdr:spPr>
        <a:xfrm>
          <a:off x="29632275" y="4223190"/>
          <a:ext cx="185738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195654</xdr:colOff>
      <xdr:row>20</xdr:row>
      <xdr:rowOff>144879</xdr:rowOff>
    </xdr:from>
    <xdr:ext cx="224998" cy="316049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3CD5079E-6752-4B38-9D34-E7568BE10D93}"/>
            </a:ext>
          </a:extLst>
        </xdr:cNvPr>
        <xdr:cNvSpPr txBox="1"/>
      </xdr:nvSpPr>
      <xdr:spPr>
        <a:xfrm rot="16200000">
          <a:off x="29410928" y="4823365"/>
          <a:ext cx="31604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zi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64</xdr:col>
      <xdr:colOff>17111</xdr:colOff>
      <xdr:row>15</xdr:row>
      <xdr:rowOff>188560</xdr:rowOff>
    </xdr:from>
    <xdr:to>
      <xdr:col>64</xdr:col>
      <xdr:colOff>214622</xdr:colOff>
      <xdr:row>22</xdr:row>
      <xdr:rowOff>36376</xdr:rowOff>
    </xdr:to>
    <xdr:sp macro="" textlink="">
      <xdr:nvSpPr>
        <xdr:cNvPr id="277" name="直角三角形 276">
          <a:extLst>
            <a:ext uri="{FF2B5EF4-FFF2-40B4-BE49-F238E27FC236}">
              <a16:creationId xmlns:a16="http://schemas.microsoft.com/office/drawing/2014/main" id="{74694886-D6C9-490C-98E6-40B336E0326B}"/>
            </a:ext>
          </a:extLst>
        </xdr:cNvPr>
        <xdr:cNvSpPr/>
      </xdr:nvSpPr>
      <xdr:spPr>
        <a:xfrm rot="12060000" flipH="1">
          <a:off x="30649511" y="3678520"/>
          <a:ext cx="197511" cy="1448016"/>
        </a:xfrm>
        <a:prstGeom prst="rtTriangle">
          <a:avLst/>
        </a:prstGeom>
        <a:solidFill>
          <a:schemeClr val="accent2">
            <a:lumMod val="20000"/>
            <a:lumOff val="80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65</xdr:col>
      <xdr:colOff>32553</xdr:colOff>
      <xdr:row>16</xdr:row>
      <xdr:rowOff>160472</xdr:rowOff>
    </xdr:from>
    <xdr:ext cx="386644" cy="224998"/>
    <xdr:sp macro="" textlink="$L$31">
      <xdr:nvSpPr>
        <xdr:cNvPr id="278" name="テキスト ボックス 277">
          <a:extLst>
            <a:ext uri="{FF2B5EF4-FFF2-40B4-BE49-F238E27FC236}">
              <a16:creationId xmlns:a16="http://schemas.microsoft.com/office/drawing/2014/main" id="{1FC4ADE9-F908-47C6-BC28-A9E31AA96604}"/>
            </a:ext>
          </a:extLst>
        </xdr:cNvPr>
        <xdr:cNvSpPr txBox="1"/>
      </xdr:nvSpPr>
      <xdr:spPr>
        <a:xfrm>
          <a:off x="15106901" y="3904211"/>
          <a:ext cx="38664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C460DC6-57F9-457A-AE31-8466D0ED43D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21.8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46846</xdr:colOff>
      <xdr:row>15</xdr:row>
      <xdr:rowOff>60989</xdr:rowOff>
    </xdr:from>
    <xdr:ext cx="370486" cy="224998"/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3F71AF7F-9DC7-4295-8384-024494378E1C}"/>
            </a:ext>
          </a:extLst>
        </xdr:cNvPr>
        <xdr:cNvSpPr txBox="1"/>
      </xdr:nvSpPr>
      <xdr:spPr>
        <a:xfrm rot="1181880">
          <a:off x="30907846" y="3550949"/>
          <a:ext cx="37048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49328</xdr:colOff>
      <xdr:row>18</xdr:row>
      <xdr:rowOff>5871</xdr:rowOff>
    </xdr:from>
    <xdr:ext cx="447430" cy="224998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98D06943-0707-4D30-BBA7-47F4AA583FD1}"/>
            </a:ext>
          </a:extLst>
        </xdr:cNvPr>
        <xdr:cNvSpPr txBox="1"/>
      </xdr:nvSpPr>
      <xdr:spPr>
        <a:xfrm>
          <a:off x="30910328" y="4181631"/>
          <a:ext cx="44743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tzi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101827</xdr:colOff>
      <xdr:row>18</xdr:row>
      <xdr:rowOff>17274</xdr:rowOff>
    </xdr:from>
    <xdr:ext cx="444352" cy="224998"/>
    <xdr:sp macro="" textlink="$Q$5">
      <xdr:nvSpPr>
        <xdr:cNvPr id="281" name="テキスト ボックス 280">
          <a:extLst>
            <a:ext uri="{FF2B5EF4-FFF2-40B4-BE49-F238E27FC236}">
              <a16:creationId xmlns:a16="http://schemas.microsoft.com/office/drawing/2014/main" id="{8F8AAFD9-6CA2-4D30-96E4-BCAD71184BA4}"/>
            </a:ext>
          </a:extLst>
        </xdr:cNvPr>
        <xdr:cNvSpPr txBox="1"/>
      </xdr:nvSpPr>
      <xdr:spPr>
        <a:xfrm>
          <a:off x="15189427" y="4164731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367E5DC-49A7-4779-97F6-A1599D2418CB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7.121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90160</xdr:colOff>
      <xdr:row>18</xdr:row>
      <xdr:rowOff>171566</xdr:rowOff>
    </xdr:from>
    <xdr:ext cx="242374" cy="444352"/>
    <xdr:sp macro="" textlink="$G$7">
      <xdr:nvSpPr>
        <xdr:cNvPr id="282" name="テキスト ボックス 281">
          <a:extLst>
            <a:ext uri="{FF2B5EF4-FFF2-40B4-BE49-F238E27FC236}">
              <a16:creationId xmlns:a16="http://schemas.microsoft.com/office/drawing/2014/main" id="{660076E8-1220-48BF-8674-11386AAD5E76}"/>
            </a:ext>
          </a:extLst>
        </xdr:cNvPr>
        <xdr:cNvSpPr txBox="1"/>
      </xdr:nvSpPr>
      <xdr:spPr>
        <a:xfrm rot="17460000">
          <a:off x="31078771" y="4448315"/>
          <a:ext cx="44435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3432FF7-ABBF-4790-8465-7C0004CD2BA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pPr/>
            <a:t>3.877</a:t>
          </a:fld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29201</xdr:colOff>
      <xdr:row>19</xdr:row>
      <xdr:rowOff>219389</xdr:rowOff>
    </xdr:from>
    <xdr:ext cx="242374" cy="249748"/>
    <xdr:sp macro="" textlink="#REF!">
      <xdr:nvSpPr>
        <xdr:cNvPr id="283" name="テキスト ボックス 282">
          <a:extLst>
            <a:ext uri="{FF2B5EF4-FFF2-40B4-BE49-F238E27FC236}">
              <a16:creationId xmlns:a16="http://schemas.microsoft.com/office/drawing/2014/main" id="{F51980B8-D440-49C5-ADD8-59DD43A6ECB2}"/>
            </a:ext>
          </a:extLst>
        </xdr:cNvPr>
        <xdr:cNvSpPr txBox="1"/>
      </xdr:nvSpPr>
      <xdr:spPr>
        <a:xfrm rot="17460000">
          <a:off x="31115114" y="4627436"/>
          <a:ext cx="24974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t>=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213713</xdr:colOff>
      <xdr:row>20</xdr:row>
      <xdr:rowOff>105090</xdr:rowOff>
    </xdr:from>
    <xdr:ext cx="242374" cy="249748"/>
    <xdr:sp macro="" textlink="#REF!">
      <xdr:nvSpPr>
        <xdr:cNvPr id="284" name="テキスト ボックス 283">
          <a:extLst>
            <a:ext uri="{FF2B5EF4-FFF2-40B4-BE49-F238E27FC236}">
              <a16:creationId xmlns:a16="http://schemas.microsoft.com/office/drawing/2014/main" id="{4C46789A-642D-4E0B-A03E-AA2F84EB772E}"/>
            </a:ext>
          </a:extLst>
        </xdr:cNvPr>
        <xdr:cNvSpPr txBox="1"/>
      </xdr:nvSpPr>
      <xdr:spPr>
        <a:xfrm rot="17460000">
          <a:off x="31299626" y="4741737"/>
          <a:ext cx="24974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t>=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67</xdr:col>
      <xdr:colOff>50971</xdr:colOff>
      <xdr:row>19</xdr:row>
      <xdr:rowOff>53062</xdr:rowOff>
    </xdr:from>
    <xdr:ext cx="242374" cy="444352"/>
    <xdr:sp macro="" textlink="$G$5">
      <xdr:nvSpPr>
        <xdr:cNvPr id="285" name="テキスト ボックス 284">
          <a:extLst>
            <a:ext uri="{FF2B5EF4-FFF2-40B4-BE49-F238E27FC236}">
              <a16:creationId xmlns:a16="http://schemas.microsoft.com/office/drawing/2014/main" id="{4FF2E747-060A-4E57-A259-B5266E1C68BA}"/>
            </a:ext>
          </a:extLst>
        </xdr:cNvPr>
        <xdr:cNvSpPr txBox="1"/>
      </xdr:nvSpPr>
      <xdr:spPr>
        <a:xfrm rot="17460000">
          <a:off x="15266182" y="4530108"/>
          <a:ext cx="44435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A17DEF7-33B4-4411-9B9F-482653A2D2C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HGP明朝B" panose="02020800000000000000" pitchFamily="18" charset="-128"/>
              <a:cs typeface="Times New Roman"/>
            </a:rPr>
            <a:pPr/>
            <a:t>6.462</a:t>
          </a:fld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15195</xdr:colOff>
      <xdr:row>15</xdr:row>
      <xdr:rowOff>143439</xdr:rowOff>
    </xdr:from>
    <xdr:ext cx="444352" cy="224998"/>
    <xdr:sp macro="" textlink="$Q$6">
      <xdr:nvSpPr>
        <xdr:cNvPr id="286" name="テキスト ボックス 285">
          <a:extLst>
            <a:ext uri="{FF2B5EF4-FFF2-40B4-BE49-F238E27FC236}">
              <a16:creationId xmlns:a16="http://schemas.microsoft.com/office/drawing/2014/main" id="{0D114DE1-A1F2-47B8-B574-98FE84E9311B}"/>
            </a:ext>
          </a:extLst>
        </xdr:cNvPr>
        <xdr:cNvSpPr txBox="1"/>
      </xdr:nvSpPr>
      <xdr:spPr>
        <a:xfrm rot="1249213">
          <a:off x="31104795" y="3633399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5FADEDB-F12F-4E05-AC19-CC8DB11B0F2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3.673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217544</xdr:colOff>
      <xdr:row>15</xdr:row>
      <xdr:rowOff>202061</xdr:rowOff>
    </xdr:from>
    <xdr:to>
      <xdr:col>65</xdr:col>
      <xdr:colOff>54149</xdr:colOff>
      <xdr:row>15</xdr:row>
      <xdr:rowOff>202061</xdr:rowOff>
    </xdr:to>
    <xdr:cxnSp macro="">
      <xdr:nvCxnSpPr>
        <xdr:cNvPr id="287" name="直線コネクタ 286">
          <a:extLst>
            <a:ext uri="{FF2B5EF4-FFF2-40B4-BE49-F238E27FC236}">
              <a16:creationId xmlns:a16="http://schemas.microsoft.com/office/drawing/2014/main" id="{F884BF2A-6437-430D-AC44-3ED5BD8A3508}"/>
            </a:ext>
          </a:extLst>
        </xdr:cNvPr>
        <xdr:cNvCxnSpPr/>
      </xdr:nvCxnSpPr>
      <xdr:spPr>
        <a:xfrm>
          <a:off x="30621344" y="3692021"/>
          <a:ext cx="29380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152638</xdr:colOff>
      <xdr:row>15</xdr:row>
      <xdr:rowOff>84138</xdr:rowOff>
    </xdr:from>
    <xdr:to>
      <xdr:col>61</xdr:col>
      <xdr:colOff>152638</xdr:colOff>
      <xdr:row>25</xdr:row>
      <xdr:rowOff>169488</xdr:rowOff>
    </xdr:to>
    <xdr:cxnSp macro="">
      <xdr:nvCxnSpPr>
        <xdr:cNvPr id="288" name="直線コネクタ 287">
          <a:extLst>
            <a:ext uri="{FF2B5EF4-FFF2-40B4-BE49-F238E27FC236}">
              <a16:creationId xmlns:a16="http://schemas.microsoft.com/office/drawing/2014/main" id="{5F6430CE-2F6A-4731-B587-2DB946B607BA}"/>
            </a:ext>
          </a:extLst>
        </xdr:cNvPr>
        <xdr:cNvCxnSpPr/>
      </xdr:nvCxnSpPr>
      <xdr:spPr>
        <a:xfrm rot="6960000">
          <a:off x="28902599" y="4770737"/>
          <a:ext cx="239327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201730</xdr:colOff>
      <xdr:row>14</xdr:row>
      <xdr:rowOff>17085</xdr:rowOff>
    </xdr:from>
    <xdr:ext cx="336311" cy="224998"/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8FF7A308-DBF9-422D-AC8C-78FD962D0BB0}"/>
            </a:ext>
          </a:extLst>
        </xdr:cNvPr>
        <xdr:cNvSpPr txBox="1"/>
      </xdr:nvSpPr>
      <xdr:spPr>
        <a:xfrm>
          <a:off x="30376930" y="3278445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222493</xdr:colOff>
      <xdr:row>14</xdr:row>
      <xdr:rowOff>199762</xdr:rowOff>
    </xdr:from>
    <xdr:to>
      <xdr:col>63</xdr:col>
      <xdr:colOff>222493</xdr:colOff>
      <xdr:row>15</xdr:row>
      <xdr:rowOff>128714</xdr:rowOff>
    </xdr:to>
    <xdr:cxnSp macro="">
      <xdr:nvCxnSpPr>
        <xdr:cNvPr id="290" name="直線コネクタ 289">
          <a:extLst>
            <a:ext uri="{FF2B5EF4-FFF2-40B4-BE49-F238E27FC236}">
              <a16:creationId xmlns:a16="http://schemas.microsoft.com/office/drawing/2014/main" id="{AC48C030-6CDF-4F02-9F6C-9A4EC53A43BB}"/>
            </a:ext>
          </a:extLst>
        </xdr:cNvPr>
        <xdr:cNvCxnSpPr/>
      </xdr:nvCxnSpPr>
      <xdr:spPr>
        <a:xfrm>
          <a:off x="30626293" y="3461122"/>
          <a:ext cx="0" cy="15771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57717</xdr:colOff>
      <xdr:row>14</xdr:row>
      <xdr:rowOff>199762</xdr:rowOff>
    </xdr:from>
    <xdr:to>
      <xdr:col>65</xdr:col>
      <xdr:colOff>57717</xdr:colOff>
      <xdr:row>15</xdr:row>
      <xdr:rowOff>128714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890B816B-27FF-4D3E-A984-35ADCDC58F3A}"/>
            </a:ext>
          </a:extLst>
        </xdr:cNvPr>
        <xdr:cNvCxnSpPr/>
      </xdr:nvCxnSpPr>
      <xdr:spPr>
        <a:xfrm>
          <a:off x="30918717" y="3461122"/>
          <a:ext cx="0" cy="157711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222007</xdr:colOff>
      <xdr:row>15</xdr:row>
      <xdr:rowOff>1931</xdr:rowOff>
    </xdr:from>
    <xdr:to>
      <xdr:col>65</xdr:col>
      <xdr:colOff>58612</xdr:colOff>
      <xdr:row>15</xdr:row>
      <xdr:rowOff>1931</xdr:rowOff>
    </xdr:to>
    <xdr:cxnSp macro="">
      <xdr:nvCxnSpPr>
        <xdr:cNvPr id="292" name="直線コネクタ 291">
          <a:extLst>
            <a:ext uri="{FF2B5EF4-FFF2-40B4-BE49-F238E27FC236}">
              <a16:creationId xmlns:a16="http://schemas.microsoft.com/office/drawing/2014/main" id="{DA786514-C97B-48D3-B0BB-5B0211ED73DA}"/>
            </a:ext>
          </a:extLst>
        </xdr:cNvPr>
        <xdr:cNvCxnSpPr/>
      </xdr:nvCxnSpPr>
      <xdr:spPr>
        <a:xfrm>
          <a:off x="30625807" y="3491891"/>
          <a:ext cx="29380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85992</xdr:colOff>
      <xdr:row>25</xdr:row>
      <xdr:rowOff>63266</xdr:rowOff>
    </xdr:from>
    <xdr:to>
      <xdr:col>61</xdr:col>
      <xdr:colOff>134242</xdr:colOff>
      <xdr:row>25</xdr:row>
      <xdr:rowOff>63266</xdr:rowOff>
    </xdr:to>
    <xdr:cxnSp macro="">
      <xdr:nvCxnSpPr>
        <xdr:cNvPr id="293" name="直線コネクタ 292">
          <a:extLst>
            <a:ext uri="{FF2B5EF4-FFF2-40B4-BE49-F238E27FC236}">
              <a16:creationId xmlns:a16="http://schemas.microsoft.com/office/drawing/2014/main" id="{D4EA7D1A-F0E4-45A2-8687-FFE0A813348C}"/>
            </a:ext>
          </a:extLst>
        </xdr:cNvPr>
        <xdr:cNvCxnSpPr/>
      </xdr:nvCxnSpPr>
      <xdr:spPr>
        <a:xfrm>
          <a:off x="13547992" y="5819164"/>
          <a:ext cx="504589" cy="0"/>
        </a:xfrm>
        <a:prstGeom prst="line">
          <a:avLst/>
        </a:prstGeom>
        <a:ln w="12700">
          <a:solidFill>
            <a:schemeClr val="tx1"/>
          </a:solidFill>
          <a:prstDash val="solid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86202</xdr:colOff>
      <xdr:row>16</xdr:row>
      <xdr:rowOff>62792</xdr:rowOff>
    </xdr:from>
    <xdr:to>
      <xdr:col>68</xdr:col>
      <xdr:colOff>176990</xdr:colOff>
      <xdr:row>17</xdr:row>
      <xdr:rowOff>11682</xdr:rowOff>
    </xdr:to>
    <xdr:cxnSp macro="">
      <xdr:nvCxnSpPr>
        <xdr:cNvPr id="294" name="直線コネクタ 293">
          <a:extLst>
            <a:ext uri="{FF2B5EF4-FFF2-40B4-BE49-F238E27FC236}">
              <a16:creationId xmlns:a16="http://schemas.microsoft.com/office/drawing/2014/main" id="{F5AA5D5D-6E4C-455E-8955-89D9706E9C46}"/>
            </a:ext>
          </a:extLst>
        </xdr:cNvPr>
        <xdr:cNvCxnSpPr/>
      </xdr:nvCxnSpPr>
      <xdr:spPr>
        <a:xfrm>
          <a:off x="31175802" y="3781352"/>
          <a:ext cx="547988" cy="18837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10175</xdr:colOff>
      <xdr:row>17</xdr:row>
      <xdr:rowOff>13172</xdr:rowOff>
    </xdr:from>
    <xdr:to>
      <xdr:col>68</xdr:col>
      <xdr:colOff>136530</xdr:colOff>
      <xdr:row>26</xdr:row>
      <xdr:rowOff>132275</xdr:rowOff>
    </xdr:to>
    <xdr:cxnSp macro="">
      <xdr:nvCxnSpPr>
        <xdr:cNvPr id="295" name="直線コネクタ 294">
          <a:extLst>
            <a:ext uri="{FF2B5EF4-FFF2-40B4-BE49-F238E27FC236}">
              <a16:creationId xmlns:a16="http://schemas.microsoft.com/office/drawing/2014/main" id="{072F3611-D4A2-4693-BDB9-1238A452F28E}"/>
            </a:ext>
          </a:extLst>
        </xdr:cNvPr>
        <xdr:cNvCxnSpPr/>
      </xdr:nvCxnSpPr>
      <xdr:spPr>
        <a:xfrm flipH="1">
          <a:off x="30871175" y="3960332"/>
          <a:ext cx="812155" cy="2176503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36902</xdr:colOff>
      <xdr:row>25</xdr:row>
      <xdr:rowOff>120904</xdr:rowOff>
    </xdr:from>
    <xdr:to>
      <xdr:col>65</xdr:col>
      <xdr:colOff>61882</xdr:colOff>
      <xdr:row>26</xdr:row>
      <xdr:rowOff>144726</xdr:rowOff>
    </xdr:to>
    <xdr:cxnSp macro="">
      <xdr:nvCxnSpPr>
        <xdr:cNvPr id="296" name="直線コネクタ 295">
          <a:extLst>
            <a:ext uri="{FF2B5EF4-FFF2-40B4-BE49-F238E27FC236}">
              <a16:creationId xmlns:a16="http://schemas.microsoft.com/office/drawing/2014/main" id="{B32DF06E-3C75-486C-9E38-8DDC4F5BB1B5}"/>
            </a:ext>
          </a:extLst>
        </xdr:cNvPr>
        <xdr:cNvCxnSpPr/>
      </xdr:nvCxnSpPr>
      <xdr:spPr>
        <a:xfrm>
          <a:off x="30212102" y="5896864"/>
          <a:ext cx="710780" cy="25242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66</xdr:col>
      <xdr:colOff>182103</xdr:colOff>
      <xdr:row>20</xdr:row>
      <xdr:rowOff>211722</xdr:rowOff>
    </xdr:from>
    <xdr:ext cx="242374" cy="271228"/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825BA6BA-E1B4-4812-9848-CA7517BF3EFE}"/>
            </a:ext>
          </a:extLst>
        </xdr:cNvPr>
        <xdr:cNvSpPr txBox="1"/>
      </xdr:nvSpPr>
      <xdr:spPr>
        <a:xfrm rot="17460000">
          <a:off x="31257276" y="4859109"/>
          <a:ext cx="27122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oneCellAnchor>
    <xdr:from>
      <xdr:col>65</xdr:col>
      <xdr:colOff>147376</xdr:colOff>
      <xdr:row>18</xdr:row>
      <xdr:rowOff>137237</xdr:rowOff>
    </xdr:from>
    <xdr:ext cx="242374" cy="640688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C1DE81BA-6904-4162-82C5-321F42F61772}"/>
            </a:ext>
          </a:extLst>
        </xdr:cNvPr>
        <xdr:cNvSpPr txBox="1"/>
      </xdr:nvSpPr>
      <xdr:spPr>
        <a:xfrm rot="17460000">
          <a:off x="30809219" y="4512154"/>
          <a:ext cx="64068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₂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κ</a:t>
          </a:r>
          <a:r>
            <a:rPr kumimoji="1" lang="en-US" altLang="ja-JP" sz="900" i="1" baseline="-250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・</a:t>
          </a:r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64</xdr:col>
      <xdr:colOff>59665</xdr:colOff>
      <xdr:row>23</xdr:row>
      <xdr:rowOff>111762</xdr:rowOff>
    </xdr:from>
    <xdr:ext cx="242374" cy="305853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49F70489-6736-4DB1-89E8-DF4B1C978114}"/>
            </a:ext>
          </a:extLst>
        </xdr:cNvPr>
        <xdr:cNvSpPr txBox="1"/>
      </xdr:nvSpPr>
      <xdr:spPr>
        <a:xfrm rot="17460000">
          <a:off x="30660325" y="5462262"/>
          <a:ext cx="305853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ℓ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₁</a:t>
          </a:r>
          <a:endParaRPr kumimoji="1" lang="ja-JP" altLang="en-US" sz="900" i="1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158534</xdr:colOff>
      <xdr:row>22</xdr:row>
      <xdr:rowOff>139154</xdr:rowOff>
    </xdr:from>
    <xdr:to>
      <xdr:col>64</xdr:col>
      <xdr:colOff>221402</xdr:colOff>
      <xdr:row>26</xdr:row>
      <xdr:rowOff>12308</xdr:rowOff>
    </xdr:to>
    <xdr:cxnSp macro="">
      <xdr:nvCxnSpPr>
        <xdr:cNvPr id="300" name="直線コネクタ 299">
          <a:extLst>
            <a:ext uri="{FF2B5EF4-FFF2-40B4-BE49-F238E27FC236}">
              <a16:creationId xmlns:a16="http://schemas.microsoft.com/office/drawing/2014/main" id="{8ADC1957-6155-4577-9DB8-E3C57BEDF4FD}"/>
            </a:ext>
          </a:extLst>
        </xdr:cNvPr>
        <xdr:cNvCxnSpPr/>
      </xdr:nvCxnSpPr>
      <xdr:spPr>
        <a:xfrm flipH="1">
          <a:off x="30562334" y="5229314"/>
          <a:ext cx="291468" cy="787554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221663</xdr:colOff>
      <xdr:row>16</xdr:row>
      <xdr:rowOff>127963</xdr:rowOff>
    </xdr:from>
    <xdr:to>
      <xdr:col>67</xdr:col>
      <xdr:colOff>46239</xdr:colOff>
      <xdr:row>22</xdr:row>
      <xdr:rowOff>132130</xdr:rowOff>
    </xdr:to>
    <xdr:cxnSp macro="">
      <xdr:nvCxnSpPr>
        <xdr:cNvPr id="301" name="直線コネクタ 300">
          <a:extLst>
            <a:ext uri="{FF2B5EF4-FFF2-40B4-BE49-F238E27FC236}">
              <a16:creationId xmlns:a16="http://schemas.microsoft.com/office/drawing/2014/main" id="{A5439F71-25A4-4B6C-811A-12117298E049}"/>
            </a:ext>
          </a:extLst>
        </xdr:cNvPr>
        <xdr:cNvCxnSpPr/>
      </xdr:nvCxnSpPr>
      <xdr:spPr>
        <a:xfrm flipH="1">
          <a:off x="30854063" y="3846523"/>
          <a:ext cx="510376" cy="1386653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104964</xdr:colOff>
      <xdr:row>16</xdr:row>
      <xdr:rowOff>5790</xdr:rowOff>
    </xdr:from>
    <xdr:to>
      <xdr:col>65</xdr:col>
      <xdr:colOff>209491</xdr:colOff>
      <xdr:row>16</xdr:row>
      <xdr:rowOff>238778</xdr:rowOff>
    </xdr:to>
    <xdr:sp macro="" textlink="">
      <xdr:nvSpPr>
        <xdr:cNvPr id="302" name="円弧 301">
          <a:extLst>
            <a:ext uri="{FF2B5EF4-FFF2-40B4-BE49-F238E27FC236}">
              <a16:creationId xmlns:a16="http://schemas.microsoft.com/office/drawing/2014/main" id="{31B00424-C0EC-4CB2-8C78-1D83988DC22C}"/>
            </a:ext>
          </a:extLst>
        </xdr:cNvPr>
        <xdr:cNvSpPr/>
      </xdr:nvSpPr>
      <xdr:spPr>
        <a:xfrm rot="11917365">
          <a:off x="30737364" y="3724350"/>
          <a:ext cx="333127" cy="232988"/>
        </a:xfrm>
        <a:prstGeom prst="arc">
          <a:avLst>
            <a:gd name="adj1" fmla="val 14457045"/>
            <a:gd name="adj2" fmla="val 17459712"/>
          </a:avLst>
        </a:prstGeom>
        <a:noFill/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65</xdr:col>
      <xdr:colOff>61012</xdr:colOff>
      <xdr:row>15</xdr:row>
      <xdr:rowOff>203022</xdr:rowOff>
    </xdr:from>
    <xdr:to>
      <xdr:col>65</xdr:col>
      <xdr:colOff>61012</xdr:colOff>
      <xdr:row>17</xdr:row>
      <xdr:rowOff>70465</xdr:rowOff>
    </xdr:to>
    <xdr:cxnSp macro="">
      <xdr:nvCxnSpPr>
        <xdr:cNvPr id="303" name="直線コネクタ 302">
          <a:extLst>
            <a:ext uri="{FF2B5EF4-FFF2-40B4-BE49-F238E27FC236}">
              <a16:creationId xmlns:a16="http://schemas.microsoft.com/office/drawing/2014/main" id="{F63294BD-05DB-4006-B841-01964A3EBD24}"/>
            </a:ext>
          </a:extLst>
        </xdr:cNvPr>
        <xdr:cNvCxnSpPr/>
      </xdr:nvCxnSpPr>
      <xdr:spPr>
        <a:xfrm>
          <a:off x="30922012" y="3692982"/>
          <a:ext cx="0" cy="346571"/>
        </a:xfrm>
        <a:prstGeom prst="line">
          <a:avLst/>
        </a:prstGeom>
        <a:ln w="3175">
          <a:solidFill>
            <a:schemeClr val="tx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179821</xdr:colOff>
      <xdr:row>16</xdr:row>
      <xdr:rowOff>72356</xdr:rowOff>
    </xdr:from>
    <xdr:ext cx="365165" cy="242374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F9E427B3-4562-4C00-9762-F0D915B3716A}"/>
            </a:ext>
          </a:extLst>
        </xdr:cNvPr>
        <xdr:cNvSpPr txBox="1"/>
      </xdr:nvSpPr>
      <xdr:spPr>
        <a:xfrm>
          <a:off x="14810221" y="3762613"/>
          <a:ext cx="36516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θ</a:t>
          </a:r>
          <a:r>
            <a:rPr kumimoji="1" lang="en-US" altLang="ja-JP" sz="900"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74143</xdr:colOff>
      <xdr:row>18</xdr:row>
      <xdr:rowOff>60412</xdr:rowOff>
    </xdr:from>
    <xdr:to>
      <xdr:col>65</xdr:col>
      <xdr:colOff>117446</xdr:colOff>
      <xdr:row>18</xdr:row>
      <xdr:rowOff>143399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3CC1696A-C3A1-49B5-A1EE-775E860ABBE4}"/>
            </a:ext>
          </a:extLst>
        </xdr:cNvPr>
        <xdr:cNvCxnSpPr/>
      </xdr:nvCxnSpPr>
      <xdr:spPr>
        <a:xfrm rot="240000" flipH="1" flipV="1">
          <a:off x="30706543" y="4236172"/>
          <a:ext cx="271903" cy="82987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155468</xdr:colOff>
      <xdr:row>14</xdr:row>
      <xdr:rowOff>17085</xdr:rowOff>
    </xdr:from>
    <xdr:ext cx="444352" cy="224998"/>
    <xdr:sp macro="" textlink="'1.条件'!T7">
      <xdr:nvSpPr>
        <xdr:cNvPr id="306" name="テキスト ボックス 305">
          <a:extLst>
            <a:ext uri="{FF2B5EF4-FFF2-40B4-BE49-F238E27FC236}">
              <a16:creationId xmlns:a16="http://schemas.microsoft.com/office/drawing/2014/main" id="{2674CDF9-A89D-445F-A477-7BD2BE496940}"/>
            </a:ext>
          </a:extLst>
        </xdr:cNvPr>
        <xdr:cNvSpPr txBox="1"/>
      </xdr:nvSpPr>
      <xdr:spPr>
        <a:xfrm>
          <a:off x="30559268" y="327844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073291F-FF2A-4592-B3E3-08EC9F1BC712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58</xdr:col>
      <xdr:colOff>70223</xdr:colOff>
      <xdr:row>14</xdr:row>
      <xdr:rowOff>79162</xdr:rowOff>
    </xdr:from>
    <xdr:to>
      <xdr:col>60</xdr:col>
      <xdr:colOff>132129</xdr:colOff>
      <xdr:row>20</xdr:row>
      <xdr:rowOff>58461</xdr:rowOff>
    </xdr:to>
    <xdr:cxnSp macro="">
      <xdr:nvCxnSpPr>
        <xdr:cNvPr id="307" name="直線コネクタ 306">
          <a:extLst>
            <a:ext uri="{FF2B5EF4-FFF2-40B4-BE49-F238E27FC236}">
              <a16:creationId xmlns:a16="http://schemas.microsoft.com/office/drawing/2014/main" id="{D5B1B771-539D-4D43-A1E7-5B9F4D3C5609}"/>
            </a:ext>
          </a:extLst>
        </xdr:cNvPr>
        <xdr:cNvCxnSpPr/>
      </xdr:nvCxnSpPr>
      <xdr:spPr>
        <a:xfrm flipH="1">
          <a:off x="29331023" y="3340522"/>
          <a:ext cx="519106" cy="1372986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223838</xdr:colOff>
      <xdr:row>20</xdr:row>
      <xdr:rowOff>47357</xdr:rowOff>
    </xdr:from>
    <xdr:to>
      <xdr:col>58</xdr:col>
      <xdr:colOff>200025</xdr:colOff>
      <xdr:row>20</xdr:row>
      <xdr:rowOff>120200</xdr:rowOff>
    </xdr:to>
    <xdr:cxnSp macro="">
      <xdr:nvCxnSpPr>
        <xdr:cNvPr id="308" name="直線コネクタ 307">
          <a:extLst>
            <a:ext uri="{FF2B5EF4-FFF2-40B4-BE49-F238E27FC236}">
              <a16:creationId xmlns:a16="http://schemas.microsoft.com/office/drawing/2014/main" id="{F6237E1B-D6C2-4A3B-9C20-D10AF2FB390D}"/>
            </a:ext>
          </a:extLst>
        </xdr:cNvPr>
        <xdr:cNvCxnSpPr/>
      </xdr:nvCxnSpPr>
      <xdr:spPr>
        <a:xfrm flipH="1" flipV="1">
          <a:off x="29256038" y="4680317"/>
          <a:ext cx="204787" cy="72843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57806</xdr:colOff>
      <xdr:row>16</xdr:row>
      <xdr:rowOff>105021</xdr:rowOff>
    </xdr:from>
    <xdr:ext cx="224998" cy="286297"/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F6D0C8C8-D063-4B88-914A-012465B92D0A}"/>
            </a:ext>
          </a:extLst>
        </xdr:cNvPr>
        <xdr:cNvSpPr txBox="1"/>
      </xdr:nvSpPr>
      <xdr:spPr>
        <a:xfrm rot="17233223">
          <a:off x="29287956" y="3854231"/>
          <a:ext cx="28629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z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i</a:t>
          </a:r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ea typeface="HGP明朝B" panose="02020800000000000000" pitchFamily="18" charset="-128"/>
              <a:cs typeface="Times New Roman" panose="02020603050405020304" pitchFamily="18" charset="0"/>
            </a:rPr>
            <a:t>'</a:t>
          </a:r>
          <a:endParaRPr kumimoji="1" lang="ja-JP" altLang="en-US" sz="900" i="1">
            <a:solidFill>
              <a:srgbClr val="FF0000"/>
            </a:solidFill>
            <a:latin typeface="Times New Roman" panose="02020603050405020304" pitchFamily="18" charset="0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122115</xdr:colOff>
      <xdr:row>15</xdr:row>
      <xdr:rowOff>196960</xdr:rowOff>
    </xdr:from>
    <xdr:to>
      <xdr:col>65</xdr:col>
      <xdr:colOff>64426</xdr:colOff>
      <xdr:row>25</xdr:row>
      <xdr:rowOff>54659</xdr:rowOff>
    </xdr:to>
    <xdr:cxnSp macro="">
      <xdr:nvCxnSpPr>
        <xdr:cNvPr id="310" name="直線コネクタ 309">
          <a:extLst>
            <a:ext uri="{FF2B5EF4-FFF2-40B4-BE49-F238E27FC236}">
              <a16:creationId xmlns:a16="http://schemas.microsoft.com/office/drawing/2014/main" id="{694E1A49-EDCE-41DF-8AD5-06184ECFEAA1}"/>
            </a:ext>
          </a:extLst>
        </xdr:cNvPr>
        <xdr:cNvCxnSpPr/>
      </xdr:nvCxnSpPr>
      <xdr:spPr>
        <a:xfrm flipH="1">
          <a:off x="30068715" y="3686920"/>
          <a:ext cx="856711" cy="216562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66379</xdr:colOff>
      <xdr:row>22</xdr:row>
      <xdr:rowOff>840</xdr:rowOff>
    </xdr:from>
    <xdr:to>
      <xdr:col>65</xdr:col>
      <xdr:colOff>69502</xdr:colOff>
      <xdr:row>22</xdr:row>
      <xdr:rowOff>166494</xdr:rowOff>
    </xdr:to>
    <xdr:cxnSp macro="">
      <xdr:nvCxnSpPr>
        <xdr:cNvPr id="311" name="直線コネクタ 310">
          <a:extLst>
            <a:ext uri="{FF2B5EF4-FFF2-40B4-BE49-F238E27FC236}">
              <a16:creationId xmlns:a16="http://schemas.microsoft.com/office/drawing/2014/main" id="{5C95AF46-CE44-440E-9F5F-A82D704703BB}"/>
            </a:ext>
          </a:extLst>
        </xdr:cNvPr>
        <xdr:cNvCxnSpPr/>
      </xdr:nvCxnSpPr>
      <xdr:spPr>
        <a:xfrm>
          <a:off x="30470179" y="5091000"/>
          <a:ext cx="460323" cy="16565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44367</xdr:colOff>
      <xdr:row>14</xdr:row>
      <xdr:rowOff>44932</xdr:rowOff>
    </xdr:from>
    <xdr:to>
      <xdr:col>63</xdr:col>
      <xdr:colOff>131188</xdr:colOff>
      <xdr:row>15</xdr:row>
      <xdr:rowOff>74050</xdr:rowOff>
    </xdr:to>
    <xdr:cxnSp macro="">
      <xdr:nvCxnSpPr>
        <xdr:cNvPr id="312" name="直線コネクタ 311">
          <a:extLst>
            <a:ext uri="{FF2B5EF4-FFF2-40B4-BE49-F238E27FC236}">
              <a16:creationId xmlns:a16="http://schemas.microsoft.com/office/drawing/2014/main" id="{FA081540-6C1D-44C4-8C12-66C749C75DD8}"/>
            </a:ext>
          </a:extLst>
        </xdr:cNvPr>
        <xdr:cNvCxnSpPr/>
      </xdr:nvCxnSpPr>
      <xdr:spPr>
        <a:xfrm>
          <a:off x="29762367" y="3306292"/>
          <a:ext cx="772621" cy="257877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19050</xdr:colOff>
      <xdr:row>21</xdr:row>
      <xdr:rowOff>219396</xdr:rowOff>
    </xdr:from>
    <xdr:to>
      <xdr:col>59</xdr:col>
      <xdr:colOff>21051</xdr:colOff>
      <xdr:row>21</xdr:row>
      <xdr:rowOff>219396</xdr:rowOff>
    </xdr:to>
    <xdr:cxnSp macro="">
      <xdr:nvCxnSpPr>
        <xdr:cNvPr id="314" name="直線コネクタ 313">
          <a:extLst>
            <a:ext uri="{FF2B5EF4-FFF2-40B4-BE49-F238E27FC236}">
              <a16:creationId xmlns:a16="http://schemas.microsoft.com/office/drawing/2014/main" id="{BAB19898-2406-41EB-878D-344992806446}"/>
            </a:ext>
          </a:extLst>
        </xdr:cNvPr>
        <xdr:cNvCxnSpPr/>
      </xdr:nvCxnSpPr>
      <xdr:spPr>
        <a:xfrm flipH="1">
          <a:off x="29051250" y="5080956"/>
          <a:ext cx="459201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101092</xdr:colOff>
      <xdr:row>15</xdr:row>
      <xdr:rowOff>212128</xdr:rowOff>
    </xdr:from>
    <xdr:to>
      <xdr:col>64</xdr:col>
      <xdr:colOff>136501</xdr:colOff>
      <xdr:row>25</xdr:row>
      <xdr:rowOff>26831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45BFFA1-4C26-4D8C-A3EC-155D2B51786C}"/>
            </a:ext>
          </a:extLst>
        </xdr:cNvPr>
        <xdr:cNvCxnSpPr/>
      </xdr:nvCxnSpPr>
      <xdr:spPr>
        <a:xfrm flipH="1">
          <a:off x="13791261" y="3651891"/>
          <a:ext cx="948087" cy="2130838"/>
        </a:xfrm>
        <a:prstGeom prst="line">
          <a:avLst/>
        </a:prstGeom>
        <a:ln w="635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20752</xdr:colOff>
      <xdr:row>23</xdr:row>
      <xdr:rowOff>22939</xdr:rowOff>
    </xdr:from>
    <xdr:to>
      <xdr:col>61</xdr:col>
      <xdr:colOff>84261</xdr:colOff>
      <xdr:row>23</xdr:row>
      <xdr:rowOff>88740</xdr:rowOff>
    </xdr:to>
    <xdr:sp macro="" textlink="">
      <xdr:nvSpPr>
        <xdr:cNvPr id="313" name="楕円 312">
          <a:extLst>
            <a:ext uri="{FF2B5EF4-FFF2-40B4-BE49-F238E27FC236}">
              <a16:creationId xmlns:a16="http://schemas.microsoft.com/office/drawing/2014/main" id="{BA5339AE-5FC9-41F3-8614-6A49B41AEF42}"/>
            </a:ext>
          </a:extLst>
        </xdr:cNvPr>
        <xdr:cNvSpPr/>
      </xdr:nvSpPr>
      <xdr:spPr>
        <a:xfrm>
          <a:off x="13939091" y="5322498"/>
          <a:ext cx="63509" cy="65801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60</xdr:col>
      <xdr:colOff>116179</xdr:colOff>
      <xdr:row>22</xdr:row>
      <xdr:rowOff>142614</xdr:rowOff>
    </xdr:from>
    <xdr:to>
      <xdr:col>62</xdr:col>
      <xdr:colOff>4442</xdr:colOff>
      <xdr:row>24</xdr:row>
      <xdr:rowOff>38844</xdr:rowOff>
    </xdr:to>
    <xdr:sp macro="" textlink="">
      <xdr:nvSpPr>
        <xdr:cNvPr id="9" name="矢印: 環状 8">
          <a:extLst>
            <a:ext uri="{FF2B5EF4-FFF2-40B4-BE49-F238E27FC236}">
              <a16:creationId xmlns:a16="http://schemas.microsoft.com/office/drawing/2014/main" id="{2D39358E-BD95-4D42-A22E-4D577A5D7DB0}"/>
            </a:ext>
          </a:extLst>
        </xdr:cNvPr>
        <xdr:cNvSpPr/>
      </xdr:nvSpPr>
      <xdr:spPr>
        <a:xfrm rot="20940662">
          <a:off x="13852681" y="5220336"/>
          <a:ext cx="346147" cy="354113"/>
        </a:xfrm>
        <a:prstGeom prst="circularArrow">
          <a:avLst>
            <a:gd name="adj1" fmla="val 9006"/>
            <a:gd name="adj2" fmla="val 1201318"/>
            <a:gd name="adj3" fmla="val 20575211"/>
            <a:gd name="adj4" fmla="val 12777058"/>
            <a:gd name="adj5" fmla="val 1244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60</xdr:col>
      <xdr:colOff>223653</xdr:colOff>
      <xdr:row>23</xdr:row>
      <xdr:rowOff>16348</xdr:rowOff>
    </xdr:from>
    <xdr:ext cx="314958" cy="22499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6095F86-7EC4-4CB9-8329-C612654DE8C6}"/>
            </a:ext>
          </a:extLst>
        </xdr:cNvPr>
        <xdr:cNvSpPr txBox="1"/>
      </xdr:nvSpPr>
      <xdr:spPr>
        <a:xfrm>
          <a:off x="13939653" y="5319868"/>
          <a:ext cx="3149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134552</xdr:colOff>
      <xdr:row>22</xdr:row>
      <xdr:rowOff>36754</xdr:rowOff>
    </xdr:from>
    <xdr:to>
      <xdr:col>62</xdr:col>
      <xdr:colOff>39600</xdr:colOff>
      <xdr:row>23</xdr:row>
      <xdr:rowOff>175574</xdr:rowOff>
    </xdr:to>
    <xdr:sp macro="" textlink="">
      <xdr:nvSpPr>
        <xdr:cNvPr id="11" name="矢印: 環状 10">
          <a:extLst>
            <a:ext uri="{FF2B5EF4-FFF2-40B4-BE49-F238E27FC236}">
              <a16:creationId xmlns:a16="http://schemas.microsoft.com/office/drawing/2014/main" id="{EE259782-E6A0-4823-AC13-45DCE5A2A26E}"/>
            </a:ext>
          </a:extLst>
        </xdr:cNvPr>
        <xdr:cNvSpPr/>
      </xdr:nvSpPr>
      <xdr:spPr>
        <a:xfrm rot="986520" flipH="1">
          <a:off x="13871054" y="5114476"/>
          <a:ext cx="362932" cy="367762"/>
        </a:xfrm>
        <a:prstGeom prst="circularArrow">
          <a:avLst>
            <a:gd name="adj1" fmla="val 9006"/>
            <a:gd name="adj2" fmla="val 1201318"/>
            <a:gd name="adj3" fmla="val 20575211"/>
            <a:gd name="adj4" fmla="val 12777058"/>
            <a:gd name="adj5" fmla="val 1244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61</xdr:col>
      <xdr:colOff>83967</xdr:colOff>
      <xdr:row>21</xdr:row>
      <xdr:rowOff>157185</xdr:rowOff>
    </xdr:from>
    <xdr:ext cx="314958" cy="2249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531271E-9279-4E2C-89B9-2BFAF020F4B7}"/>
            </a:ext>
          </a:extLst>
        </xdr:cNvPr>
        <xdr:cNvSpPr txBox="1"/>
      </xdr:nvSpPr>
      <xdr:spPr>
        <a:xfrm>
          <a:off x="14049411" y="5005965"/>
          <a:ext cx="3149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62</xdr:col>
      <xdr:colOff>99474</xdr:colOff>
      <xdr:row>4</xdr:row>
      <xdr:rowOff>225194</xdr:rowOff>
    </xdr:from>
    <xdr:ext cx="314958" cy="2249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45E33F-A442-C850-D5C6-3061978FCDEB}"/>
            </a:ext>
          </a:extLst>
        </xdr:cNvPr>
        <xdr:cNvSpPr txBox="1"/>
      </xdr:nvSpPr>
      <xdr:spPr>
        <a:xfrm>
          <a:off x="14447652" y="1150883"/>
          <a:ext cx="3149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10373</xdr:colOff>
      <xdr:row>4</xdr:row>
      <xdr:rowOff>14178</xdr:rowOff>
    </xdr:from>
    <xdr:to>
      <xdr:col>63</xdr:col>
      <xdr:colOff>146844</xdr:colOff>
      <xdr:row>5</xdr:row>
      <xdr:rowOff>152998</xdr:rowOff>
    </xdr:to>
    <xdr:sp macro="" textlink="">
      <xdr:nvSpPr>
        <xdr:cNvPr id="6" name="矢印: 環状 5">
          <a:extLst>
            <a:ext uri="{FF2B5EF4-FFF2-40B4-BE49-F238E27FC236}">
              <a16:creationId xmlns:a16="http://schemas.microsoft.com/office/drawing/2014/main" id="{3C6C2285-518D-7B0B-811A-8B32D15E7A55}"/>
            </a:ext>
          </a:extLst>
        </xdr:cNvPr>
        <xdr:cNvSpPr/>
      </xdr:nvSpPr>
      <xdr:spPr>
        <a:xfrm rot="986520" flipH="1">
          <a:off x="14358551" y="939867"/>
          <a:ext cx="367893" cy="370242"/>
        </a:xfrm>
        <a:prstGeom prst="circularArrow">
          <a:avLst>
            <a:gd name="adj1" fmla="val 9006"/>
            <a:gd name="adj2" fmla="val 1201318"/>
            <a:gd name="adj3" fmla="val 20575211"/>
            <a:gd name="adj4" fmla="val 12777058"/>
            <a:gd name="adj5" fmla="val 1244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62</xdr:col>
      <xdr:colOff>191211</xdr:colOff>
      <xdr:row>3</xdr:row>
      <xdr:rowOff>134608</xdr:rowOff>
    </xdr:from>
    <xdr:ext cx="314958" cy="2249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61470BB-C985-A0F0-6753-9D323295BCD9}"/>
            </a:ext>
          </a:extLst>
        </xdr:cNvPr>
        <xdr:cNvSpPr txBox="1"/>
      </xdr:nvSpPr>
      <xdr:spPr>
        <a:xfrm>
          <a:off x="14539389" y="828875"/>
          <a:ext cx="3149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endParaRPr kumimoji="1" lang="ja-JP" altLang="en-US" sz="900" baseline="-25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14578</xdr:colOff>
      <xdr:row>4</xdr:row>
      <xdr:rowOff>103104</xdr:rowOff>
    </xdr:from>
    <xdr:to>
      <xdr:col>63</xdr:col>
      <xdr:colOff>134264</xdr:colOff>
      <xdr:row>5</xdr:row>
      <xdr:rowOff>230756</xdr:rowOff>
    </xdr:to>
    <xdr:sp macro="" textlink="">
      <xdr:nvSpPr>
        <xdr:cNvPr id="13" name="矢印: 環状 12">
          <a:extLst>
            <a:ext uri="{FF2B5EF4-FFF2-40B4-BE49-F238E27FC236}">
              <a16:creationId xmlns:a16="http://schemas.microsoft.com/office/drawing/2014/main" id="{A7398482-36C8-3077-E103-9F2ED4D683F1}"/>
            </a:ext>
          </a:extLst>
        </xdr:cNvPr>
        <xdr:cNvSpPr/>
      </xdr:nvSpPr>
      <xdr:spPr>
        <a:xfrm rot="20940662">
          <a:off x="14362756" y="1028793"/>
          <a:ext cx="351108" cy="359074"/>
        </a:xfrm>
        <a:prstGeom prst="circularArrow">
          <a:avLst>
            <a:gd name="adj1" fmla="val 9006"/>
            <a:gd name="adj2" fmla="val 1201318"/>
            <a:gd name="adj3" fmla="val 20575211"/>
            <a:gd name="adj4" fmla="val 12777058"/>
            <a:gd name="adj5" fmla="val 1244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32023</xdr:colOff>
      <xdr:row>12</xdr:row>
      <xdr:rowOff>57032</xdr:rowOff>
    </xdr:from>
    <xdr:to>
      <xdr:col>32</xdr:col>
      <xdr:colOff>39284</xdr:colOff>
      <xdr:row>12</xdr:row>
      <xdr:rowOff>57032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15B5D9B-0C3A-4948-83CB-012CE0F981AD}"/>
            </a:ext>
          </a:extLst>
        </xdr:cNvPr>
        <xdr:cNvCxnSpPr/>
      </xdr:nvCxnSpPr>
      <xdr:spPr>
        <a:xfrm>
          <a:off x="6757501" y="3071902"/>
          <a:ext cx="703000" cy="0"/>
        </a:xfrm>
        <a:prstGeom prst="line">
          <a:avLst/>
        </a:prstGeom>
        <a:ln w="3175">
          <a:solidFill>
            <a:srgbClr val="FF0000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17784</xdr:colOff>
      <xdr:row>6</xdr:row>
      <xdr:rowOff>90863</xdr:rowOff>
    </xdr:from>
    <xdr:to>
      <xdr:col>34</xdr:col>
      <xdr:colOff>136584</xdr:colOff>
      <xdr:row>6</xdr:row>
      <xdr:rowOff>90863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89BDD0D8-B759-4E39-A258-88DA19A33C03}"/>
            </a:ext>
          </a:extLst>
        </xdr:cNvPr>
        <xdr:cNvCxnSpPr/>
      </xdr:nvCxnSpPr>
      <xdr:spPr>
        <a:xfrm>
          <a:off x="7439001" y="1714254"/>
          <a:ext cx="58262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202183</xdr:colOff>
      <xdr:row>4</xdr:row>
      <xdr:rowOff>135778</xdr:rowOff>
    </xdr:from>
    <xdr:ext cx="336311" cy="224998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D3BB21D9-BFF3-407C-A5F1-B9D4DA670FC3}"/>
            </a:ext>
          </a:extLst>
        </xdr:cNvPr>
        <xdr:cNvSpPr txBox="1"/>
      </xdr:nvSpPr>
      <xdr:spPr>
        <a:xfrm>
          <a:off x="7391487" y="1295343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27</xdr:col>
      <xdr:colOff>166915</xdr:colOff>
      <xdr:row>6</xdr:row>
      <xdr:rowOff>87250</xdr:rowOff>
    </xdr:from>
    <xdr:to>
      <xdr:col>31</xdr:col>
      <xdr:colOff>14379</xdr:colOff>
      <xdr:row>6</xdr:row>
      <xdr:rowOff>87250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FBD7EE26-3C7B-432D-9625-0FFE8B4DF9D7}"/>
            </a:ext>
          </a:extLst>
        </xdr:cNvPr>
        <xdr:cNvCxnSpPr/>
      </xdr:nvCxnSpPr>
      <xdr:spPr>
        <a:xfrm>
          <a:off x="6437086" y="1712850"/>
          <a:ext cx="77637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21408</xdr:colOff>
      <xdr:row>5</xdr:row>
      <xdr:rowOff>93686</xdr:rowOff>
    </xdr:from>
    <xdr:to>
      <xdr:col>32</xdr:col>
      <xdr:colOff>21408</xdr:colOff>
      <xdr:row>6</xdr:row>
      <xdr:rowOff>11802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13A373AA-C86A-491F-984D-C65DFE88CB71}"/>
            </a:ext>
          </a:extLst>
        </xdr:cNvPr>
        <xdr:cNvCxnSpPr/>
      </xdr:nvCxnSpPr>
      <xdr:spPr>
        <a:xfrm>
          <a:off x="7442625" y="1485164"/>
          <a:ext cx="0" cy="150028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20309</xdr:colOff>
      <xdr:row>5</xdr:row>
      <xdr:rowOff>133322</xdr:rowOff>
    </xdr:from>
    <xdr:to>
      <xdr:col>34</xdr:col>
      <xdr:colOff>137847</xdr:colOff>
      <xdr:row>5</xdr:row>
      <xdr:rowOff>133322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5F1BE3A0-6D1C-4A5B-94F6-DF920CF6A343}"/>
            </a:ext>
          </a:extLst>
        </xdr:cNvPr>
        <xdr:cNvCxnSpPr/>
      </xdr:nvCxnSpPr>
      <xdr:spPr>
        <a:xfrm>
          <a:off x="7441526" y="1524800"/>
          <a:ext cx="581364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14378</xdr:colOff>
      <xdr:row>6</xdr:row>
      <xdr:rowOff>94955</xdr:rowOff>
    </xdr:from>
    <xdr:to>
      <xdr:col>32</xdr:col>
      <xdr:colOff>22194</xdr:colOff>
      <xdr:row>12</xdr:row>
      <xdr:rowOff>138724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62879A2A-EF7E-482D-A087-3F1C5C446A56}"/>
            </a:ext>
          </a:extLst>
        </xdr:cNvPr>
        <xdr:cNvCxnSpPr/>
      </xdr:nvCxnSpPr>
      <xdr:spPr>
        <a:xfrm flipH="1">
          <a:off x="6685472" y="1475181"/>
          <a:ext cx="697930" cy="142399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133581</xdr:colOff>
      <xdr:row>12</xdr:row>
      <xdr:rowOff>35621</xdr:rowOff>
    </xdr:from>
    <xdr:to>
      <xdr:col>30</xdr:col>
      <xdr:colOff>179300</xdr:colOff>
      <xdr:row>12</xdr:row>
      <xdr:rowOff>81340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5B34DFF1-F69A-49AD-AB99-4BB6285A46BF}"/>
            </a:ext>
          </a:extLst>
        </xdr:cNvPr>
        <xdr:cNvSpPr/>
      </xdr:nvSpPr>
      <xdr:spPr>
        <a:xfrm>
          <a:off x="7004795" y="3013147"/>
          <a:ext cx="45719" cy="45719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184263</xdr:colOff>
      <xdr:row>4</xdr:row>
      <xdr:rowOff>131822</xdr:rowOff>
    </xdr:from>
    <xdr:ext cx="444352" cy="224998"/>
    <xdr:sp macro="" textlink="'1.条件'!T7">
      <xdr:nvSpPr>
        <xdr:cNvPr id="68" name="テキスト ボックス 67">
          <a:extLst>
            <a:ext uri="{FF2B5EF4-FFF2-40B4-BE49-F238E27FC236}">
              <a16:creationId xmlns:a16="http://schemas.microsoft.com/office/drawing/2014/main" id="{9B094B4E-786F-427E-9AEA-8A8302BBD5D6}"/>
            </a:ext>
          </a:extLst>
        </xdr:cNvPr>
        <xdr:cNvSpPr txBox="1"/>
      </xdr:nvSpPr>
      <xdr:spPr>
        <a:xfrm>
          <a:off x="7605480" y="1291387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34F48A0-FA92-45EF-BC48-C832F3EBF19C}" type="TxLink">
            <a:rPr kumimoji="1" lang="en-US" altLang="en-US" sz="900" b="0" i="0" u="none" strike="noStrike" baseline="0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28790</xdr:colOff>
      <xdr:row>6</xdr:row>
      <xdr:rowOff>89181</xdr:rowOff>
    </xdr:from>
    <xdr:to>
      <xdr:col>28</xdr:col>
      <xdr:colOff>28790</xdr:colOff>
      <xdr:row>12</xdr:row>
      <xdr:rowOff>72416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FE08ED2B-835F-4FEC-8176-B5FD0BB3CEA2}"/>
            </a:ext>
          </a:extLst>
        </xdr:cNvPr>
        <xdr:cNvCxnSpPr/>
      </xdr:nvCxnSpPr>
      <xdr:spPr>
        <a:xfrm>
          <a:off x="6531190" y="1714781"/>
          <a:ext cx="0" cy="1381457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15804</xdr:colOff>
      <xdr:row>8</xdr:row>
      <xdr:rowOff>165417</xdr:rowOff>
    </xdr:from>
    <xdr:ext cx="224998" cy="292581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F62EE54D-2280-4C99-86B7-64A1E4432E58}"/>
            </a:ext>
          </a:extLst>
        </xdr:cNvPr>
        <xdr:cNvSpPr txBox="1"/>
      </xdr:nvSpPr>
      <xdr:spPr>
        <a:xfrm rot="16200000">
          <a:off x="6252183" y="2289266"/>
          <a:ext cx="29258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ja-JP" altLang="en-US" sz="9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oneCellAnchor>
  <xdr:twoCellAnchor editAs="oneCell">
    <xdr:from>
      <xdr:col>27</xdr:col>
      <xdr:colOff>158528</xdr:colOff>
      <xdr:row>12</xdr:row>
      <xdr:rowOff>50406</xdr:rowOff>
    </xdr:from>
    <xdr:to>
      <xdr:col>28</xdr:col>
      <xdr:colOff>207969</xdr:colOff>
      <xdr:row>12</xdr:row>
      <xdr:rowOff>50406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CA34CF74-71E5-45AE-9A3B-06AEE1BB2F8C}"/>
            </a:ext>
          </a:extLst>
        </xdr:cNvPr>
        <xdr:cNvCxnSpPr/>
      </xdr:nvCxnSpPr>
      <xdr:spPr>
        <a:xfrm>
          <a:off x="6428699" y="3069377"/>
          <a:ext cx="28167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46791</xdr:colOff>
      <xdr:row>12</xdr:row>
      <xdr:rowOff>175407</xdr:rowOff>
    </xdr:from>
    <xdr:to>
      <xdr:col>32</xdr:col>
      <xdr:colOff>46791</xdr:colOff>
      <xdr:row>13</xdr:row>
      <xdr:rowOff>142652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D57B0FF1-1170-48A6-9897-39A9F1A47246}"/>
            </a:ext>
          </a:extLst>
        </xdr:cNvPr>
        <xdr:cNvCxnSpPr/>
      </xdr:nvCxnSpPr>
      <xdr:spPr>
        <a:xfrm>
          <a:off x="7468008" y="3190277"/>
          <a:ext cx="0" cy="19915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24907</xdr:colOff>
      <xdr:row>13</xdr:row>
      <xdr:rowOff>93336</xdr:rowOff>
    </xdr:from>
    <xdr:to>
      <xdr:col>32</xdr:col>
      <xdr:colOff>51305</xdr:colOff>
      <xdr:row>13</xdr:row>
      <xdr:rowOff>93336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723A8104-F6FC-481E-A0B5-9CE4F6718B62}"/>
            </a:ext>
          </a:extLst>
        </xdr:cNvPr>
        <xdr:cNvCxnSpPr/>
      </xdr:nvCxnSpPr>
      <xdr:spPr>
        <a:xfrm>
          <a:off x="6750385" y="3340119"/>
          <a:ext cx="722137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29540</xdr:colOff>
      <xdr:row>12</xdr:row>
      <xdr:rowOff>175407</xdr:rowOff>
    </xdr:from>
    <xdr:to>
      <xdr:col>29</xdr:col>
      <xdr:colOff>29540</xdr:colOff>
      <xdr:row>13</xdr:row>
      <xdr:rowOff>142652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90360E11-7941-4E95-9D97-A3C9364E43CF}"/>
            </a:ext>
          </a:extLst>
        </xdr:cNvPr>
        <xdr:cNvCxnSpPr/>
      </xdr:nvCxnSpPr>
      <xdr:spPr>
        <a:xfrm>
          <a:off x="6755018" y="3190277"/>
          <a:ext cx="0" cy="19915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227787</xdr:colOff>
      <xdr:row>13</xdr:row>
      <xdr:rowOff>81245</xdr:rowOff>
    </xdr:from>
    <xdr:ext cx="305405" cy="224998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C51FED50-52FE-4A3A-8559-8F3FD09F5F17}"/>
            </a:ext>
          </a:extLst>
        </xdr:cNvPr>
        <xdr:cNvSpPr txBox="1"/>
      </xdr:nvSpPr>
      <xdr:spPr>
        <a:xfrm>
          <a:off x="6953265" y="3328028"/>
          <a:ext cx="30540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en-US" altLang="ja-JP" sz="9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29</xdr:col>
      <xdr:colOff>93973</xdr:colOff>
      <xdr:row>8</xdr:row>
      <xdr:rowOff>191721</xdr:rowOff>
    </xdr:from>
    <xdr:ext cx="285527" cy="35779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BE199762-5402-4BC7-BF7F-604384D2CC98}"/>
            </a:ext>
          </a:extLst>
        </xdr:cNvPr>
        <xdr:cNvSpPr txBox="1"/>
      </xdr:nvSpPr>
      <xdr:spPr>
        <a:xfrm rot="17760000">
          <a:off x="6783320" y="2315069"/>
          <a:ext cx="35779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oneCellAnchor>
    <xdr:from>
      <xdr:col>29</xdr:col>
      <xdr:colOff>229359</xdr:colOff>
      <xdr:row>7</xdr:row>
      <xdr:rowOff>175654</xdr:rowOff>
    </xdr:from>
    <xdr:ext cx="224998" cy="444352"/>
    <xdr:sp macro="" textlink="'1.条件'!T9">
      <xdr:nvSpPr>
        <xdr:cNvPr id="77" name="テキスト ボックス 76">
          <a:extLst>
            <a:ext uri="{FF2B5EF4-FFF2-40B4-BE49-F238E27FC236}">
              <a16:creationId xmlns:a16="http://schemas.microsoft.com/office/drawing/2014/main" id="{A9D9EBC0-170F-4C1E-9ACC-38F800092E66}"/>
            </a:ext>
          </a:extLst>
        </xdr:cNvPr>
        <xdr:cNvSpPr txBox="1"/>
      </xdr:nvSpPr>
      <xdr:spPr>
        <a:xfrm rot="17760000">
          <a:off x="6845160" y="214063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DEF5E5E-65E4-4B68-982A-EE6EA8E0C3E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32</xdr:col>
      <xdr:colOff>213474</xdr:colOff>
      <xdr:row>9</xdr:row>
      <xdr:rowOff>149982</xdr:rowOff>
    </xdr:from>
    <xdr:ext cx="285527" cy="357790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799027A5-C002-404A-BDB7-FA5A1118079E}"/>
            </a:ext>
          </a:extLst>
        </xdr:cNvPr>
        <xdr:cNvSpPr txBox="1"/>
      </xdr:nvSpPr>
      <xdr:spPr>
        <a:xfrm rot="17460000">
          <a:off x="7598560" y="2505243"/>
          <a:ext cx="357790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：</a:t>
          </a:r>
        </a:p>
      </xdr:txBody>
    </xdr:sp>
    <xdr:clientData/>
  </xdr:oneCellAnchor>
  <xdr:oneCellAnchor>
    <xdr:from>
      <xdr:col>33</xdr:col>
      <xdr:colOff>89009</xdr:colOff>
      <xdr:row>8</xdr:row>
      <xdr:rowOff>93638</xdr:rowOff>
    </xdr:from>
    <xdr:ext cx="224998" cy="444352"/>
    <xdr:sp macro="" textlink="'1.条件'!T10">
      <xdr:nvSpPr>
        <xdr:cNvPr id="79" name="テキスト ボックス 78">
          <a:extLst>
            <a:ext uri="{FF2B5EF4-FFF2-40B4-BE49-F238E27FC236}">
              <a16:creationId xmlns:a16="http://schemas.microsoft.com/office/drawing/2014/main" id="{7EA71E56-EF77-4DE2-A669-9F09496B4EE2}"/>
            </a:ext>
          </a:extLst>
        </xdr:cNvPr>
        <xdr:cNvSpPr txBox="1"/>
      </xdr:nvSpPr>
      <xdr:spPr>
        <a:xfrm rot="17460000">
          <a:off x="7632462" y="2290532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22FD523-5332-486C-9DA7-7C2CB95F7C0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32</xdr:col>
      <xdr:colOff>28754</xdr:colOff>
      <xdr:row>6</xdr:row>
      <xdr:rowOff>89868</xdr:rowOff>
    </xdr:from>
    <xdr:to>
      <xdr:col>34</xdr:col>
      <xdr:colOff>136020</xdr:colOff>
      <xdr:row>12</xdr:row>
      <xdr:rowOff>146790</xdr:rowOff>
    </xdr:to>
    <xdr:cxnSp macro="">
      <xdr:nvCxnSpPr>
        <xdr:cNvPr id="174" name="直線コネクタ 173">
          <a:extLst>
            <a:ext uri="{FF2B5EF4-FFF2-40B4-BE49-F238E27FC236}">
              <a16:creationId xmlns:a16="http://schemas.microsoft.com/office/drawing/2014/main" id="{3FEDF750-58CA-4C2A-A95F-576EAF253B25}"/>
            </a:ext>
          </a:extLst>
        </xdr:cNvPr>
        <xdr:cNvCxnSpPr/>
      </xdr:nvCxnSpPr>
      <xdr:spPr>
        <a:xfrm flipH="1">
          <a:off x="7389962" y="1470094"/>
          <a:ext cx="567341" cy="143714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119926</xdr:colOff>
      <xdr:row>6</xdr:row>
      <xdr:rowOff>95849</xdr:rowOff>
    </xdr:from>
    <xdr:to>
      <xdr:col>33</xdr:col>
      <xdr:colOff>51897</xdr:colOff>
      <xdr:row>12</xdr:row>
      <xdr:rowOff>148566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4661813D-EA4F-44F3-ACC7-00CE399D4622}"/>
            </a:ext>
          </a:extLst>
        </xdr:cNvPr>
        <xdr:cNvCxnSpPr/>
      </xdr:nvCxnSpPr>
      <xdr:spPr>
        <a:xfrm flipV="1">
          <a:off x="7021058" y="1476075"/>
          <a:ext cx="622084" cy="1432944"/>
        </a:xfrm>
        <a:prstGeom prst="line">
          <a:avLst/>
        </a:prstGeom>
        <a:ln w="12700">
          <a:solidFill>
            <a:schemeClr val="bg1">
              <a:lumMod val="65000"/>
            </a:schemeClr>
          </a:solidFill>
          <a:prstDash val="dashDot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159094</xdr:colOff>
      <xdr:row>10</xdr:row>
      <xdr:rowOff>223606</xdr:rowOff>
    </xdr:from>
    <xdr:to>
      <xdr:col>30</xdr:col>
      <xdr:colOff>162520</xdr:colOff>
      <xdr:row>12</xdr:row>
      <xdr:rowOff>25746</xdr:rowOff>
    </xdr:to>
    <xdr:cxnSp macro="">
      <xdr:nvCxnSpPr>
        <xdr:cNvPr id="180" name="直線コネクタ 179">
          <a:extLst>
            <a:ext uri="{FF2B5EF4-FFF2-40B4-BE49-F238E27FC236}">
              <a16:creationId xmlns:a16="http://schemas.microsoft.com/office/drawing/2014/main" id="{949DE880-CC16-4F1C-80BA-9AFC3EDFA651}"/>
            </a:ext>
          </a:extLst>
        </xdr:cNvPr>
        <xdr:cNvCxnSpPr/>
      </xdr:nvCxnSpPr>
      <xdr:spPr>
        <a:xfrm>
          <a:off x="7030308" y="2743051"/>
          <a:ext cx="3426" cy="260220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211687</xdr:colOff>
      <xdr:row>10</xdr:row>
      <xdr:rowOff>29696</xdr:rowOff>
    </xdr:from>
    <xdr:ext cx="322396" cy="224998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1F7F276-F210-4511-BC71-0FAB4500B7E3}"/>
            </a:ext>
          </a:extLst>
        </xdr:cNvPr>
        <xdr:cNvSpPr txBox="1"/>
      </xdr:nvSpPr>
      <xdr:spPr>
        <a:xfrm>
          <a:off x="6853860" y="2549141"/>
          <a:ext cx="32239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V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196586</xdr:colOff>
      <xdr:row>12</xdr:row>
      <xdr:rowOff>51868</xdr:rowOff>
    </xdr:from>
    <xdr:to>
      <xdr:col>30</xdr:col>
      <xdr:colOff>124895</xdr:colOff>
      <xdr:row>12</xdr:row>
      <xdr:rowOff>51868</xdr:rowOff>
    </xdr:to>
    <xdr:cxnSp macro="">
      <xdr:nvCxnSpPr>
        <xdr:cNvPr id="182" name="直線コネクタ 181">
          <a:extLst>
            <a:ext uri="{FF2B5EF4-FFF2-40B4-BE49-F238E27FC236}">
              <a16:creationId xmlns:a16="http://schemas.microsoft.com/office/drawing/2014/main" id="{B85C09F9-2DC5-4E51-8F43-752DEE8CDE42}"/>
            </a:ext>
          </a:extLst>
        </xdr:cNvPr>
        <xdr:cNvCxnSpPr/>
      </xdr:nvCxnSpPr>
      <xdr:spPr>
        <a:xfrm flipH="1">
          <a:off x="6838759" y="3029394"/>
          <a:ext cx="157350" cy="0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72909</xdr:colOff>
      <xdr:row>12</xdr:row>
      <xdr:rowOff>61792</xdr:rowOff>
    </xdr:from>
    <xdr:ext cx="335220" cy="224998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CDA619B5-FE05-42C6-9B5B-9ABD705952CF}"/>
            </a:ext>
          </a:extLst>
        </xdr:cNvPr>
        <xdr:cNvSpPr txBox="1"/>
      </xdr:nvSpPr>
      <xdr:spPr>
        <a:xfrm>
          <a:off x="6715082" y="3039318"/>
          <a:ext cx="33522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Σ</a:t>
          </a:r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30</xdr:col>
      <xdr:colOff>222344</xdr:colOff>
      <xdr:row>11</xdr:row>
      <xdr:rowOff>105820</xdr:rowOff>
    </xdr:from>
    <xdr:ext cx="319255" cy="224998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2540B6A3-AB08-4547-A42B-23560377FC01}"/>
            </a:ext>
          </a:extLst>
        </xdr:cNvPr>
        <xdr:cNvSpPr txBox="1"/>
      </xdr:nvSpPr>
      <xdr:spPr>
        <a:xfrm>
          <a:off x="7120924" y="2865252"/>
          <a:ext cx="31925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endParaRPr kumimoji="1" lang="ja-JP" altLang="en-US" sz="900" baseline="-25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28243</xdr:colOff>
      <xdr:row>16</xdr:row>
      <xdr:rowOff>164674</xdr:rowOff>
    </xdr:from>
    <xdr:to>
      <xdr:col>32</xdr:col>
      <xdr:colOff>58085</xdr:colOff>
      <xdr:row>19</xdr:row>
      <xdr:rowOff>95753</xdr:rowOff>
    </xdr:to>
    <xdr:sp macro="" textlink="">
      <xdr:nvSpPr>
        <xdr:cNvPr id="188" name="正方形/長方形 187">
          <a:extLst>
            <a:ext uri="{FF2B5EF4-FFF2-40B4-BE49-F238E27FC236}">
              <a16:creationId xmlns:a16="http://schemas.microsoft.com/office/drawing/2014/main" id="{0D441076-1C86-4550-A202-E7720F90662B}"/>
            </a:ext>
          </a:extLst>
        </xdr:cNvPr>
        <xdr:cNvSpPr/>
      </xdr:nvSpPr>
      <xdr:spPr>
        <a:xfrm>
          <a:off x="6669093" y="3828591"/>
          <a:ext cx="716826" cy="618064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57894</xdr:colOff>
      <xdr:row>15</xdr:row>
      <xdr:rowOff>120071</xdr:rowOff>
    </xdr:from>
    <xdr:ext cx="0" cy="161293"/>
    <xdr:cxnSp macro="">
      <xdr:nvCxnSpPr>
        <xdr:cNvPr id="189" name="直線コネクタ 188">
          <a:extLst>
            <a:ext uri="{FF2B5EF4-FFF2-40B4-BE49-F238E27FC236}">
              <a16:creationId xmlns:a16="http://schemas.microsoft.com/office/drawing/2014/main" id="{C1BC946B-7BF7-4C22-BEEF-ED52FB767692}"/>
            </a:ext>
          </a:extLst>
        </xdr:cNvPr>
        <xdr:cNvCxnSpPr/>
      </xdr:nvCxnSpPr>
      <xdr:spPr>
        <a:xfrm>
          <a:off x="7385728" y="3554993"/>
          <a:ext cx="0" cy="161293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29</xdr:col>
      <xdr:colOff>26514</xdr:colOff>
      <xdr:row>15</xdr:row>
      <xdr:rowOff>120071</xdr:rowOff>
    </xdr:from>
    <xdr:ext cx="0" cy="161293"/>
    <xdr:cxnSp macro="">
      <xdr:nvCxnSpPr>
        <xdr:cNvPr id="190" name="直線コネクタ 189">
          <a:extLst>
            <a:ext uri="{FF2B5EF4-FFF2-40B4-BE49-F238E27FC236}">
              <a16:creationId xmlns:a16="http://schemas.microsoft.com/office/drawing/2014/main" id="{B70493CF-E216-4589-A7A2-EE83997669A3}"/>
            </a:ext>
          </a:extLst>
        </xdr:cNvPr>
        <xdr:cNvCxnSpPr/>
      </xdr:nvCxnSpPr>
      <xdr:spPr>
        <a:xfrm>
          <a:off x="6667364" y="3554993"/>
          <a:ext cx="0" cy="161293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30</xdr:col>
      <xdr:colOff>155570</xdr:colOff>
      <xdr:row>16</xdr:row>
      <xdr:rowOff>70016</xdr:rowOff>
    </xdr:from>
    <xdr:ext cx="0" cy="829183"/>
    <xdr:cxnSp macro="">
      <xdr:nvCxnSpPr>
        <xdr:cNvPr id="192" name="直線コネクタ 191">
          <a:extLst>
            <a:ext uri="{FF2B5EF4-FFF2-40B4-BE49-F238E27FC236}">
              <a16:creationId xmlns:a16="http://schemas.microsoft.com/office/drawing/2014/main" id="{2995E5A3-041D-445F-81ED-02CFF973AD80}"/>
            </a:ext>
          </a:extLst>
        </xdr:cNvPr>
        <xdr:cNvCxnSpPr/>
      </xdr:nvCxnSpPr>
      <xdr:spPr>
        <a:xfrm>
          <a:off x="7025415" y="3733933"/>
          <a:ext cx="0" cy="829183"/>
        </a:xfrm>
        <a:prstGeom prst="line">
          <a:avLst/>
        </a:prstGeom>
        <a:ln w="12700">
          <a:solidFill>
            <a:schemeClr val="bg1">
              <a:lumMod val="65000"/>
            </a:schemeClr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27</xdr:col>
      <xdr:colOff>68999</xdr:colOff>
      <xdr:row>17</xdr:row>
      <xdr:rowOff>51449</xdr:rowOff>
    </xdr:from>
    <xdr:ext cx="224998" cy="444352"/>
    <xdr:sp macro="" textlink="$N$20">
      <xdr:nvSpPr>
        <xdr:cNvPr id="193" name="テキスト ボックス 192">
          <a:extLst>
            <a:ext uri="{FF2B5EF4-FFF2-40B4-BE49-F238E27FC236}">
              <a16:creationId xmlns:a16="http://schemas.microsoft.com/office/drawing/2014/main" id="{15A7EF4D-D695-452F-A908-F432F96A88D4}"/>
            </a:ext>
          </a:extLst>
        </xdr:cNvPr>
        <xdr:cNvSpPr txBox="1"/>
      </xdr:nvSpPr>
      <xdr:spPr>
        <a:xfrm rot="16200000">
          <a:off x="6142182" y="405403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DAA0F91-41DC-480C-A5D5-06178BE35482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27</xdr:col>
      <xdr:colOff>217646</xdr:colOff>
      <xdr:row>19</xdr:row>
      <xdr:rowOff>91596</xdr:rowOff>
    </xdr:from>
    <xdr:to>
      <xdr:col>28</xdr:col>
      <xdr:colOff>137351</xdr:colOff>
      <xdr:row>19</xdr:row>
      <xdr:rowOff>91596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5FCACC9C-45B8-4B73-8EBA-B1A9FBBFFA6C}"/>
            </a:ext>
          </a:extLst>
        </xdr:cNvPr>
        <xdr:cNvCxnSpPr/>
      </xdr:nvCxnSpPr>
      <xdr:spPr>
        <a:xfrm>
          <a:off x="6400506" y="4442498"/>
          <a:ext cx="14870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47778</xdr:colOff>
      <xdr:row>16</xdr:row>
      <xdr:rowOff>176180</xdr:rowOff>
    </xdr:from>
    <xdr:to>
      <xdr:col>28</xdr:col>
      <xdr:colOff>47778</xdr:colOff>
      <xdr:row>19</xdr:row>
      <xdr:rowOff>89424</xdr:rowOff>
    </xdr:to>
    <xdr:cxnSp macro="">
      <xdr:nvCxnSpPr>
        <xdr:cNvPr id="195" name="直線コネクタ 194">
          <a:extLst>
            <a:ext uri="{FF2B5EF4-FFF2-40B4-BE49-F238E27FC236}">
              <a16:creationId xmlns:a16="http://schemas.microsoft.com/office/drawing/2014/main" id="{A412265A-C36C-4CB4-B15F-3F27322FEB51}"/>
            </a:ext>
          </a:extLst>
        </xdr:cNvPr>
        <xdr:cNvCxnSpPr/>
      </xdr:nvCxnSpPr>
      <xdr:spPr>
        <a:xfrm>
          <a:off x="6459633" y="3840097"/>
          <a:ext cx="0" cy="600229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3028</xdr:colOff>
      <xdr:row>16</xdr:row>
      <xdr:rowOff>175437</xdr:rowOff>
    </xdr:from>
    <xdr:to>
      <xdr:col>28</xdr:col>
      <xdr:colOff>137351</xdr:colOff>
      <xdr:row>16</xdr:row>
      <xdr:rowOff>175437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C7C8D83E-A22E-4935-BDE7-E2CF26A8EB69}"/>
            </a:ext>
          </a:extLst>
        </xdr:cNvPr>
        <xdr:cNvCxnSpPr/>
      </xdr:nvCxnSpPr>
      <xdr:spPr>
        <a:xfrm>
          <a:off x="6414883" y="3839354"/>
          <a:ext cx="13432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228586</xdr:colOff>
      <xdr:row>15</xdr:row>
      <xdr:rowOff>19116</xdr:rowOff>
    </xdr:from>
    <xdr:ext cx="305405" cy="224998"/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6ADCC57C-B07C-4224-9A9A-5918A0E87F83}"/>
            </a:ext>
          </a:extLst>
        </xdr:cNvPr>
        <xdr:cNvSpPr txBox="1"/>
      </xdr:nvSpPr>
      <xdr:spPr>
        <a:xfrm>
          <a:off x="6869436" y="3454038"/>
          <a:ext cx="30540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kumimoji="1" lang="en-US" altLang="ja-JP" sz="9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34</xdr:col>
      <xdr:colOff>130945</xdr:colOff>
      <xdr:row>5</xdr:row>
      <xdr:rowOff>93686</xdr:rowOff>
    </xdr:from>
    <xdr:to>
      <xdr:col>34</xdr:col>
      <xdr:colOff>130945</xdr:colOff>
      <xdr:row>6</xdr:row>
      <xdr:rowOff>11802</xdr:rowOff>
    </xdr:to>
    <xdr:cxnSp macro="">
      <xdr:nvCxnSpPr>
        <xdr:cNvPr id="198" name="直線コネクタ 197">
          <a:extLst>
            <a:ext uri="{FF2B5EF4-FFF2-40B4-BE49-F238E27FC236}">
              <a16:creationId xmlns:a16="http://schemas.microsoft.com/office/drawing/2014/main" id="{7B328BCA-47B7-4799-85D5-7B9CAF7ECB27}"/>
            </a:ext>
          </a:extLst>
        </xdr:cNvPr>
        <xdr:cNvCxnSpPr/>
      </xdr:nvCxnSpPr>
      <xdr:spPr>
        <a:xfrm>
          <a:off x="8015988" y="1485164"/>
          <a:ext cx="0" cy="150028"/>
        </a:xfrm>
        <a:prstGeom prst="line">
          <a:avLst/>
        </a:prstGeom>
        <a:ln w="31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27387</xdr:colOff>
      <xdr:row>15</xdr:row>
      <xdr:rowOff>210655</xdr:rowOff>
    </xdr:from>
    <xdr:to>
      <xdr:col>32</xdr:col>
      <xdr:colOff>57493</xdr:colOff>
      <xdr:row>15</xdr:row>
      <xdr:rowOff>210655</xdr:rowOff>
    </xdr:to>
    <xdr:cxnSp macro="">
      <xdr:nvCxnSpPr>
        <xdr:cNvPr id="201" name="直線コネクタ 200">
          <a:extLst>
            <a:ext uri="{FF2B5EF4-FFF2-40B4-BE49-F238E27FC236}">
              <a16:creationId xmlns:a16="http://schemas.microsoft.com/office/drawing/2014/main" id="{DF86478A-7801-F104-DD96-C9BEDC51CEDE}"/>
            </a:ext>
          </a:extLst>
        </xdr:cNvPr>
        <xdr:cNvCxnSpPr/>
      </xdr:nvCxnSpPr>
      <xdr:spPr>
        <a:xfrm>
          <a:off x="6668237" y="3645577"/>
          <a:ext cx="71709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0</xdr:colOff>
      <xdr:row>11</xdr:row>
      <xdr:rowOff>40719</xdr:rowOff>
    </xdr:from>
    <xdr:to>
      <xdr:col>31</xdr:col>
      <xdr:colOff>127494</xdr:colOff>
      <xdr:row>12</xdr:row>
      <xdr:rowOff>173044</xdr:rowOff>
    </xdr:to>
    <xdr:sp macro="" textlink="">
      <xdr:nvSpPr>
        <xdr:cNvPr id="3" name="矢印: 環状 2">
          <a:extLst>
            <a:ext uri="{FF2B5EF4-FFF2-40B4-BE49-F238E27FC236}">
              <a16:creationId xmlns:a16="http://schemas.microsoft.com/office/drawing/2014/main" id="{6D0FFDDE-11FA-4890-B7D1-9CC421DB0DEF}"/>
            </a:ext>
          </a:extLst>
        </xdr:cNvPr>
        <xdr:cNvSpPr/>
      </xdr:nvSpPr>
      <xdr:spPr>
        <a:xfrm rot="986520" flipH="1">
          <a:off x="6805649" y="2797879"/>
          <a:ext cx="354349" cy="359180"/>
        </a:xfrm>
        <a:prstGeom prst="circularArrow">
          <a:avLst>
            <a:gd name="adj1" fmla="val 9006"/>
            <a:gd name="adj2" fmla="val 1201318"/>
            <a:gd name="adj3" fmla="val 20575211"/>
            <a:gd name="adj4" fmla="val 12777058"/>
            <a:gd name="adj5" fmla="val 12447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-note.com/youheki-mo-gan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5524-7302-47A3-8F77-A4B3192C8798}">
  <dimension ref="A1:BR62"/>
  <sheetViews>
    <sheetView showGridLines="0" tabSelected="1" view="pageBreakPreview" zoomScale="70" zoomScaleNormal="70" zoomScaleSheetLayoutView="70" workbookViewId="0">
      <selection activeCell="A2" sqref="A2"/>
    </sheetView>
  </sheetViews>
  <sheetFormatPr defaultRowHeight="18" x14ac:dyDescent="0.45"/>
  <cols>
    <col min="1" max="70" width="3" customWidth="1"/>
  </cols>
  <sheetData>
    <row r="1" spans="1:70" x14ac:dyDescent="0.45">
      <c r="A1" t="s">
        <v>472</v>
      </c>
      <c r="AA1" s="44" t="s">
        <v>138</v>
      </c>
      <c r="AK1" s="3" t="s">
        <v>143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70" x14ac:dyDescent="0.45">
      <c r="B2" t="s">
        <v>441</v>
      </c>
      <c r="AK2" s="3"/>
      <c r="AL2" s="3" t="s">
        <v>183</v>
      </c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3"/>
      <c r="BB2" s="3"/>
      <c r="BC2" s="3"/>
      <c r="BG2" s="3"/>
      <c r="BH2" s="135" t="s">
        <v>184</v>
      </c>
      <c r="BI2" s="136"/>
      <c r="BJ2" s="137"/>
      <c r="BL2" s="3" t="s">
        <v>185</v>
      </c>
      <c r="BN2" s="3"/>
      <c r="BO2" s="3"/>
      <c r="BP2" s="3"/>
      <c r="BQ2" s="3"/>
      <c r="BR2" s="3"/>
    </row>
    <row r="3" spans="1:70" x14ac:dyDescent="0.45">
      <c r="A3" t="s">
        <v>178</v>
      </c>
      <c r="Y3" s="36"/>
      <c r="Z3" s="37"/>
      <c r="AA3" s="37"/>
      <c r="AB3" s="37"/>
      <c r="AC3" s="37"/>
      <c r="AD3" s="37"/>
      <c r="AE3" s="37"/>
      <c r="AF3" s="37"/>
      <c r="AG3" s="37"/>
      <c r="AH3" s="37"/>
      <c r="AI3" s="42"/>
      <c r="AK3" s="3"/>
      <c r="AL3" s="3" t="s">
        <v>186</v>
      </c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A3" s="3"/>
      <c r="BB3" s="3"/>
      <c r="BC3" s="3"/>
      <c r="BH3" s="144" t="s">
        <v>475</v>
      </c>
      <c r="BI3" s="145"/>
      <c r="BJ3" s="145"/>
      <c r="BK3" s="145"/>
      <c r="BL3" s="146"/>
      <c r="BN3" s="3"/>
      <c r="BO3" s="3"/>
      <c r="BP3" s="3"/>
      <c r="BQ3" s="3"/>
      <c r="BR3" s="3"/>
    </row>
    <row r="4" spans="1:70" x14ac:dyDescent="0.45">
      <c r="A4" t="s">
        <v>0</v>
      </c>
      <c r="Y4" s="5"/>
      <c r="AI4" s="6"/>
      <c r="AK4" s="3"/>
      <c r="AL4" s="3" t="s">
        <v>187</v>
      </c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E4" s="27" t="s">
        <v>398</v>
      </c>
      <c r="BF4" s="27"/>
      <c r="BG4" s="27" t="s">
        <v>188</v>
      </c>
      <c r="BH4" s="147">
        <v>30</v>
      </c>
      <c r="BI4" s="148"/>
      <c r="BJ4" s="149"/>
      <c r="BK4" s="26" t="s">
        <v>189</v>
      </c>
      <c r="BL4" s="3" t="s">
        <v>190</v>
      </c>
      <c r="BN4" s="3"/>
      <c r="BO4" s="3"/>
      <c r="BP4" s="3"/>
      <c r="BQ4" s="3"/>
      <c r="BR4" s="3"/>
    </row>
    <row r="5" spans="1:70" x14ac:dyDescent="0.45">
      <c r="B5" t="s">
        <v>1</v>
      </c>
      <c r="Y5" s="5"/>
      <c r="AI5" s="6"/>
      <c r="AK5" s="3"/>
      <c r="AL5" s="3"/>
      <c r="AM5" s="3" t="s">
        <v>392</v>
      </c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E5" s="27" t="s">
        <v>399</v>
      </c>
      <c r="BF5" s="27"/>
      <c r="BG5" s="27" t="s">
        <v>188</v>
      </c>
      <c r="BH5" s="138">
        <v>0.6</v>
      </c>
      <c r="BI5" s="139"/>
      <c r="BJ5" s="140"/>
      <c r="BK5" s="26" t="s">
        <v>204</v>
      </c>
      <c r="BL5" s="3"/>
      <c r="BN5" s="3"/>
      <c r="BO5" s="3"/>
      <c r="BP5" s="3"/>
      <c r="BQ5" s="3"/>
      <c r="BR5" s="3"/>
    </row>
    <row r="6" spans="1:70" x14ac:dyDescent="0.45">
      <c r="C6" t="s">
        <v>2</v>
      </c>
      <c r="Q6" s="2" t="s">
        <v>40</v>
      </c>
      <c r="S6" t="s">
        <v>3</v>
      </c>
      <c r="T6" s="153">
        <v>6</v>
      </c>
      <c r="U6" s="154"/>
      <c r="V6" s="155"/>
      <c r="W6" s="1" t="s">
        <v>4</v>
      </c>
      <c r="Y6" s="5"/>
      <c r="AI6" s="6"/>
      <c r="AK6" s="3"/>
      <c r="AL6" s="3" t="s">
        <v>191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E6" s="27" t="s">
        <v>400</v>
      </c>
      <c r="BF6" s="27"/>
      <c r="BG6" s="27" t="s">
        <v>188</v>
      </c>
      <c r="BH6" s="150">
        <v>25</v>
      </c>
      <c r="BI6" s="151"/>
      <c r="BJ6" s="152"/>
      <c r="BK6" s="26" t="s">
        <v>189</v>
      </c>
      <c r="BL6" s="3" t="s">
        <v>192</v>
      </c>
      <c r="BN6" s="3"/>
      <c r="BO6" s="3"/>
      <c r="BP6" s="3"/>
      <c r="BQ6" s="3"/>
      <c r="BR6" s="3"/>
    </row>
    <row r="7" spans="1:70" x14ac:dyDescent="0.45">
      <c r="C7" t="s">
        <v>6</v>
      </c>
      <c r="Q7" s="2" t="s">
        <v>42</v>
      </c>
      <c r="S7" t="s">
        <v>3</v>
      </c>
      <c r="T7" s="153">
        <v>0.8</v>
      </c>
      <c r="U7" s="154"/>
      <c r="V7" s="155"/>
      <c r="W7" s="1" t="s">
        <v>4</v>
      </c>
      <c r="Y7" s="5"/>
      <c r="AI7" s="6"/>
      <c r="AK7" s="3"/>
      <c r="AM7" s="3" t="s">
        <v>214</v>
      </c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E7" s="27" t="s">
        <v>210</v>
      </c>
      <c r="BF7" s="27"/>
      <c r="BG7" s="27" t="s">
        <v>188</v>
      </c>
      <c r="BH7" s="138">
        <v>0.4</v>
      </c>
      <c r="BI7" s="139"/>
      <c r="BJ7" s="140"/>
      <c r="BK7" s="26" t="s">
        <v>4</v>
      </c>
      <c r="BL7" s="3"/>
      <c r="BN7" s="3"/>
      <c r="BO7" s="3"/>
      <c r="BP7" s="3"/>
      <c r="BQ7" s="3"/>
      <c r="BR7" s="3"/>
    </row>
    <row r="8" spans="1:70" x14ac:dyDescent="0.45">
      <c r="C8" t="s">
        <v>213</v>
      </c>
      <c r="Q8" s="2" t="s">
        <v>41</v>
      </c>
      <c r="S8" t="s">
        <v>3</v>
      </c>
      <c r="T8" s="156">
        <f>(T9-T10)*T6+T7</f>
        <v>1.4</v>
      </c>
      <c r="U8" s="157"/>
      <c r="V8" s="158"/>
      <c r="W8" s="1" t="s">
        <v>4</v>
      </c>
      <c r="Y8" s="5"/>
      <c r="AI8" s="6"/>
      <c r="AK8" s="3"/>
      <c r="AL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27"/>
      <c r="BB8" s="27"/>
      <c r="BC8" s="27"/>
      <c r="BD8" s="3"/>
      <c r="BE8" s="3"/>
      <c r="BF8" s="3"/>
      <c r="BG8" s="3"/>
      <c r="BH8" s="3"/>
      <c r="BI8" s="3"/>
      <c r="BL8" s="3"/>
      <c r="BN8" s="3"/>
      <c r="BO8" s="3"/>
      <c r="BP8" s="3"/>
      <c r="BQ8" s="3"/>
      <c r="BR8" s="3"/>
    </row>
    <row r="9" spans="1:70" x14ac:dyDescent="0.45">
      <c r="C9" t="s">
        <v>195</v>
      </c>
      <c r="O9">
        <v>1</v>
      </c>
      <c r="P9" t="s">
        <v>9</v>
      </c>
      <c r="Q9" s="2" t="s">
        <v>406</v>
      </c>
      <c r="T9" s="153">
        <v>0.5</v>
      </c>
      <c r="U9" s="154"/>
      <c r="V9" s="155"/>
      <c r="Y9" s="159"/>
      <c r="Z9" s="160"/>
      <c r="AA9" s="160"/>
      <c r="AI9" s="6"/>
      <c r="AK9" s="3" t="s">
        <v>144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3"/>
      <c r="BB9" s="3"/>
      <c r="BC9" s="3"/>
      <c r="BD9" s="3"/>
      <c r="BE9" s="3"/>
      <c r="BF9" s="3"/>
      <c r="BG9" s="3"/>
      <c r="BH9" s="3"/>
      <c r="BI9" s="3"/>
      <c r="BL9" s="3"/>
      <c r="BN9" s="3"/>
      <c r="BO9" s="3"/>
      <c r="BP9" s="3"/>
      <c r="BR9" s="3"/>
    </row>
    <row r="10" spans="1:70" x14ac:dyDescent="0.45">
      <c r="C10" t="s">
        <v>332</v>
      </c>
      <c r="O10">
        <v>1</v>
      </c>
      <c r="P10" t="s">
        <v>9</v>
      </c>
      <c r="Q10" s="2" t="s">
        <v>407</v>
      </c>
      <c r="T10" s="201">
        <f>_xlfn.IFS(T6&lt;5,0.3,T6&gt;7,0.5, TRUE, 0.4)</f>
        <v>0.4</v>
      </c>
      <c r="U10" s="202"/>
      <c r="V10" s="203"/>
      <c r="W10" s="3"/>
      <c r="Y10" s="5"/>
      <c r="AI10" s="6"/>
      <c r="AK10" s="3"/>
      <c r="AL10" s="3" t="s">
        <v>145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BA10" s="3"/>
      <c r="BB10" s="3"/>
      <c r="BC10" s="3"/>
      <c r="BG10" s="3"/>
      <c r="BH10" s="144" t="s">
        <v>146</v>
      </c>
      <c r="BI10" s="145"/>
      <c r="BJ10" s="146"/>
      <c r="BL10" s="3" t="s">
        <v>147</v>
      </c>
      <c r="BN10" s="3"/>
      <c r="BO10" s="3"/>
      <c r="BP10" s="3"/>
      <c r="BR10" s="3"/>
    </row>
    <row r="11" spans="1:70" x14ac:dyDescent="0.45">
      <c r="C11" t="s">
        <v>196</v>
      </c>
      <c r="Q11" s="2" t="s">
        <v>197</v>
      </c>
      <c r="S11" t="s">
        <v>3</v>
      </c>
      <c r="T11" s="141">
        <v>10</v>
      </c>
      <c r="U11" s="142"/>
      <c r="V11" s="143"/>
      <c r="W11" s="1" t="s">
        <v>4</v>
      </c>
      <c r="Y11" s="5"/>
      <c r="AI11" s="6"/>
      <c r="AK11" s="3"/>
      <c r="AL11" s="3"/>
      <c r="AM11" s="3" t="s">
        <v>148</v>
      </c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BA11" s="3"/>
      <c r="BB11" s="3"/>
      <c r="BC11" s="3"/>
      <c r="BG11" s="3"/>
      <c r="BH11" s="135" t="s">
        <v>149</v>
      </c>
      <c r="BI11" s="136"/>
      <c r="BJ11" s="137"/>
      <c r="BL11" s="3" t="s">
        <v>150</v>
      </c>
      <c r="BN11" s="3"/>
      <c r="BO11" s="3"/>
      <c r="BP11" s="3"/>
      <c r="BQ11" s="3"/>
    </row>
    <row r="12" spans="1:70" x14ac:dyDescent="0.45">
      <c r="Y12" s="5"/>
      <c r="AI12" s="6"/>
      <c r="AK12" s="3"/>
      <c r="AL12" s="3"/>
      <c r="AM12" s="3" t="s">
        <v>151</v>
      </c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3"/>
      <c r="BB12" s="3"/>
      <c r="BC12" s="3"/>
      <c r="BG12" s="3"/>
      <c r="BH12" s="135" t="s">
        <v>149</v>
      </c>
      <c r="BI12" s="136"/>
      <c r="BJ12" s="137"/>
      <c r="BL12" s="3"/>
      <c r="BN12" s="3"/>
      <c r="BO12" s="3"/>
      <c r="BP12" s="3"/>
      <c r="BQ12" s="3"/>
    </row>
    <row r="13" spans="1:70" x14ac:dyDescent="0.45">
      <c r="B13" t="s">
        <v>11</v>
      </c>
      <c r="T13" s="1"/>
      <c r="U13" s="1"/>
      <c r="V13" s="1"/>
      <c r="W13" s="1"/>
      <c r="Y13" s="5"/>
      <c r="AI13" s="6"/>
      <c r="AK13" s="3"/>
      <c r="AL13" s="3"/>
      <c r="AM13" s="3" t="s">
        <v>152</v>
      </c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G13" s="3"/>
      <c r="BH13" s="135" t="s">
        <v>153</v>
      </c>
      <c r="BI13" s="136"/>
      <c r="BJ13" s="137"/>
      <c r="BL13" s="3"/>
      <c r="BN13" s="3"/>
      <c r="BO13" s="3"/>
      <c r="BP13" s="3"/>
      <c r="BQ13" s="3"/>
    </row>
    <row r="14" spans="1:70" x14ac:dyDescent="0.45">
      <c r="C14" t="s">
        <v>12</v>
      </c>
      <c r="Q14" s="2" t="s">
        <v>13</v>
      </c>
      <c r="S14" t="s">
        <v>3</v>
      </c>
      <c r="T14" s="141">
        <v>18</v>
      </c>
      <c r="U14" s="142"/>
      <c r="V14" s="143"/>
      <c r="W14" s="1" t="s">
        <v>293</v>
      </c>
      <c r="Y14" s="5"/>
      <c r="AI14" s="6"/>
      <c r="AK14" s="3"/>
      <c r="AL14" s="3"/>
      <c r="AM14" s="3" t="s">
        <v>154</v>
      </c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3"/>
      <c r="BB14" s="3"/>
      <c r="BC14" s="3"/>
      <c r="BG14" s="3"/>
      <c r="BH14" s="144" t="s">
        <v>155</v>
      </c>
      <c r="BI14" s="145"/>
      <c r="BJ14" s="146"/>
      <c r="BL14" s="3"/>
      <c r="BN14" s="3"/>
      <c r="BO14" s="3"/>
      <c r="BP14" s="3"/>
      <c r="BQ14" s="3"/>
      <c r="BR14" s="3"/>
    </row>
    <row r="15" spans="1:70" x14ac:dyDescent="0.45">
      <c r="C15" t="s">
        <v>16</v>
      </c>
      <c r="Q15" s="18" t="s">
        <v>101</v>
      </c>
      <c r="S15" t="s">
        <v>3</v>
      </c>
      <c r="T15" s="141">
        <v>23</v>
      </c>
      <c r="U15" s="142"/>
      <c r="V15" s="143"/>
      <c r="W15" s="1" t="s">
        <v>17</v>
      </c>
      <c r="Y15" s="7"/>
      <c r="Z15" s="11"/>
      <c r="AA15" s="11"/>
      <c r="AB15" s="11"/>
      <c r="AC15" s="11"/>
      <c r="AD15" s="11"/>
      <c r="AE15" s="11"/>
      <c r="AF15" s="11"/>
      <c r="AG15" s="11"/>
      <c r="AH15" s="11"/>
      <c r="AI15" s="8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BA15" s="3"/>
      <c r="BB15" s="3"/>
      <c r="BC15" s="3"/>
      <c r="BG15" s="3"/>
      <c r="BH15" s="3"/>
      <c r="BI15" s="3"/>
      <c r="BJ15" s="3"/>
      <c r="BL15" s="3"/>
      <c r="BN15" s="3"/>
      <c r="BO15" s="3"/>
      <c r="BP15" s="3"/>
      <c r="BQ15" s="3"/>
      <c r="BR15" s="3"/>
    </row>
    <row r="16" spans="1:70" ht="19.2" x14ac:dyDescent="0.5">
      <c r="C16" s="3" t="s">
        <v>382</v>
      </c>
      <c r="D16" s="3"/>
      <c r="E16" s="3"/>
      <c r="F16" s="3"/>
      <c r="G16" s="3"/>
      <c r="H16" s="3"/>
      <c r="I16" s="3"/>
      <c r="J16" s="3"/>
      <c r="K16" s="3"/>
      <c r="L16" s="3"/>
      <c r="M16" s="133" t="s">
        <v>381</v>
      </c>
      <c r="N16" s="134"/>
      <c r="O16" s="189">
        <v>4</v>
      </c>
      <c r="P16" s="174"/>
      <c r="Q16" s="2"/>
      <c r="S16" t="s">
        <v>3</v>
      </c>
      <c r="T16" s="204">
        <f>T14/O16</f>
        <v>4.5</v>
      </c>
      <c r="U16" s="205"/>
      <c r="V16" s="206"/>
      <c r="W16" s="1" t="s">
        <v>293</v>
      </c>
      <c r="AC16" s="3" t="s">
        <v>365</v>
      </c>
      <c r="AD16" s="3"/>
      <c r="AK16" s="3" t="s">
        <v>156</v>
      </c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BA16" s="3"/>
      <c r="BB16" s="3"/>
      <c r="BC16" s="3"/>
      <c r="BG16" s="3"/>
      <c r="BH16" s="3"/>
      <c r="BI16" s="3"/>
      <c r="BJ16" s="3"/>
      <c r="BL16" s="3"/>
      <c r="BN16" s="3"/>
      <c r="BO16" s="3"/>
      <c r="BQ16" s="3"/>
      <c r="BR16" s="3"/>
    </row>
    <row r="17" spans="2:70" x14ac:dyDescent="0.45">
      <c r="C17" s="3"/>
      <c r="D17" s="3" t="s">
        <v>436</v>
      </c>
      <c r="E17" s="3"/>
      <c r="F17" s="3"/>
      <c r="G17" s="3"/>
      <c r="H17" s="3"/>
      <c r="I17" s="3"/>
      <c r="J17" s="3"/>
      <c r="K17" s="3"/>
      <c r="L17" s="3"/>
      <c r="M17" s="107"/>
      <c r="N17" s="108" t="s">
        <v>62</v>
      </c>
      <c r="O17" s="189">
        <v>1.5</v>
      </c>
      <c r="P17" s="174"/>
      <c r="Q17" s="2"/>
      <c r="S17" t="s">
        <v>3</v>
      </c>
      <c r="T17" s="204">
        <f>T16*O17</f>
        <v>6.75</v>
      </c>
      <c r="U17" s="205"/>
      <c r="V17" s="206"/>
      <c r="W17" s="1" t="s">
        <v>293</v>
      </c>
      <c r="AC17" s="3" t="s">
        <v>437</v>
      </c>
      <c r="AD17" s="3"/>
      <c r="AL17" t="s">
        <v>157</v>
      </c>
      <c r="BH17" s="144" t="s">
        <v>158</v>
      </c>
      <c r="BI17" s="145"/>
      <c r="BJ17" s="146"/>
      <c r="BL17" s="3" t="s">
        <v>159</v>
      </c>
      <c r="BQ17" s="3"/>
      <c r="BR17" s="3"/>
    </row>
    <row r="18" spans="2:70" ht="19.2" x14ac:dyDescent="0.5">
      <c r="C18" s="3" t="s">
        <v>383</v>
      </c>
      <c r="D18" s="3"/>
      <c r="E18" s="3"/>
      <c r="F18" s="3"/>
      <c r="G18" s="3"/>
      <c r="H18" s="3"/>
      <c r="I18" s="3"/>
      <c r="J18" s="3"/>
      <c r="K18" s="3"/>
      <c r="L18" s="3"/>
      <c r="M18" s="133" t="s">
        <v>381</v>
      </c>
      <c r="N18" s="134"/>
      <c r="O18" s="189">
        <v>80</v>
      </c>
      <c r="P18" s="174"/>
      <c r="Q18" s="2"/>
      <c r="S18" t="s">
        <v>3</v>
      </c>
      <c r="T18" s="204">
        <f>T14/O18</f>
        <v>0.22500000000000001</v>
      </c>
      <c r="U18" s="205"/>
      <c r="V18" s="206"/>
      <c r="W18" s="1" t="s">
        <v>293</v>
      </c>
      <c r="AC18" s="3" t="s">
        <v>286</v>
      </c>
      <c r="AD18" s="3"/>
      <c r="AL18" t="s">
        <v>160</v>
      </c>
      <c r="AP18" t="s">
        <v>440</v>
      </c>
      <c r="BQ18" s="3"/>
      <c r="BR18" s="3"/>
    </row>
    <row r="19" spans="2:70" x14ac:dyDescent="0.45">
      <c r="C19" s="3"/>
      <c r="D19" s="3" t="s">
        <v>436</v>
      </c>
      <c r="E19" s="3"/>
      <c r="F19" s="3"/>
      <c r="G19" s="3"/>
      <c r="H19" s="3"/>
      <c r="I19" s="3"/>
      <c r="J19" s="3"/>
      <c r="K19" s="3"/>
      <c r="L19" s="3"/>
      <c r="M19" s="107"/>
      <c r="N19" s="108" t="s">
        <v>62</v>
      </c>
      <c r="O19" s="189">
        <v>1.5</v>
      </c>
      <c r="P19" s="174"/>
      <c r="Q19" s="2"/>
      <c r="S19" t="s">
        <v>3</v>
      </c>
      <c r="T19" s="204">
        <f>T18*O19</f>
        <v>0.33750000000000002</v>
      </c>
      <c r="U19" s="205"/>
      <c r="V19" s="206"/>
      <c r="W19" s="1" t="s">
        <v>293</v>
      </c>
      <c r="AC19" s="3" t="s">
        <v>437</v>
      </c>
      <c r="AD19" s="3"/>
      <c r="AQ19" t="s">
        <v>438</v>
      </c>
      <c r="BP19" s="3"/>
      <c r="BQ19" s="3"/>
      <c r="BR19" s="3"/>
    </row>
    <row r="20" spans="2:70" ht="19.2" x14ac:dyDescent="0.5">
      <c r="C20" s="3" t="s">
        <v>384</v>
      </c>
      <c r="D20" s="3"/>
      <c r="E20" s="3"/>
      <c r="F20" s="3"/>
      <c r="G20" s="3"/>
      <c r="H20" s="3"/>
      <c r="I20" s="3"/>
      <c r="J20" s="3"/>
      <c r="K20" s="3"/>
      <c r="M20" s="133" t="s">
        <v>381</v>
      </c>
      <c r="N20" s="134"/>
      <c r="O20" s="189">
        <v>100</v>
      </c>
      <c r="P20" s="174"/>
      <c r="Q20" s="190" t="s">
        <v>287</v>
      </c>
      <c r="R20" s="191"/>
      <c r="S20" t="s">
        <v>3</v>
      </c>
      <c r="T20" s="192">
        <f>T14/O20+0.15</f>
        <v>0.32999999999999996</v>
      </c>
      <c r="U20" s="193"/>
      <c r="V20" s="194"/>
      <c r="W20" s="1" t="s">
        <v>293</v>
      </c>
      <c r="AC20" s="3" t="s">
        <v>288</v>
      </c>
      <c r="AD20" s="3"/>
      <c r="AK20" s="3"/>
      <c r="AL20" s="3"/>
      <c r="AM20" s="3"/>
      <c r="AO20" s="3"/>
      <c r="AP20" s="3"/>
      <c r="AQ20" s="3"/>
      <c r="AS20" s="3" t="s">
        <v>161</v>
      </c>
      <c r="AT20" s="3"/>
      <c r="AU20" s="3"/>
      <c r="AV20" s="3"/>
      <c r="AW20" s="3"/>
      <c r="AX20" s="3"/>
      <c r="AY20" s="3"/>
      <c r="BA20" s="3"/>
      <c r="BB20" s="3"/>
      <c r="BC20" s="3"/>
      <c r="BG20" s="3"/>
      <c r="BH20" s="144" t="s">
        <v>162</v>
      </c>
      <c r="BI20" s="145"/>
      <c r="BJ20" s="146"/>
      <c r="BL20" s="3"/>
      <c r="BN20" s="3"/>
      <c r="BO20" s="3"/>
      <c r="BP20" s="3"/>
      <c r="BQ20" s="3"/>
      <c r="BR20" s="3"/>
    </row>
    <row r="21" spans="2:70" x14ac:dyDescent="0.45">
      <c r="AK21" s="3"/>
      <c r="AL21" s="3"/>
      <c r="AM21" s="3"/>
      <c r="AO21" s="3"/>
      <c r="AP21" s="3"/>
      <c r="AQ21" s="3"/>
      <c r="AS21" s="3" t="s">
        <v>163</v>
      </c>
      <c r="AT21" s="3"/>
      <c r="AU21" s="3"/>
      <c r="AV21" s="3"/>
      <c r="AW21" s="3"/>
      <c r="AX21" s="3"/>
      <c r="AY21" s="3"/>
      <c r="BA21" s="3"/>
      <c r="BB21" s="3"/>
      <c r="BC21" s="3"/>
      <c r="BG21" s="3"/>
      <c r="BH21" s="144" t="s">
        <v>164</v>
      </c>
      <c r="BI21" s="145"/>
      <c r="BJ21" s="146"/>
      <c r="BL21" s="3" t="s">
        <v>165</v>
      </c>
      <c r="BN21" s="3"/>
      <c r="BO21" s="3"/>
      <c r="BP21" s="3"/>
      <c r="BQ21" s="3"/>
      <c r="BR21" s="3"/>
    </row>
    <row r="22" spans="2:70" x14ac:dyDescent="0.45">
      <c r="B22" t="s">
        <v>18</v>
      </c>
      <c r="W22" s="1"/>
      <c r="AK22" s="3"/>
      <c r="AL22" s="3"/>
      <c r="AM22" s="3"/>
      <c r="AO22" s="3"/>
      <c r="AP22" s="3"/>
      <c r="AQ22" s="3"/>
      <c r="AS22" s="3" t="s">
        <v>166</v>
      </c>
      <c r="AT22" s="3"/>
      <c r="AU22" s="3"/>
      <c r="AV22" s="3"/>
      <c r="AW22" s="3"/>
      <c r="AX22" s="3"/>
      <c r="AY22" s="3"/>
      <c r="BA22" s="3"/>
      <c r="BB22" s="3"/>
      <c r="BC22" s="3"/>
      <c r="BG22" s="3"/>
      <c r="BH22" s="144" t="s">
        <v>164</v>
      </c>
      <c r="BI22" s="145"/>
      <c r="BJ22" s="146"/>
      <c r="BL22" s="3" t="s">
        <v>167</v>
      </c>
      <c r="BN22" s="3"/>
      <c r="BO22" s="3"/>
      <c r="BP22" s="3"/>
      <c r="BQ22" s="3"/>
      <c r="BR22" s="3"/>
    </row>
    <row r="23" spans="2:70" x14ac:dyDescent="0.45">
      <c r="C23" t="s">
        <v>19</v>
      </c>
      <c r="T23" s="195" t="s">
        <v>20</v>
      </c>
      <c r="U23" s="196"/>
      <c r="V23" s="197"/>
      <c r="W23" s="1"/>
      <c r="AK23" s="3"/>
      <c r="AL23" s="3"/>
      <c r="AM23" s="3"/>
      <c r="AO23" s="3"/>
      <c r="AP23" s="3"/>
      <c r="AQ23" s="3"/>
      <c r="AS23" s="3" t="s">
        <v>168</v>
      </c>
      <c r="AT23" s="3"/>
      <c r="AU23" s="3"/>
      <c r="AV23" s="3"/>
      <c r="AW23" s="3"/>
      <c r="AX23" s="3"/>
      <c r="AY23" s="3"/>
      <c r="BA23" s="3"/>
      <c r="BB23" s="3"/>
      <c r="BC23" s="3"/>
      <c r="BG23" s="3"/>
      <c r="BH23" s="144" t="s">
        <v>164</v>
      </c>
      <c r="BI23" s="145"/>
      <c r="BJ23" s="146"/>
      <c r="BL23" s="3" t="s">
        <v>167</v>
      </c>
      <c r="BN23" s="3"/>
      <c r="BO23" s="3"/>
      <c r="BP23" s="3"/>
      <c r="BQ23" s="3"/>
      <c r="BR23" s="3"/>
    </row>
    <row r="24" spans="2:70" x14ac:dyDescent="0.45">
      <c r="C24" t="s">
        <v>21</v>
      </c>
      <c r="Q24" s="18" t="s">
        <v>22</v>
      </c>
      <c r="S24" t="s">
        <v>3</v>
      </c>
      <c r="T24" s="141">
        <v>30</v>
      </c>
      <c r="U24" s="142"/>
      <c r="V24" s="143"/>
      <c r="W24" s="1" t="s">
        <v>24</v>
      </c>
      <c r="AC24" s="3" t="s">
        <v>139</v>
      </c>
      <c r="AK24" s="3"/>
      <c r="AL24" s="3"/>
      <c r="AM24" s="3"/>
      <c r="AO24" s="3"/>
      <c r="AP24" s="3"/>
      <c r="AQ24" s="3"/>
      <c r="AS24" s="3" t="s">
        <v>169</v>
      </c>
      <c r="AT24" s="3"/>
      <c r="AU24" s="3"/>
      <c r="AV24" s="3"/>
      <c r="AW24" s="3"/>
      <c r="AX24" s="3"/>
      <c r="AY24" s="3"/>
      <c r="BA24" s="3"/>
      <c r="BB24" s="3"/>
      <c r="BC24" s="3"/>
      <c r="BG24" s="3"/>
      <c r="BH24" s="144" t="s">
        <v>193</v>
      </c>
      <c r="BI24" s="145"/>
      <c r="BJ24" s="146"/>
      <c r="BL24" s="3"/>
      <c r="BN24" s="3"/>
      <c r="BO24" s="3"/>
      <c r="BP24" s="3"/>
      <c r="BR24" s="3"/>
    </row>
    <row r="25" spans="2:70" x14ac:dyDescent="0.45">
      <c r="C25" t="s">
        <v>16</v>
      </c>
      <c r="Q25" s="18" t="s">
        <v>23</v>
      </c>
      <c r="S25" t="s">
        <v>3</v>
      </c>
      <c r="T25" s="141">
        <v>19</v>
      </c>
      <c r="U25" s="142"/>
      <c r="V25" s="143"/>
      <c r="W25" s="1" t="s">
        <v>17</v>
      </c>
      <c r="AC25" s="3" t="s">
        <v>139</v>
      </c>
      <c r="AK25" s="3"/>
      <c r="AL25" s="3"/>
      <c r="AN25" s="3"/>
      <c r="AO25" s="3"/>
      <c r="AP25" s="3"/>
      <c r="AQ25" s="3" t="s">
        <v>439</v>
      </c>
      <c r="AR25" s="3"/>
      <c r="AS25" s="3"/>
      <c r="AT25" s="3"/>
      <c r="AU25" s="3"/>
      <c r="AV25" s="3"/>
      <c r="AW25" s="3"/>
      <c r="AX25" s="3"/>
      <c r="AY25" s="3"/>
      <c r="BA25" s="3"/>
      <c r="BB25" s="3"/>
      <c r="BC25" s="3"/>
      <c r="BH25" s="144" t="s">
        <v>164</v>
      </c>
      <c r="BI25" s="145"/>
      <c r="BJ25" s="146"/>
      <c r="BL25" s="3" t="s">
        <v>170</v>
      </c>
      <c r="BN25" s="3"/>
      <c r="BO25" s="3"/>
      <c r="BP25" s="3"/>
      <c r="BR25" s="3"/>
    </row>
    <row r="26" spans="2:70" x14ac:dyDescent="0.45">
      <c r="C26" t="s">
        <v>25</v>
      </c>
      <c r="Q26" s="2" t="s">
        <v>8</v>
      </c>
      <c r="S26" t="s">
        <v>3</v>
      </c>
      <c r="T26" s="141">
        <v>0</v>
      </c>
      <c r="U26" s="142"/>
      <c r="V26" s="143"/>
      <c r="W26" s="1" t="s">
        <v>14</v>
      </c>
      <c r="AC26" s="3" t="s">
        <v>139</v>
      </c>
      <c r="AK26" s="3"/>
      <c r="AL26" s="3"/>
      <c r="AN26" s="3"/>
      <c r="AO26" s="3"/>
      <c r="AP26" s="3" t="s">
        <v>541</v>
      </c>
      <c r="AQ26" s="3"/>
      <c r="AR26" s="3"/>
      <c r="AS26" s="3"/>
      <c r="AT26" s="3"/>
      <c r="AU26" s="3"/>
      <c r="AV26" s="3"/>
      <c r="AW26" s="3"/>
      <c r="AX26" s="3"/>
      <c r="AY26" s="3"/>
      <c r="BA26" s="3"/>
      <c r="BB26" s="3"/>
      <c r="BC26" s="3"/>
      <c r="BG26" s="3"/>
      <c r="BH26" s="144" t="s">
        <v>193</v>
      </c>
      <c r="BI26" s="145"/>
      <c r="BJ26" s="146"/>
      <c r="BL26" s="3" t="s">
        <v>225</v>
      </c>
      <c r="BO26" s="3"/>
      <c r="BP26" s="3"/>
    </row>
    <row r="27" spans="2:70" x14ac:dyDescent="0.45">
      <c r="Q27" s="2"/>
      <c r="T27" s="74"/>
      <c r="U27" s="74"/>
      <c r="V27" s="74"/>
      <c r="W27" s="1"/>
      <c r="AK27" s="3"/>
      <c r="AL27" s="3"/>
      <c r="BN27" s="3"/>
      <c r="BO27" s="3"/>
      <c r="BP27" s="3"/>
    </row>
    <row r="28" spans="2:70" x14ac:dyDescent="0.45">
      <c r="B28" t="s">
        <v>292</v>
      </c>
      <c r="AK28" s="3" t="s">
        <v>171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N28" s="3"/>
      <c r="BO28" s="3"/>
      <c r="BP28" s="3"/>
      <c r="BQ28" s="3"/>
    </row>
    <row r="29" spans="2:70" x14ac:dyDescent="0.45">
      <c r="C29" t="s">
        <v>473</v>
      </c>
      <c r="T29" s="198" t="s">
        <v>474</v>
      </c>
      <c r="U29" s="199"/>
      <c r="V29" s="199"/>
      <c r="W29" s="199"/>
      <c r="X29" s="199"/>
      <c r="Y29" s="200"/>
      <c r="AK29" s="3"/>
      <c r="AL29" s="3"/>
      <c r="AM29" s="3"/>
      <c r="AN29" s="3"/>
      <c r="AO29" s="3"/>
      <c r="AP29" s="178" t="s">
        <v>173</v>
      </c>
      <c r="AQ29" s="179"/>
      <c r="AR29" s="179"/>
      <c r="AS29" s="180"/>
      <c r="AT29" s="178" t="s">
        <v>174</v>
      </c>
      <c r="AU29" s="179"/>
      <c r="AV29" s="179"/>
      <c r="AW29" s="180"/>
      <c r="AX29" s="178" t="s">
        <v>175</v>
      </c>
      <c r="AY29" s="179"/>
      <c r="AZ29" s="179"/>
      <c r="BA29" s="180"/>
      <c r="BB29" s="178" t="s">
        <v>176</v>
      </c>
      <c r="BC29" s="179"/>
      <c r="BD29" s="179"/>
      <c r="BE29" s="180"/>
      <c r="BF29" s="3"/>
      <c r="BG29" s="3"/>
      <c r="BH29" s="3"/>
      <c r="BI29" s="3"/>
      <c r="BL29" s="3" t="s">
        <v>172</v>
      </c>
      <c r="BN29" s="3"/>
      <c r="BO29" s="3"/>
      <c r="BP29" s="3"/>
      <c r="BQ29" s="3"/>
    </row>
    <row r="30" spans="2:70" x14ac:dyDescent="0.45">
      <c r="B30" s="3"/>
      <c r="C30" s="3" t="s">
        <v>26</v>
      </c>
      <c r="D30" s="3"/>
      <c r="E30" s="3"/>
      <c r="Q30" s="18" t="s">
        <v>28</v>
      </c>
      <c r="S30" t="s">
        <v>3</v>
      </c>
      <c r="T30" s="186">
        <v>0.7</v>
      </c>
      <c r="U30" s="187"/>
      <c r="V30" s="188"/>
      <c r="AC30" s="3" t="s">
        <v>140</v>
      </c>
      <c r="AK30" s="3"/>
      <c r="AL30" s="178" t="s">
        <v>476</v>
      </c>
      <c r="AM30" s="179"/>
      <c r="AN30" s="179"/>
      <c r="AO30" s="180"/>
      <c r="AP30" s="181" t="s">
        <v>177</v>
      </c>
      <c r="AQ30" s="182"/>
      <c r="AR30" s="182"/>
      <c r="AS30" s="183"/>
      <c r="AT30" s="181" t="s">
        <v>177</v>
      </c>
      <c r="AU30" s="182"/>
      <c r="AV30" s="182"/>
      <c r="AW30" s="183"/>
      <c r="AX30" s="181" t="s">
        <v>177</v>
      </c>
      <c r="AY30" s="182"/>
      <c r="AZ30" s="182"/>
      <c r="BA30" s="183"/>
      <c r="BB30" s="181" t="s">
        <v>130</v>
      </c>
      <c r="BC30" s="182"/>
      <c r="BD30" s="182"/>
      <c r="BE30" s="183"/>
      <c r="BF30" s="3"/>
      <c r="BG30" s="3"/>
      <c r="BH30" s="3"/>
      <c r="BI30" s="3"/>
      <c r="BL30" s="3"/>
      <c r="BN30" s="3"/>
      <c r="BO30" s="3"/>
      <c r="BQ30" s="3"/>
    </row>
    <row r="31" spans="2:70" x14ac:dyDescent="0.45">
      <c r="B31" s="3"/>
      <c r="C31" s="3" t="s">
        <v>482</v>
      </c>
      <c r="D31" s="3"/>
      <c r="E31" s="3"/>
      <c r="Q31" s="2" t="s">
        <v>483</v>
      </c>
      <c r="S31" t="s">
        <v>3</v>
      </c>
      <c r="T31" s="141">
        <v>0</v>
      </c>
      <c r="U31" s="142"/>
      <c r="V31" s="143"/>
      <c r="W31" s="1" t="s">
        <v>14</v>
      </c>
      <c r="AC31" s="3" t="s">
        <v>140</v>
      </c>
      <c r="AK31" s="3"/>
      <c r="AL31" s="178" t="s">
        <v>194</v>
      </c>
      <c r="AM31" s="179"/>
      <c r="AN31" s="179"/>
      <c r="AO31" s="180"/>
      <c r="AP31" s="181" t="s">
        <v>177</v>
      </c>
      <c r="AQ31" s="182"/>
      <c r="AR31" s="182"/>
      <c r="AS31" s="183"/>
      <c r="AT31" s="181" t="s">
        <v>130</v>
      </c>
      <c r="AU31" s="182"/>
      <c r="AV31" s="182"/>
      <c r="AW31" s="183"/>
      <c r="AX31" s="181" t="s">
        <v>177</v>
      </c>
      <c r="AY31" s="182"/>
      <c r="AZ31" s="182"/>
      <c r="BA31" s="183"/>
      <c r="BB31" s="181" t="s">
        <v>177</v>
      </c>
      <c r="BC31" s="182"/>
      <c r="BD31" s="182"/>
      <c r="BE31" s="183"/>
      <c r="BF31" s="3"/>
      <c r="BG31" s="3"/>
      <c r="BH31" s="3"/>
      <c r="BI31" s="3"/>
      <c r="BL31" s="3"/>
      <c r="BN31" s="3"/>
      <c r="BO31" s="3"/>
      <c r="BQ31" s="3"/>
    </row>
    <row r="32" spans="2:70" x14ac:dyDescent="0.45">
      <c r="B32" s="3"/>
      <c r="C32" s="3" t="s">
        <v>27</v>
      </c>
      <c r="D32" s="3"/>
      <c r="E32" s="3"/>
      <c r="Q32" s="1" t="s">
        <v>29</v>
      </c>
      <c r="S32" t="s">
        <v>3</v>
      </c>
      <c r="T32" s="141">
        <v>300</v>
      </c>
      <c r="U32" s="142"/>
      <c r="V32" s="143"/>
      <c r="W32" s="1" t="s">
        <v>14</v>
      </c>
      <c r="AC32" s="3" t="s">
        <v>141</v>
      </c>
      <c r="AK32" s="3"/>
      <c r="AL32" s="28"/>
      <c r="AM32" s="28"/>
      <c r="AN32" s="28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L32" s="3"/>
      <c r="BN32" s="3"/>
      <c r="BO32" s="3"/>
      <c r="BQ32" s="3"/>
    </row>
    <row r="33" spans="1:70" x14ac:dyDescent="0.45">
      <c r="B33" s="3"/>
      <c r="C33" s="3" t="s">
        <v>290</v>
      </c>
      <c r="D33" s="3"/>
      <c r="E33" s="3"/>
      <c r="Q33" s="1" t="s">
        <v>29</v>
      </c>
      <c r="S33" t="s">
        <v>3</v>
      </c>
      <c r="T33" s="141">
        <v>450</v>
      </c>
      <c r="U33" s="142"/>
      <c r="V33" s="143"/>
      <c r="W33" s="1" t="s">
        <v>14</v>
      </c>
      <c r="AC33" s="3" t="s">
        <v>289</v>
      </c>
      <c r="AI33" s="3"/>
      <c r="AK33" t="s">
        <v>442</v>
      </c>
    </row>
    <row r="34" spans="1:70" x14ac:dyDescent="0.45">
      <c r="C34" s="3" t="s">
        <v>284</v>
      </c>
      <c r="AG34" s="3"/>
      <c r="AH34" s="3"/>
      <c r="AI34" s="3"/>
      <c r="AT34" s="163" t="s">
        <v>35</v>
      </c>
      <c r="AU34" s="164"/>
      <c r="AV34" s="164"/>
      <c r="AW34" s="164"/>
      <c r="AX34" s="164"/>
      <c r="AY34" s="165"/>
      <c r="AZ34" s="184" t="s">
        <v>194</v>
      </c>
      <c r="BA34" s="184"/>
      <c r="BB34" s="184"/>
      <c r="BC34" s="184"/>
      <c r="BD34" s="184"/>
      <c r="BE34" s="185"/>
    </row>
    <row r="35" spans="1:70" s="3" customFormat="1" x14ac:dyDescent="0.45">
      <c r="A35"/>
      <c r="B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 s="175" t="s">
        <v>34</v>
      </c>
      <c r="U35" s="176"/>
      <c r="V35" s="177"/>
      <c r="W35" s="1"/>
      <c r="X35"/>
      <c r="Y35"/>
      <c r="Z35"/>
      <c r="AA35"/>
      <c r="AB35"/>
      <c r="AC35"/>
      <c r="AD35"/>
      <c r="AE35"/>
      <c r="AF35"/>
      <c r="AK35"/>
      <c r="AL35" s="163" t="s">
        <v>36</v>
      </c>
      <c r="AM35" s="164"/>
      <c r="AN35" s="164"/>
      <c r="AO35" s="164"/>
      <c r="AP35" s="164"/>
      <c r="AQ35" s="164"/>
      <c r="AR35" s="164"/>
      <c r="AS35" s="165"/>
      <c r="AT35" s="209" t="s">
        <v>222</v>
      </c>
      <c r="AU35" s="210"/>
      <c r="AV35" s="210"/>
      <c r="AW35" s="210"/>
      <c r="AX35" s="211">
        <v>2</v>
      </c>
      <c r="AY35" s="212"/>
      <c r="AZ35" s="209" t="s">
        <v>291</v>
      </c>
      <c r="BA35" s="210"/>
      <c r="BB35" s="210"/>
      <c r="BC35" s="210"/>
      <c r="BD35" s="211">
        <v>3</v>
      </c>
      <c r="BE35" s="212"/>
      <c r="BF35"/>
      <c r="BG35"/>
      <c r="BH35"/>
      <c r="BI35"/>
      <c r="BL35" s="3" t="s">
        <v>223</v>
      </c>
      <c r="BN35"/>
      <c r="BO35"/>
      <c r="BP35"/>
      <c r="BQ35"/>
      <c r="BR35"/>
    </row>
    <row r="36" spans="1:70" s="3" customFormat="1" x14ac:dyDescent="0.45">
      <c r="B36" s="3" t="s">
        <v>30</v>
      </c>
      <c r="AD36"/>
      <c r="AK36"/>
      <c r="AL36" s="163" t="s">
        <v>37</v>
      </c>
      <c r="AM36" s="164"/>
      <c r="AN36" s="164"/>
      <c r="AO36" s="164"/>
      <c r="AP36" s="164"/>
      <c r="AQ36" s="164"/>
      <c r="AR36" s="164"/>
      <c r="AS36" s="165"/>
      <c r="AT36" s="166">
        <v>1.5</v>
      </c>
      <c r="AU36" s="167"/>
      <c r="AV36" s="167"/>
      <c r="AW36" s="167"/>
      <c r="AX36" s="167"/>
      <c r="AY36" s="168"/>
      <c r="AZ36" s="173">
        <v>1.2</v>
      </c>
      <c r="BA36" s="173"/>
      <c r="BB36" s="173"/>
      <c r="BC36" s="173"/>
      <c r="BD36" s="173"/>
      <c r="BE36" s="174"/>
      <c r="BF36"/>
      <c r="BG36"/>
      <c r="BH36"/>
      <c r="BI36"/>
      <c r="BL36" s="3" t="s">
        <v>224</v>
      </c>
      <c r="BN36"/>
      <c r="BO36"/>
      <c r="BP36"/>
      <c r="BQ36"/>
      <c r="BR36"/>
    </row>
    <row r="37" spans="1:70" s="3" customFormat="1" x14ac:dyDescent="0.45">
      <c r="C37" s="3" t="s">
        <v>31</v>
      </c>
      <c r="E37"/>
      <c r="F37"/>
      <c r="G37"/>
      <c r="H37"/>
      <c r="I37"/>
      <c r="J37"/>
      <c r="K37"/>
      <c r="L37"/>
      <c r="M37"/>
      <c r="N37"/>
      <c r="O37"/>
      <c r="P37"/>
      <c r="Q37" s="2" t="s">
        <v>33</v>
      </c>
      <c r="R37"/>
      <c r="S37" t="s">
        <v>3</v>
      </c>
      <c r="T37" s="141">
        <v>10</v>
      </c>
      <c r="U37" s="142"/>
      <c r="V37" s="143"/>
      <c r="W37" s="1" t="s">
        <v>14</v>
      </c>
      <c r="X37"/>
      <c r="Y37"/>
      <c r="Z37"/>
      <c r="AA37"/>
      <c r="AB37"/>
      <c r="AC37" s="3" t="s">
        <v>142</v>
      </c>
      <c r="AD37"/>
      <c r="AE37"/>
      <c r="AK37"/>
      <c r="AL37" s="163" t="s">
        <v>38</v>
      </c>
      <c r="AM37" s="164"/>
      <c r="AN37" s="164"/>
      <c r="AO37" s="164"/>
      <c r="AP37" s="164"/>
      <c r="AQ37" s="164"/>
      <c r="AR37" s="164"/>
      <c r="AS37" s="165"/>
      <c r="AT37" s="171">
        <f>T32</f>
        <v>300</v>
      </c>
      <c r="AU37" s="172"/>
      <c r="AV37" s="172"/>
      <c r="AW37" s="161" t="s">
        <v>39</v>
      </c>
      <c r="AX37" s="161"/>
      <c r="AY37" s="162"/>
      <c r="AZ37" s="169">
        <f>T33</f>
        <v>450</v>
      </c>
      <c r="BA37" s="170"/>
      <c r="BB37" s="170"/>
      <c r="BC37" s="161" t="s">
        <v>39</v>
      </c>
      <c r="BD37" s="161"/>
      <c r="BE37" s="162"/>
      <c r="BF37"/>
      <c r="BG37"/>
      <c r="BH37"/>
      <c r="BI37"/>
      <c r="BL37" s="3" t="s">
        <v>289</v>
      </c>
      <c r="BN37"/>
      <c r="BO37"/>
      <c r="BQ37"/>
    </row>
    <row r="38" spans="1:70" s="3" customFormat="1" x14ac:dyDescent="0.45">
      <c r="A38" s="34"/>
      <c r="C38" s="3" t="s">
        <v>32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 s="175" t="s">
        <v>34</v>
      </c>
      <c r="U38" s="176"/>
      <c r="V38" s="177"/>
      <c r="AI38" s="3">
        <v>1</v>
      </c>
      <c r="AL38" s="163" t="s">
        <v>444</v>
      </c>
      <c r="AM38" s="164"/>
      <c r="AN38" s="164"/>
      <c r="AO38" s="164"/>
      <c r="AP38" s="164"/>
      <c r="AQ38" s="164"/>
      <c r="AR38" s="164"/>
      <c r="AS38" s="165"/>
      <c r="AT38" s="207" t="s">
        <v>443</v>
      </c>
      <c r="AU38" s="167"/>
      <c r="AV38" s="167"/>
      <c r="AW38" s="167"/>
      <c r="AX38" s="167"/>
      <c r="AY38" s="168"/>
      <c r="AZ38" s="208" t="s">
        <v>443</v>
      </c>
      <c r="BA38" s="173"/>
      <c r="BB38" s="173"/>
      <c r="BC38" s="173"/>
      <c r="BD38" s="173"/>
      <c r="BE38" s="174"/>
      <c r="BF38"/>
      <c r="BG38"/>
      <c r="BH38"/>
      <c r="BI38"/>
      <c r="BL38" s="3" t="s">
        <v>484</v>
      </c>
      <c r="BR38" s="3">
        <v>2</v>
      </c>
    </row>
    <row r="39" spans="1:70" s="3" customFormat="1" x14ac:dyDescent="0.45"/>
    <row r="40" spans="1:70" s="3" customFormat="1" x14ac:dyDescent="0.45"/>
    <row r="41" spans="1:70" s="3" customFormat="1" x14ac:dyDescent="0.45"/>
    <row r="42" spans="1:70" s="3" customFormat="1" x14ac:dyDescent="0.45"/>
    <row r="43" spans="1:70" s="3" customFormat="1" x14ac:dyDescent="0.45">
      <c r="AI43"/>
    </row>
    <row r="44" spans="1:70" s="3" customFormat="1" x14ac:dyDescent="0.45">
      <c r="AF44"/>
      <c r="AG44"/>
      <c r="AH44"/>
      <c r="AI44"/>
    </row>
    <row r="45" spans="1:70" s="3" customFormat="1" x14ac:dyDescent="0.45">
      <c r="A45" s="34"/>
      <c r="AF45"/>
      <c r="AG45"/>
      <c r="AH45"/>
      <c r="AI45"/>
      <c r="BP45"/>
      <c r="BR45"/>
    </row>
    <row r="46" spans="1:70" x14ac:dyDescent="0.45">
      <c r="AI46" s="3"/>
    </row>
    <row r="47" spans="1:70" x14ac:dyDescent="0.45">
      <c r="AF47" s="3"/>
      <c r="AG47" s="3"/>
      <c r="AH47" s="3"/>
      <c r="AI47" s="3"/>
    </row>
    <row r="48" spans="1:70" x14ac:dyDescent="0.45">
      <c r="AF48" s="3"/>
      <c r="AG48" s="3"/>
      <c r="AH48" s="3"/>
      <c r="AI48" s="3"/>
      <c r="BP48" s="3"/>
      <c r="BR48" s="3"/>
    </row>
    <row r="49" spans="1:70" s="3" customFormat="1" x14ac:dyDescent="0.45"/>
    <row r="50" spans="1:70" s="3" customFormat="1" x14ac:dyDescent="0.45"/>
    <row r="51" spans="1:70" s="3" customFormat="1" x14ac:dyDescent="0.45"/>
    <row r="52" spans="1:70" s="3" customFormat="1" x14ac:dyDescent="0.45"/>
    <row r="53" spans="1:70" s="3" customFormat="1" x14ac:dyDescent="0.45"/>
    <row r="54" spans="1:70" s="3" customFormat="1" x14ac:dyDescent="0.45"/>
    <row r="55" spans="1:70" s="3" customFormat="1" x14ac:dyDescent="0.45"/>
    <row r="56" spans="1:70" s="3" customFormat="1" x14ac:dyDescent="0.45"/>
    <row r="57" spans="1:70" s="3" customFormat="1" x14ac:dyDescent="0.45"/>
    <row r="58" spans="1:70" s="3" customFormat="1" x14ac:dyDescent="0.45"/>
    <row r="59" spans="1:70" s="3" customFormat="1" x14ac:dyDescent="0.45">
      <c r="A59" s="34"/>
    </row>
    <row r="60" spans="1:70" s="3" customFormat="1" x14ac:dyDescent="0.45">
      <c r="AI60"/>
    </row>
    <row r="61" spans="1:70" s="3" customFormat="1" x14ac:dyDescent="0.45">
      <c r="AF61"/>
      <c r="AG61"/>
      <c r="AH61"/>
      <c r="AI61"/>
    </row>
    <row r="62" spans="1:70" s="3" customFormat="1" x14ac:dyDescent="0.45">
      <c r="AF62"/>
      <c r="AG62"/>
      <c r="AH62"/>
      <c r="AI62"/>
      <c r="BP62"/>
      <c r="BR62"/>
    </row>
  </sheetData>
  <sheetProtection sheet="1" objects="1" scenarios="1"/>
  <mergeCells count="86">
    <mergeCell ref="BH24:BJ24"/>
    <mergeCell ref="AZ35:BC35"/>
    <mergeCell ref="BD35:BE35"/>
    <mergeCell ref="BH12:BJ12"/>
    <mergeCell ref="BH13:BJ13"/>
    <mergeCell ref="BH14:BJ14"/>
    <mergeCell ref="BH17:BJ17"/>
    <mergeCell ref="AL38:AS38"/>
    <mergeCell ref="AT38:AY38"/>
    <mergeCell ref="AZ38:BE38"/>
    <mergeCell ref="BH20:BJ20"/>
    <mergeCell ref="BH21:BJ21"/>
    <mergeCell ref="BH22:BJ22"/>
    <mergeCell ref="AT29:AW29"/>
    <mergeCell ref="AX29:BA29"/>
    <mergeCell ref="AT35:AW35"/>
    <mergeCell ref="AL31:AO31"/>
    <mergeCell ref="AP31:AS31"/>
    <mergeCell ref="AT31:AW31"/>
    <mergeCell ref="AX35:AY35"/>
    <mergeCell ref="BH26:BJ26"/>
    <mergeCell ref="AL35:AS35"/>
    <mergeCell ref="BH23:BJ23"/>
    <mergeCell ref="T9:V9"/>
    <mergeCell ref="T10:V10"/>
    <mergeCell ref="T31:V31"/>
    <mergeCell ref="T17:V17"/>
    <mergeCell ref="T19:V19"/>
    <mergeCell ref="T14:V14"/>
    <mergeCell ref="T15:V15"/>
    <mergeCell ref="T16:V16"/>
    <mergeCell ref="T18:V18"/>
    <mergeCell ref="T32:V32"/>
    <mergeCell ref="O16:P16"/>
    <mergeCell ref="O18:P18"/>
    <mergeCell ref="O20:P20"/>
    <mergeCell ref="Q20:R20"/>
    <mergeCell ref="T20:V20"/>
    <mergeCell ref="O17:P17"/>
    <mergeCell ref="O19:P19"/>
    <mergeCell ref="T23:V23"/>
    <mergeCell ref="T24:V24"/>
    <mergeCell ref="T25:V25"/>
    <mergeCell ref="T26:V26"/>
    <mergeCell ref="T29:Y29"/>
    <mergeCell ref="T38:V38"/>
    <mergeCell ref="AT34:AY34"/>
    <mergeCell ref="BH25:BJ25"/>
    <mergeCell ref="T33:V33"/>
    <mergeCell ref="AL30:AO30"/>
    <mergeCell ref="AP30:AS30"/>
    <mergeCell ref="AT30:AW30"/>
    <mergeCell ref="T35:V35"/>
    <mergeCell ref="BB29:BE29"/>
    <mergeCell ref="AX30:BA30"/>
    <mergeCell ref="BB30:BE30"/>
    <mergeCell ref="AZ34:BE34"/>
    <mergeCell ref="AX31:BA31"/>
    <mergeCell ref="BB31:BE31"/>
    <mergeCell ref="T30:V30"/>
    <mergeCell ref="AP29:AS29"/>
    <mergeCell ref="T37:V37"/>
    <mergeCell ref="AW37:AY37"/>
    <mergeCell ref="AL36:AS36"/>
    <mergeCell ref="AT36:AY36"/>
    <mergeCell ref="BC37:BE37"/>
    <mergeCell ref="AZ37:BB37"/>
    <mergeCell ref="AL37:AS37"/>
    <mergeCell ref="AT37:AV37"/>
    <mergeCell ref="AZ36:BE36"/>
    <mergeCell ref="M16:N16"/>
    <mergeCell ref="M18:N18"/>
    <mergeCell ref="M20:N20"/>
    <mergeCell ref="BH2:BJ2"/>
    <mergeCell ref="BH7:BJ7"/>
    <mergeCell ref="T11:V11"/>
    <mergeCell ref="BH3:BL3"/>
    <mergeCell ref="BH4:BJ4"/>
    <mergeCell ref="BH5:BJ5"/>
    <mergeCell ref="BH6:BJ6"/>
    <mergeCell ref="T6:V6"/>
    <mergeCell ref="T8:V8"/>
    <mergeCell ref="T7:V7"/>
    <mergeCell ref="Y9:AA9"/>
    <mergeCell ref="BH10:BJ10"/>
    <mergeCell ref="BH11:BJ11"/>
  </mergeCells>
  <phoneticPr fontId="1"/>
  <dataValidations disablePrompts="1" count="4">
    <dataValidation type="list" allowBlank="1" showInputMessage="1" showErrorMessage="1" sqref="BB30:BB31 AX30:AX31 AT30:AT31 AP30:AP31" xr:uid="{77DAE85E-65A3-4781-94E6-DDE2C86997B4}">
      <formula1>"有り, ー"</formula1>
    </dataValidation>
    <dataValidation type="list" allowBlank="1" showInputMessage="1" showErrorMessage="1" sqref="BH11:BH14" xr:uid="{A514AB4C-928D-4DB5-8FA3-E1D3EAECEA45}">
      <formula1>"性能１, 性能２, 性能３"</formula1>
    </dataValidation>
    <dataValidation type="list" allowBlank="1" showInputMessage="1" showErrorMessage="1" sqref="BH10" xr:uid="{32C487C4-DFB9-4DFD-ABD7-E2A27B2C4706}">
      <formula1>"重要度１, 重要度２"</formula1>
    </dataValidation>
    <dataValidation type="list" allowBlank="1" showInputMessage="1" showErrorMessage="1" sqref="BH20:BH26" xr:uid="{0CC3604F-C0EA-4D4E-83D1-9026DA6350C6}">
      <formula1>"要, 不要"</formula1>
    </dataValidation>
  </dataValidations>
  <hyperlinks>
    <hyperlink ref="AA1" r:id="rId1" xr:uid="{D441FB5D-8041-4BB5-B090-94F79955F351}"/>
  </hyperlinks>
  <pageMargins left="0.70866141732283472" right="0.70866141732283472" top="0.74803149606299213" bottom="0.74803149606299213" header="0.31496062992125984" footer="0.31496062992125984"/>
  <pageSetup paperSize="9" scale="75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E98D7-E436-4516-A622-689E118C87CD}">
  <dimension ref="B2:BR38"/>
  <sheetViews>
    <sheetView showGridLines="0" view="pageBreakPreview" zoomScale="70" zoomScaleNormal="70" zoomScaleSheetLayoutView="70" workbookViewId="0">
      <selection activeCell="A2" sqref="A2"/>
    </sheetView>
  </sheetViews>
  <sheetFormatPr defaultRowHeight="18" x14ac:dyDescent="0.45"/>
  <cols>
    <col min="1" max="105" width="3" customWidth="1"/>
  </cols>
  <sheetData>
    <row r="2" spans="2:70" x14ac:dyDescent="0.45">
      <c r="B2" s="3" t="s">
        <v>211</v>
      </c>
      <c r="AI2" s="1"/>
      <c r="AL2" s="3" t="s">
        <v>468</v>
      </c>
    </row>
    <row r="3" spans="2:70" x14ac:dyDescent="0.45">
      <c r="C3" s="3" t="s">
        <v>466</v>
      </c>
      <c r="AC3" s="2"/>
      <c r="AF3" s="35"/>
      <c r="AG3" s="35"/>
      <c r="AH3" s="35"/>
      <c r="AM3" t="s">
        <v>306</v>
      </c>
    </row>
    <row r="4" spans="2:70" x14ac:dyDescent="0.45">
      <c r="B4" s="3"/>
      <c r="D4" t="s">
        <v>390</v>
      </c>
      <c r="Y4" s="36"/>
      <c r="Z4" s="37"/>
      <c r="AA4" s="37"/>
      <c r="AB4" s="37"/>
      <c r="AC4" s="37"/>
      <c r="AD4" s="37"/>
      <c r="AE4" s="37"/>
      <c r="AF4" s="37"/>
      <c r="AG4" s="37"/>
      <c r="AH4" s="42"/>
      <c r="AM4" s="220" t="s">
        <v>65</v>
      </c>
      <c r="AN4" s="220"/>
      <c r="AO4" t="s">
        <v>3</v>
      </c>
      <c r="AP4" s="216">
        <f>'2.土-衝'!BM11</f>
        <v>56.247634397263788</v>
      </c>
      <c r="AQ4" s="216"/>
      <c r="AR4" s="216"/>
      <c r="AS4" s="21" t="s">
        <v>91</v>
      </c>
    </row>
    <row r="5" spans="2:70" x14ac:dyDescent="0.45">
      <c r="Y5" s="5"/>
      <c r="AH5" s="6"/>
      <c r="AM5" s="220" t="s">
        <v>294</v>
      </c>
      <c r="AN5" s="220"/>
      <c r="AO5" s="316" t="s">
        <v>3</v>
      </c>
      <c r="AP5" s="317">
        <v>2</v>
      </c>
      <c r="AQ5" s="317"/>
      <c r="AR5" s="76" t="s">
        <v>67</v>
      </c>
      <c r="AS5" s="223" t="s">
        <v>65</v>
      </c>
      <c r="AT5" s="223"/>
      <c r="AV5" s="219" t="s">
        <v>3</v>
      </c>
      <c r="AW5" s="317">
        <v>2</v>
      </c>
      <c r="AX5" s="317"/>
      <c r="AY5" s="76" t="s">
        <v>67</v>
      </c>
      <c r="AZ5" s="224">
        <f>AP4</f>
        <v>56.247634397263788</v>
      </c>
      <c r="BA5" s="225"/>
      <c r="BB5" s="225"/>
      <c r="BD5" s="219" t="s">
        <v>3</v>
      </c>
      <c r="BE5" s="216">
        <f>AW5*AZ5/AW6/AZ6^2</f>
        <v>0.16446676724346135</v>
      </c>
      <c r="BF5" s="216"/>
      <c r="BG5" s="216"/>
    </row>
    <row r="6" spans="2:70" x14ac:dyDescent="0.45">
      <c r="C6" s="3" t="s">
        <v>467</v>
      </c>
      <c r="Y6" s="5"/>
      <c r="AH6" s="6"/>
      <c r="AM6" s="220"/>
      <c r="AN6" s="220"/>
      <c r="AO6" s="316"/>
      <c r="AP6" s="339" t="s">
        <v>23</v>
      </c>
      <c r="AQ6" s="339"/>
      <c r="AR6" t="s">
        <v>67</v>
      </c>
      <c r="AS6" s="220" t="s">
        <v>295</v>
      </c>
      <c r="AT6" s="220"/>
      <c r="AV6" s="219"/>
      <c r="AW6" s="335">
        <f>'1.条件'!T25</f>
        <v>19</v>
      </c>
      <c r="AX6" s="227"/>
      <c r="AY6" t="s">
        <v>67</v>
      </c>
      <c r="AZ6" s="226">
        <f>'1.条件'!T6</f>
        <v>6</v>
      </c>
      <c r="BA6" s="226"/>
      <c r="BB6" s="77" t="s">
        <v>296</v>
      </c>
      <c r="BD6" s="219"/>
      <c r="BE6" s="216"/>
      <c r="BF6" s="216"/>
      <c r="BG6" s="216"/>
    </row>
    <row r="7" spans="2:70" x14ac:dyDescent="0.45">
      <c r="D7" t="s">
        <v>424</v>
      </c>
      <c r="Y7" s="5"/>
      <c r="AH7" s="6"/>
    </row>
    <row r="8" spans="2:70" x14ac:dyDescent="0.45">
      <c r="D8" t="s">
        <v>423</v>
      </c>
      <c r="Y8" s="5"/>
      <c r="AH8" s="6"/>
      <c r="AM8" t="s">
        <v>414</v>
      </c>
    </row>
    <row r="9" spans="2:70" x14ac:dyDescent="0.45">
      <c r="D9" t="s">
        <v>302</v>
      </c>
      <c r="Y9" s="5"/>
      <c r="AH9" s="6"/>
      <c r="AM9" s="220" t="s">
        <v>413</v>
      </c>
      <c r="AN9" s="220"/>
      <c r="AO9" t="s">
        <v>3</v>
      </c>
      <c r="AP9" s="220" t="s">
        <v>294</v>
      </c>
      <c r="AQ9" s="220"/>
      <c r="AR9" t="s">
        <v>67</v>
      </c>
      <c r="AS9" s="222" t="s">
        <v>23</v>
      </c>
      <c r="AT9" s="222"/>
      <c r="AU9" t="s">
        <v>67</v>
      </c>
      <c r="AV9" s="220" t="s">
        <v>297</v>
      </c>
      <c r="AW9" s="220"/>
      <c r="AY9" t="s">
        <v>3</v>
      </c>
      <c r="AZ9" s="216">
        <f>BE5</f>
        <v>0.16446676724346135</v>
      </c>
      <c r="BA9" s="218"/>
      <c r="BB9" s="1" t="s">
        <v>62</v>
      </c>
      <c r="BC9" s="217">
        <f>'1.条件'!T25</f>
        <v>19</v>
      </c>
      <c r="BD9" s="217"/>
      <c r="BE9" s="1" t="s">
        <v>62</v>
      </c>
      <c r="BF9" s="220" t="s">
        <v>297</v>
      </c>
      <c r="BG9" s="220"/>
      <c r="BI9" t="s">
        <v>3</v>
      </c>
      <c r="BJ9" s="216">
        <f>AZ9*BC9</f>
        <v>3.1248685776257656</v>
      </c>
      <c r="BK9" s="216"/>
      <c r="BL9" s="216"/>
      <c r="BM9" s="220" t="s">
        <v>297</v>
      </c>
      <c r="BN9" s="220"/>
    </row>
    <row r="10" spans="2:70" x14ac:dyDescent="0.45">
      <c r="E10" t="s">
        <v>427</v>
      </c>
      <c r="Y10" s="5"/>
      <c r="AH10" s="6"/>
    </row>
    <row r="11" spans="2:70" x14ac:dyDescent="0.45">
      <c r="E11" s="220" t="s">
        <v>428</v>
      </c>
      <c r="F11" s="220"/>
      <c r="G11" s="316" t="s">
        <v>3</v>
      </c>
      <c r="H11" s="223" t="s">
        <v>398</v>
      </c>
      <c r="I11" s="223"/>
      <c r="J11" s="223"/>
      <c r="K11" s="2"/>
      <c r="L11" s="316" t="s">
        <v>3</v>
      </c>
      <c r="M11" s="317">
        <f>P14</f>
        <v>30</v>
      </c>
      <c r="N11" s="225"/>
      <c r="O11" s="225"/>
      <c r="S11" s="1"/>
      <c r="Y11" s="5"/>
      <c r="AH11" s="6"/>
      <c r="AM11" t="s">
        <v>415</v>
      </c>
      <c r="BB11" s="2"/>
      <c r="BC11" s="2"/>
      <c r="BE11" s="36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42"/>
    </row>
    <row r="12" spans="2:70" x14ac:dyDescent="0.45">
      <c r="E12" s="220"/>
      <c r="F12" s="220"/>
      <c r="G12" s="316"/>
      <c r="H12" s="1">
        <v>1</v>
      </c>
      <c r="I12" t="s">
        <v>68</v>
      </c>
      <c r="J12" s="22" t="s">
        <v>297</v>
      </c>
      <c r="L12" s="316"/>
      <c r="M12" s="1">
        <v>1</v>
      </c>
      <c r="N12" t="s">
        <v>68</v>
      </c>
      <c r="O12" s="22" t="s">
        <v>297</v>
      </c>
      <c r="Y12" s="5"/>
      <c r="AH12" s="6"/>
      <c r="AM12" s="220" t="s">
        <v>379</v>
      </c>
      <c r="AN12" s="220"/>
      <c r="AO12" s="316" t="s">
        <v>3</v>
      </c>
      <c r="AP12" s="223" t="s">
        <v>413</v>
      </c>
      <c r="AQ12" s="223"/>
      <c r="AR12" s="11" t="s">
        <v>67</v>
      </c>
      <c r="AS12" s="223" t="s">
        <v>297</v>
      </c>
      <c r="AT12" s="223"/>
      <c r="AX12" s="1"/>
      <c r="BE12" s="5"/>
      <c r="BR12" s="6"/>
    </row>
    <row r="13" spans="2:70" x14ac:dyDescent="0.45">
      <c r="E13" t="s">
        <v>256</v>
      </c>
      <c r="Y13" s="5"/>
      <c r="AH13" s="6"/>
      <c r="AM13" s="220"/>
      <c r="AN13" s="220"/>
      <c r="AO13" s="316"/>
      <c r="AR13" s="1">
        <v>2</v>
      </c>
      <c r="BE13" s="5"/>
      <c r="BR13" s="6"/>
    </row>
    <row r="14" spans="2:70" x14ac:dyDescent="0.45">
      <c r="F14" s="220" t="s">
        <v>398</v>
      </c>
      <c r="G14" s="220"/>
      <c r="H14" s="3" t="s">
        <v>377</v>
      </c>
      <c r="M14" s="2" t="s">
        <v>398</v>
      </c>
      <c r="N14" s="2"/>
      <c r="O14" s="27" t="s">
        <v>188</v>
      </c>
      <c r="P14" s="401">
        <f>'1.条件'!BH4</f>
        <v>30</v>
      </c>
      <c r="Q14" s="402"/>
      <c r="R14" s="402"/>
      <c r="S14" s="1" t="s">
        <v>84</v>
      </c>
      <c r="Y14" s="5"/>
      <c r="AH14" s="6"/>
      <c r="BE14" s="5"/>
      <c r="BR14" s="6"/>
    </row>
    <row r="15" spans="2:70" x14ac:dyDescent="0.45">
      <c r="Y15" s="5"/>
      <c r="AH15" s="6"/>
      <c r="AM15" s="15" t="s">
        <v>86</v>
      </c>
      <c r="BE15" s="5"/>
      <c r="BR15" s="6"/>
    </row>
    <row r="16" spans="2:70" x14ac:dyDescent="0.45">
      <c r="D16" t="s">
        <v>301</v>
      </c>
      <c r="Y16" s="7"/>
      <c r="Z16" s="11"/>
      <c r="AA16" s="11"/>
      <c r="AB16" s="11"/>
      <c r="AC16" s="11"/>
      <c r="AD16" s="11"/>
      <c r="AE16" s="11"/>
      <c r="AF16" s="11"/>
      <c r="AG16" s="11"/>
      <c r="AH16" s="8"/>
      <c r="AN16" s="251" t="s">
        <v>485</v>
      </c>
      <c r="AO16" s="251"/>
      <c r="AP16" s="16" t="s">
        <v>3</v>
      </c>
      <c r="AQ16" s="245" t="s">
        <v>379</v>
      </c>
      <c r="AR16" s="245"/>
      <c r="AS16" s="252" t="s">
        <v>95</v>
      </c>
      <c r="AT16" s="252"/>
      <c r="AU16" s="252"/>
      <c r="AV16" s="252"/>
      <c r="BE16" s="5"/>
      <c r="BR16" s="6"/>
    </row>
    <row r="17" spans="4:70" x14ac:dyDescent="0.45">
      <c r="E17" t="s">
        <v>429</v>
      </c>
      <c r="AP17" s="16" t="s">
        <v>3</v>
      </c>
      <c r="AQ17" s="245" t="s">
        <v>379</v>
      </c>
      <c r="AR17" s="245"/>
      <c r="AS17" s="252" t="s">
        <v>88</v>
      </c>
      <c r="AT17" s="252"/>
      <c r="AU17" s="252"/>
      <c r="AV17" s="254">
        <f>'2.土-常'!R21</f>
        <v>-21.8</v>
      </c>
      <c r="AW17" s="254"/>
      <c r="AX17" s="16" t="s">
        <v>89</v>
      </c>
      <c r="AY17" s="254">
        <f>'2.土-常'!P23</f>
        <v>20</v>
      </c>
      <c r="AZ17" s="254"/>
      <c r="BA17" s="15" t="s">
        <v>90</v>
      </c>
      <c r="BE17" s="5"/>
      <c r="BR17" s="6"/>
    </row>
    <row r="18" spans="4:70" x14ac:dyDescent="0.45">
      <c r="E18" s="220" t="s">
        <v>425</v>
      </c>
      <c r="F18" s="220"/>
      <c r="G18" s="316" t="s">
        <v>3</v>
      </c>
      <c r="H18" s="223" t="s">
        <v>426</v>
      </c>
      <c r="I18" s="223"/>
      <c r="J18" s="223"/>
      <c r="K18" s="2"/>
      <c r="L18" s="316" t="s">
        <v>3</v>
      </c>
      <c r="M18" s="317">
        <f>S21</f>
        <v>25</v>
      </c>
      <c r="N18" s="225"/>
      <c r="O18" s="225"/>
      <c r="AP18" s="16" t="s">
        <v>3</v>
      </c>
      <c r="AQ18" s="253">
        <f>COS((AV17+AY17)*PI()/180)</f>
        <v>0.9995065603657316</v>
      </c>
      <c r="AR18" s="253"/>
      <c r="AS18" s="245" t="s">
        <v>379</v>
      </c>
      <c r="AT18" s="245"/>
      <c r="AU18" s="21" t="s">
        <v>91</v>
      </c>
      <c r="BE18" s="5"/>
      <c r="BR18" s="6"/>
    </row>
    <row r="19" spans="4:70" x14ac:dyDescent="0.45">
      <c r="E19" s="220"/>
      <c r="F19" s="220"/>
      <c r="G19" s="316"/>
      <c r="H19" s="1">
        <v>1</v>
      </c>
      <c r="I19" t="s">
        <v>68</v>
      </c>
      <c r="J19" s="22" t="s">
        <v>297</v>
      </c>
      <c r="L19" s="316"/>
      <c r="M19" s="1">
        <v>1</v>
      </c>
      <c r="N19" t="s">
        <v>68</v>
      </c>
      <c r="O19" s="22" t="s">
        <v>297</v>
      </c>
      <c r="AM19" s="15" t="s">
        <v>92</v>
      </c>
      <c r="BE19" s="5"/>
      <c r="BR19" s="6"/>
    </row>
    <row r="20" spans="4:70" x14ac:dyDescent="0.45">
      <c r="E20" t="s">
        <v>256</v>
      </c>
      <c r="AN20" s="251" t="s">
        <v>486</v>
      </c>
      <c r="AO20" s="251"/>
      <c r="AP20" s="16" t="s">
        <v>3</v>
      </c>
      <c r="AQ20" s="245" t="s">
        <v>379</v>
      </c>
      <c r="AR20" s="245"/>
      <c r="AS20" s="252" t="s">
        <v>96</v>
      </c>
      <c r="AT20" s="252"/>
      <c r="AU20" s="252"/>
      <c r="AV20" s="252"/>
      <c r="BE20" s="5"/>
      <c r="BR20" s="6"/>
    </row>
    <row r="21" spans="4:70" x14ac:dyDescent="0.45">
      <c r="F21" s="220" t="s">
        <v>426</v>
      </c>
      <c r="G21" s="220"/>
      <c r="H21" s="3" t="s">
        <v>378</v>
      </c>
      <c r="P21" s="220" t="s">
        <v>426</v>
      </c>
      <c r="Q21" s="220"/>
      <c r="R21" s="27" t="s">
        <v>188</v>
      </c>
      <c r="S21" s="401">
        <f>'1.条件'!BH6</f>
        <v>25</v>
      </c>
      <c r="T21" s="401"/>
      <c r="U21" s="401"/>
      <c r="V21" s="1" t="s">
        <v>84</v>
      </c>
      <c r="AP21" s="16" t="s">
        <v>3</v>
      </c>
      <c r="AQ21" s="245" t="s">
        <v>379</v>
      </c>
      <c r="AR21" s="245"/>
      <c r="AS21" s="252" t="s">
        <v>94</v>
      </c>
      <c r="AT21" s="252"/>
      <c r="AU21" s="252"/>
      <c r="AV21" s="254">
        <f>AV17</f>
        <v>-21.8</v>
      </c>
      <c r="AW21" s="254"/>
      <c r="AX21" s="16" t="s">
        <v>89</v>
      </c>
      <c r="AY21" s="254">
        <f>AY17</f>
        <v>20</v>
      </c>
      <c r="AZ21" s="254"/>
      <c r="BA21" s="15" t="s">
        <v>90</v>
      </c>
      <c r="BE21" s="5"/>
      <c r="BR21" s="6"/>
    </row>
    <row r="22" spans="4:70" x14ac:dyDescent="0.45">
      <c r="AO22" s="3"/>
      <c r="AP22" s="16" t="s">
        <v>3</v>
      </c>
      <c r="AQ22" s="253">
        <f>SIN((AV21+AY21)*PI()/180)</f>
        <v>-3.1410759078128306E-2</v>
      </c>
      <c r="AR22" s="253"/>
      <c r="AS22" s="245" t="s">
        <v>379</v>
      </c>
      <c r="AT22" s="245"/>
      <c r="AU22" s="21" t="s">
        <v>91</v>
      </c>
      <c r="AV22" s="3"/>
      <c r="AW22" s="3"/>
      <c r="AX22" s="3"/>
      <c r="AY22" s="3"/>
      <c r="BE22" s="5"/>
      <c r="BR22" s="6"/>
    </row>
    <row r="23" spans="4:70" x14ac:dyDescent="0.45">
      <c r="D23" t="s">
        <v>298</v>
      </c>
      <c r="AM23" t="s">
        <v>298</v>
      </c>
      <c r="BE23" s="5"/>
      <c r="BR23" s="6"/>
    </row>
    <row r="24" spans="4:70" x14ac:dyDescent="0.25">
      <c r="E24" s="251" t="s">
        <v>432</v>
      </c>
      <c r="F24" s="251"/>
      <c r="G24" s="16" t="s">
        <v>3</v>
      </c>
      <c r="H24" s="22" t="s">
        <v>297</v>
      </c>
      <c r="I24" s="49" t="s">
        <v>68</v>
      </c>
      <c r="J24" s="22" t="s">
        <v>403</v>
      </c>
      <c r="L24" s="16" t="s">
        <v>3</v>
      </c>
      <c r="M24" s="22" t="s">
        <v>297</v>
      </c>
      <c r="N24" s="49" t="s">
        <v>68</v>
      </c>
      <c r="O24" s="400">
        <f>Y27</f>
        <v>0.6</v>
      </c>
      <c r="P24" s="400"/>
      <c r="Q24" s="400"/>
      <c r="AN24" s="251" t="s">
        <v>416</v>
      </c>
      <c r="AO24" s="251"/>
      <c r="AP24" s="16" t="s">
        <v>3</v>
      </c>
      <c r="AQ24" s="22" t="s">
        <v>297</v>
      </c>
      <c r="AR24" s="15" t="s">
        <v>110</v>
      </c>
      <c r="AS24" s="21">
        <v>3</v>
      </c>
      <c r="BE24" s="7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8"/>
    </row>
    <row r="25" spans="4:70" x14ac:dyDescent="0.25">
      <c r="E25" s="251" t="s">
        <v>433</v>
      </c>
      <c r="F25" s="251"/>
      <c r="G25" s="16" t="s">
        <v>3</v>
      </c>
      <c r="H25" s="1" t="s">
        <v>60</v>
      </c>
      <c r="I25" s="2" t="s">
        <v>533</v>
      </c>
      <c r="J25" s="1" t="s">
        <v>68</v>
      </c>
      <c r="K25" s="2" t="s">
        <v>410</v>
      </c>
      <c r="L25" s="21" t="s">
        <v>61</v>
      </c>
      <c r="M25" s="22" t="s">
        <v>297</v>
      </c>
      <c r="N25" s="33" t="s">
        <v>179</v>
      </c>
      <c r="O25" s="1">
        <v>2</v>
      </c>
      <c r="P25" s="110" t="s">
        <v>3</v>
      </c>
      <c r="Q25" s="1" t="s">
        <v>60</v>
      </c>
      <c r="R25" s="216">
        <f>'1.条件'!T9</f>
        <v>0.5</v>
      </c>
      <c r="S25" s="216"/>
      <c r="T25" s="21" t="s">
        <v>68</v>
      </c>
      <c r="U25" s="216">
        <f>'1.条件'!T10</f>
        <v>0.4</v>
      </c>
      <c r="V25" s="216"/>
      <c r="W25" s="1" t="s">
        <v>61</v>
      </c>
      <c r="X25" s="22" t="s">
        <v>297</v>
      </c>
      <c r="Y25" s="33" t="s">
        <v>179</v>
      </c>
      <c r="Z25" s="1">
        <v>2</v>
      </c>
      <c r="AA25" s="110" t="s">
        <v>3</v>
      </c>
      <c r="AB25" s="216">
        <f>(R25+U25)/Z25</f>
        <v>0.45</v>
      </c>
      <c r="AC25" s="216"/>
      <c r="AD25" s="216"/>
      <c r="AE25" s="22" t="s">
        <v>297</v>
      </c>
      <c r="AF25" s="49"/>
      <c r="AG25" s="400"/>
      <c r="AH25" s="400"/>
      <c r="AI25" s="400"/>
      <c r="AJ25" s="2"/>
      <c r="AK25" s="2"/>
      <c r="AN25" s="251" t="s">
        <v>417</v>
      </c>
      <c r="AO25" s="251"/>
      <c r="AP25" s="16" t="s">
        <v>3</v>
      </c>
      <c r="AQ25" s="220" t="s">
        <v>307</v>
      </c>
      <c r="AR25" s="220"/>
      <c r="AS25" s="15" t="s">
        <v>110</v>
      </c>
      <c r="AT25" s="119">
        <v>2</v>
      </c>
      <c r="AU25" t="s">
        <v>68</v>
      </c>
      <c r="AV25" s="115" t="s">
        <v>410</v>
      </c>
      <c r="AW25" s="79" t="s">
        <v>67</v>
      </c>
      <c r="AX25" s="251" t="s">
        <v>416</v>
      </c>
      <c r="AY25" s="251"/>
      <c r="BD25" s="1"/>
      <c r="BE25" s="253"/>
      <c r="BF25" s="253"/>
    </row>
    <row r="26" spans="4:70" x14ac:dyDescent="0.45">
      <c r="E26" t="s">
        <v>256</v>
      </c>
      <c r="AP26" s="16" t="s">
        <v>3</v>
      </c>
      <c r="AQ26" t="s">
        <v>60</v>
      </c>
      <c r="AR26" s="216">
        <f>'4.部照-常1'!F36</f>
        <v>9.9999999999999978E-2</v>
      </c>
      <c r="AS26" s="218"/>
      <c r="AT26" s="2" t="s">
        <v>297</v>
      </c>
      <c r="AU26" s="1" t="s">
        <v>68</v>
      </c>
      <c r="AV26" s="216">
        <f>'4.部照-常1'!J36</f>
        <v>0.8</v>
      </c>
      <c r="AW26" s="218"/>
      <c r="AX26" t="s">
        <v>61</v>
      </c>
      <c r="AY26" s="15" t="s">
        <v>110</v>
      </c>
      <c r="AZ26" s="119">
        <v>2</v>
      </c>
      <c r="BA26" s="35"/>
      <c r="BB26" t="s">
        <v>68</v>
      </c>
      <c r="BC26" s="253">
        <f>'1.条件'!T10</f>
        <v>0.4</v>
      </c>
      <c r="BD26" s="253"/>
      <c r="BE26" s="79" t="s">
        <v>67</v>
      </c>
      <c r="BF26" s="251" t="s">
        <v>416</v>
      </c>
      <c r="BG26" s="251"/>
    </row>
    <row r="27" spans="4:70" x14ac:dyDescent="0.45">
      <c r="D27" s="75"/>
      <c r="E27" s="221" t="s">
        <v>399</v>
      </c>
      <c r="F27" s="221"/>
      <c r="G27" s="3" t="s">
        <v>391</v>
      </c>
      <c r="V27" s="221" t="s">
        <v>399</v>
      </c>
      <c r="W27" s="221"/>
      <c r="X27" s="27" t="s">
        <v>188</v>
      </c>
      <c r="Y27" s="400">
        <f>'1.条件'!BH5</f>
        <v>0.6</v>
      </c>
      <c r="Z27" s="400"/>
      <c r="AA27" s="400"/>
      <c r="AB27" s="26" t="s">
        <v>4</v>
      </c>
      <c r="AN27" s="75"/>
      <c r="AO27" s="75"/>
      <c r="AP27" s="16" t="s">
        <v>3</v>
      </c>
      <c r="AQ27" s="253">
        <f>AR26/AZ26</f>
        <v>4.9999999999999989E-2</v>
      </c>
      <c r="AR27" s="253"/>
      <c r="AS27" s="33" t="s">
        <v>297</v>
      </c>
      <c r="AT27" t="s">
        <v>68</v>
      </c>
      <c r="AU27" s="253">
        <f>AV26/AZ26</f>
        <v>0.4</v>
      </c>
      <c r="AV27" s="253"/>
      <c r="AW27" t="s">
        <v>68</v>
      </c>
      <c r="AX27" s="253">
        <f>BC26</f>
        <v>0.4</v>
      </c>
      <c r="AY27" s="253"/>
      <c r="AZ27" s="343" t="s">
        <v>416</v>
      </c>
      <c r="BA27" s="343"/>
    </row>
    <row r="28" spans="4:70" x14ac:dyDescent="0.45">
      <c r="E28" s="221"/>
      <c r="F28" s="221"/>
      <c r="G28" s="3"/>
      <c r="V28" s="221"/>
      <c r="W28" s="221"/>
      <c r="X28" s="27"/>
      <c r="Y28" s="400"/>
      <c r="Z28" s="400"/>
      <c r="AA28" s="400"/>
      <c r="AB28" s="26"/>
    </row>
    <row r="29" spans="4:70" x14ac:dyDescent="0.45">
      <c r="D29" t="s">
        <v>519</v>
      </c>
      <c r="AM29" t="s">
        <v>519</v>
      </c>
    </row>
    <row r="30" spans="4:70" x14ac:dyDescent="0.45">
      <c r="D30" s="232" t="s">
        <v>48</v>
      </c>
      <c r="E30" s="233"/>
      <c r="F30" s="234"/>
      <c r="G30" s="340" t="s">
        <v>301</v>
      </c>
      <c r="H30" s="341"/>
      <c r="I30" s="341"/>
      <c r="J30" s="340" t="s">
        <v>302</v>
      </c>
      <c r="K30" s="341"/>
      <c r="L30" s="342"/>
      <c r="M30" s="232" t="s">
        <v>298</v>
      </c>
      <c r="N30" s="233"/>
      <c r="O30" s="233"/>
      <c r="P30" s="233"/>
      <c r="Q30" s="233"/>
      <c r="R30" s="234"/>
      <c r="S30" s="178" t="s">
        <v>117</v>
      </c>
      <c r="T30" s="179"/>
      <c r="U30" s="179"/>
      <c r="V30" s="179"/>
      <c r="W30" s="179"/>
      <c r="X30" s="179"/>
      <c r="Y30" s="179"/>
      <c r="Z30" s="180"/>
      <c r="AM30" s="232" t="s">
        <v>48</v>
      </c>
      <c r="AN30" s="233"/>
      <c r="AO30" s="234"/>
      <c r="AP30" s="232" t="s">
        <v>299</v>
      </c>
      <c r="AQ30" s="233"/>
      <c r="AR30" s="234"/>
      <c r="AS30" s="232" t="s">
        <v>300</v>
      </c>
      <c r="AT30" s="233"/>
      <c r="AU30" s="234"/>
      <c r="AV30" s="340" t="s">
        <v>301</v>
      </c>
      <c r="AW30" s="341"/>
      <c r="AX30" s="341"/>
      <c r="AY30" s="340" t="s">
        <v>302</v>
      </c>
      <c r="AZ30" s="341"/>
      <c r="BA30" s="342"/>
      <c r="BB30" s="232" t="s">
        <v>298</v>
      </c>
      <c r="BC30" s="233"/>
      <c r="BD30" s="233"/>
      <c r="BE30" s="233"/>
      <c r="BF30" s="233"/>
      <c r="BG30" s="234"/>
      <c r="BH30" s="178" t="s">
        <v>117</v>
      </c>
      <c r="BI30" s="179"/>
      <c r="BJ30" s="179"/>
      <c r="BK30" s="179"/>
      <c r="BL30" s="179"/>
      <c r="BM30" s="179"/>
      <c r="BN30" s="179"/>
      <c r="BO30" s="180"/>
    </row>
    <row r="31" spans="4:70" x14ac:dyDescent="0.35">
      <c r="D31" s="235" t="s">
        <v>297</v>
      </c>
      <c r="E31" s="220"/>
      <c r="F31" s="237"/>
      <c r="G31" s="318" t="s">
        <v>430</v>
      </c>
      <c r="H31" s="251"/>
      <c r="I31" s="319"/>
      <c r="J31" s="318" t="s">
        <v>431</v>
      </c>
      <c r="K31" s="251"/>
      <c r="L31" s="319"/>
      <c r="M31" s="320" t="s">
        <v>433</v>
      </c>
      <c r="N31" s="321"/>
      <c r="O31" s="322"/>
      <c r="P31" s="320" t="s">
        <v>432</v>
      </c>
      <c r="Q31" s="321"/>
      <c r="R31" s="322"/>
      <c r="S31" s="274" t="s">
        <v>434</v>
      </c>
      <c r="T31" s="221"/>
      <c r="U31" s="221"/>
      <c r="V31" s="221"/>
      <c r="W31" s="274" t="s">
        <v>435</v>
      </c>
      <c r="X31" s="221"/>
      <c r="Y31" s="221"/>
      <c r="Z31" s="282"/>
      <c r="AM31" s="235" t="s">
        <v>297</v>
      </c>
      <c r="AN31" s="220"/>
      <c r="AO31" s="237"/>
      <c r="AP31" s="235" t="s">
        <v>413</v>
      </c>
      <c r="AQ31" s="220"/>
      <c r="AR31" s="237"/>
      <c r="AS31" s="235" t="s">
        <v>379</v>
      </c>
      <c r="AT31" s="220"/>
      <c r="AU31" s="237"/>
      <c r="AV31" s="318" t="s">
        <v>486</v>
      </c>
      <c r="AW31" s="251"/>
      <c r="AX31" s="319"/>
      <c r="AY31" s="318" t="s">
        <v>485</v>
      </c>
      <c r="AZ31" s="251"/>
      <c r="BA31" s="319"/>
      <c r="BB31" s="320" t="s">
        <v>417</v>
      </c>
      <c r="BC31" s="321"/>
      <c r="BD31" s="322"/>
      <c r="BE31" s="320" t="s">
        <v>416</v>
      </c>
      <c r="BF31" s="321"/>
      <c r="BG31" s="322"/>
      <c r="BH31" s="274" t="s">
        <v>487</v>
      </c>
      <c r="BI31" s="221"/>
      <c r="BJ31" s="221"/>
      <c r="BK31" s="221"/>
      <c r="BL31" s="274" t="s">
        <v>488</v>
      </c>
      <c r="BM31" s="221"/>
      <c r="BN31" s="221"/>
      <c r="BO31" s="282"/>
    </row>
    <row r="32" spans="4:70" x14ac:dyDescent="0.45">
      <c r="D32" s="230" t="s">
        <v>303</v>
      </c>
      <c r="E32" s="225"/>
      <c r="F32" s="231"/>
      <c r="G32" s="230" t="s">
        <v>121</v>
      </c>
      <c r="H32" s="225"/>
      <c r="I32" s="231"/>
      <c r="J32" s="230" t="s">
        <v>121</v>
      </c>
      <c r="K32" s="225"/>
      <c r="L32" s="231"/>
      <c r="M32" s="230" t="s">
        <v>303</v>
      </c>
      <c r="N32" s="225"/>
      <c r="O32" s="231"/>
      <c r="P32" s="230" t="s">
        <v>303</v>
      </c>
      <c r="Q32" s="225"/>
      <c r="R32" s="231"/>
      <c r="S32" s="283" t="s">
        <v>394</v>
      </c>
      <c r="T32" s="269"/>
      <c r="U32" s="269"/>
      <c r="V32" s="353"/>
      <c r="W32" s="283" t="s">
        <v>394</v>
      </c>
      <c r="X32" s="269"/>
      <c r="Y32" s="269"/>
      <c r="Z32" s="353"/>
      <c r="AM32" s="230" t="s">
        <v>303</v>
      </c>
      <c r="AN32" s="225"/>
      <c r="AO32" s="231"/>
      <c r="AP32" s="230" t="s">
        <v>304</v>
      </c>
      <c r="AQ32" s="225"/>
      <c r="AR32" s="231"/>
      <c r="AS32" s="230" t="s">
        <v>121</v>
      </c>
      <c r="AT32" s="225"/>
      <c r="AU32" s="231"/>
      <c r="AV32" s="230" t="s">
        <v>121</v>
      </c>
      <c r="AW32" s="225"/>
      <c r="AX32" s="231"/>
      <c r="AY32" s="230" t="s">
        <v>121</v>
      </c>
      <c r="AZ32" s="225"/>
      <c r="BA32" s="231"/>
      <c r="BB32" s="230" t="s">
        <v>303</v>
      </c>
      <c r="BC32" s="225"/>
      <c r="BD32" s="231"/>
      <c r="BE32" s="230" t="s">
        <v>303</v>
      </c>
      <c r="BF32" s="225"/>
      <c r="BG32" s="231"/>
      <c r="BH32" s="283" t="s">
        <v>394</v>
      </c>
      <c r="BI32" s="269"/>
      <c r="BJ32" s="269"/>
      <c r="BK32" s="353"/>
      <c r="BL32" s="284" t="s">
        <v>394</v>
      </c>
      <c r="BM32" s="269"/>
      <c r="BN32" s="269"/>
      <c r="BO32" s="285"/>
    </row>
    <row r="33" spans="4:70" x14ac:dyDescent="0.25">
      <c r="D33" s="314">
        <f t="shared" ref="D33:D38" si="0">AM33</f>
        <v>1</v>
      </c>
      <c r="E33" s="218"/>
      <c r="F33" s="236"/>
      <c r="G33" s="314">
        <f t="shared" ref="G33:G38" si="1">M$18/(M$19+D33)</f>
        <v>12.5</v>
      </c>
      <c r="H33" s="218"/>
      <c r="I33" s="236"/>
      <c r="J33" s="314">
        <f t="shared" ref="J33:J38" si="2">M$11/(M$12+D33)</f>
        <v>15</v>
      </c>
      <c r="K33" s="218"/>
      <c r="L33" s="236"/>
      <c r="M33" s="314">
        <f t="shared" ref="M33:M38" si="3">AB$25*D33</f>
        <v>0.45</v>
      </c>
      <c r="N33" s="218"/>
      <c r="O33" s="236"/>
      <c r="P33" s="366">
        <f t="shared" ref="P33:P38" si="4">D33+O$24</f>
        <v>1.6</v>
      </c>
      <c r="Q33" s="227"/>
      <c r="R33" s="227"/>
      <c r="S33" s="325">
        <f>G33*M33</f>
        <v>5.625</v>
      </c>
      <c r="T33" s="326"/>
      <c r="U33" s="326"/>
      <c r="V33" s="327"/>
      <c r="W33" s="326">
        <f>J33*P33</f>
        <v>24</v>
      </c>
      <c r="X33" s="326"/>
      <c r="Y33" s="326"/>
      <c r="Z33" s="327"/>
      <c r="AM33" s="314">
        <v>1</v>
      </c>
      <c r="AN33" s="218"/>
      <c r="AO33" s="236"/>
      <c r="AP33" s="314">
        <f t="shared" ref="AP33:AP38" si="5">IF(AM33&lt;&gt;"",AM33*BJ$9,"")</f>
        <v>3.1248685776257656</v>
      </c>
      <c r="AQ33" s="216"/>
      <c r="AR33" s="315"/>
      <c r="AS33" s="314">
        <f>IFERROR(AM33*AP33/2,"")</f>
        <v>1.5624342888128828</v>
      </c>
      <c r="AT33" s="216"/>
      <c r="AU33" s="315"/>
      <c r="AV33" s="314">
        <f t="shared" ref="AV33:AV38" si="6">IF(AM33&lt;&gt;"",AS33*AQ$22,"")</f>
        <v>-4.9077247021308203E-2</v>
      </c>
      <c r="AW33" s="218"/>
      <c r="AX33" s="236"/>
      <c r="AY33" s="314">
        <f t="shared" ref="AY33:AY38" si="7">IF(AM33&lt;&gt;"",AS33*AQ$18,"")</f>
        <v>1.5616633218088425</v>
      </c>
      <c r="AZ33" s="218"/>
      <c r="BA33" s="236"/>
      <c r="BB33" s="314">
        <f t="shared" ref="BB33:BB38" si="8">IF(AM33&lt;&gt;"",AQ$27*AM33+AU$27+AX$27*BE33,"")</f>
        <v>0.58333333333333337</v>
      </c>
      <c r="BC33" s="218"/>
      <c r="BD33" s="236"/>
      <c r="BE33" s="314">
        <f t="shared" ref="BE33:BE38" si="9">IF(AM33&lt;&gt;"",AM33/AS$24,"")</f>
        <v>0.33333333333333331</v>
      </c>
      <c r="BF33" s="218"/>
      <c r="BG33" s="218"/>
      <c r="BH33" s="325">
        <f>AV33*BB33</f>
        <v>-2.8628394095763121E-2</v>
      </c>
      <c r="BI33" s="326"/>
      <c r="BJ33" s="326"/>
      <c r="BK33" s="327"/>
      <c r="BL33" s="325">
        <f>AY33*BE33</f>
        <v>0.52055444060294742</v>
      </c>
      <c r="BM33" s="326"/>
      <c r="BN33" s="326"/>
      <c r="BO33" s="327"/>
    </row>
    <row r="34" spans="4:70" x14ac:dyDescent="0.25">
      <c r="D34" s="314">
        <f t="shared" si="0"/>
        <v>2</v>
      </c>
      <c r="E34" s="218"/>
      <c r="F34" s="236"/>
      <c r="G34" s="314">
        <f t="shared" si="1"/>
        <v>8.3333333333333339</v>
      </c>
      <c r="H34" s="218"/>
      <c r="I34" s="236"/>
      <c r="J34" s="314">
        <f t="shared" si="2"/>
        <v>10</v>
      </c>
      <c r="K34" s="218"/>
      <c r="L34" s="236"/>
      <c r="M34" s="314">
        <f t="shared" si="3"/>
        <v>0.9</v>
      </c>
      <c r="N34" s="218"/>
      <c r="O34" s="236"/>
      <c r="P34" s="314">
        <f t="shared" si="4"/>
        <v>2.6</v>
      </c>
      <c r="Q34" s="218"/>
      <c r="R34" s="218"/>
      <c r="S34" s="323">
        <f t="shared" ref="S34:S37" si="10">G34*M34</f>
        <v>7.5000000000000009</v>
      </c>
      <c r="T34" s="213"/>
      <c r="U34" s="213"/>
      <c r="V34" s="324"/>
      <c r="W34" s="213">
        <f t="shared" ref="W34:W38" si="11">J34*P34</f>
        <v>26</v>
      </c>
      <c r="X34" s="213"/>
      <c r="Y34" s="213"/>
      <c r="Z34" s="324"/>
      <c r="AM34" s="314">
        <v>2</v>
      </c>
      <c r="AN34" s="218"/>
      <c r="AO34" s="236"/>
      <c r="AP34" s="314">
        <f t="shared" si="5"/>
        <v>6.2497371552515313</v>
      </c>
      <c r="AQ34" s="216"/>
      <c r="AR34" s="315"/>
      <c r="AS34" s="314">
        <f>IFERROR(AM34*AP34/2,"")</f>
        <v>6.2497371552515313</v>
      </c>
      <c r="AT34" s="216"/>
      <c r="AU34" s="315"/>
      <c r="AV34" s="314">
        <f t="shared" si="6"/>
        <v>-0.19630898808523281</v>
      </c>
      <c r="AW34" s="218"/>
      <c r="AX34" s="236"/>
      <c r="AY34" s="314">
        <f t="shared" si="7"/>
        <v>6.2466532872353699</v>
      </c>
      <c r="AZ34" s="218"/>
      <c r="BA34" s="236"/>
      <c r="BB34" s="314">
        <f t="shared" si="8"/>
        <v>0.76666666666666661</v>
      </c>
      <c r="BC34" s="218"/>
      <c r="BD34" s="236"/>
      <c r="BE34" s="314">
        <f t="shared" si="9"/>
        <v>0.66666666666666663</v>
      </c>
      <c r="BF34" s="218"/>
      <c r="BG34" s="218"/>
      <c r="BH34" s="323">
        <f t="shared" ref="BH34:BH38" si="12">AV34*BB34</f>
        <v>-0.15050355753201181</v>
      </c>
      <c r="BI34" s="213"/>
      <c r="BJ34" s="213"/>
      <c r="BK34" s="324"/>
      <c r="BL34" s="323">
        <f t="shared" ref="BL34:BL38" si="13">AY34*BE34</f>
        <v>4.1644355248235794</v>
      </c>
      <c r="BM34" s="213"/>
      <c r="BN34" s="213"/>
      <c r="BO34" s="324"/>
    </row>
    <row r="35" spans="4:70" x14ac:dyDescent="0.25">
      <c r="D35" s="314">
        <f t="shared" si="0"/>
        <v>3</v>
      </c>
      <c r="E35" s="218"/>
      <c r="F35" s="236"/>
      <c r="G35" s="314">
        <f t="shared" si="1"/>
        <v>6.25</v>
      </c>
      <c r="H35" s="218"/>
      <c r="I35" s="236"/>
      <c r="J35" s="314">
        <f t="shared" si="2"/>
        <v>7.5</v>
      </c>
      <c r="K35" s="218"/>
      <c r="L35" s="236"/>
      <c r="M35" s="314">
        <f t="shared" si="3"/>
        <v>1.35</v>
      </c>
      <c r="N35" s="218"/>
      <c r="O35" s="236"/>
      <c r="P35" s="314">
        <f t="shared" si="4"/>
        <v>3.6</v>
      </c>
      <c r="Q35" s="218"/>
      <c r="R35" s="218"/>
      <c r="S35" s="323">
        <f t="shared" si="10"/>
        <v>8.4375</v>
      </c>
      <c r="T35" s="213"/>
      <c r="U35" s="213"/>
      <c r="V35" s="324"/>
      <c r="W35" s="213">
        <f t="shared" si="11"/>
        <v>27</v>
      </c>
      <c r="X35" s="213"/>
      <c r="Y35" s="213"/>
      <c r="Z35" s="324"/>
      <c r="AM35" s="314">
        <v>3</v>
      </c>
      <c r="AN35" s="218"/>
      <c r="AO35" s="236"/>
      <c r="AP35" s="314">
        <f t="shared" si="5"/>
        <v>9.3746057328772974</v>
      </c>
      <c r="AQ35" s="216"/>
      <c r="AR35" s="315"/>
      <c r="AS35" s="314">
        <f t="shared" ref="AS35:AS38" si="14">IFERROR(AM35*AP35/2,"")</f>
        <v>14.061908599315945</v>
      </c>
      <c r="AT35" s="216"/>
      <c r="AU35" s="315"/>
      <c r="AV35" s="314">
        <f t="shared" si="6"/>
        <v>-0.44169522319177379</v>
      </c>
      <c r="AW35" s="218"/>
      <c r="AX35" s="236"/>
      <c r="AY35" s="314">
        <f t="shared" si="7"/>
        <v>14.054969896279584</v>
      </c>
      <c r="AZ35" s="218"/>
      <c r="BA35" s="236"/>
      <c r="BB35" s="314">
        <f t="shared" si="8"/>
        <v>0.95000000000000007</v>
      </c>
      <c r="BC35" s="218"/>
      <c r="BD35" s="236"/>
      <c r="BE35" s="314">
        <f t="shared" si="9"/>
        <v>1</v>
      </c>
      <c r="BF35" s="218"/>
      <c r="BG35" s="218"/>
      <c r="BH35" s="323">
        <f t="shared" si="12"/>
        <v>-0.41961046203218511</v>
      </c>
      <c r="BI35" s="213"/>
      <c r="BJ35" s="213"/>
      <c r="BK35" s="324"/>
      <c r="BL35" s="323">
        <f t="shared" si="13"/>
        <v>14.054969896279584</v>
      </c>
      <c r="BM35" s="213"/>
      <c r="BN35" s="213"/>
      <c r="BO35" s="324"/>
    </row>
    <row r="36" spans="4:70" x14ac:dyDescent="0.25">
      <c r="D36" s="314">
        <f t="shared" si="0"/>
        <v>4</v>
      </c>
      <c r="E36" s="218"/>
      <c r="F36" s="236"/>
      <c r="G36" s="314">
        <f t="shared" si="1"/>
        <v>5</v>
      </c>
      <c r="H36" s="218"/>
      <c r="I36" s="236"/>
      <c r="J36" s="314">
        <f t="shared" si="2"/>
        <v>6</v>
      </c>
      <c r="K36" s="218"/>
      <c r="L36" s="236"/>
      <c r="M36" s="314">
        <f t="shared" si="3"/>
        <v>1.8</v>
      </c>
      <c r="N36" s="218"/>
      <c r="O36" s="236"/>
      <c r="P36" s="314">
        <f t="shared" si="4"/>
        <v>4.5999999999999996</v>
      </c>
      <c r="Q36" s="218"/>
      <c r="R36" s="218"/>
      <c r="S36" s="323">
        <f t="shared" si="10"/>
        <v>9</v>
      </c>
      <c r="T36" s="213"/>
      <c r="U36" s="213"/>
      <c r="V36" s="324"/>
      <c r="W36" s="213">
        <f t="shared" si="11"/>
        <v>27.599999999999998</v>
      </c>
      <c r="X36" s="213"/>
      <c r="Y36" s="213"/>
      <c r="Z36" s="324"/>
      <c r="AM36" s="314">
        <v>4</v>
      </c>
      <c r="AN36" s="218"/>
      <c r="AO36" s="236"/>
      <c r="AP36" s="314">
        <f t="shared" si="5"/>
        <v>12.499474310503063</v>
      </c>
      <c r="AQ36" s="216"/>
      <c r="AR36" s="315"/>
      <c r="AS36" s="314">
        <f t="shared" si="14"/>
        <v>24.998948621006125</v>
      </c>
      <c r="AT36" s="216"/>
      <c r="AU36" s="315"/>
      <c r="AV36" s="314">
        <f t="shared" si="6"/>
        <v>-0.78523595234093124</v>
      </c>
      <c r="AW36" s="218"/>
      <c r="AX36" s="236"/>
      <c r="AY36" s="314">
        <f t="shared" si="7"/>
        <v>24.98661314894148</v>
      </c>
      <c r="AZ36" s="218"/>
      <c r="BA36" s="236"/>
      <c r="BB36" s="314">
        <f t="shared" si="8"/>
        <v>1.1333333333333333</v>
      </c>
      <c r="BC36" s="218"/>
      <c r="BD36" s="236"/>
      <c r="BE36" s="314">
        <f t="shared" si="9"/>
        <v>1.3333333333333333</v>
      </c>
      <c r="BF36" s="218"/>
      <c r="BG36" s="218"/>
      <c r="BH36" s="323">
        <f t="shared" si="12"/>
        <v>-0.88993407931972202</v>
      </c>
      <c r="BI36" s="213"/>
      <c r="BJ36" s="213"/>
      <c r="BK36" s="324"/>
      <c r="BL36" s="323">
        <f t="shared" si="13"/>
        <v>33.315484198588635</v>
      </c>
      <c r="BM36" s="213"/>
      <c r="BN36" s="213"/>
      <c r="BO36" s="324"/>
    </row>
    <row r="37" spans="4:70" x14ac:dyDescent="0.25">
      <c r="D37" s="314">
        <f t="shared" si="0"/>
        <v>5</v>
      </c>
      <c r="E37" s="218"/>
      <c r="F37" s="236"/>
      <c r="G37" s="314">
        <f t="shared" si="1"/>
        <v>4.166666666666667</v>
      </c>
      <c r="H37" s="218"/>
      <c r="I37" s="236"/>
      <c r="J37" s="314">
        <f t="shared" si="2"/>
        <v>5</v>
      </c>
      <c r="K37" s="218"/>
      <c r="L37" s="236"/>
      <c r="M37" s="314">
        <f t="shared" si="3"/>
        <v>2.25</v>
      </c>
      <c r="N37" s="218"/>
      <c r="O37" s="236"/>
      <c r="P37" s="314">
        <f t="shared" si="4"/>
        <v>5.6</v>
      </c>
      <c r="Q37" s="218"/>
      <c r="R37" s="218"/>
      <c r="S37" s="323">
        <f t="shared" si="10"/>
        <v>9.375</v>
      </c>
      <c r="T37" s="213"/>
      <c r="U37" s="213"/>
      <c r="V37" s="324"/>
      <c r="W37" s="213">
        <f t="shared" si="11"/>
        <v>28</v>
      </c>
      <c r="X37" s="213"/>
      <c r="Y37" s="213"/>
      <c r="Z37" s="324"/>
      <c r="AM37" s="314">
        <v>5</v>
      </c>
      <c r="AN37" s="218"/>
      <c r="AO37" s="236"/>
      <c r="AP37" s="314">
        <f t="shared" si="5"/>
        <v>15.624342888128828</v>
      </c>
      <c r="AQ37" s="216"/>
      <c r="AR37" s="315"/>
      <c r="AS37" s="314">
        <f t="shared" si="14"/>
        <v>39.06085722032207</v>
      </c>
      <c r="AT37" s="216"/>
      <c r="AU37" s="315"/>
      <c r="AV37" s="314">
        <f t="shared" si="6"/>
        <v>-1.226931175532705</v>
      </c>
      <c r="AW37" s="218"/>
      <c r="AX37" s="236"/>
      <c r="AY37" s="314">
        <f t="shared" si="7"/>
        <v>39.041583045221067</v>
      </c>
      <c r="AZ37" s="218"/>
      <c r="BA37" s="236"/>
      <c r="BB37" s="314">
        <f t="shared" si="8"/>
        <v>1.3166666666666667</v>
      </c>
      <c r="BC37" s="218"/>
      <c r="BD37" s="236"/>
      <c r="BE37" s="314">
        <f t="shared" si="9"/>
        <v>1.6666666666666667</v>
      </c>
      <c r="BF37" s="218"/>
      <c r="BG37" s="218"/>
      <c r="BH37" s="323">
        <f t="shared" si="12"/>
        <v>-1.6154593811180615</v>
      </c>
      <c r="BI37" s="213"/>
      <c r="BJ37" s="213"/>
      <c r="BK37" s="324"/>
      <c r="BL37" s="323">
        <f t="shared" si="13"/>
        <v>65.069305075368447</v>
      </c>
      <c r="BM37" s="213"/>
      <c r="BN37" s="213"/>
      <c r="BO37" s="324"/>
    </row>
    <row r="38" spans="4:70" x14ac:dyDescent="0.25">
      <c r="D38" s="312">
        <f t="shared" si="0"/>
        <v>6</v>
      </c>
      <c r="E38" s="225"/>
      <c r="F38" s="231"/>
      <c r="G38" s="312">
        <f t="shared" si="1"/>
        <v>3.5714285714285716</v>
      </c>
      <c r="H38" s="225"/>
      <c r="I38" s="231"/>
      <c r="J38" s="312">
        <f t="shared" si="2"/>
        <v>4.2857142857142856</v>
      </c>
      <c r="K38" s="225"/>
      <c r="L38" s="231"/>
      <c r="M38" s="312">
        <f t="shared" si="3"/>
        <v>2.7</v>
      </c>
      <c r="N38" s="225"/>
      <c r="O38" s="231"/>
      <c r="P38" s="312">
        <f t="shared" si="4"/>
        <v>6.6</v>
      </c>
      <c r="Q38" s="225"/>
      <c r="R38" s="225"/>
      <c r="S38" s="328">
        <f>G38*M38</f>
        <v>9.6428571428571441</v>
      </c>
      <c r="T38" s="293"/>
      <c r="U38" s="293"/>
      <c r="V38" s="329"/>
      <c r="W38" s="293">
        <f t="shared" si="11"/>
        <v>28.285714285714285</v>
      </c>
      <c r="X38" s="293"/>
      <c r="Y38" s="293"/>
      <c r="Z38" s="329"/>
      <c r="AI38">
        <v>23</v>
      </c>
      <c r="AM38" s="312">
        <v>6</v>
      </c>
      <c r="AN38" s="225"/>
      <c r="AO38" s="231"/>
      <c r="AP38" s="312">
        <f t="shared" si="5"/>
        <v>18.749211465754595</v>
      </c>
      <c r="AQ38" s="224"/>
      <c r="AR38" s="313"/>
      <c r="AS38" s="312">
        <f t="shared" si="14"/>
        <v>56.247634397263781</v>
      </c>
      <c r="AT38" s="224"/>
      <c r="AU38" s="313"/>
      <c r="AV38" s="312">
        <f t="shared" si="6"/>
        <v>-1.7667808927670952</v>
      </c>
      <c r="AW38" s="225"/>
      <c r="AX38" s="231"/>
      <c r="AY38" s="312">
        <f t="shared" si="7"/>
        <v>56.219879585118335</v>
      </c>
      <c r="AZ38" s="225"/>
      <c r="BA38" s="231"/>
      <c r="BB38" s="312">
        <f t="shared" si="8"/>
        <v>1.5</v>
      </c>
      <c r="BC38" s="225"/>
      <c r="BD38" s="231"/>
      <c r="BE38" s="312">
        <f t="shared" si="9"/>
        <v>2</v>
      </c>
      <c r="BF38" s="225"/>
      <c r="BG38" s="225"/>
      <c r="BH38" s="328">
        <f t="shared" si="12"/>
        <v>-2.650171339150643</v>
      </c>
      <c r="BI38" s="293"/>
      <c r="BJ38" s="293"/>
      <c r="BK38" s="329"/>
      <c r="BL38" s="328">
        <f t="shared" si="13"/>
        <v>112.43975917023667</v>
      </c>
      <c r="BM38" s="293"/>
      <c r="BN38" s="293"/>
      <c r="BO38" s="329"/>
      <c r="BR38">
        <v>24</v>
      </c>
    </row>
  </sheetData>
  <sheetProtection sheet="1" objects="1" scenarios="1"/>
  <mergeCells count="227">
    <mergeCell ref="R25:S25"/>
    <mergeCell ref="U25:V25"/>
    <mergeCell ref="Y28:AA28"/>
    <mergeCell ref="P14:R14"/>
    <mergeCell ref="P21:Q21"/>
    <mergeCell ref="S21:U21"/>
    <mergeCell ref="Y27:AA27"/>
    <mergeCell ref="V28:W28"/>
    <mergeCell ref="AU27:AV27"/>
    <mergeCell ref="V27:W27"/>
    <mergeCell ref="AZ27:BA27"/>
    <mergeCell ref="AN24:AO24"/>
    <mergeCell ref="AQ27:AR27"/>
    <mergeCell ref="AQ20:AR20"/>
    <mergeCell ref="AS20:AV20"/>
    <mergeCell ref="AN16:AO16"/>
    <mergeCell ref="AY17:AZ17"/>
    <mergeCell ref="AQ18:AR18"/>
    <mergeCell ref="AQ22:AR22"/>
    <mergeCell ref="AS22:AT22"/>
    <mergeCell ref="AQ21:AR21"/>
    <mergeCell ref="AS21:AU21"/>
    <mergeCell ref="AV21:AW21"/>
    <mergeCell ref="AY21:AZ21"/>
    <mergeCell ref="AQ25:AR25"/>
    <mergeCell ref="AX25:AY25"/>
    <mergeCell ref="AV26:AW26"/>
    <mergeCell ref="AX27:AY27"/>
    <mergeCell ref="BE25:BF25"/>
    <mergeCell ref="AR26:AS26"/>
    <mergeCell ref="AV38:AX38"/>
    <mergeCell ref="AV36:AX36"/>
    <mergeCell ref="AV32:AX32"/>
    <mergeCell ref="AM31:AO31"/>
    <mergeCell ref="BH38:BK38"/>
    <mergeCell ref="BH36:BK36"/>
    <mergeCell ref="BH34:BK34"/>
    <mergeCell ref="BH30:BO30"/>
    <mergeCell ref="AM30:AO30"/>
    <mergeCell ref="BL32:BO32"/>
    <mergeCell ref="BH31:BK31"/>
    <mergeCell ref="BL31:BO31"/>
    <mergeCell ref="AM32:AO32"/>
    <mergeCell ref="AP32:AR32"/>
    <mergeCell ref="AS32:AU32"/>
    <mergeCell ref="AP31:AR31"/>
    <mergeCell ref="AS31:AU31"/>
    <mergeCell ref="AV31:AX31"/>
    <mergeCell ref="AY31:BA31"/>
    <mergeCell ref="BB31:BD31"/>
    <mergeCell ref="BL38:BO38"/>
    <mergeCell ref="BH37:BK37"/>
    <mergeCell ref="BL37:BO37"/>
    <mergeCell ref="AM38:AO38"/>
    <mergeCell ref="AP38:AR38"/>
    <mergeCell ref="AS38:AU38"/>
    <mergeCell ref="AP37:AR37"/>
    <mergeCell ref="AS37:AU37"/>
    <mergeCell ref="AV37:AX37"/>
    <mergeCell ref="AY37:BA37"/>
    <mergeCell ref="BB37:BD37"/>
    <mergeCell ref="BE37:BG37"/>
    <mergeCell ref="AM37:AO37"/>
    <mergeCell ref="AY38:BA38"/>
    <mergeCell ref="BB38:BD38"/>
    <mergeCell ref="BE38:BG38"/>
    <mergeCell ref="BL36:BO36"/>
    <mergeCell ref="BH35:BK35"/>
    <mergeCell ref="BL35:BO35"/>
    <mergeCell ref="AM36:AO36"/>
    <mergeCell ref="AP36:AR36"/>
    <mergeCell ref="AS36:AU36"/>
    <mergeCell ref="AP35:AR35"/>
    <mergeCell ref="AS35:AU35"/>
    <mergeCell ref="AV35:AX35"/>
    <mergeCell ref="AY35:BA35"/>
    <mergeCell ref="BB35:BD35"/>
    <mergeCell ref="BE35:BG35"/>
    <mergeCell ref="AM35:AO35"/>
    <mergeCell ref="AY36:BA36"/>
    <mergeCell ref="BB36:BD36"/>
    <mergeCell ref="BE36:BG36"/>
    <mergeCell ref="BL34:BO34"/>
    <mergeCell ref="BH33:BK33"/>
    <mergeCell ref="BL33:BO33"/>
    <mergeCell ref="AM34:AO34"/>
    <mergeCell ref="AP34:AR34"/>
    <mergeCell ref="AS34:AU34"/>
    <mergeCell ref="AP33:AR33"/>
    <mergeCell ref="AS33:AU33"/>
    <mergeCell ref="AV33:AX33"/>
    <mergeCell ref="AY33:BA33"/>
    <mergeCell ref="BB33:BD33"/>
    <mergeCell ref="BE33:BG33"/>
    <mergeCell ref="AM33:AO33"/>
    <mergeCell ref="AV34:AX34"/>
    <mergeCell ref="AY34:BA34"/>
    <mergeCell ref="BB34:BD34"/>
    <mergeCell ref="BE34:BG34"/>
    <mergeCell ref="BE31:BG31"/>
    <mergeCell ref="AP30:AR30"/>
    <mergeCell ref="AS30:AU30"/>
    <mergeCell ref="AV30:AX30"/>
    <mergeCell ref="AY30:BA30"/>
    <mergeCell ref="BB30:BG30"/>
    <mergeCell ref="AY32:BA32"/>
    <mergeCell ref="BB32:BD32"/>
    <mergeCell ref="BE32:BG32"/>
    <mergeCell ref="BH32:BK32"/>
    <mergeCell ref="BJ9:BL9"/>
    <mergeCell ref="BM9:BN9"/>
    <mergeCell ref="AM9:AN9"/>
    <mergeCell ref="AP9:AQ9"/>
    <mergeCell ref="AS9:AT9"/>
    <mergeCell ref="AM12:AN13"/>
    <mergeCell ref="AO12:AO13"/>
    <mergeCell ref="AP12:AQ12"/>
    <mergeCell ref="AS12:AT12"/>
    <mergeCell ref="AV9:AW9"/>
    <mergeCell ref="AZ9:BA9"/>
    <mergeCell ref="BC9:BD9"/>
    <mergeCell ref="BF9:BG9"/>
    <mergeCell ref="AS18:AT18"/>
    <mergeCell ref="AQ16:AR16"/>
    <mergeCell ref="AS16:AV16"/>
    <mergeCell ref="AQ17:AR17"/>
    <mergeCell ref="BC26:BD26"/>
    <mergeCell ref="BF26:BG26"/>
    <mergeCell ref="AN25:AO25"/>
    <mergeCell ref="AS17:AU17"/>
    <mergeCell ref="AV17:AW17"/>
    <mergeCell ref="AN20:AO20"/>
    <mergeCell ref="S34:V34"/>
    <mergeCell ref="W34:Z34"/>
    <mergeCell ref="D30:F30"/>
    <mergeCell ref="D31:F31"/>
    <mergeCell ref="D32:F32"/>
    <mergeCell ref="AM4:AN4"/>
    <mergeCell ref="AP4:AR4"/>
    <mergeCell ref="AM5:AN6"/>
    <mergeCell ref="AO5:AO6"/>
    <mergeCell ref="AP5:AQ5"/>
    <mergeCell ref="E11:F12"/>
    <mergeCell ref="G11:G12"/>
    <mergeCell ref="H11:J11"/>
    <mergeCell ref="L11:L12"/>
    <mergeCell ref="M11:O11"/>
    <mergeCell ref="E18:F19"/>
    <mergeCell ref="G18:G19"/>
    <mergeCell ref="H18:J18"/>
    <mergeCell ref="L18:L19"/>
    <mergeCell ref="M18:O18"/>
    <mergeCell ref="F14:G14"/>
    <mergeCell ref="E27:F27"/>
    <mergeCell ref="F21:G21"/>
    <mergeCell ref="E28:F28"/>
    <mergeCell ref="AS5:AT5"/>
    <mergeCell ref="AV5:AV6"/>
    <mergeCell ref="AW5:AX5"/>
    <mergeCell ref="AZ5:BB5"/>
    <mergeCell ref="BD5:BD6"/>
    <mergeCell ref="BE5:BG6"/>
    <mergeCell ref="AP6:AQ6"/>
    <mergeCell ref="AS6:AT6"/>
    <mergeCell ref="AW6:AX6"/>
    <mergeCell ref="AZ6:BA6"/>
    <mergeCell ref="S37:V37"/>
    <mergeCell ref="W37:Z37"/>
    <mergeCell ref="D33:F33"/>
    <mergeCell ref="D34:F34"/>
    <mergeCell ref="D35:F35"/>
    <mergeCell ref="D36:F36"/>
    <mergeCell ref="D37:F37"/>
    <mergeCell ref="D38:F38"/>
    <mergeCell ref="M30:R30"/>
    <mergeCell ref="S30:Z30"/>
    <mergeCell ref="M31:O31"/>
    <mergeCell ref="P31:R31"/>
    <mergeCell ref="S31:V31"/>
    <mergeCell ref="W31:Z31"/>
    <mergeCell ref="M32:O32"/>
    <mergeCell ref="P32:R32"/>
    <mergeCell ref="S32:V32"/>
    <mergeCell ref="W32:Z32"/>
    <mergeCell ref="M33:O33"/>
    <mergeCell ref="P33:R33"/>
    <mergeCell ref="S33:V33"/>
    <mergeCell ref="W33:Z33"/>
    <mergeCell ref="M34:O34"/>
    <mergeCell ref="P34:R34"/>
    <mergeCell ref="M38:O38"/>
    <mergeCell ref="P38:R38"/>
    <mergeCell ref="S38:V38"/>
    <mergeCell ref="W38:Z38"/>
    <mergeCell ref="E24:F24"/>
    <mergeCell ref="E25:F25"/>
    <mergeCell ref="O24:Q24"/>
    <mergeCell ref="AB25:AD25"/>
    <mergeCell ref="AG25:AI25"/>
    <mergeCell ref="G30:I30"/>
    <mergeCell ref="J30:L30"/>
    <mergeCell ref="G31:I31"/>
    <mergeCell ref="J31:L31"/>
    <mergeCell ref="M35:O35"/>
    <mergeCell ref="P35:R35"/>
    <mergeCell ref="S35:V35"/>
    <mergeCell ref="W35:Z35"/>
    <mergeCell ref="M36:O36"/>
    <mergeCell ref="P36:R36"/>
    <mergeCell ref="S36:V36"/>
    <mergeCell ref="W36:Z36"/>
    <mergeCell ref="M37:O37"/>
    <mergeCell ref="P37:R37"/>
    <mergeCell ref="G37:I37"/>
    <mergeCell ref="J37:L37"/>
    <mergeCell ref="G38:I38"/>
    <mergeCell ref="J38:L38"/>
    <mergeCell ref="G32:I32"/>
    <mergeCell ref="J32:L32"/>
    <mergeCell ref="G33:I33"/>
    <mergeCell ref="J33:L33"/>
    <mergeCell ref="G34:I34"/>
    <mergeCell ref="J34:L34"/>
    <mergeCell ref="G35:I35"/>
    <mergeCell ref="J35:L35"/>
    <mergeCell ref="G36:I36"/>
    <mergeCell ref="J36:L36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2BE6-4A16-47F4-A469-632C40D7C5F3}">
  <dimension ref="C1:DA38"/>
  <sheetViews>
    <sheetView showGridLines="0" view="pageBreakPreview" zoomScale="70" zoomScaleNormal="70" zoomScaleSheetLayoutView="70" workbookViewId="0"/>
  </sheetViews>
  <sheetFormatPr defaultRowHeight="18" x14ac:dyDescent="0.45"/>
  <cols>
    <col min="1" max="105" width="3" customWidth="1"/>
  </cols>
  <sheetData>
    <row r="1" spans="3:94" x14ac:dyDescent="0.45">
      <c r="BG1" s="36"/>
      <c r="BH1" s="37"/>
      <c r="BI1" s="37"/>
      <c r="BJ1" s="37"/>
      <c r="BK1" s="37"/>
      <c r="BL1" s="37"/>
      <c r="BM1" s="37"/>
      <c r="BN1" s="37"/>
      <c r="BO1" s="37"/>
      <c r="BP1" s="37"/>
      <c r="BQ1" s="42" t="s">
        <v>44</v>
      </c>
    </row>
    <row r="2" spans="3:94" x14ac:dyDescent="0.45">
      <c r="C2" t="s">
        <v>469</v>
      </c>
      <c r="BG2" s="5"/>
      <c r="BQ2" s="6"/>
      <c r="BT2" t="s">
        <v>470</v>
      </c>
    </row>
    <row r="3" spans="3:94" x14ac:dyDescent="0.45">
      <c r="D3" t="s">
        <v>537</v>
      </c>
      <c r="AL3" t="s">
        <v>298</v>
      </c>
      <c r="BF3" s="21"/>
      <c r="BG3" s="92"/>
      <c r="BH3" s="21"/>
      <c r="BI3" s="21"/>
      <c r="BQ3" s="6"/>
      <c r="BU3" t="s">
        <v>524</v>
      </c>
    </row>
    <row r="4" spans="3:94" x14ac:dyDescent="0.45">
      <c r="D4" t="s">
        <v>538</v>
      </c>
      <c r="AL4" s="251" t="s">
        <v>316</v>
      </c>
      <c r="AM4" s="251"/>
      <c r="AN4" s="16" t="s">
        <v>3</v>
      </c>
      <c r="AO4" s="220" t="s">
        <v>307</v>
      </c>
      <c r="AP4" s="220"/>
      <c r="AQ4" s="15" t="s">
        <v>110</v>
      </c>
      <c r="AR4" s="119">
        <v>2</v>
      </c>
      <c r="AS4" t="s">
        <v>68</v>
      </c>
      <c r="AT4" s="115" t="s">
        <v>407</v>
      </c>
      <c r="AU4" s="79" t="s">
        <v>67</v>
      </c>
      <c r="AV4" s="251" t="s">
        <v>317</v>
      </c>
      <c r="AW4" s="251"/>
      <c r="BG4" s="5"/>
      <c r="BH4" s="21"/>
      <c r="BI4" s="21"/>
      <c r="BQ4" s="6"/>
    </row>
    <row r="5" spans="3:94" x14ac:dyDescent="0.45">
      <c r="D5" s="265" t="s">
        <v>255</v>
      </c>
      <c r="E5" s="265"/>
      <c r="F5" s="4" t="s">
        <v>3</v>
      </c>
      <c r="G5" s="253">
        <f>'3.擁照-衝'!BI21</f>
        <v>6.4621977685614063</v>
      </c>
      <c r="H5" s="253"/>
      <c r="I5" s="253"/>
      <c r="J5" s="21" t="s">
        <v>111</v>
      </c>
      <c r="L5" s="4"/>
      <c r="M5" s="116"/>
      <c r="N5" s="245" t="s">
        <v>233</v>
      </c>
      <c r="O5" s="245"/>
      <c r="P5" s="4" t="s">
        <v>3</v>
      </c>
      <c r="Q5" s="253">
        <f>'3.擁照-衝'!CW12</f>
        <v>8.3999452354803417</v>
      </c>
      <c r="R5" s="253"/>
      <c r="S5" s="253"/>
      <c r="T5" s="21" t="s">
        <v>91</v>
      </c>
      <c r="X5" s="36"/>
      <c r="Y5" s="37"/>
      <c r="Z5" s="37"/>
      <c r="AA5" s="37"/>
      <c r="AB5" s="37"/>
      <c r="AC5" s="37"/>
      <c r="AD5" s="37"/>
      <c r="AE5" s="37"/>
      <c r="AF5" s="37"/>
      <c r="AG5" s="37"/>
      <c r="AH5" s="42"/>
      <c r="AN5" s="16" t="s">
        <v>3</v>
      </c>
      <c r="AO5" t="s">
        <v>60</v>
      </c>
      <c r="AP5" s="216">
        <f>'4.部照-常1'!F36</f>
        <v>9.9999999999999978E-2</v>
      </c>
      <c r="AQ5" s="218"/>
      <c r="AR5" s="2" t="s">
        <v>321</v>
      </c>
      <c r="AS5" s="1" t="s">
        <v>68</v>
      </c>
      <c r="AT5" s="216">
        <f>'4.部照-常1'!J36</f>
        <v>0.8</v>
      </c>
      <c r="AU5" s="218"/>
      <c r="AV5" t="s">
        <v>61</v>
      </c>
      <c r="AW5" s="15" t="s">
        <v>110</v>
      </c>
      <c r="AX5" s="119">
        <v>2</v>
      </c>
      <c r="AY5" s="58"/>
      <c r="AZ5" t="s">
        <v>68</v>
      </c>
      <c r="BA5" s="253">
        <f>'1.条件'!T10</f>
        <v>0.4</v>
      </c>
      <c r="BB5" s="253"/>
      <c r="BC5" s="79" t="s">
        <v>67</v>
      </c>
      <c r="BD5" s="251" t="s">
        <v>317</v>
      </c>
      <c r="BE5" s="251"/>
      <c r="BG5" s="5"/>
      <c r="BQ5" s="6"/>
      <c r="BU5" t="s">
        <v>333</v>
      </c>
    </row>
    <row r="6" spans="3:94" ht="19.2" x14ac:dyDescent="0.45">
      <c r="D6" s="245" t="s">
        <v>242</v>
      </c>
      <c r="E6" s="245"/>
      <c r="F6" s="4" t="s">
        <v>3</v>
      </c>
      <c r="G6" s="259">
        <f>'3.擁照-衝'!BO34</f>
        <v>0.6</v>
      </c>
      <c r="H6" s="259"/>
      <c r="I6" s="259"/>
      <c r="N6" s="245" t="s">
        <v>254</v>
      </c>
      <c r="O6" s="245"/>
      <c r="P6" s="4" t="s">
        <v>3</v>
      </c>
      <c r="Q6" s="216">
        <f>'3.擁照-衝'!CQ23</f>
        <v>4.3328629754756589</v>
      </c>
      <c r="R6" s="216"/>
      <c r="S6" s="216"/>
      <c r="T6" s="21" t="s">
        <v>39</v>
      </c>
      <c r="U6" s="4"/>
      <c r="X6" s="5"/>
      <c r="AH6" s="6"/>
      <c r="AN6" s="16" t="s">
        <v>3</v>
      </c>
      <c r="AO6" s="253">
        <f>AP5/AX5</f>
        <v>4.9999999999999989E-2</v>
      </c>
      <c r="AP6" s="253"/>
      <c r="AQ6" s="33" t="s">
        <v>321</v>
      </c>
      <c r="AR6" t="s">
        <v>68</v>
      </c>
      <c r="AS6" s="253">
        <f>AT5/AX5</f>
        <v>0.4</v>
      </c>
      <c r="AT6" s="253"/>
      <c r="AU6" t="s">
        <v>68</v>
      </c>
      <c r="AV6" s="253">
        <f>BA5</f>
        <v>0.4</v>
      </c>
      <c r="AW6" s="253"/>
      <c r="AX6" s="251" t="s">
        <v>317</v>
      </c>
      <c r="AY6" s="251"/>
      <c r="BG6" s="5"/>
      <c r="BQ6" s="6"/>
      <c r="BU6" s="232" t="s">
        <v>48</v>
      </c>
      <c r="BV6" s="233"/>
      <c r="BW6" s="234"/>
      <c r="BX6" s="232" t="s">
        <v>314</v>
      </c>
      <c r="BY6" s="233"/>
      <c r="BZ6" s="233"/>
      <c r="CA6" s="234"/>
      <c r="CB6" s="232" t="s">
        <v>212</v>
      </c>
      <c r="CC6" s="233"/>
      <c r="CD6" s="233"/>
      <c r="CE6" s="234"/>
      <c r="CF6" s="340" t="s">
        <v>334</v>
      </c>
      <c r="CG6" s="341"/>
      <c r="CH6" s="341"/>
      <c r="CI6" s="340" t="s">
        <v>335</v>
      </c>
      <c r="CJ6" s="372"/>
      <c r="CK6" s="372"/>
      <c r="CL6" s="372"/>
      <c r="CM6" s="373"/>
      <c r="CN6" s="340" t="s">
        <v>336</v>
      </c>
      <c r="CO6" s="341"/>
      <c r="CP6" s="342"/>
    </row>
    <row r="7" spans="3:94" x14ac:dyDescent="0.45">
      <c r="D7" s="265" t="s">
        <v>266</v>
      </c>
      <c r="E7" s="265"/>
      <c r="F7" s="4" t="s">
        <v>3</v>
      </c>
      <c r="G7" s="253">
        <f>'3.擁照-衝'!CL19</f>
        <v>3.8773186611368438</v>
      </c>
      <c r="H7" s="253"/>
      <c r="I7" s="253"/>
      <c r="J7" s="21" t="s">
        <v>111</v>
      </c>
      <c r="N7" s="287" t="s">
        <v>395</v>
      </c>
      <c r="O7" s="287"/>
      <c r="P7" s="4" t="s">
        <v>3</v>
      </c>
      <c r="Q7" s="247">
        <f>'3.擁照-衝'!BA23</f>
        <v>21.8</v>
      </c>
      <c r="R7" s="247"/>
      <c r="S7" s="247"/>
      <c r="T7" s="21" t="s">
        <v>24</v>
      </c>
      <c r="U7" s="4"/>
      <c r="X7" s="5"/>
      <c r="AH7" s="6"/>
      <c r="BG7" s="5"/>
      <c r="BQ7" s="6"/>
      <c r="BU7" s="235" t="s">
        <v>297</v>
      </c>
      <c r="BV7" s="220"/>
      <c r="BW7" s="237"/>
      <c r="BX7" s="235" t="s">
        <v>337</v>
      </c>
      <c r="BY7" s="220"/>
      <c r="BZ7" s="220"/>
      <c r="CA7" s="237"/>
      <c r="CB7" s="235" t="s">
        <v>425</v>
      </c>
      <c r="CC7" s="220"/>
      <c r="CD7" s="220"/>
      <c r="CE7" s="237"/>
      <c r="CF7" s="318" t="s">
        <v>486</v>
      </c>
      <c r="CG7" s="251"/>
      <c r="CH7" s="319"/>
      <c r="CI7" s="318" t="s">
        <v>490</v>
      </c>
      <c r="CJ7" s="251"/>
      <c r="CK7" s="251"/>
      <c r="CL7" s="251"/>
      <c r="CM7" s="319"/>
      <c r="CN7" s="368" t="s">
        <v>420</v>
      </c>
      <c r="CO7" s="369"/>
      <c r="CP7" s="370"/>
    </row>
    <row r="8" spans="3:94" x14ac:dyDescent="0.45">
      <c r="X8" s="5"/>
      <c r="AH8" s="6"/>
      <c r="AL8" s="83" t="s">
        <v>318</v>
      </c>
      <c r="BG8" s="5"/>
      <c r="BQ8" s="6"/>
      <c r="BU8" s="230" t="s">
        <v>303</v>
      </c>
      <c r="BV8" s="225"/>
      <c r="BW8" s="231"/>
      <c r="BX8" s="230" t="s">
        <v>121</v>
      </c>
      <c r="BY8" s="225"/>
      <c r="BZ8" s="225"/>
      <c r="CA8" s="231"/>
      <c r="CB8" s="230" t="s">
        <v>121</v>
      </c>
      <c r="CC8" s="225"/>
      <c r="CD8" s="225"/>
      <c r="CE8" s="231"/>
      <c r="CF8" s="230" t="s">
        <v>121</v>
      </c>
      <c r="CG8" s="225"/>
      <c r="CH8" s="231"/>
      <c r="CI8" s="230" t="s">
        <v>121</v>
      </c>
      <c r="CJ8" s="225"/>
      <c r="CK8" s="225"/>
      <c r="CL8" s="225"/>
      <c r="CM8" s="231"/>
      <c r="CN8" s="230" t="s">
        <v>121</v>
      </c>
      <c r="CO8" s="225"/>
      <c r="CP8" s="231"/>
    </row>
    <row r="9" spans="3:94" x14ac:dyDescent="0.45">
      <c r="D9" t="s">
        <v>520</v>
      </c>
      <c r="L9" s="105"/>
      <c r="M9" s="105"/>
      <c r="N9" s="14"/>
      <c r="O9" s="35"/>
      <c r="P9" s="35"/>
      <c r="Q9" s="35"/>
      <c r="R9" s="23"/>
      <c r="S9" s="23"/>
      <c r="T9" s="10"/>
      <c r="U9" s="23"/>
      <c r="V9" s="93"/>
      <c r="W9" s="83"/>
      <c r="X9" s="123"/>
      <c r="Y9" s="124"/>
      <c r="Z9" s="14"/>
      <c r="AH9" s="6"/>
      <c r="AL9" s="251" t="s">
        <v>317</v>
      </c>
      <c r="AM9" s="251"/>
      <c r="AN9" s="258" t="s">
        <v>3</v>
      </c>
      <c r="AO9" s="82">
        <v>2</v>
      </c>
      <c r="AP9" s="267" t="s">
        <v>254</v>
      </c>
      <c r="AQ9" s="267"/>
      <c r="AR9" s="57" t="s">
        <v>68</v>
      </c>
      <c r="AS9" s="267" t="s">
        <v>319</v>
      </c>
      <c r="AT9" s="267"/>
      <c r="AU9" s="11"/>
      <c r="AV9" s="220" t="s">
        <v>320</v>
      </c>
      <c r="AW9" s="220"/>
      <c r="AX9" s="218" t="s">
        <v>62</v>
      </c>
      <c r="AY9" s="257" t="s">
        <v>181</v>
      </c>
      <c r="AZ9" s="257"/>
      <c r="BA9" s="287" t="s">
        <v>395</v>
      </c>
      <c r="BG9" s="5"/>
      <c r="BQ9" s="6"/>
      <c r="BU9" s="314">
        <f t="shared" ref="BU9:BU14" si="0">AJ32</f>
        <v>1</v>
      </c>
      <c r="BV9" s="218"/>
      <c r="BW9" s="236"/>
      <c r="BX9" s="314">
        <f>'4.部照-常1'!AU21</f>
        <v>19.55</v>
      </c>
      <c r="BY9" s="216"/>
      <c r="BZ9" s="216"/>
      <c r="CA9" s="315"/>
      <c r="CB9" s="314">
        <f>'4.部照-衝1'!G33</f>
        <v>12.5</v>
      </c>
      <c r="CC9" s="216"/>
      <c r="CD9" s="216"/>
      <c r="CE9" s="315"/>
      <c r="CF9" s="314">
        <f>'4.部照-衝1'!AV33</f>
        <v>-4.9077247021308203E-2</v>
      </c>
      <c r="CG9" s="218"/>
      <c r="CH9" s="236"/>
      <c r="CI9" s="314">
        <f t="shared" ref="CI9:CI14" si="1">AY32</f>
        <v>-1.4923264791067352</v>
      </c>
      <c r="CJ9" s="216"/>
      <c r="CK9" s="216"/>
      <c r="CL9" s="216"/>
      <c r="CM9" s="315"/>
      <c r="CN9" s="314">
        <f>SUM(BX9:CM9)</f>
        <v>30.508596273871952</v>
      </c>
      <c r="CO9" s="218"/>
      <c r="CP9" s="236"/>
    </row>
    <row r="10" spans="3:94" x14ac:dyDescent="0.45">
      <c r="D10" s="220" t="s">
        <v>320</v>
      </c>
      <c r="E10" s="220"/>
      <c r="F10" s="219" t="s">
        <v>3</v>
      </c>
      <c r="G10" s="223" t="s">
        <v>321</v>
      </c>
      <c r="H10" s="223"/>
      <c r="I10" s="223"/>
      <c r="K10" s="219" t="s">
        <v>3</v>
      </c>
      <c r="L10" s="223" t="s">
        <v>321</v>
      </c>
      <c r="M10" s="223"/>
      <c r="N10" s="223"/>
      <c r="O10" s="223"/>
      <c r="Q10" s="219" t="s">
        <v>3</v>
      </c>
      <c r="R10" s="216">
        <f>1/COS(N11*PI()/180)</f>
        <v>1.0770223637762204</v>
      </c>
      <c r="S10" s="216"/>
      <c r="T10" s="220" t="s">
        <v>321</v>
      </c>
      <c r="V10" s="93"/>
      <c r="W10" s="83"/>
      <c r="X10" s="123"/>
      <c r="Y10" s="124"/>
      <c r="Z10" s="14"/>
      <c r="AH10" s="6"/>
      <c r="AL10" s="251"/>
      <c r="AM10" s="251"/>
      <c r="AN10" s="258"/>
      <c r="AO10" s="14">
        <v>3</v>
      </c>
      <c r="AP10" s="21" t="s">
        <v>60</v>
      </c>
      <c r="AQ10" s="56" t="s">
        <v>254</v>
      </c>
      <c r="AR10" s="56" t="s">
        <v>68</v>
      </c>
      <c r="AS10" s="245" t="s">
        <v>319</v>
      </c>
      <c r="AT10" s="245"/>
      <c r="AU10" s="21" t="s">
        <v>61</v>
      </c>
      <c r="AV10" s="220"/>
      <c r="AW10" s="220"/>
      <c r="AX10" s="218"/>
      <c r="AY10" s="257"/>
      <c r="AZ10" s="257"/>
      <c r="BA10" s="287"/>
      <c r="BG10" s="5"/>
      <c r="BQ10" s="6"/>
      <c r="BU10" s="314">
        <f t="shared" si="0"/>
        <v>2</v>
      </c>
      <c r="BV10" s="218"/>
      <c r="BW10" s="236"/>
      <c r="BX10" s="314">
        <f>'4.部照-常1'!AU22</f>
        <v>41.4</v>
      </c>
      <c r="BY10" s="216"/>
      <c r="BZ10" s="216"/>
      <c r="CA10" s="315"/>
      <c r="CB10" s="314">
        <f>'4.部照-衝1'!G34</f>
        <v>8.3333333333333339</v>
      </c>
      <c r="CC10" s="216"/>
      <c r="CD10" s="216"/>
      <c r="CE10" s="315"/>
      <c r="CF10" s="314">
        <f>'4.部照-衝1'!AV34</f>
        <v>-0.19630898808523281</v>
      </c>
      <c r="CG10" s="218"/>
      <c r="CH10" s="236"/>
      <c r="CI10" s="314">
        <f t="shared" si="1"/>
        <v>-2.5032628205541907</v>
      </c>
      <c r="CJ10" s="216"/>
      <c r="CK10" s="216"/>
      <c r="CL10" s="216"/>
      <c r="CM10" s="315"/>
      <c r="CN10" s="314">
        <f t="shared" ref="CN10:CN13" si="2">SUM(BX10:CM10)</f>
        <v>47.033761524693908</v>
      </c>
      <c r="CO10" s="218"/>
      <c r="CP10" s="236"/>
    </row>
    <row r="11" spans="3:94" x14ac:dyDescent="0.45">
      <c r="D11" s="220"/>
      <c r="E11" s="220"/>
      <c r="F11" s="219"/>
      <c r="G11" s="218" t="s">
        <v>181</v>
      </c>
      <c r="H11" s="218"/>
      <c r="I11" s="106" t="s">
        <v>395</v>
      </c>
      <c r="K11" s="219"/>
      <c r="L11" s="375" t="s">
        <v>181</v>
      </c>
      <c r="M11" s="375"/>
      <c r="N11" s="247">
        <f>Q7</f>
        <v>21.8</v>
      </c>
      <c r="O11" s="218"/>
      <c r="P11" s="14"/>
      <c r="Q11" s="219"/>
      <c r="R11" s="216"/>
      <c r="S11" s="216"/>
      <c r="T11" s="220"/>
      <c r="U11" s="23"/>
      <c r="X11" s="5"/>
      <c r="AH11" s="6"/>
      <c r="AN11" s="258" t="s">
        <v>3</v>
      </c>
      <c r="AO11" s="82">
        <v>2</v>
      </c>
      <c r="AP11" s="20" t="s">
        <v>62</v>
      </c>
      <c r="AQ11" s="262">
        <f>Q6</f>
        <v>4.3328629754756589</v>
      </c>
      <c r="AR11" s="292"/>
      <c r="AS11" s="57" t="s">
        <v>68</v>
      </c>
      <c r="AT11" s="262">
        <f>G20</f>
        <v>4.3328629754756589</v>
      </c>
      <c r="AU11" s="292"/>
      <c r="AV11" s="11" t="s">
        <v>99</v>
      </c>
      <c r="AW11" s="262">
        <f>J20</f>
        <v>1.1174895215358049</v>
      </c>
      <c r="AX11" s="292"/>
      <c r="AY11" s="86" t="s">
        <v>320</v>
      </c>
      <c r="AZ11" s="11"/>
      <c r="BA11" s="220" t="s">
        <v>320</v>
      </c>
      <c r="BB11" s="220"/>
      <c r="BC11" s="257" t="s">
        <v>181</v>
      </c>
      <c r="BD11" s="257"/>
      <c r="BE11" s="247">
        <f>L31</f>
        <v>21.8</v>
      </c>
      <c r="BF11" s="218"/>
      <c r="BG11" s="5"/>
      <c r="BQ11" s="6"/>
      <c r="BU11" s="314">
        <f t="shared" si="0"/>
        <v>3</v>
      </c>
      <c r="BV11" s="218"/>
      <c r="BW11" s="236"/>
      <c r="BX11" s="314">
        <f>'4.部照-常1'!AU23</f>
        <v>65.55</v>
      </c>
      <c r="BY11" s="216"/>
      <c r="BZ11" s="216"/>
      <c r="CA11" s="315"/>
      <c r="CB11" s="314">
        <f>'4.部照-衝1'!G35</f>
        <v>6.25</v>
      </c>
      <c r="CC11" s="216"/>
      <c r="CD11" s="216"/>
      <c r="CE11" s="315"/>
      <c r="CF11" s="314">
        <f>'4.部照-衝1'!AV35</f>
        <v>-0.44169522319177379</v>
      </c>
      <c r="CG11" s="218"/>
      <c r="CH11" s="236"/>
      <c r="CI11" s="314">
        <f t="shared" si="1"/>
        <v>-3.0328090243423667</v>
      </c>
      <c r="CJ11" s="216"/>
      <c r="CK11" s="216"/>
      <c r="CL11" s="216"/>
      <c r="CM11" s="315"/>
      <c r="CN11" s="314">
        <f t="shared" si="2"/>
        <v>68.325495752465855</v>
      </c>
      <c r="CO11" s="218"/>
      <c r="CP11" s="236"/>
    </row>
    <row r="12" spans="3:94" x14ac:dyDescent="0.45">
      <c r="X12" s="5"/>
      <c r="AH12" s="6"/>
      <c r="AN12" s="258"/>
      <c r="AO12" s="14">
        <v>3</v>
      </c>
      <c r="AP12" s="21" t="s">
        <v>60</v>
      </c>
      <c r="AQ12" s="253">
        <f>Q6</f>
        <v>4.3328629754756589</v>
      </c>
      <c r="AR12" s="257"/>
      <c r="AS12" s="56" t="s">
        <v>68</v>
      </c>
      <c r="AT12" s="253">
        <f>G20</f>
        <v>4.3328629754756589</v>
      </c>
      <c r="AU12" s="257"/>
      <c r="AV12" t="s">
        <v>99</v>
      </c>
      <c r="AW12" s="253">
        <f>J20</f>
        <v>1.1174895215358049</v>
      </c>
      <c r="AX12" s="257"/>
      <c r="AY12" s="2" t="s">
        <v>320</v>
      </c>
      <c r="AZ12" s="21" t="s">
        <v>61</v>
      </c>
      <c r="BA12" s="220"/>
      <c r="BB12" s="220"/>
      <c r="BC12" s="257"/>
      <c r="BD12" s="257"/>
      <c r="BE12" s="218"/>
      <c r="BF12" s="218"/>
      <c r="BG12" s="5"/>
      <c r="BQ12" s="6"/>
      <c r="BU12" s="314">
        <f t="shared" si="0"/>
        <v>4</v>
      </c>
      <c r="BV12" s="218"/>
      <c r="BW12" s="236"/>
      <c r="BX12" s="314">
        <f>'4.部照-常1'!AU24</f>
        <v>92</v>
      </c>
      <c r="BY12" s="216"/>
      <c r="BZ12" s="216"/>
      <c r="CA12" s="315"/>
      <c r="CB12" s="314">
        <f>'4.部照-衝1'!G36</f>
        <v>5</v>
      </c>
      <c r="CC12" s="216"/>
      <c r="CD12" s="216"/>
      <c r="CE12" s="315"/>
      <c r="CF12" s="314">
        <f>'4.部照-衝1'!AV36</f>
        <v>-0.78523595234093124</v>
      </c>
      <c r="CG12" s="218"/>
      <c r="CH12" s="236"/>
      <c r="CI12" s="314">
        <f t="shared" si="1"/>
        <v>-3.1194694808408423</v>
      </c>
      <c r="CJ12" s="216"/>
      <c r="CK12" s="216"/>
      <c r="CL12" s="216"/>
      <c r="CM12" s="315"/>
      <c r="CN12" s="314">
        <f t="shared" si="2"/>
        <v>93.095294566818225</v>
      </c>
      <c r="CO12" s="218"/>
      <c r="CP12" s="236"/>
    </row>
    <row r="13" spans="3:94" x14ac:dyDescent="0.45">
      <c r="V13" s="93"/>
      <c r="W13" s="83"/>
      <c r="X13" s="123"/>
      <c r="Y13" s="124"/>
      <c r="Z13" s="14"/>
      <c r="AH13" s="6"/>
      <c r="AN13" s="258" t="s">
        <v>3</v>
      </c>
      <c r="AO13" s="224">
        <f>AO11*AQ11+AT11</f>
        <v>12.998588926426976</v>
      </c>
      <c r="AP13" s="224"/>
      <c r="AQ13" s="224"/>
      <c r="AR13" s="11" t="s">
        <v>99</v>
      </c>
      <c r="AS13" s="262">
        <f>AW11</f>
        <v>1.1174895215358049</v>
      </c>
      <c r="AT13" s="292"/>
      <c r="AU13" s="86" t="s">
        <v>320</v>
      </c>
      <c r="AV13" s="220" t="s">
        <v>320</v>
      </c>
      <c r="AW13" s="220"/>
      <c r="AX13" s="218" t="s">
        <v>62</v>
      </c>
      <c r="AY13" s="216">
        <f>COS(BE11*PI()/180)</f>
        <v>0.92848582688091352</v>
      </c>
      <c r="AZ13" s="216"/>
      <c r="BG13" s="7"/>
      <c r="BH13" s="11"/>
      <c r="BI13" s="11"/>
      <c r="BJ13" s="11"/>
      <c r="BK13" s="11"/>
      <c r="BL13" s="11"/>
      <c r="BM13" s="11"/>
      <c r="BN13" s="11"/>
      <c r="BO13" s="11"/>
      <c r="BP13" s="11"/>
      <c r="BQ13" s="8"/>
      <c r="BU13" s="314">
        <f t="shared" si="0"/>
        <v>5</v>
      </c>
      <c r="BV13" s="218"/>
      <c r="BW13" s="236"/>
      <c r="BX13" s="314">
        <f>'4.部照-常1'!AU25</f>
        <v>120.75</v>
      </c>
      <c r="BY13" s="216"/>
      <c r="BZ13" s="216"/>
      <c r="CA13" s="315"/>
      <c r="CB13" s="314">
        <f>'4.部照-衝1'!G37</f>
        <v>4.166666666666667</v>
      </c>
      <c r="CC13" s="216"/>
      <c r="CD13" s="216"/>
      <c r="CE13" s="315"/>
      <c r="CF13" s="314">
        <f>'4.部照-衝1'!AV37</f>
        <v>-1.226931175532705</v>
      </c>
      <c r="CG13" s="218"/>
      <c r="CH13" s="236"/>
      <c r="CI13" s="314">
        <f t="shared" si="1"/>
        <v>-3.1194694808408423</v>
      </c>
      <c r="CJ13" s="216"/>
      <c r="CK13" s="216"/>
      <c r="CL13" s="216"/>
      <c r="CM13" s="315"/>
      <c r="CN13" s="314">
        <f t="shared" si="2"/>
        <v>120.57026601029312</v>
      </c>
      <c r="CO13" s="218"/>
      <c r="CP13" s="236"/>
    </row>
    <row r="14" spans="3:94" x14ac:dyDescent="0.45">
      <c r="D14" t="s">
        <v>523</v>
      </c>
      <c r="X14" s="5"/>
      <c r="AH14" s="6"/>
      <c r="AN14" s="258"/>
      <c r="AO14" s="216">
        <f>AO12*(AQ12+AT12)</f>
        <v>25.997177852853952</v>
      </c>
      <c r="AP14" s="216"/>
      <c r="AQ14" s="216"/>
      <c r="AR14" t="s">
        <v>99</v>
      </c>
      <c r="AS14" s="253">
        <f>AO12*AW12</f>
        <v>3.352468564607415</v>
      </c>
      <c r="AT14" s="257"/>
      <c r="AU14" s="2" t="s">
        <v>320</v>
      </c>
      <c r="AV14" s="220"/>
      <c r="AW14" s="220"/>
      <c r="AX14" s="218"/>
      <c r="AY14" s="216"/>
      <c r="AZ14" s="216"/>
      <c r="BU14" s="312">
        <f t="shared" si="0"/>
        <v>6</v>
      </c>
      <c r="BV14" s="225"/>
      <c r="BW14" s="231"/>
      <c r="BX14" s="312">
        <f>'4.部照-常1'!AU26</f>
        <v>151.80000000000001</v>
      </c>
      <c r="BY14" s="224"/>
      <c r="BZ14" s="224"/>
      <c r="CA14" s="313"/>
      <c r="CB14" s="312">
        <f>'4.部照-衝1'!G38</f>
        <v>3.5714285714285716</v>
      </c>
      <c r="CC14" s="224"/>
      <c r="CD14" s="224"/>
      <c r="CE14" s="313"/>
      <c r="CF14" s="312">
        <f>'4.部照-衝1'!AV38</f>
        <v>-1.7667808927670952</v>
      </c>
      <c r="CG14" s="225"/>
      <c r="CH14" s="231"/>
      <c r="CI14" s="312">
        <f t="shared" si="1"/>
        <v>-3.1194694808408423</v>
      </c>
      <c r="CJ14" s="224"/>
      <c r="CK14" s="224"/>
      <c r="CL14" s="224"/>
      <c r="CM14" s="313"/>
      <c r="CN14" s="312">
        <f>SUM(BX14:CM14)</f>
        <v>150.48517819782066</v>
      </c>
      <c r="CO14" s="225"/>
      <c r="CP14" s="231"/>
    </row>
    <row r="15" spans="3:94" x14ac:dyDescent="0.45">
      <c r="D15" t="s">
        <v>522</v>
      </c>
      <c r="X15" s="5"/>
      <c r="AH15" s="6"/>
      <c r="AN15" s="258" t="s">
        <v>3</v>
      </c>
      <c r="AO15" s="224">
        <f>AO13*AY13</f>
        <v>12.069005587638637</v>
      </c>
      <c r="AP15" s="224"/>
      <c r="AQ15" s="224"/>
      <c r="AR15" s="11" t="s">
        <v>99</v>
      </c>
      <c r="AS15" s="262">
        <f>AS13*AY13</f>
        <v>1.0375731824339283</v>
      </c>
      <c r="AT15" s="292"/>
      <c r="AU15" s="86" t="s">
        <v>320</v>
      </c>
      <c r="AV15" s="220" t="s">
        <v>320</v>
      </c>
      <c r="AW15" s="220"/>
      <c r="BD15" s="36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42" t="s">
        <v>45</v>
      </c>
    </row>
    <row r="16" spans="3:94" ht="19.2" x14ac:dyDescent="0.45">
      <c r="D16" s="245" t="s">
        <v>319</v>
      </c>
      <c r="E16" s="245"/>
      <c r="F16" s="258" t="s">
        <v>3</v>
      </c>
      <c r="G16" s="267" t="s">
        <v>242</v>
      </c>
      <c r="H16" s="267"/>
      <c r="I16" s="11" t="s">
        <v>67</v>
      </c>
      <c r="J16" s="94" t="s">
        <v>255</v>
      </c>
      <c r="K16" s="11" t="s">
        <v>99</v>
      </c>
      <c r="L16" s="86" t="s">
        <v>320</v>
      </c>
      <c r="M16" s="245" t="s">
        <v>254</v>
      </c>
      <c r="N16" s="245"/>
      <c r="X16" s="5"/>
      <c r="AH16" s="6"/>
      <c r="AN16" s="258"/>
      <c r="AO16" s="216">
        <f>AO14</f>
        <v>25.997177852853952</v>
      </c>
      <c r="AP16" s="216"/>
      <c r="AQ16" s="216"/>
      <c r="AR16" t="s">
        <v>99</v>
      </c>
      <c r="AS16" s="253">
        <f>AS14</f>
        <v>3.352468564607415</v>
      </c>
      <c r="AT16" s="257"/>
      <c r="AU16" s="2" t="s">
        <v>320</v>
      </c>
      <c r="AV16" s="220"/>
      <c r="AW16" s="220"/>
      <c r="BD16" s="5"/>
      <c r="BQ16" s="6"/>
      <c r="BU16" t="s">
        <v>302</v>
      </c>
    </row>
    <row r="17" spans="4:105" ht="19.2" x14ac:dyDescent="0.45">
      <c r="D17" s="245"/>
      <c r="E17" s="245"/>
      <c r="F17" s="258"/>
      <c r="H17" s="245" t="s">
        <v>242</v>
      </c>
      <c r="I17" s="245"/>
      <c r="J17" t="s">
        <v>67</v>
      </c>
      <c r="K17" s="65" t="s">
        <v>255</v>
      </c>
      <c r="M17" s="245"/>
      <c r="N17" s="245"/>
      <c r="X17" s="5"/>
      <c r="AH17" s="6"/>
      <c r="BD17" s="5"/>
      <c r="BQ17" s="6"/>
      <c r="BU17" s="232" t="s">
        <v>48</v>
      </c>
      <c r="BV17" s="233"/>
      <c r="BW17" s="234"/>
      <c r="BX17" s="232" t="s">
        <v>314</v>
      </c>
      <c r="BY17" s="233"/>
      <c r="BZ17" s="233"/>
      <c r="CA17" s="234"/>
      <c r="CB17" s="232" t="s">
        <v>212</v>
      </c>
      <c r="CC17" s="233"/>
      <c r="CD17" s="233"/>
      <c r="CE17" s="234"/>
      <c r="CF17" s="340" t="s">
        <v>334</v>
      </c>
      <c r="CG17" s="341"/>
      <c r="CH17" s="341"/>
      <c r="CI17" s="340" t="s">
        <v>335</v>
      </c>
      <c r="CJ17" s="372"/>
      <c r="CK17" s="372"/>
      <c r="CL17" s="372"/>
      <c r="CM17" s="373"/>
      <c r="CN17" s="340" t="s">
        <v>336</v>
      </c>
      <c r="CO17" s="341"/>
      <c r="CP17" s="342"/>
    </row>
    <row r="18" spans="4:105" x14ac:dyDescent="0.45">
      <c r="F18" s="258" t="s">
        <v>3</v>
      </c>
      <c r="G18" s="374">
        <f>G6</f>
        <v>0.6</v>
      </c>
      <c r="H18" s="292"/>
      <c r="I18" s="11" t="s">
        <v>67</v>
      </c>
      <c r="J18" s="262">
        <f>G5</f>
        <v>6.4621977685614063</v>
      </c>
      <c r="K18" s="262"/>
      <c r="L18" s="11" t="s">
        <v>99</v>
      </c>
      <c r="M18" s="86" t="s">
        <v>320</v>
      </c>
      <c r="N18" s="216">
        <f>Q6</f>
        <v>4.3328629754756589</v>
      </c>
      <c r="O18" s="218"/>
      <c r="X18" s="7"/>
      <c r="Y18" s="11"/>
      <c r="Z18" s="11"/>
      <c r="AA18" s="11"/>
      <c r="AB18" s="11"/>
      <c r="AC18" s="11"/>
      <c r="AD18" s="11"/>
      <c r="AE18" s="11"/>
      <c r="AF18" s="11"/>
      <c r="AG18" s="11"/>
      <c r="AH18" s="8"/>
      <c r="AL18" s="83" t="s">
        <v>322</v>
      </c>
      <c r="BD18" s="5"/>
      <c r="BQ18" s="6"/>
      <c r="BU18" s="235" t="s">
        <v>297</v>
      </c>
      <c r="BV18" s="220"/>
      <c r="BW18" s="237"/>
      <c r="BX18" s="235"/>
      <c r="BY18" s="220"/>
      <c r="BZ18" s="220"/>
      <c r="CA18" s="237"/>
      <c r="CB18" s="235" t="s">
        <v>428</v>
      </c>
      <c r="CC18" s="220"/>
      <c r="CD18" s="220"/>
      <c r="CE18" s="237"/>
      <c r="CF18" s="318" t="s">
        <v>485</v>
      </c>
      <c r="CG18" s="251"/>
      <c r="CH18" s="319"/>
      <c r="CI18" s="318" t="s">
        <v>489</v>
      </c>
      <c r="CJ18" s="251"/>
      <c r="CK18" s="251"/>
      <c r="CL18" s="251"/>
      <c r="CM18" s="319"/>
      <c r="CN18" s="368" t="s">
        <v>421</v>
      </c>
      <c r="CO18" s="369"/>
      <c r="CP18" s="370"/>
    </row>
    <row r="19" spans="4:105" x14ac:dyDescent="0.45">
      <c r="F19" s="258"/>
      <c r="H19" s="259">
        <f>G6</f>
        <v>0.6</v>
      </c>
      <c r="I19" s="257"/>
      <c r="J19" t="s">
        <v>67</v>
      </c>
      <c r="K19" s="253">
        <f>G5</f>
        <v>6.4621977685614063</v>
      </c>
      <c r="L19" s="253"/>
      <c r="N19" s="218"/>
      <c r="O19" s="218"/>
      <c r="AL19" s="251" t="s">
        <v>317</v>
      </c>
      <c r="AM19" s="251"/>
      <c r="AN19" s="258" t="s">
        <v>3</v>
      </c>
      <c r="AO19" s="220" t="s">
        <v>297</v>
      </c>
      <c r="AP19" s="220"/>
      <c r="AQ19" s="219" t="s">
        <v>99</v>
      </c>
      <c r="AR19" s="82">
        <v>1</v>
      </c>
      <c r="AS19" s="220" t="s">
        <v>320</v>
      </c>
      <c r="AT19" s="220"/>
      <c r="AU19" s="218" t="s">
        <v>62</v>
      </c>
      <c r="AV19" s="257" t="s">
        <v>181</v>
      </c>
      <c r="AW19" s="257"/>
      <c r="AX19" s="287" t="s">
        <v>395</v>
      </c>
      <c r="BD19" s="5"/>
      <c r="BQ19" s="6"/>
      <c r="BU19" s="230" t="s">
        <v>303</v>
      </c>
      <c r="BV19" s="225"/>
      <c r="BW19" s="231"/>
      <c r="BX19" s="230" t="s">
        <v>121</v>
      </c>
      <c r="BY19" s="225"/>
      <c r="BZ19" s="225"/>
      <c r="CA19" s="231"/>
      <c r="CB19" s="230" t="s">
        <v>121</v>
      </c>
      <c r="CC19" s="225"/>
      <c r="CD19" s="225"/>
      <c r="CE19" s="231"/>
      <c r="CF19" s="230" t="s">
        <v>121</v>
      </c>
      <c r="CG19" s="225"/>
      <c r="CH19" s="231"/>
      <c r="CI19" s="230" t="s">
        <v>121</v>
      </c>
      <c r="CJ19" s="225"/>
      <c r="CK19" s="225"/>
      <c r="CL19" s="225"/>
      <c r="CM19" s="231"/>
      <c r="CN19" s="230" t="s">
        <v>121</v>
      </c>
      <c r="CO19" s="225"/>
      <c r="CP19" s="231"/>
    </row>
    <row r="20" spans="4:105" x14ac:dyDescent="0.45">
      <c r="F20" s="16" t="s">
        <v>3</v>
      </c>
      <c r="G20" s="216">
        <f>G18*J18*N18/H19/K19</f>
        <v>4.3328629754756589</v>
      </c>
      <c r="H20" s="216"/>
      <c r="I20" t="s">
        <v>99</v>
      </c>
      <c r="J20" s="216">
        <f>N18/H19/K19</f>
        <v>1.1174895215358049</v>
      </c>
      <c r="K20" s="216"/>
      <c r="L20" s="2" t="s">
        <v>320</v>
      </c>
      <c r="X20" s="16"/>
      <c r="AL20" s="251"/>
      <c r="AM20" s="251"/>
      <c r="AN20" s="258"/>
      <c r="AO20" s="220"/>
      <c r="AP20" s="220"/>
      <c r="AQ20" s="219"/>
      <c r="AR20" s="14">
        <v>3</v>
      </c>
      <c r="AS20" s="220"/>
      <c r="AT20" s="220"/>
      <c r="AU20" s="218"/>
      <c r="AV20" s="257"/>
      <c r="AW20" s="257"/>
      <c r="AX20" s="287"/>
      <c r="BD20" s="5"/>
      <c r="BQ20" s="6"/>
      <c r="BU20" s="366">
        <f t="shared" ref="BU20:BU25" si="3">BU9</f>
        <v>1</v>
      </c>
      <c r="BV20" s="227"/>
      <c r="BW20" s="367"/>
      <c r="BX20" s="366">
        <v>0</v>
      </c>
      <c r="BY20" s="226"/>
      <c r="BZ20" s="226"/>
      <c r="CA20" s="226"/>
      <c r="CB20" s="366">
        <f>'4.部照-衝1'!J33</f>
        <v>15</v>
      </c>
      <c r="CC20" s="226"/>
      <c r="CD20" s="226"/>
      <c r="CE20" s="371"/>
      <c r="CF20" s="366">
        <f>'4.部照-衝1'!AY33</f>
        <v>1.5616633218088425</v>
      </c>
      <c r="CG20" s="227"/>
      <c r="CH20" s="367"/>
      <c r="CI20" s="366">
        <f t="shared" ref="CI20:CI25" si="4">BB32</f>
        <v>3.7310823724858344</v>
      </c>
      <c r="CJ20" s="226"/>
      <c r="CK20" s="226"/>
      <c r="CL20" s="226"/>
      <c r="CM20" s="371"/>
      <c r="CN20" s="366">
        <f>SUM(BX20:CM20)</f>
        <v>20.292745694294677</v>
      </c>
      <c r="CO20" s="227"/>
      <c r="CP20" s="367"/>
    </row>
    <row r="21" spans="4:105" x14ac:dyDescent="0.45">
      <c r="F21" s="15"/>
      <c r="G21" s="35"/>
      <c r="H21" s="35"/>
      <c r="J21" s="35"/>
      <c r="K21" s="35"/>
      <c r="L21" s="2"/>
      <c r="AN21" s="258" t="s">
        <v>3</v>
      </c>
      <c r="AO21" s="220" t="s">
        <v>297</v>
      </c>
      <c r="AP21" s="220"/>
      <c r="AQ21" s="219" t="s">
        <v>99</v>
      </c>
      <c r="AR21" s="82">
        <v>1</v>
      </c>
      <c r="AS21" s="220" t="s">
        <v>320</v>
      </c>
      <c r="AT21" s="220"/>
      <c r="AU21" s="218" t="s">
        <v>62</v>
      </c>
      <c r="AV21" s="257" t="s">
        <v>181</v>
      </c>
      <c r="AW21" s="257"/>
      <c r="AX21" s="247">
        <f>BE11</f>
        <v>21.8</v>
      </c>
      <c r="AY21" s="218"/>
      <c r="BD21" s="5"/>
      <c r="BQ21" s="6"/>
      <c r="BU21" s="314">
        <f t="shared" si="3"/>
        <v>2</v>
      </c>
      <c r="BV21" s="218"/>
      <c r="BW21" s="236"/>
      <c r="BX21" s="314">
        <v>0</v>
      </c>
      <c r="BY21" s="216"/>
      <c r="BZ21" s="216"/>
      <c r="CA21" s="216"/>
      <c r="CB21" s="314">
        <f>'4.部照-衝1'!J34</f>
        <v>10</v>
      </c>
      <c r="CC21" s="216"/>
      <c r="CD21" s="216"/>
      <c r="CE21" s="315"/>
      <c r="CF21" s="314">
        <f>'4.部照-衝1'!AY34</f>
        <v>6.2466532872353699</v>
      </c>
      <c r="CG21" s="218"/>
      <c r="CH21" s="236"/>
      <c r="CI21" s="314">
        <f t="shared" si="4"/>
        <v>6.258603538992018</v>
      </c>
      <c r="CJ21" s="216"/>
      <c r="CK21" s="216"/>
      <c r="CL21" s="216"/>
      <c r="CM21" s="315"/>
      <c r="CN21" s="314">
        <f t="shared" ref="CN21:CN25" si="5">SUM(BX21:CM21)</f>
        <v>22.505256826227388</v>
      </c>
      <c r="CO21" s="218"/>
      <c r="CP21" s="236"/>
    </row>
    <row r="22" spans="4:105" x14ac:dyDescent="0.45">
      <c r="D22" t="s">
        <v>521</v>
      </c>
      <c r="AN22" s="258"/>
      <c r="AO22" s="220"/>
      <c r="AP22" s="220"/>
      <c r="AQ22" s="219"/>
      <c r="AR22" s="14">
        <v>3</v>
      </c>
      <c r="AS22" s="220"/>
      <c r="AT22" s="220"/>
      <c r="AU22" s="218"/>
      <c r="AV22" s="257"/>
      <c r="AW22" s="257"/>
      <c r="AX22" s="218"/>
      <c r="AY22" s="218"/>
      <c r="BD22" s="5"/>
      <c r="BP22" s="98"/>
      <c r="BQ22" s="95"/>
      <c r="BU22" s="314">
        <f t="shared" si="3"/>
        <v>3</v>
      </c>
      <c r="BV22" s="218"/>
      <c r="BW22" s="236"/>
      <c r="BX22" s="314">
        <v>0</v>
      </c>
      <c r="BY22" s="216"/>
      <c r="BZ22" s="216"/>
      <c r="CA22" s="216"/>
      <c r="CB22" s="314">
        <f>'4.部照-衝1'!J35</f>
        <v>7.5</v>
      </c>
      <c r="CC22" s="216"/>
      <c r="CD22" s="216"/>
      <c r="CE22" s="315"/>
      <c r="CF22" s="314">
        <f>'4.部照-衝1'!AY35</f>
        <v>14.054969896279584</v>
      </c>
      <c r="CG22" s="218"/>
      <c r="CH22" s="236"/>
      <c r="CI22" s="314">
        <f t="shared" si="4"/>
        <v>7.5825634995185522</v>
      </c>
      <c r="CJ22" s="216"/>
      <c r="CK22" s="216"/>
      <c r="CL22" s="216"/>
      <c r="CM22" s="315"/>
      <c r="CN22" s="314">
        <f t="shared" si="5"/>
        <v>29.137533395798137</v>
      </c>
      <c r="CO22" s="218"/>
      <c r="CP22" s="236"/>
    </row>
    <row r="23" spans="4:105" x14ac:dyDescent="0.45">
      <c r="D23" s="245" t="s">
        <v>323</v>
      </c>
      <c r="E23" s="245"/>
      <c r="F23" s="258" t="s">
        <v>3</v>
      </c>
      <c r="G23" s="20" t="s">
        <v>60</v>
      </c>
      <c r="H23" s="267" t="s">
        <v>254</v>
      </c>
      <c r="I23" s="267"/>
      <c r="J23" s="20" t="s">
        <v>68</v>
      </c>
      <c r="K23" s="267" t="s">
        <v>319</v>
      </c>
      <c r="L23" s="267"/>
      <c r="M23" s="20" t="s">
        <v>61</v>
      </c>
      <c r="N23" s="20" t="s">
        <v>62</v>
      </c>
      <c r="O23" s="86" t="s">
        <v>320</v>
      </c>
      <c r="AN23" s="258" t="s">
        <v>3</v>
      </c>
      <c r="AO23" s="220" t="s">
        <v>297</v>
      </c>
      <c r="AP23" s="220"/>
      <c r="AQ23" s="219" t="s">
        <v>99</v>
      </c>
      <c r="AR23" s="82">
        <v>1</v>
      </c>
      <c r="AS23" s="220" t="s">
        <v>320</v>
      </c>
      <c r="AT23" s="220"/>
      <c r="AU23" s="218" t="s">
        <v>62</v>
      </c>
      <c r="AV23" s="216">
        <f>COS(AX21*PI()/180)</f>
        <v>0.92848582688091352</v>
      </c>
      <c r="AW23" s="216"/>
      <c r="BD23" s="5"/>
      <c r="BP23" s="98"/>
      <c r="BQ23" s="95"/>
      <c r="BU23" s="314">
        <f t="shared" si="3"/>
        <v>4</v>
      </c>
      <c r="BV23" s="218"/>
      <c r="BW23" s="236"/>
      <c r="BX23" s="314">
        <v>0</v>
      </c>
      <c r="BY23" s="216"/>
      <c r="BZ23" s="216"/>
      <c r="CA23" s="216"/>
      <c r="CB23" s="314">
        <f>'4.部照-衝1'!J36</f>
        <v>6</v>
      </c>
      <c r="CC23" s="216"/>
      <c r="CD23" s="216"/>
      <c r="CE23" s="315"/>
      <c r="CF23" s="314">
        <f>'4.部照-衝1'!AY36</f>
        <v>24.98661314894148</v>
      </c>
      <c r="CG23" s="218"/>
      <c r="CH23" s="236"/>
      <c r="CI23" s="314">
        <f t="shared" si="4"/>
        <v>7.7992300977193549</v>
      </c>
      <c r="CJ23" s="216"/>
      <c r="CK23" s="216"/>
      <c r="CL23" s="216"/>
      <c r="CM23" s="315"/>
      <c r="CN23" s="314">
        <f t="shared" si="5"/>
        <v>38.785843246660832</v>
      </c>
      <c r="CO23" s="218"/>
      <c r="CP23" s="236"/>
    </row>
    <row r="24" spans="4:105" x14ac:dyDescent="0.45">
      <c r="D24" s="245"/>
      <c r="E24" s="245"/>
      <c r="F24" s="258"/>
      <c r="G24" s="56"/>
      <c r="K24" s="61">
        <v>2</v>
      </c>
      <c r="AN24" s="258"/>
      <c r="AO24" s="220"/>
      <c r="AP24" s="220"/>
      <c r="AQ24" s="219"/>
      <c r="AR24" s="14">
        <v>3</v>
      </c>
      <c r="AS24" s="220"/>
      <c r="AT24" s="220"/>
      <c r="AU24" s="218"/>
      <c r="AV24" s="216"/>
      <c r="AW24" s="216"/>
      <c r="BD24" s="5"/>
      <c r="BP24" s="98"/>
      <c r="BQ24" s="95"/>
      <c r="BU24" s="314">
        <f t="shared" si="3"/>
        <v>5</v>
      </c>
      <c r="BV24" s="218"/>
      <c r="BW24" s="236"/>
      <c r="BX24" s="314">
        <v>0</v>
      </c>
      <c r="BY24" s="216"/>
      <c r="BZ24" s="216"/>
      <c r="CA24" s="216"/>
      <c r="CB24" s="314">
        <f>'4.部照-衝1'!J37</f>
        <v>5</v>
      </c>
      <c r="CC24" s="216"/>
      <c r="CD24" s="216"/>
      <c r="CE24" s="315"/>
      <c r="CF24" s="314">
        <f>'4.部照-衝1'!AY37</f>
        <v>39.041583045221067</v>
      </c>
      <c r="CG24" s="218"/>
      <c r="CH24" s="236"/>
      <c r="CI24" s="314">
        <f t="shared" si="4"/>
        <v>7.7992300977193549</v>
      </c>
      <c r="CJ24" s="216"/>
      <c r="CK24" s="216"/>
      <c r="CL24" s="216"/>
      <c r="CM24" s="315"/>
      <c r="CN24" s="314">
        <f t="shared" si="5"/>
        <v>51.840813142940419</v>
      </c>
      <c r="CO24" s="218"/>
      <c r="CP24" s="236"/>
    </row>
    <row r="25" spans="4:105" x14ac:dyDescent="0.45">
      <c r="F25" s="258" t="s">
        <v>3</v>
      </c>
      <c r="G25" s="20" t="s">
        <v>60</v>
      </c>
      <c r="H25" s="262">
        <f>Q6</f>
        <v>4.3328629754756589</v>
      </c>
      <c r="I25" s="292"/>
      <c r="J25" s="20" t="s">
        <v>68</v>
      </c>
      <c r="K25" s="262">
        <f>G20</f>
        <v>4.3328629754756589</v>
      </c>
      <c r="L25" s="292"/>
      <c r="M25" s="11" t="s">
        <v>99</v>
      </c>
      <c r="N25" s="224">
        <f>J20</f>
        <v>1.1174895215358049</v>
      </c>
      <c r="O25" s="224"/>
      <c r="P25" s="86" t="s">
        <v>320</v>
      </c>
      <c r="Q25" s="20" t="s">
        <v>61</v>
      </c>
      <c r="R25" s="20" t="s">
        <v>62</v>
      </c>
      <c r="S25" s="86" t="s">
        <v>320</v>
      </c>
      <c r="AN25" s="4" t="s">
        <v>3</v>
      </c>
      <c r="AO25" s="220" t="s">
        <v>297</v>
      </c>
      <c r="AP25" s="220"/>
      <c r="AQ25" t="s">
        <v>99</v>
      </c>
      <c r="AR25" s="216">
        <f>AR23/AR24*AV23</f>
        <v>0.30949527562697116</v>
      </c>
      <c r="AS25" s="216"/>
      <c r="AT25" s="216"/>
      <c r="AU25" s="220" t="s">
        <v>320</v>
      </c>
      <c r="AV25" s="220"/>
      <c r="BD25" s="5"/>
      <c r="BP25" s="98"/>
      <c r="BQ25" s="95"/>
      <c r="BU25" s="312">
        <f t="shared" si="3"/>
        <v>6</v>
      </c>
      <c r="BV25" s="225"/>
      <c r="BW25" s="231"/>
      <c r="BX25" s="312">
        <v>0</v>
      </c>
      <c r="BY25" s="224"/>
      <c r="BZ25" s="224"/>
      <c r="CA25" s="224"/>
      <c r="CB25" s="312">
        <f>'4.部照-衝1'!J38</f>
        <v>4.2857142857142856</v>
      </c>
      <c r="CC25" s="224"/>
      <c r="CD25" s="224"/>
      <c r="CE25" s="313"/>
      <c r="CF25" s="312">
        <f>'4.部照-衝1'!AY38</f>
        <v>56.219879585118335</v>
      </c>
      <c r="CG25" s="225"/>
      <c r="CH25" s="231"/>
      <c r="CI25" s="312">
        <f t="shared" si="4"/>
        <v>7.7992300977193549</v>
      </c>
      <c r="CJ25" s="224"/>
      <c r="CK25" s="224"/>
      <c r="CL25" s="224"/>
      <c r="CM25" s="313"/>
      <c r="CN25" s="312">
        <f t="shared" si="5"/>
        <v>68.304823968551972</v>
      </c>
      <c r="CO25" s="225"/>
      <c r="CP25" s="231"/>
    </row>
    <row r="26" spans="4:105" x14ac:dyDescent="0.45">
      <c r="F26" s="258"/>
      <c r="G26" s="56"/>
      <c r="K26" s="61">
        <v>2</v>
      </c>
      <c r="N26" s="35"/>
      <c r="O26" s="35"/>
      <c r="P26" s="1"/>
      <c r="BD26" s="5"/>
      <c r="BP26" s="98"/>
      <c r="BQ26" s="95"/>
    </row>
    <row r="27" spans="4:105" x14ac:dyDescent="0.45">
      <c r="F27" s="4" t="s">
        <v>3</v>
      </c>
      <c r="G27" s="216">
        <f>(H25+K25)/K26</f>
        <v>4.3328629754756589</v>
      </c>
      <c r="H27" s="216"/>
      <c r="I27" s="2" t="s">
        <v>320</v>
      </c>
      <c r="J27" t="s">
        <v>99</v>
      </c>
      <c r="K27" s="216">
        <f>N25/K26</f>
        <v>0.55874476076790247</v>
      </c>
      <c r="L27" s="216"/>
      <c r="M27" s="2" t="s">
        <v>320</v>
      </c>
      <c r="N27" t="s">
        <v>296</v>
      </c>
      <c r="BD27" s="7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96"/>
      <c r="BQ27" s="97"/>
      <c r="BU27" t="s">
        <v>338</v>
      </c>
    </row>
    <row r="28" spans="4:105" x14ac:dyDescent="0.45">
      <c r="BU28" s="232" t="s">
        <v>48</v>
      </c>
      <c r="BV28" s="233"/>
      <c r="BW28" s="234"/>
      <c r="BX28" s="178" t="s">
        <v>314</v>
      </c>
      <c r="BY28" s="179"/>
      <c r="BZ28" s="179"/>
      <c r="CA28" s="179"/>
      <c r="CB28" s="179"/>
      <c r="CC28" s="180"/>
      <c r="CD28" s="178" t="s">
        <v>380</v>
      </c>
      <c r="CE28" s="179"/>
      <c r="CF28" s="179"/>
      <c r="CG28" s="179"/>
      <c r="CH28" s="179"/>
      <c r="CI28" s="180"/>
      <c r="CJ28" s="178" t="s">
        <v>334</v>
      </c>
      <c r="CK28" s="179"/>
      <c r="CL28" s="179"/>
      <c r="CM28" s="179"/>
      <c r="CN28" s="179"/>
      <c r="CO28" s="180"/>
      <c r="CP28" s="178" t="s">
        <v>335</v>
      </c>
      <c r="CQ28" s="179"/>
      <c r="CR28" s="179"/>
      <c r="CS28" s="179"/>
      <c r="CT28" s="179"/>
      <c r="CU28" s="180"/>
      <c r="CV28" s="178" t="s">
        <v>336</v>
      </c>
      <c r="CW28" s="179"/>
      <c r="CX28" s="179"/>
      <c r="CY28" s="179"/>
      <c r="CZ28" s="179"/>
      <c r="DA28" s="180"/>
    </row>
    <row r="29" spans="4:105" x14ac:dyDescent="0.45">
      <c r="D29" t="s">
        <v>324</v>
      </c>
      <c r="AJ29" s="232" t="s">
        <v>48</v>
      </c>
      <c r="AK29" s="233"/>
      <c r="AL29" s="234"/>
      <c r="AM29" s="232"/>
      <c r="AN29" s="233"/>
      <c r="AO29" s="234"/>
      <c r="AP29" s="340"/>
      <c r="AQ29" s="341"/>
      <c r="AR29" s="341"/>
      <c r="AS29" s="363" t="s">
        <v>326</v>
      </c>
      <c r="AT29" s="364"/>
      <c r="AU29" s="365"/>
      <c r="AV29" s="340"/>
      <c r="AW29" s="341"/>
      <c r="AX29" s="342"/>
      <c r="AY29" s="340" t="s">
        <v>301</v>
      </c>
      <c r="AZ29" s="341"/>
      <c r="BA29" s="341"/>
      <c r="BB29" s="340" t="s">
        <v>302</v>
      </c>
      <c r="BC29" s="341"/>
      <c r="BD29" s="342"/>
      <c r="BE29" s="232" t="s">
        <v>298</v>
      </c>
      <c r="BF29" s="233"/>
      <c r="BG29" s="233"/>
      <c r="BH29" s="233"/>
      <c r="BI29" s="233"/>
      <c r="BJ29" s="234"/>
      <c r="BK29" s="178" t="s">
        <v>117</v>
      </c>
      <c r="BL29" s="179"/>
      <c r="BM29" s="179"/>
      <c r="BN29" s="179"/>
      <c r="BO29" s="179"/>
      <c r="BP29" s="179"/>
      <c r="BQ29" s="179"/>
      <c r="BR29" s="180"/>
      <c r="BU29" s="235" t="s">
        <v>297</v>
      </c>
      <c r="BV29" s="220"/>
      <c r="BW29" s="220"/>
      <c r="BX29" s="357" t="s">
        <v>339</v>
      </c>
      <c r="BY29" s="358"/>
      <c r="BZ29" s="359"/>
      <c r="CA29" s="357" t="s">
        <v>340</v>
      </c>
      <c r="CB29" s="358"/>
      <c r="CC29" s="359"/>
      <c r="CD29" s="357" t="s">
        <v>339</v>
      </c>
      <c r="CE29" s="358"/>
      <c r="CF29" s="359"/>
      <c r="CG29" s="357" t="s">
        <v>340</v>
      </c>
      <c r="CH29" s="358"/>
      <c r="CI29" s="359"/>
      <c r="CJ29" s="357" t="s">
        <v>339</v>
      </c>
      <c r="CK29" s="358"/>
      <c r="CL29" s="359"/>
      <c r="CM29" s="357" t="s">
        <v>340</v>
      </c>
      <c r="CN29" s="358"/>
      <c r="CO29" s="359"/>
      <c r="CP29" s="357" t="s">
        <v>339</v>
      </c>
      <c r="CQ29" s="358"/>
      <c r="CR29" s="359"/>
      <c r="CS29" s="357" t="s">
        <v>340</v>
      </c>
      <c r="CT29" s="358"/>
      <c r="CU29" s="359"/>
      <c r="CV29" s="357" t="s">
        <v>339</v>
      </c>
      <c r="CW29" s="358"/>
      <c r="CX29" s="359"/>
      <c r="CY29" s="357" t="s">
        <v>340</v>
      </c>
      <c r="CZ29" s="358"/>
      <c r="DA29" s="359"/>
    </row>
    <row r="30" spans="4:105" x14ac:dyDescent="0.35">
      <c r="D30" s="251" t="s">
        <v>489</v>
      </c>
      <c r="E30" s="251"/>
      <c r="F30" s="16" t="s">
        <v>3</v>
      </c>
      <c r="G30" s="245" t="s">
        <v>323</v>
      </c>
      <c r="H30" s="245"/>
      <c r="I30" s="218" t="s">
        <v>181</v>
      </c>
      <c r="J30" s="218"/>
      <c r="K30" s="106" t="s">
        <v>395</v>
      </c>
      <c r="AJ30" s="235" t="s">
        <v>297</v>
      </c>
      <c r="AK30" s="220"/>
      <c r="AL30" s="237"/>
      <c r="AM30" s="235" t="s">
        <v>321</v>
      </c>
      <c r="AN30" s="220"/>
      <c r="AO30" s="237"/>
      <c r="AP30" s="318" t="s">
        <v>327</v>
      </c>
      <c r="AQ30" s="251"/>
      <c r="AR30" s="319"/>
      <c r="AS30" s="5"/>
      <c r="AT30" t="s">
        <v>328</v>
      </c>
      <c r="AU30" s="6"/>
      <c r="AV30" s="318" t="s">
        <v>329</v>
      </c>
      <c r="AW30" s="251"/>
      <c r="AX30" s="319"/>
      <c r="AY30" s="318" t="s">
        <v>490</v>
      </c>
      <c r="AZ30" s="251"/>
      <c r="BA30" s="319"/>
      <c r="BB30" s="318" t="s">
        <v>489</v>
      </c>
      <c r="BC30" s="251"/>
      <c r="BD30" s="319"/>
      <c r="BE30" s="320" t="s">
        <v>316</v>
      </c>
      <c r="BF30" s="321"/>
      <c r="BG30" s="322"/>
      <c r="BH30" s="320" t="s">
        <v>317</v>
      </c>
      <c r="BI30" s="321"/>
      <c r="BJ30" s="322"/>
      <c r="BK30" s="274" t="s">
        <v>491</v>
      </c>
      <c r="BL30" s="221"/>
      <c r="BM30" s="221"/>
      <c r="BN30" s="221"/>
      <c r="BO30" s="274" t="s">
        <v>492</v>
      </c>
      <c r="BP30" s="221"/>
      <c r="BQ30" s="221"/>
      <c r="BR30" s="282"/>
      <c r="BU30" s="230" t="s">
        <v>303</v>
      </c>
      <c r="BV30" s="225"/>
      <c r="BW30" s="225"/>
      <c r="BX30" s="360" t="s">
        <v>419</v>
      </c>
      <c r="BY30" s="361"/>
      <c r="BZ30" s="362"/>
      <c r="CA30" s="360" t="s">
        <v>419</v>
      </c>
      <c r="CB30" s="361"/>
      <c r="CC30" s="362"/>
      <c r="CD30" s="360" t="s">
        <v>419</v>
      </c>
      <c r="CE30" s="361"/>
      <c r="CF30" s="362"/>
      <c r="CG30" s="360" t="s">
        <v>419</v>
      </c>
      <c r="CH30" s="361"/>
      <c r="CI30" s="362"/>
      <c r="CJ30" s="360" t="s">
        <v>419</v>
      </c>
      <c r="CK30" s="361"/>
      <c r="CL30" s="362"/>
      <c r="CM30" s="360" t="s">
        <v>419</v>
      </c>
      <c r="CN30" s="361"/>
      <c r="CO30" s="362"/>
      <c r="CP30" s="360" t="s">
        <v>419</v>
      </c>
      <c r="CQ30" s="361"/>
      <c r="CR30" s="362"/>
      <c r="CS30" s="360" t="s">
        <v>419</v>
      </c>
      <c r="CT30" s="361"/>
      <c r="CU30" s="362"/>
      <c r="CV30" s="360" t="s">
        <v>419</v>
      </c>
      <c r="CW30" s="361"/>
      <c r="CX30" s="362"/>
      <c r="CY30" s="360" t="s">
        <v>419</v>
      </c>
      <c r="CZ30" s="361"/>
      <c r="DA30" s="362"/>
    </row>
    <row r="31" spans="4:105" x14ac:dyDescent="0.45">
      <c r="F31" s="16" t="s">
        <v>3</v>
      </c>
      <c r="G31" s="245" t="s">
        <v>323</v>
      </c>
      <c r="H31" s="245"/>
      <c r="I31" s="257" t="s">
        <v>325</v>
      </c>
      <c r="J31" s="257"/>
      <c r="K31" s="257"/>
      <c r="L31" s="254">
        <f>Q7</f>
        <v>21.8</v>
      </c>
      <c r="M31" s="254"/>
      <c r="AJ31" s="230" t="s">
        <v>303</v>
      </c>
      <c r="AK31" s="225"/>
      <c r="AL31" s="231"/>
      <c r="AM31" s="230" t="s">
        <v>303</v>
      </c>
      <c r="AN31" s="225"/>
      <c r="AO31" s="231"/>
      <c r="AP31" s="230" t="s">
        <v>303</v>
      </c>
      <c r="AQ31" s="225"/>
      <c r="AR31" s="231"/>
      <c r="AS31" s="354" t="s">
        <v>330</v>
      </c>
      <c r="AT31" s="355"/>
      <c r="AU31" s="356"/>
      <c r="AV31" s="230" t="s">
        <v>121</v>
      </c>
      <c r="AW31" s="225"/>
      <c r="AX31" s="231"/>
      <c r="AY31" s="230" t="s">
        <v>121</v>
      </c>
      <c r="AZ31" s="225"/>
      <c r="BA31" s="231"/>
      <c r="BB31" s="230" t="s">
        <v>121</v>
      </c>
      <c r="BC31" s="225"/>
      <c r="BD31" s="231"/>
      <c r="BE31" s="230" t="s">
        <v>303</v>
      </c>
      <c r="BF31" s="225"/>
      <c r="BG31" s="231"/>
      <c r="BH31" s="230" t="s">
        <v>303</v>
      </c>
      <c r="BI31" s="225"/>
      <c r="BJ31" s="231"/>
      <c r="BK31" s="283" t="s">
        <v>394</v>
      </c>
      <c r="BL31" s="269"/>
      <c r="BM31" s="269"/>
      <c r="BN31" s="353"/>
      <c r="BO31" s="283" t="s">
        <v>394</v>
      </c>
      <c r="BP31" s="269"/>
      <c r="BQ31" s="269"/>
      <c r="BR31" s="353"/>
      <c r="BU31" s="314">
        <f t="shared" ref="BU31:BU36" si="6">BU9</f>
        <v>1</v>
      </c>
      <c r="BV31" s="218"/>
      <c r="BW31" s="218"/>
      <c r="BX31" s="323">
        <f>'4.部照-常1'!BB21</f>
        <v>4.3125000000000009</v>
      </c>
      <c r="BY31" s="213"/>
      <c r="BZ31" s="324"/>
      <c r="CA31" s="323">
        <v>0</v>
      </c>
      <c r="CB31" s="213"/>
      <c r="CC31" s="324"/>
      <c r="CD31" s="323">
        <f>'4.部照-衝1'!S33</f>
        <v>5.625</v>
      </c>
      <c r="CE31" s="213"/>
      <c r="CF31" s="324"/>
      <c r="CG31" s="323">
        <f>'4.部照-衝1'!W33</f>
        <v>24</v>
      </c>
      <c r="CH31" s="213"/>
      <c r="CI31" s="324"/>
      <c r="CJ31" s="323">
        <f>'4.部照-衝1'!BH33</f>
        <v>-2.8628394095763121E-2</v>
      </c>
      <c r="CK31" s="213"/>
      <c r="CL31" s="324"/>
      <c r="CM31" s="323">
        <f>'4.部照-衝1'!BL33</f>
        <v>0.52055444060294742</v>
      </c>
      <c r="CN31" s="213"/>
      <c r="CO31" s="324"/>
      <c r="CP31" s="323">
        <f t="shared" ref="CP31:CP36" si="7">BK32</f>
        <v>-0.98605854934135395</v>
      </c>
      <c r="CQ31" s="213"/>
      <c r="CR31" s="324"/>
      <c r="CS31" s="323">
        <f t="shared" ref="CS31:CS36" si="8">BO32</f>
        <v>1.965837953407888</v>
      </c>
      <c r="CT31" s="213"/>
      <c r="CU31" s="324"/>
      <c r="CV31" s="323">
        <f t="shared" ref="CV31:CV36" si="9">BX31+CJ31+CD31+CP31</f>
        <v>8.9228130565628838</v>
      </c>
      <c r="CW31" s="213"/>
      <c r="CX31" s="324"/>
      <c r="CY31" s="323">
        <f t="shared" ref="CY31:CY36" si="10">CA31+CM31+CG31+CS31</f>
        <v>26.486392394010835</v>
      </c>
      <c r="CZ31" s="213"/>
      <c r="DA31" s="324"/>
    </row>
    <row r="32" spans="4:105" x14ac:dyDescent="0.25">
      <c r="F32" s="16" t="s">
        <v>3</v>
      </c>
      <c r="G32" s="253">
        <f>COS((L31)*PI()/180)</f>
        <v>0.92848582688091352</v>
      </c>
      <c r="H32" s="253"/>
      <c r="I32" s="245" t="s">
        <v>323</v>
      </c>
      <c r="J32" s="245"/>
      <c r="K32" s="21"/>
      <c r="AJ32" s="314">
        <f>'4.部照-衝1'!AM33</f>
        <v>1</v>
      </c>
      <c r="AK32" s="218"/>
      <c r="AL32" s="236"/>
      <c r="AM32" s="314">
        <f t="shared" ref="AM32:AM37" si="11">IF(AJ32&lt;G$7/R$10, AJ32, G$7/R$10)</f>
        <v>1</v>
      </c>
      <c r="AN32" s="218"/>
      <c r="AO32" s="236"/>
      <c r="AP32" s="314">
        <f t="shared" ref="AP32:AP37" si="12">IF(AM32*R$10&lt;G$7,AM32*R$10, G$7)</f>
        <v>1.0770223637762204</v>
      </c>
      <c r="AQ32" s="218"/>
      <c r="AR32" s="218"/>
      <c r="AS32" s="350" t="str">
        <f t="shared" ref="AS32:AS37" si="13">IF(AP32="","",IF(AP32&lt;G$7,"zi'&lt;ℓ₂","zi'=ℓ₂"))</f>
        <v>zi'&lt;ℓ₂</v>
      </c>
      <c r="AT32" s="219"/>
      <c r="AU32" s="351"/>
      <c r="AV32" s="216">
        <f t="shared" ref="AV32:AV37" si="14">G$27*AP32-K$27*AP32^2</f>
        <v>4.0184591562584817</v>
      </c>
      <c r="AW32" s="218"/>
      <c r="AX32" s="236"/>
      <c r="AY32" s="314">
        <f t="shared" ref="AY32:AY37" si="15">AV32*G$37</f>
        <v>-1.4923264791067352</v>
      </c>
      <c r="AZ32" s="218"/>
      <c r="BA32" s="236"/>
      <c r="BB32" s="314">
        <f t="shared" ref="BB32:BB37" si="16">AV32*G$32</f>
        <v>3.7310823724858344</v>
      </c>
      <c r="BC32" s="218"/>
      <c r="BD32" s="236"/>
      <c r="BE32" s="314">
        <f t="shared" ref="BE32:BE37" si="17">AO$6*AM32+AS$6+BH32*AV$6</f>
        <v>0.66075256530433002</v>
      </c>
      <c r="BF32" s="218"/>
      <c r="BG32" s="218"/>
      <c r="BH32" s="314">
        <f t="shared" ref="BH32:BH37" si="18">IF(AP32&lt;G$7,(AO$15-AS$15*AP32)/(AO$16-AS$16*AP32)*AP32,AJ32-AR$25*AP32)</f>
        <v>0.52688141326082494</v>
      </c>
      <c r="BI32" s="218"/>
      <c r="BJ32" s="236"/>
      <c r="BK32" s="325">
        <f>AY32*BE32</f>
        <v>-0.98605854934135395</v>
      </c>
      <c r="BL32" s="326"/>
      <c r="BM32" s="326"/>
      <c r="BN32" s="327"/>
      <c r="BO32" s="325">
        <f>BB32*BH32</f>
        <v>1.965837953407888</v>
      </c>
      <c r="BP32" s="326"/>
      <c r="BQ32" s="326"/>
      <c r="BR32" s="327"/>
      <c r="BU32" s="314">
        <f t="shared" si="6"/>
        <v>2</v>
      </c>
      <c r="BV32" s="218"/>
      <c r="BW32" s="236"/>
      <c r="BX32" s="323">
        <f>'4.部照-常1'!BB22</f>
        <v>17.940000000000001</v>
      </c>
      <c r="BY32" s="213"/>
      <c r="BZ32" s="324"/>
      <c r="CA32" s="323">
        <v>0</v>
      </c>
      <c r="CB32" s="213"/>
      <c r="CC32" s="324"/>
      <c r="CD32" s="323">
        <f>'4.部照-衝1'!S34</f>
        <v>7.5000000000000009</v>
      </c>
      <c r="CE32" s="213"/>
      <c r="CF32" s="324"/>
      <c r="CG32" s="323">
        <f>'4.部照-衝1'!W34</f>
        <v>26</v>
      </c>
      <c r="CH32" s="213"/>
      <c r="CI32" s="324"/>
      <c r="CJ32" s="323">
        <f>'4.部照-衝1'!BH34</f>
        <v>-0.15050355753201181</v>
      </c>
      <c r="CK32" s="213"/>
      <c r="CL32" s="324"/>
      <c r="CM32" s="323">
        <f>'4.部照-衝1'!BL34</f>
        <v>4.1644355248235794</v>
      </c>
      <c r="CN32" s="213"/>
      <c r="CO32" s="324"/>
      <c r="CP32" s="323">
        <f t="shared" si="7"/>
        <v>-2.38130724187458</v>
      </c>
      <c r="CQ32" s="213"/>
      <c r="CR32" s="324"/>
      <c r="CS32" s="323">
        <f t="shared" si="8"/>
        <v>7.0609776763117855</v>
      </c>
      <c r="CT32" s="213"/>
      <c r="CU32" s="324"/>
      <c r="CV32" s="323">
        <f t="shared" si="9"/>
        <v>22.908189200593409</v>
      </c>
      <c r="CW32" s="213"/>
      <c r="CX32" s="324"/>
      <c r="CY32" s="323">
        <f t="shared" si="10"/>
        <v>37.225413201135368</v>
      </c>
      <c r="CZ32" s="213"/>
      <c r="DA32" s="324"/>
    </row>
    <row r="33" spans="4:105" x14ac:dyDescent="0.25">
      <c r="AJ33" s="314">
        <f>'4.部照-衝1'!AM34</f>
        <v>2</v>
      </c>
      <c r="AK33" s="218"/>
      <c r="AL33" s="236"/>
      <c r="AM33" s="314">
        <f t="shared" si="11"/>
        <v>2</v>
      </c>
      <c r="AN33" s="218"/>
      <c r="AO33" s="236"/>
      <c r="AP33" s="314">
        <f t="shared" si="12"/>
        <v>2.1540447275524408</v>
      </c>
      <c r="AQ33" s="218"/>
      <c r="AR33" s="218"/>
      <c r="AS33" s="350" t="str">
        <f t="shared" si="13"/>
        <v>zi'&lt;ℓ₂</v>
      </c>
      <c r="AT33" s="219"/>
      <c r="AU33" s="351"/>
      <c r="AV33" s="216">
        <f t="shared" si="14"/>
        <v>6.7406559775034012</v>
      </c>
      <c r="AW33" s="218"/>
      <c r="AX33" s="236"/>
      <c r="AY33" s="314">
        <f t="shared" si="15"/>
        <v>-2.5032628205541907</v>
      </c>
      <c r="AZ33" s="218"/>
      <c r="BA33" s="236"/>
      <c r="BB33" s="314">
        <f t="shared" si="16"/>
        <v>6.258603538992018</v>
      </c>
      <c r="BC33" s="218"/>
      <c r="BD33" s="236"/>
      <c r="BE33" s="314">
        <f t="shared" si="17"/>
        <v>0.95128135260978652</v>
      </c>
      <c r="BF33" s="218"/>
      <c r="BG33" s="218"/>
      <c r="BH33" s="314">
        <f t="shared" si="18"/>
        <v>1.1282033815244661</v>
      </c>
      <c r="BI33" s="218"/>
      <c r="BJ33" s="236"/>
      <c r="BK33" s="323">
        <f t="shared" ref="BK33:BK37" si="19">AY33*BE33</f>
        <v>-2.38130724187458</v>
      </c>
      <c r="BL33" s="213"/>
      <c r="BM33" s="213"/>
      <c r="BN33" s="324"/>
      <c r="BO33" s="323">
        <f t="shared" ref="BO33:BO36" si="20">BB33*BH33</f>
        <v>7.0609776763117855</v>
      </c>
      <c r="BP33" s="213"/>
      <c r="BQ33" s="213"/>
      <c r="BR33" s="324"/>
      <c r="BU33" s="314">
        <f t="shared" si="6"/>
        <v>3</v>
      </c>
      <c r="BV33" s="218"/>
      <c r="BW33" s="236"/>
      <c r="BX33" s="323">
        <f>'4.部照-常1'!BB23</f>
        <v>41.917500000000011</v>
      </c>
      <c r="BY33" s="213"/>
      <c r="BZ33" s="324"/>
      <c r="CA33" s="323">
        <v>0</v>
      </c>
      <c r="CB33" s="213"/>
      <c r="CC33" s="324"/>
      <c r="CD33" s="323">
        <f>'4.部照-衝1'!S35</f>
        <v>8.4375</v>
      </c>
      <c r="CE33" s="213"/>
      <c r="CF33" s="324"/>
      <c r="CG33" s="323">
        <f>'4.部照-衝1'!W35</f>
        <v>27</v>
      </c>
      <c r="CH33" s="213"/>
      <c r="CI33" s="324"/>
      <c r="CJ33" s="323">
        <f>'4.部照-衝1'!BH35</f>
        <v>-0.41961046203218511</v>
      </c>
      <c r="CK33" s="213"/>
      <c r="CL33" s="324"/>
      <c r="CM33" s="323">
        <f>'4.部照-衝1'!BL35</f>
        <v>14.054969896279584</v>
      </c>
      <c r="CN33" s="213"/>
      <c r="CO33" s="324"/>
      <c r="CP33" s="323">
        <f t="shared" si="7"/>
        <v>-3.9209815018870744</v>
      </c>
      <c r="CQ33" s="213"/>
      <c r="CR33" s="324"/>
      <c r="CS33" s="323">
        <f t="shared" si="8"/>
        <v>14.081857962732046</v>
      </c>
      <c r="CT33" s="213"/>
      <c r="CU33" s="324"/>
      <c r="CV33" s="323">
        <f t="shared" si="9"/>
        <v>46.014408036080752</v>
      </c>
      <c r="CW33" s="213"/>
      <c r="CX33" s="324"/>
      <c r="CY33" s="323">
        <f t="shared" si="10"/>
        <v>55.136827859011632</v>
      </c>
      <c r="CZ33" s="213"/>
      <c r="DA33" s="324"/>
    </row>
    <row r="34" spans="4:105" x14ac:dyDescent="0.25">
      <c r="D34" s="15" t="s">
        <v>92</v>
      </c>
      <c r="AJ34" s="314">
        <f>'4.部照-衝1'!AM35</f>
        <v>3</v>
      </c>
      <c r="AK34" s="218"/>
      <c r="AL34" s="236"/>
      <c r="AM34" s="314">
        <f t="shared" si="11"/>
        <v>3</v>
      </c>
      <c r="AN34" s="218"/>
      <c r="AO34" s="236"/>
      <c r="AP34" s="314">
        <f t="shared" si="12"/>
        <v>3.2310670913286614</v>
      </c>
      <c r="AQ34" s="218"/>
      <c r="AR34" s="218"/>
      <c r="AS34" s="350" t="str">
        <f t="shared" si="13"/>
        <v>zi'&lt;ℓ₂</v>
      </c>
      <c r="AT34" s="219"/>
      <c r="AU34" s="351"/>
      <c r="AV34" s="216">
        <f t="shared" si="14"/>
        <v>8.1665904637347602</v>
      </c>
      <c r="AW34" s="218"/>
      <c r="AX34" s="236"/>
      <c r="AY34" s="314">
        <f t="shared" si="15"/>
        <v>-3.0328090243423667</v>
      </c>
      <c r="AZ34" s="218"/>
      <c r="BA34" s="236"/>
      <c r="BB34" s="314">
        <f t="shared" si="16"/>
        <v>7.5825634995185522</v>
      </c>
      <c r="BC34" s="218"/>
      <c r="BD34" s="236"/>
      <c r="BE34" s="314">
        <f t="shared" si="17"/>
        <v>1.2928547331585769</v>
      </c>
      <c r="BF34" s="218"/>
      <c r="BG34" s="218"/>
      <c r="BH34" s="314">
        <f t="shared" si="18"/>
        <v>1.8571368328964419</v>
      </c>
      <c r="BI34" s="218"/>
      <c r="BJ34" s="236"/>
      <c r="BK34" s="323">
        <f t="shared" si="19"/>
        <v>-3.9209815018870744</v>
      </c>
      <c r="BL34" s="213"/>
      <c r="BM34" s="213"/>
      <c r="BN34" s="324"/>
      <c r="BO34" s="323">
        <f t="shared" si="20"/>
        <v>14.081857962732046</v>
      </c>
      <c r="BP34" s="213"/>
      <c r="BQ34" s="213"/>
      <c r="BR34" s="324"/>
      <c r="BU34" s="314">
        <f t="shared" si="6"/>
        <v>4</v>
      </c>
      <c r="BV34" s="218"/>
      <c r="BW34" s="236"/>
      <c r="BX34" s="323">
        <f>'4.部照-常1'!BB24</f>
        <v>77.28000000000003</v>
      </c>
      <c r="BY34" s="213"/>
      <c r="BZ34" s="324"/>
      <c r="CA34" s="323">
        <v>0</v>
      </c>
      <c r="CB34" s="213"/>
      <c r="CC34" s="324"/>
      <c r="CD34" s="323">
        <f>'4.部照-衝1'!S36</f>
        <v>9</v>
      </c>
      <c r="CE34" s="213"/>
      <c r="CF34" s="324"/>
      <c r="CG34" s="323">
        <f>'4.部照-衝1'!W36</f>
        <v>27.599999999999998</v>
      </c>
      <c r="CH34" s="213"/>
      <c r="CI34" s="324"/>
      <c r="CJ34" s="323">
        <f>'4.部照-衝1'!BH36</f>
        <v>-0.88993407931972202</v>
      </c>
      <c r="CK34" s="213"/>
      <c r="CL34" s="324"/>
      <c r="CM34" s="323">
        <f>'4.部照-衝1'!BL36</f>
        <v>33.315484198588635</v>
      </c>
      <c r="CN34" s="213"/>
      <c r="CO34" s="324"/>
      <c r="CP34" s="323">
        <f t="shared" si="7"/>
        <v>-5.3030889089722146</v>
      </c>
      <c r="CQ34" s="213"/>
      <c r="CR34" s="324"/>
      <c r="CS34" s="323">
        <f t="shared" si="8"/>
        <v>21.837752182472247</v>
      </c>
      <c r="CT34" s="213"/>
      <c r="CU34" s="324"/>
      <c r="CV34" s="323">
        <f t="shared" si="9"/>
        <v>80.0869770117081</v>
      </c>
      <c r="CW34" s="213"/>
      <c r="CX34" s="324"/>
      <c r="CY34" s="323">
        <f t="shared" si="10"/>
        <v>82.753236381060873</v>
      </c>
      <c r="CZ34" s="213"/>
      <c r="DA34" s="324"/>
    </row>
    <row r="35" spans="4:105" x14ac:dyDescent="0.25">
      <c r="D35" s="251" t="s">
        <v>490</v>
      </c>
      <c r="E35" s="251"/>
      <c r="F35" s="16" t="s">
        <v>3</v>
      </c>
      <c r="G35" s="352" t="s">
        <v>481</v>
      </c>
      <c r="H35" s="245"/>
      <c r="I35" s="218" t="s">
        <v>180</v>
      </c>
      <c r="J35" s="218"/>
      <c r="K35" s="106" t="s">
        <v>395</v>
      </c>
      <c r="AJ35" s="314">
        <f>'4.部照-衝1'!AM36</f>
        <v>4</v>
      </c>
      <c r="AK35" s="218"/>
      <c r="AL35" s="236"/>
      <c r="AM35" s="314">
        <f t="shared" si="11"/>
        <v>3.6000354231664389</v>
      </c>
      <c r="AN35" s="218"/>
      <c r="AO35" s="236"/>
      <c r="AP35" s="314">
        <f t="shared" si="12"/>
        <v>3.8773186611368438</v>
      </c>
      <c r="AQ35" s="218"/>
      <c r="AR35" s="218"/>
      <c r="AS35" s="350" t="str">
        <f t="shared" si="13"/>
        <v>zi'=ℓ₂</v>
      </c>
      <c r="AT35" s="219"/>
      <c r="AU35" s="351"/>
      <c r="AV35" s="216">
        <f t="shared" si="14"/>
        <v>8.3999452354803417</v>
      </c>
      <c r="AW35" s="218"/>
      <c r="AX35" s="236"/>
      <c r="AY35" s="314">
        <f t="shared" si="15"/>
        <v>-3.1194694808408423</v>
      </c>
      <c r="AZ35" s="218"/>
      <c r="BA35" s="236"/>
      <c r="BB35" s="314">
        <f t="shared" si="16"/>
        <v>7.7992300977193549</v>
      </c>
      <c r="BC35" s="218"/>
      <c r="BD35" s="236"/>
      <c r="BE35" s="314">
        <f t="shared" si="17"/>
        <v>1.6999970480694637</v>
      </c>
      <c r="BF35" s="218"/>
      <c r="BG35" s="218"/>
      <c r="BH35" s="314">
        <f t="shared" si="18"/>
        <v>2.799988192277854</v>
      </c>
      <c r="BI35" s="218"/>
      <c r="BJ35" s="236"/>
      <c r="BK35" s="323">
        <f t="shared" si="19"/>
        <v>-5.3030889089722146</v>
      </c>
      <c r="BL35" s="213"/>
      <c r="BM35" s="213"/>
      <c r="BN35" s="324"/>
      <c r="BO35" s="323">
        <f t="shared" si="20"/>
        <v>21.837752182472247</v>
      </c>
      <c r="BP35" s="213"/>
      <c r="BQ35" s="213"/>
      <c r="BR35" s="324"/>
      <c r="BU35" s="314">
        <f t="shared" si="6"/>
        <v>5</v>
      </c>
      <c r="BV35" s="218"/>
      <c r="BW35" s="236"/>
      <c r="BX35" s="323">
        <f>'4.部照-常1'!BB25</f>
        <v>125.06250000000004</v>
      </c>
      <c r="BY35" s="213"/>
      <c r="BZ35" s="324"/>
      <c r="CA35" s="323">
        <v>0</v>
      </c>
      <c r="CB35" s="213"/>
      <c r="CC35" s="324"/>
      <c r="CD35" s="323">
        <f>'4.部照-衝1'!S37</f>
        <v>9.375</v>
      </c>
      <c r="CE35" s="213"/>
      <c r="CF35" s="324"/>
      <c r="CG35" s="323">
        <f>'4.部照-衝1'!W37</f>
        <v>28</v>
      </c>
      <c r="CH35" s="213"/>
      <c r="CI35" s="324"/>
      <c r="CJ35" s="323">
        <f>'4.部照-衝1'!BH37</f>
        <v>-1.6154593811180615</v>
      </c>
      <c r="CK35" s="213"/>
      <c r="CL35" s="324"/>
      <c r="CM35" s="323">
        <f>'4.部照-衝1'!BL37</f>
        <v>65.069305075368447</v>
      </c>
      <c r="CN35" s="213"/>
      <c r="CO35" s="324"/>
      <c r="CP35" s="323">
        <f t="shared" si="7"/>
        <v>-6.5508767013085514</v>
      </c>
      <c r="CQ35" s="213"/>
      <c r="CR35" s="324"/>
      <c r="CS35" s="323">
        <f t="shared" si="8"/>
        <v>29.636982280191603</v>
      </c>
      <c r="CT35" s="213"/>
      <c r="CU35" s="324"/>
      <c r="CV35" s="323">
        <f t="shared" si="9"/>
        <v>126.27116391757345</v>
      </c>
      <c r="CW35" s="213"/>
      <c r="CX35" s="324"/>
      <c r="CY35" s="323">
        <f t="shared" si="10"/>
        <v>122.70628735556005</v>
      </c>
      <c r="CZ35" s="213"/>
      <c r="DA35" s="324"/>
    </row>
    <row r="36" spans="4:105" x14ac:dyDescent="0.25">
      <c r="F36" s="16" t="s">
        <v>3</v>
      </c>
      <c r="G36" s="352" t="s">
        <v>481</v>
      </c>
      <c r="H36" s="245"/>
      <c r="I36" s="257" t="s">
        <v>331</v>
      </c>
      <c r="J36" s="257"/>
      <c r="K36" s="257"/>
      <c r="L36" s="254">
        <f>Q7</f>
        <v>21.8</v>
      </c>
      <c r="M36" s="254"/>
      <c r="AJ36" s="314">
        <f>'4.部照-衝1'!AM37</f>
        <v>5</v>
      </c>
      <c r="AK36" s="218"/>
      <c r="AL36" s="236"/>
      <c r="AM36" s="314">
        <f t="shared" si="11"/>
        <v>3.6000354231664389</v>
      </c>
      <c r="AN36" s="218"/>
      <c r="AO36" s="236"/>
      <c r="AP36" s="314">
        <f t="shared" si="12"/>
        <v>3.8773186611368438</v>
      </c>
      <c r="AQ36" s="218"/>
      <c r="AR36" s="218"/>
      <c r="AS36" s="350" t="str">
        <f t="shared" si="13"/>
        <v>zi'=ℓ₂</v>
      </c>
      <c r="AT36" s="219"/>
      <c r="AU36" s="351"/>
      <c r="AV36" s="216">
        <f t="shared" si="14"/>
        <v>8.3999452354803417</v>
      </c>
      <c r="AW36" s="218"/>
      <c r="AX36" s="236"/>
      <c r="AY36" s="314">
        <f t="shared" si="15"/>
        <v>-3.1194694808408423</v>
      </c>
      <c r="AZ36" s="218"/>
      <c r="BA36" s="236"/>
      <c r="BB36" s="314">
        <f t="shared" si="16"/>
        <v>7.7992300977193549</v>
      </c>
      <c r="BC36" s="218"/>
      <c r="BD36" s="236"/>
      <c r="BE36" s="314">
        <f t="shared" si="17"/>
        <v>2.0999970480694636</v>
      </c>
      <c r="BF36" s="218"/>
      <c r="BG36" s="218"/>
      <c r="BH36" s="314">
        <f t="shared" si="18"/>
        <v>3.799988192277854</v>
      </c>
      <c r="BI36" s="218"/>
      <c r="BJ36" s="236"/>
      <c r="BK36" s="323">
        <f t="shared" si="19"/>
        <v>-6.5508767013085514</v>
      </c>
      <c r="BL36" s="213"/>
      <c r="BM36" s="213"/>
      <c r="BN36" s="324"/>
      <c r="BO36" s="323">
        <f t="shared" si="20"/>
        <v>29.636982280191603</v>
      </c>
      <c r="BP36" s="213"/>
      <c r="BQ36" s="213"/>
      <c r="BR36" s="324"/>
      <c r="BU36" s="312">
        <f t="shared" si="6"/>
        <v>6</v>
      </c>
      <c r="BV36" s="225"/>
      <c r="BW36" s="231"/>
      <c r="BX36" s="328">
        <f>'4.部照-常1'!BB26</f>
        <v>186.3000000000001</v>
      </c>
      <c r="BY36" s="293"/>
      <c r="BZ36" s="329"/>
      <c r="CA36" s="328">
        <v>0</v>
      </c>
      <c r="CB36" s="293"/>
      <c r="CC36" s="329"/>
      <c r="CD36" s="328">
        <f>'4.部照-衝1'!S38</f>
        <v>9.6428571428571441</v>
      </c>
      <c r="CE36" s="293"/>
      <c r="CF36" s="329"/>
      <c r="CG36" s="328">
        <f>'4.部照-衝1'!W38</f>
        <v>28.285714285714285</v>
      </c>
      <c r="CH36" s="293"/>
      <c r="CI36" s="329"/>
      <c r="CJ36" s="328">
        <f>'4.部照-衝1'!BH38</f>
        <v>-2.650171339150643</v>
      </c>
      <c r="CK36" s="293"/>
      <c r="CL36" s="329"/>
      <c r="CM36" s="328">
        <f>'4.部照-衝1'!BL38</f>
        <v>112.43975917023667</v>
      </c>
      <c r="CN36" s="293"/>
      <c r="CO36" s="329"/>
      <c r="CP36" s="328">
        <f t="shared" si="7"/>
        <v>-7.7986644936448881</v>
      </c>
      <c r="CQ36" s="293"/>
      <c r="CR36" s="329"/>
      <c r="CS36" s="328">
        <f t="shared" si="8"/>
        <v>37.436212377910955</v>
      </c>
      <c r="CT36" s="293"/>
      <c r="CU36" s="329"/>
      <c r="CV36" s="328">
        <f t="shared" si="9"/>
        <v>185.49402131006173</v>
      </c>
      <c r="CW36" s="293"/>
      <c r="CX36" s="329"/>
      <c r="CY36" s="328">
        <f t="shared" si="10"/>
        <v>178.1616858338619</v>
      </c>
      <c r="CZ36" s="293"/>
      <c r="DA36" s="329"/>
    </row>
    <row r="37" spans="4:105" x14ac:dyDescent="0.25">
      <c r="F37" s="16" t="s">
        <v>3</v>
      </c>
      <c r="G37" s="253">
        <f>-SIN((L36)*PI()/180)</f>
        <v>-0.37136783555023484</v>
      </c>
      <c r="H37" s="253"/>
      <c r="I37" s="245" t="s">
        <v>323</v>
      </c>
      <c r="J37" s="245"/>
      <c r="K37" s="21"/>
      <c r="AJ37" s="312">
        <f>'4.部照-衝1'!AM38</f>
        <v>6</v>
      </c>
      <c r="AK37" s="225"/>
      <c r="AL37" s="231"/>
      <c r="AM37" s="312">
        <f t="shared" si="11"/>
        <v>3.6000354231664389</v>
      </c>
      <c r="AN37" s="225"/>
      <c r="AO37" s="231"/>
      <c r="AP37" s="312">
        <f t="shared" si="12"/>
        <v>3.8773186611368438</v>
      </c>
      <c r="AQ37" s="225"/>
      <c r="AR37" s="225"/>
      <c r="AS37" s="347" t="str">
        <f t="shared" si="13"/>
        <v>zi'=ℓ₂</v>
      </c>
      <c r="AT37" s="348"/>
      <c r="AU37" s="349"/>
      <c r="AV37" s="224">
        <f t="shared" si="14"/>
        <v>8.3999452354803417</v>
      </c>
      <c r="AW37" s="225"/>
      <c r="AX37" s="231"/>
      <c r="AY37" s="312">
        <f t="shared" si="15"/>
        <v>-3.1194694808408423</v>
      </c>
      <c r="AZ37" s="225"/>
      <c r="BA37" s="231"/>
      <c r="BB37" s="312">
        <f t="shared" si="16"/>
        <v>7.7992300977193549</v>
      </c>
      <c r="BC37" s="225"/>
      <c r="BD37" s="231"/>
      <c r="BE37" s="312">
        <f t="shared" si="17"/>
        <v>2.4999970480694635</v>
      </c>
      <c r="BF37" s="225"/>
      <c r="BG37" s="225"/>
      <c r="BH37" s="312">
        <f t="shared" si="18"/>
        <v>4.799988192277854</v>
      </c>
      <c r="BI37" s="225"/>
      <c r="BJ37" s="231"/>
      <c r="BK37" s="328">
        <f t="shared" si="19"/>
        <v>-7.7986644936448881</v>
      </c>
      <c r="BL37" s="293"/>
      <c r="BM37" s="293"/>
      <c r="BN37" s="329"/>
      <c r="BO37" s="328">
        <f>BB37*BH37</f>
        <v>37.436212377910955</v>
      </c>
      <c r="BP37" s="293"/>
      <c r="BQ37" s="293"/>
      <c r="BR37" s="329"/>
    </row>
    <row r="38" spans="4:105" x14ac:dyDescent="0.45">
      <c r="AI38">
        <v>25</v>
      </c>
      <c r="BR38">
        <v>26</v>
      </c>
      <c r="DA38">
        <v>27</v>
      </c>
    </row>
  </sheetData>
  <sheetProtection sheet="1" objects="1" scenarios="1"/>
  <mergeCells count="428">
    <mergeCell ref="CN23:CP23"/>
    <mergeCell ref="CN24:CP24"/>
    <mergeCell ref="CN21:CP21"/>
    <mergeCell ref="CN20:CP20"/>
    <mergeCell ref="CN19:CP19"/>
    <mergeCell ref="CD34:CF34"/>
    <mergeCell ref="CG34:CI34"/>
    <mergeCell ref="CD35:CF35"/>
    <mergeCell ref="CG35:CI35"/>
    <mergeCell ref="CD31:CF31"/>
    <mergeCell ref="CG31:CI31"/>
    <mergeCell ref="CD32:CF32"/>
    <mergeCell ref="CG32:CI32"/>
    <mergeCell ref="CD33:CF33"/>
    <mergeCell ref="CG33:CI33"/>
    <mergeCell ref="CI25:CM25"/>
    <mergeCell ref="CP35:CR35"/>
    <mergeCell ref="CP28:CU28"/>
    <mergeCell ref="CS35:CU35"/>
    <mergeCell ref="CS34:CU34"/>
    <mergeCell ref="CS33:CU33"/>
    <mergeCell ref="CP31:CR31"/>
    <mergeCell ref="CS31:CU31"/>
    <mergeCell ref="CP34:CR34"/>
    <mergeCell ref="BO33:BR33"/>
    <mergeCell ref="BU35:BW35"/>
    <mergeCell ref="BB29:BD29"/>
    <mergeCell ref="BK32:BN32"/>
    <mergeCell ref="CF20:CH20"/>
    <mergeCell ref="CI20:CM20"/>
    <mergeCell ref="CB25:CE25"/>
    <mergeCell ref="CB20:CE20"/>
    <mergeCell ref="CB21:CE21"/>
    <mergeCell ref="CB22:CE22"/>
    <mergeCell ref="CB23:CE23"/>
    <mergeCell ref="CB24:CE24"/>
    <mergeCell ref="BU24:BW24"/>
    <mergeCell ref="BX24:CA24"/>
    <mergeCell ref="CF24:CH24"/>
    <mergeCell ref="CI24:CM24"/>
    <mergeCell ref="BU22:BW22"/>
    <mergeCell ref="BX22:CA22"/>
    <mergeCell ref="CF22:CH22"/>
    <mergeCell ref="CI22:CM22"/>
    <mergeCell ref="BX33:BZ33"/>
    <mergeCell ref="CM34:CO34"/>
    <mergeCell ref="CA33:CC33"/>
    <mergeCell ref="CN25:CP25"/>
    <mergeCell ref="CV34:CX34"/>
    <mergeCell ref="CY34:DA34"/>
    <mergeCell ref="CA34:CC34"/>
    <mergeCell ref="CJ34:CL34"/>
    <mergeCell ref="AY37:BA37"/>
    <mergeCell ref="AY36:BA36"/>
    <mergeCell ref="BB36:BD36"/>
    <mergeCell ref="BE36:BG36"/>
    <mergeCell ref="BH36:BJ36"/>
    <mergeCell ref="BK36:BN36"/>
    <mergeCell ref="BO36:BR36"/>
    <mergeCell ref="BB35:BD35"/>
    <mergeCell ref="BE35:BG35"/>
    <mergeCell ref="BH35:BJ35"/>
    <mergeCell ref="BK35:BN35"/>
    <mergeCell ref="BO35:BR35"/>
    <mergeCell ref="BB37:BD37"/>
    <mergeCell ref="BE37:BG37"/>
    <mergeCell ref="BH37:BJ37"/>
    <mergeCell ref="BK37:BN37"/>
    <mergeCell ref="BO37:BR37"/>
    <mergeCell ref="BO34:BR34"/>
    <mergeCell ref="BU36:BW36"/>
    <mergeCell ref="BX36:BZ36"/>
    <mergeCell ref="BX35:BZ35"/>
    <mergeCell ref="AJ35:AL35"/>
    <mergeCell ref="AM35:AO35"/>
    <mergeCell ref="AP35:AR35"/>
    <mergeCell ref="AS35:AU35"/>
    <mergeCell ref="AV35:AX35"/>
    <mergeCell ref="AY35:BA35"/>
    <mergeCell ref="CV36:CX36"/>
    <mergeCell ref="CY36:DA36"/>
    <mergeCell ref="CV35:CX35"/>
    <mergeCell ref="CY35:DA35"/>
    <mergeCell ref="CA36:CC36"/>
    <mergeCell ref="CD36:CF36"/>
    <mergeCell ref="CG36:CI36"/>
    <mergeCell ref="CP36:CR36"/>
    <mergeCell ref="CS36:CU36"/>
    <mergeCell ref="CJ36:CL36"/>
    <mergeCell ref="CM36:CO36"/>
    <mergeCell ref="CJ35:CL35"/>
    <mergeCell ref="CM35:CO35"/>
    <mergeCell ref="CA35:CC35"/>
    <mergeCell ref="AJ33:AL33"/>
    <mergeCell ref="AM33:AO33"/>
    <mergeCell ref="AP33:AR33"/>
    <mergeCell ref="AS33:AU33"/>
    <mergeCell ref="AV33:AX33"/>
    <mergeCell ref="AY33:BA33"/>
    <mergeCell ref="BO32:BR32"/>
    <mergeCell ref="BU34:BW34"/>
    <mergeCell ref="BX34:BZ34"/>
    <mergeCell ref="AV32:AX32"/>
    <mergeCell ref="AY32:BA32"/>
    <mergeCell ref="BB32:BD32"/>
    <mergeCell ref="BE32:BG32"/>
    <mergeCell ref="BU33:BW33"/>
    <mergeCell ref="AJ34:AL34"/>
    <mergeCell ref="AM34:AO34"/>
    <mergeCell ref="AP34:AR34"/>
    <mergeCell ref="AS34:AU34"/>
    <mergeCell ref="AV34:AX34"/>
    <mergeCell ref="AY34:BA34"/>
    <mergeCell ref="BB34:BD34"/>
    <mergeCell ref="BE34:BG34"/>
    <mergeCell ref="BH34:BJ34"/>
    <mergeCell ref="BK34:BN34"/>
    <mergeCell ref="G37:H37"/>
    <mergeCell ref="I37:J37"/>
    <mergeCell ref="AJ32:AL32"/>
    <mergeCell ref="AM32:AO32"/>
    <mergeCell ref="AP32:AR32"/>
    <mergeCell ref="AS32:AU32"/>
    <mergeCell ref="AP31:AR31"/>
    <mergeCell ref="AS31:AU31"/>
    <mergeCell ref="AV31:AX31"/>
    <mergeCell ref="AP36:AR36"/>
    <mergeCell ref="AS36:AU36"/>
    <mergeCell ref="AV36:AX36"/>
    <mergeCell ref="AJ37:AL37"/>
    <mergeCell ref="AM37:AO37"/>
    <mergeCell ref="AP37:AR37"/>
    <mergeCell ref="AS37:AU37"/>
    <mergeCell ref="AV37:AX37"/>
    <mergeCell ref="AJ36:AL36"/>
    <mergeCell ref="AM36:AO36"/>
    <mergeCell ref="G36:H36"/>
    <mergeCell ref="I36:K36"/>
    <mergeCell ref="L36:M36"/>
    <mergeCell ref="AJ31:AL31"/>
    <mergeCell ref="AM31:AO31"/>
    <mergeCell ref="CJ33:CL33"/>
    <mergeCell ref="CM33:CO33"/>
    <mergeCell ref="CP33:CR33"/>
    <mergeCell ref="AP30:AR30"/>
    <mergeCell ref="AV30:AX30"/>
    <mergeCell ref="AY30:BA30"/>
    <mergeCell ref="BB30:BD30"/>
    <mergeCell ref="BE30:BG30"/>
    <mergeCell ref="BH30:BJ30"/>
    <mergeCell ref="AY31:BA31"/>
    <mergeCell ref="BB31:BD31"/>
    <mergeCell ref="BE31:BG31"/>
    <mergeCell ref="BH32:BJ32"/>
    <mergeCell ref="CM32:CO32"/>
    <mergeCell ref="CM31:CO31"/>
    <mergeCell ref="BK30:BN30"/>
    <mergeCell ref="BO30:BR30"/>
    <mergeCell ref="BU32:BW32"/>
    <mergeCell ref="BX32:BZ32"/>
    <mergeCell ref="CJ32:CL32"/>
    <mergeCell ref="BB33:BD33"/>
    <mergeCell ref="BE33:BG33"/>
    <mergeCell ref="BH33:BJ33"/>
    <mergeCell ref="BK33:BN33"/>
    <mergeCell ref="CY30:DA30"/>
    <mergeCell ref="CD30:CF30"/>
    <mergeCell ref="CG30:CI30"/>
    <mergeCell ref="CV31:CX31"/>
    <mergeCell ref="CY31:DA31"/>
    <mergeCell ref="D35:E35"/>
    <mergeCell ref="G35:H35"/>
    <mergeCell ref="I35:J35"/>
    <mergeCell ref="AJ30:AL30"/>
    <mergeCell ref="AM30:AO30"/>
    <mergeCell ref="BU31:BW31"/>
    <mergeCell ref="BX31:BZ31"/>
    <mergeCell ref="CA31:CC31"/>
    <mergeCell ref="CJ31:CL31"/>
    <mergeCell ref="CP32:CR32"/>
    <mergeCell ref="CS32:CU32"/>
    <mergeCell ref="CV32:CX32"/>
    <mergeCell ref="CY32:DA32"/>
    <mergeCell ref="CA32:CC32"/>
    <mergeCell ref="CV33:CX33"/>
    <mergeCell ref="CY33:DA33"/>
    <mergeCell ref="BH31:BJ31"/>
    <mergeCell ref="BK31:BN31"/>
    <mergeCell ref="BO31:BR31"/>
    <mergeCell ref="CV28:DA28"/>
    <mergeCell ref="G32:H32"/>
    <mergeCell ref="I32:J32"/>
    <mergeCell ref="BU29:BW29"/>
    <mergeCell ref="BX29:BZ29"/>
    <mergeCell ref="CA29:CC29"/>
    <mergeCell ref="CJ29:CL29"/>
    <mergeCell ref="CM29:CO29"/>
    <mergeCell ref="CP29:CR29"/>
    <mergeCell ref="CS29:CU29"/>
    <mergeCell ref="CV29:CX29"/>
    <mergeCell ref="CY29:DA29"/>
    <mergeCell ref="CJ28:CO28"/>
    <mergeCell ref="CD28:CI28"/>
    <mergeCell ref="CD29:CF29"/>
    <mergeCell ref="CG29:CI29"/>
    <mergeCell ref="BU30:BW30"/>
    <mergeCell ref="BX30:BZ30"/>
    <mergeCell ref="CA30:CC30"/>
    <mergeCell ref="CJ30:CL30"/>
    <mergeCell ref="CM30:CO30"/>
    <mergeCell ref="CP30:CR30"/>
    <mergeCell ref="CS30:CU30"/>
    <mergeCell ref="CV30:CX30"/>
    <mergeCell ref="AU25:AV25"/>
    <mergeCell ref="G31:H31"/>
    <mergeCell ref="I31:K31"/>
    <mergeCell ref="L31:M31"/>
    <mergeCell ref="BU28:BW28"/>
    <mergeCell ref="BX28:CC28"/>
    <mergeCell ref="BU25:BW25"/>
    <mergeCell ref="BX25:CA25"/>
    <mergeCell ref="CF25:CH25"/>
    <mergeCell ref="BE29:BJ29"/>
    <mergeCell ref="BK29:BR29"/>
    <mergeCell ref="AJ29:AL29"/>
    <mergeCell ref="AM29:AO29"/>
    <mergeCell ref="AP29:AR29"/>
    <mergeCell ref="AS29:AU29"/>
    <mergeCell ref="AV29:AX29"/>
    <mergeCell ref="AY29:BA29"/>
    <mergeCell ref="D30:E30"/>
    <mergeCell ref="G30:H30"/>
    <mergeCell ref="I30:J30"/>
    <mergeCell ref="AO25:AP25"/>
    <mergeCell ref="AR25:AT25"/>
    <mergeCell ref="AN23:AN24"/>
    <mergeCell ref="AO23:AP24"/>
    <mergeCell ref="AQ23:AQ24"/>
    <mergeCell ref="AS23:AT24"/>
    <mergeCell ref="G27:H27"/>
    <mergeCell ref="K27:L27"/>
    <mergeCell ref="F25:F26"/>
    <mergeCell ref="H25:I25"/>
    <mergeCell ref="K25:L25"/>
    <mergeCell ref="N25:O25"/>
    <mergeCell ref="D23:E24"/>
    <mergeCell ref="F23:F24"/>
    <mergeCell ref="H23:I23"/>
    <mergeCell ref="K23:L23"/>
    <mergeCell ref="BU23:BW23"/>
    <mergeCell ref="BX23:CA23"/>
    <mergeCell ref="CF23:CH23"/>
    <mergeCell ref="CI23:CM23"/>
    <mergeCell ref="AN21:AN22"/>
    <mergeCell ref="AO21:AP22"/>
    <mergeCell ref="AQ21:AQ22"/>
    <mergeCell ref="AS21:AT22"/>
    <mergeCell ref="AU21:AU22"/>
    <mergeCell ref="AV21:AW22"/>
    <mergeCell ref="AU23:AU24"/>
    <mergeCell ref="AV23:AW24"/>
    <mergeCell ref="CN22:CP22"/>
    <mergeCell ref="AV19:AW20"/>
    <mergeCell ref="AX19:AX20"/>
    <mergeCell ref="BU21:BW21"/>
    <mergeCell ref="BX21:CA21"/>
    <mergeCell ref="CF21:CH21"/>
    <mergeCell ref="CI21:CM21"/>
    <mergeCell ref="AL19:AM20"/>
    <mergeCell ref="AN19:AN20"/>
    <mergeCell ref="AO19:AP20"/>
    <mergeCell ref="AQ19:AQ20"/>
    <mergeCell ref="AS19:AT20"/>
    <mergeCell ref="AU19:AU20"/>
    <mergeCell ref="AX21:AY22"/>
    <mergeCell ref="BU19:BW19"/>
    <mergeCell ref="BX19:CA19"/>
    <mergeCell ref="CF19:CH19"/>
    <mergeCell ref="CI19:CM19"/>
    <mergeCell ref="CB19:CE19"/>
    <mergeCell ref="BU20:BW20"/>
    <mergeCell ref="BU17:BW17"/>
    <mergeCell ref="BX17:CA17"/>
    <mergeCell ref="CB17:CE17"/>
    <mergeCell ref="CB18:CE18"/>
    <mergeCell ref="BX20:CA20"/>
    <mergeCell ref="CF17:CH17"/>
    <mergeCell ref="CI17:CM17"/>
    <mergeCell ref="CN17:CP17"/>
    <mergeCell ref="AO16:AQ16"/>
    <mergeCell ref="AS16:AT16"/>
    <mergeCell ref="BU18:BW18"/>
    <mergeCell ref="BX18:CA18"/>
    <mergeCell ref="CF18:CH18"/>
    <mergeCell ref="CI18:CM18"/>
    <mergeCell ref="CN18:CP18"/>
    <mergeCell ref="AN13:AN14"/>
    <mergeCell ref="AO13:AQ13"/>
    <mergeCell ref="AS13:AT13"/>
    <mergeCell ref="AV13:AW14"/>
    <mergeCell ref="AX13:AX14"/>
    <mergeCell ref="J18:K18"/>
    <mergeCell ref="N18:O19"/>
    <mergeCell ref="G20:H20"/>
    <mergeCell ref="J20:K20"/>
    <mergeCell ref="AN15:AN16"/>
    <mergeCell ref="AO15:AQ15"/>
    <mergeCell ref="AS15:AT15"/>
    <mergeCell ref="AV15:AW16"/>
    <mergeCell ref="CB13:CE13"/>
    <mergeCell ref="CB14:CE14"/>
    <mergeCell ref="D16:E17"/>
    <mergeCell ref="F16:F17"/>
    <mergeCell ref="G16:H16"/>
    <mergeCell ref="M16:N17"/>
    <mergeCell ref="F18:F19"/>
    <mergeCell ref="G18:H18"/>
    <mergeCell ref="CN13:CP13"/>
    <mergeCell ref="BU14:BW14"/>
    <mergeCell ref="BX14:CA14"/>
    <mergeCell ref="CF14:CH14"/>
    <mergeCell ref="CI14:CM14"/>
    <mergeCell ref="CN14:CP14"/>
    <mergeCell ref="BU13:BW13"/>
    <mergeCell ref="BX13:CA13"/>
    <mergeCell ref="CF13:CH13"/>
    <mergeCell ref="CI13:CM13"/>
    <mergeCell ref="AY13:AZ14"/>
    <mergeCell ref="H17:I17"/>
    <mergeCell ref="H19:I19"/>
    <mergeCell ref="K19:L19"/>
    <mergeCell ref="AO14:AQ14"/>
    <mergeCell ref="AS14:AT14"/>
    <mergeCell ref="AL9:AM10"/>
    <mergeCell ref="AN9:AN10"/>
    <mergeCell ref="AP9:AQ9"/>
    <mergeCell ref="AS9:AT9"/>
    <mergeCell ref="CN12:CP12"/>
    <mergeCell ref="AN11:AN12"/>
    <mergeCell ref="AQ11:AR11"/>
    <mergeCell ref="AT11:AU11"/>
    <mergeCell ref="AW11:AX11"/>
    <mergeCell ref="BA11:BB12"/>
    <mergeCell ref="AV9:AW10"/>
    <mergeCell ref="AX9:AX10"/>
    <mergeCell ref="AS10:AT10"/>
    <mergeCell ref="AQ12:AR12"/>
    <mergeCell ref="AT12:AU12"/>
    <mergeCell ref="AW12:AX12"/>
    <mergeCell ref="BC11:BD12"/>
    <mergeCell ref="BE11:BF12"/>
    <mergeCell ref="CB9:CE9"/>
    <mergeCell ref="CB10:CE10"/>
    <mergeCell ref="CB11:CE11"/>
    <mergeCell ref="CB12:CE12"/>
    <mergeCell ref="CN11:CP11"/>
    <mergeCell ref="AY9:AZ10"/>
    <mergeCell ref="BA9:BA10"/>
    <mergeCell ref="BU11:BW11"/>
    <mergeCell ref="BX11:CA11"/>
    <mergeCell ref="CF11:CH11"/>
    <mergeCell ref="CI11:CM11"/>
    <mergeCell ref="BU12:BW12"/>
    <mergeCell ref="BX12:CA12"/>
    <mergeCell ref="CI9:CM9"/>
    <mergeCell ref="CN9:CP9"/>
    <mergeCell ref="CI10:CM10"/>
    <mergeCell ref="CN10:CP10"/>
    <mergeCell ref="CF12:CH12"/>
    <mergeCell ref="CI12:CM12"/>
    <mergeCell ref="CN8:CP8"/>
    <mergeCell ref="D10:E11"/>
    <mergeCell ref="F10:F11"/>
    <mergeCell ref="G10:I10"/>
    <mergeCell ref="K10:K11"/>
    <mergeCell ref="L10:O10"/>
    <mergeCell ref="Q10:Q11"/>
    <mergeCell ref="R10:S11"/>
    <mergeCell ref="AO6:AP6"/>
    <mergeCell ref="AS6:AT6"/>
    <mergeCell ref="AV6:AW6"/>
    <mergeCell ref="AX6:AY6"/>
    <mergeCell ref="BU8:BW8"/>
    <mergeCell ref="BX8:CA8"/>
    <mergeCell ref="G11:H11"/>
    <mergeCell ref="L11:M11"/>
    <mergeCell ref="N11:O11"/>
    <mergeCell ref="BU10:BW10"/>
    <mergeCell ref="BX10:CA10"/>
    <mergeCell ref="CF10:CH10"/>
    <mergeCell ref="T10:T11"/>
    <mergeCell ref="BU9:BW9"/>
    <mergeCell ref="BX9:CA9"/>
    <mergeCell ref="CF9:CH9"/>
    <mergeCell ref="AL4:AM4"/>
    <mergeCell ref="BU6:BW6"/>
    <mergeCell ref="BX6:CA6"/>
    <mergeCell ref="CF6:CH6"/>
    <mergeCell ref="CI6:CM6"/>
    <mergeCell ref="CB6:CE6"/>
    <mergeCell ref="CB7:CE7"/>
    <mergeCell ref="CF8:CH8"/>
    <mergeCell ref="CI8:CM8"/>
    <mergeCell ref="CB8:CE8"/>
    <mergeCell ref="AO4:AP4"/>
    <mergeCell ref="AV4:AW4"/>
    <mergeCell ref="AT5:AU5"/>
    <mergeCell ref="BD5:BE5"/>
    <mergeCell ref="BU7:BW7"/>
    <mergeCell ref="BX7:CA7"/>
    <mergeCell ref="CF7:CH7"/>
    <mergeCell ref="CI7:CM7"/>
    <mergeCell ref="CN7:CP7"/>
    <mergeCell ref="CN6:CP6"/>
    <mergeCell ref="D7:E7"/>
    <mergeCell ref="G7:I7"/>
    <mergeCell ref="AP5:AQ5"/>
    <mergeCell ref="BA5:BB5"/>
    <mergeCell ref="D5:E5"/>
    <mergeCell ref="G5:I5"/>
    <mergeCell ref="D6:E6"/>
    <mergeCell ref="G6:I6"/>
    <mergeCell ref="N5:O5"/>
    <mergeCell ref="Q5:S5"/>
    <mergeCell ref="N6:O6"/>
    <mergeCell ref="N7:O7"/>
    <mergeCell ref="Q7:S7"/>
    <mergeCell ref="Q6:S6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14434-9BF1-495B-9AD5-CBBEC3DD9B98}">
  <dimension ref="C2:BR38"/>
  <sheetViews>
    <sheetView showGridLines="0" view="pageBreakPreview" zoomScale="70" zoomScaleNormal="70" zoomScaleSheetLayoutView="70" workbookViewId="0">
      <selection activeCell="A2" sqref="A2"/>
    </sheetView>
  </sheetViews>
  <sheetFormatPr defaultRowHeight="18" x14ac:dyDescent="0.45"/>
  <cols>
    <col min="1" max="70" width="3" customWidth="1"/>
  </cols>
  <sheetData>
    <row r="2" spans="3:61" x14ac:dyDescent="0.45">
      <c r="C2" t="s">
        <v>471</v>
      </c>
      <c r="AM2" t="s">
        <v>389</v>
      </c>
    </row>
    <row r="3" spans="3:61" x14ac:dyDescent="0.25">
      <c r="D3" t="s">
        <v>530</v>
      </c>
      <c r="AB3" s="1"/>
      <c r="AM3" s="220" t="s">
        <v>366</v>
      </c>
      <c r="AN3" s="220"/>
      <c r="AO3" s="258" t="s">
        <v>3</v>
      </c>
      <c r="AP3" s="241" t="s">
        <v>367</v>
      </c>
      <c r="AQ3" s="241"/>
      <c r="AS3" s="258" t="s">
        <v>3</v>
      </c>
      <c r="AT3" s="100"/>
      <c r="AU3" s="241" t="s">
        <v>367</v>
      </c>
      <c r="AV3" s="241"/>
      <c r="AW3" s="11"/>
      <c r="AX3" s="11"/>
      <c r="AZ3" s="15"/>
      <c r="BA3" s="15"/>
      <c r="BB3" s="15"/>
      <c r="BC3" s="15"/>
      <c r="BD3" s="15"/>
    </row>
    <row r="4" spans="3:61" x14ac:dyDescent="0.35">
      <c r="D4" s="220" t="s">
        <v>307</v>
      </c>
      <c r="E4" s="220"/>
      <c r="F4" t="s">
        <v>3</v>
      </c>
      <c r="G4" s="216">
        <f>'1.条件'!T9</f>
        <v>0.5</v>
      </c>
      <c r="H4" s="218"/>
      <c r="I4" s="2" t="s">
        <v>297</v>
      </c>
      <c r="J4" s="1" t="s">
        <v>68</v>
      </c>
      <c r="K4" s="216">
        <f>'1.条件'!T7</f>
        <v>0.8</v>
      </c>
      <c r="L4" s="218"/>
      <c r="M4" s="81" t="s">
        <v>99</v>
      </c>
      <c r="N4" s="216">
        <f>'1.条件'!T10</f>
        <v>0.4</v>
      </c>
      <c r="O4" s="218"/>
      <c r="P4" s="2" t="s">
        <v>297</v>
      </c>
      <c r="AM4" s="220"/>
      <c r="AN4" s="220"/>
      <c r="AO4" s="258"/>
      <c r="AP4" s="358" t="s">
        <v>375</v>
      </c>
      <c r="AQ4" s="358"/>
      <c r="AS4" s="258"/>
      <c r="AT4" s="221" t="s">
        <v>307</v>
      </c>
      <c r="AU4" s="221"/>
      <c r="AV4" s="1" t="s">
        <v>62</v>
      </c>
      <c r="AW4" s="213">
        <f>N20</f>
        <v>1</v>
      </c>
      <c r="AX4" s="213"/>
      <c r="AZ4" s="15"/>
      <c r="BA4" s="15"/>
      <c r="BB4" s="15"/>
      <c r="BC4" s="15"/>
      <c r="BD4" s="15"/>
    </row>
    <row r="5" spans="3:61" x14ac:dyDescent="0.45">
      <c r="E5" s="56"/>
      <c r="F5" t="s">
        <v>3</v>
      </c>
      <c r="G5" s="216">
        <f>G4-N4</f>
        <v>9.9999999999999978E-2</v>
      </c>
      <c r="H5" s="218"/>
      <c r="I5" s="2" t="s">
        <v>297</v>
      </c>
      <c r="J5" s="1" t="s">
        <v>68</v>
      </c>
      <c r="K5" s="216">
        <f>K4</f>
        <v>0.8</v>
      </c>
      <c r="L5" s="218"/>
      <c r="M5" s="56"/>
      <c r="N5" s="56"/>
      <c r="O5" s="56"/>
      <c r="AB5" s="36"/>
      <c r="AC5" s="37"/>
      <c r="AD5" s="37"/>
      <c r="AE5" s="37"/>
      <c r="AF5" s="37"/>
      <c r="AG5" s="37"/>
      <c r="AH5" s="37"/>
      <c r="AI5" s="42"/>
      <c r="AM5" t="s">
        <v>256</v>
      </c>
    </row>
    <row r="6" spans="3:61" x14ac:dyDescent="0.45">
      <c r="D6" s="83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AB6" s="5"/>
      <c r="AI6" s="6"/>
      <c r="AM6" s="220" t="s">
        <v>366</v>
      </c>
      <c r="AN6" s="220"/>
      <c r="AO6" t="s">
        <v>368</v>
      </c>
    </row>
    <row r="7" spans="3:61" x14ac:dyDescent="0.25">
      <c r="D7" s="232" t="s">
        <v>48</v>
      </c>
      <c r="E7" s="233"/>
      <c r="F7" s="234"/>
      <c r="G7" s="232" t="s">
        <v>47</v>
      </c>
      <c r="H7" s="233"/>
      <c r="I7" s="234"/>
      <c r="J7" s="232" t="s">
        <v>333</v>
      </c>
      <c r="K7" s="233"/>
      <c r="L7" s="234"/>
      <c r="M7" s="232" t="s">
        <v>341</v>
      </c>
      <c r="N7" s="233"/>
      <c r="O7" s="234"/>
      <c r="P7" s="163" t="s">
        <v>338</v>
      </c>
      <c r="Q7" s="164"/>
      <c r="R7" s="164"/>
      <c r="S7" s="164"/>
      <c r="T7" s="164"/>
      <c r="U7" s="164"/>
      <c r="V7" s="164"/>
      <c r="W7" s="164"/>
      <c r="X7" s="164"/>
      <c r="Y7" s="164"/>
      <c r="Z7" s="165"/>
      <c r="AB7" s="5"/>
      <c r="AI7" s="6"/>
      <c r="AM7" s="221" t="s">
        <v>367</v>
      </c>
      <c r="AN7" s="221"/>
      <c r="AO7" t="s">
        <v>369</v>
      </c>
      <c r="AU7" s="220" t="s">
        <v>367</v>
      </c>
      <c r="AV7" s="220"/>
      <c r="AW7" t="s">
        <v>3</v>
      </c>
      <c r="AX7" s="220" t="s">
        <v>231</v>
      </c>
      <c r="AY7" s="220"/>
      <c r="AZ7" s="1" t="s">
        <v>62</v>
      </c>
      <c r="BA7" s="216">
        <v>1</v>
      </c>
      <c r="BB7" s="216"/>
    </row>
    <row r="8" spans="3:61" x14ac:dyDescent="0.35">
      <c r="D8" s="235" t="s">
        <v>297</v>
      </c>
      <c r="E8" s="220"/>
      <c r="F8" s="237"/>
      <c r="G8" s="235" t="s">
        <v>307</v>
      </c>
      <c r="H8" s="220"/>
      <c r="I8" s="237"/>
      <c r="J8" s="235" t="s">
        <v>344</v>
      </c>
      <c r="K8" s="220"/>
      <c r="L8" s="237"/>
      <c r="M8" s="235" t="s">
        <v>231</v>
      </c>
      <c r="N8" s="220"/>
      <c r="O8" s="237"/>
      <c r="P8" s="357" t="s">
        <v>342</v>
      </c>
      <c r="Q8" s="358"/>
      <c r="R8" s="359"/>
      <c r="S8" s="357" t="s">
        <v>343</v>
      </c>
      <c r="T8" s="358"/>
      <c r="U8" s="359"/>
      <c r="V8" s="357" t="s">
        <v>529</v>
      </c>
      <c r="W8" s="358"/>
      <c r="X8" s="358"/>
      <c r="Y8" s="358"/>
      <c r="Z8" s="359"/>
      <c r="AB8" s="5"/>
      <c r="AI8" s="6"/>
    </row>
    <row r="9" spans="3:61" x14ac:dyDescent="0.3">
      <c r="D9" s="338" t="s">
        <v>303</v>
      </c>
      <c r="E9" s="218"/>
      <c r="F9" s="236"/>
      <c r="G9" s="230" t="s">
        <v>303</v>
      </c>
      <c r="H9" s="225"/>
      <c r="I9" s="231"/>
      <c r="J9" s="230" t="s">
        <v>121</v>
      </c>
      <c r="K9" s="225"/>
      <c r="L9" s="231"/>
      <c r="M9" s="230" t="s">
        <v>121</v>
      </c>
      <c r="N9" s="225"/>
      <c r="O9" s="231"/>
      <c r="P9" s="360" t="s">
        <v>419</v>
      </c>
      <c r="Q9" s="361"/>
      <c r="R9" s="362"/>
      <c r="S9" s="360" t="s">
        <v>419</v>
      </c>
      <c r="T9" s="361"/>
      <c r="U9" s="362"/>
      <c r="V9" s="360" t="s">
        <v>419</v>
      </c>
      <c r="W9" s="361"/>
      <c r="X9" s="361"/>
      <c r="Y9" s="361"/>
      <c r="Z9" s="362"/>
      <c r="AB9" s="5"/>
      <c r="AI9" s="6"/>
      <c r="AM9" t="s">
        <v>370</v>
      </c>
      <c r="AN9" s="10"/>
      <c r="AO9" s="22"/>
      <c r="AP9" s="22"/>
      <c r="AQ9" s="16"/>
      <c r="AR9" s="25"/>
      <c r="AS9" s="25"/>
      <c r="AT9" s="25"/>
      <c r="AU9" s="25"/>
      <c r="AW9" s="16"/>
      <c r="AX9" s="14"/>
      <c r="AY9" s="14"/>
      <c r="AZ9" s="14"/>
      <c r="BA9" s="14"/>
      <c r="BB9" s="14"/>
      <c r="BC9" s="14"/>
      <c r="BE9" s="16"/>
      <c r="BF9" s="23"/>
    </row>
    <row r="10" spans="3:61" x14ac:dyDescent="0.45">
      <c r="D10" s="366">
        <f>'4.部照-衝2'!BU9</f>
        <v>1</v>
      </c>
      <c r="E10" s="227"/>
      <c r="F10" s="367"/>
      <c r="G10" s="216">
        <f t="shared" ref="G10:G15" si="0">G$5*D10+K$5</f>
        <v>0.9</v>
      </c>
      <c r="H10" s="218"/>
      <c r="I10" s="236"/>
      <c r="J10" s="314">
        <f>'4.部照-衝2'!CN9</f>
        <v>30.508596273871952</v>
      </c>
      <c r="K10" s="218"/>
      <c r="L10" s="236"/>
      <c r="M10" s="314">
        <f>'4.部照-衝2'!CN20</f>
        <v>20.292745694294677</v>
      </c>
      <c r="N10" s="218"/>
      <c r="O10" s="236"/>
      <c r="P10" s="314">
        <f>'4.部照-衝2'!CV31</f>
        <v>8.9228130565628838</v>
      </c>
      <c r="Q10" s="218"/>
      <c r="R10" s="236"/>
      <c r="S10" s="314">
        <f>'4.部照-衝2'!CY31</f>
        <v>26.486392394010835</v>
      </c>
      <c r="T10" s="218"/>
      <c r="U10" s="236"/>
      <c r="V10" s="366">
        <f>S10-P10</f>
        <v>17.563579337447951</v>
      </c>
      <c r="W10" s="226"/>
      <c r="X10" s="226"/>
      <c r="Y10" s="226"/>
      <c r="Z10" s="371"/>
      <c r="AB10" s="5"/>
      <c r="AI10" s="6"/>
      <c r="AM10" s="10"/>
      <c r="AN10" s="232" t="s">
        <v>48</v>
      </c>
      <c r="AO10" s="233"/>
      <c r="AP10" s="234"/>
      <c r="AQ10" s="232" t="s">
        <v>47</v>
      </c>
      <c r="AR10" s="233"/>
      <c r="AS10" s="234"/>
      <c r="AT10" s="271" t="s">
        <v>371</v>
      </c>
      <c r="AU10" s="184"/>
      <c r="AV10" s="184"/>
      <c r="AW10" s="397" t="s">
        <v>372</v>
      </c>
      <c r="AX10" s="398"/>
      <c r="AY10" s="398"/>
      <c r="AZ10" s="399"/>
      <c r="BA10" s="14"/>
      <c r="BB10" s="397" t="s">
        <v>372</v>
      </c>
      <c r="BC10" s="398"/>
      <c r="BD10" s="398"/>
      <c r="BE10" s="399"/>
      <c r="BF10" s="16"/>
      <c r="BG10" s="178" t="s">
        <v>361</v>
      </c>
      <c r="BH10" s="179"/>
      <c r="BI10" s="180"/>
    </row>
    <row r="11" spans="3:61" x14ac:dyDescent="0.35">
      <c r="D11" s="314">
        <f>'4.部照-衝2'!BU10</f>
        <v>2</v>
      </c>
      <c r="E11" s="218"/>
      <c r="F11" s="236"/>
      <c r="G11" s="216">
        <f t="shared" si="0"/>
        <v>1</v>
      </c>
      <c r="H11" s="218"/>
      <c r="I11" s="236"/>
      <c r="J11" s="314">
        <f>'4.部照-衝2'!CN10</f>
        <v>47.033761524693908</v>
      </c>
      <c r="K11" s="218"/>
      <c r="L11" s="236"/>
      <c r="M11" s="314">
        <f>'4.部照-衝2'!CN21</f>
        <v>22.505256826227388</v>
      </c>
      <c r="N11" s="218"/>
      <c r="O11" s="236"/>
      <c r="P11" s="314">
        <f>'4.部照-衝2'!CV32</f>
        <v>22.908189200593409</v>
      </c>
      <c r="Q11" s="218"/>
      <c r="R11" s="236"/>
      <c r="S11" s="314">
        <f>'4.部照-衝2'!CY32</f>
        <v>37.225413201135368</v>
      </c>
      <c r="T11" s="218"/>
      <c r="U11" s="236"/>
      <c r="V11" s="314">
        <f>S11-P11</f>
        <v>14.317224000541959</v>
      </c>
      <c r="W11" s="216"/>
      <c r="X11" s="216"/>
      <c r="Y11" s="216"/>
      <c r="Z11" s="315"/>
      <c r="AB11" s="5"/>
      <c r="AI11" s="6"/>
      <c r="AM11" s="10"/>
      <c r="AN11" s="235" t="s">
        <v>297</v>
      </c>
      <c r="AO11" s="220"/>
      <c r="AP11" s="237"/>
      <c r="AQ11" s="235" t="s">
        <v>307</v>
      </c>
      <c r="AR11" s="220"/>
      <c r="AS11" s="237"/>
      <c r="AT11" s="273" t="s">
        <v>373</v>
      </c>
      <c r="AU11" s="221"/>
      <c r="AV11" s="221"/>
      <c r="AW11" s="235" t="s">
        <v>366</v>
      </c>
      <c r="AX11" s="220"/>
      <c r="AY11" s="220"/>
      <c r="AZ11" s="237"/>
      <c r="BA11" s="14"/>
      <c r="BB11" s="235" t="s">
        <v>366</v>
      </c>
      <c r="BC11" s="220"/>
      <c r="BD11" s="220"/>
      <c r="BE11" s="237"/>
      <c r="BF11" s="16"/>
      <c r="BG11" s="357" t="s">
        <v>374</v>
      </c>
      <c r="BH11" s="358"/>
      <c r="BI11" s="359"/>
    </row>
    <row r="12" spans="3:61" x14ac:dyDescent="0.45">
      <c r="D12" s="314">
        <f>'4.部照-衝2'!BU11</f>
        <v>3</v>
      </c>
      <c r="E12" s="218"/>
      <c r="F12" s="236"/>
      <c r="G12" s="216">
        <f t="shared" si="0"/>
        <v>1.1000000000000001</v>
      </c>
      <c r="H12" s="218"/>
      <c r="I12" s="236"/>
      <c r="J12" s="314">
        <f>'4.部照-衝2'!CN11</f>
        <v>68.325495752465855</v>
      </c>
      <c r="K12" s="218"/>
      <c r="L12" s="236"/>
      <c r="M12" s="314">
        <f>'4.部照-衝2'!CN22</f>
        <v>29.137533395798137</v>
      </c>
      <c r="N12" s="218"/>
      <c r="O12" s="236"/>
      <c r="P12" s="314">
        <f>'4.部照-衝2'!CV33</f>
        <v>46.014408036080752</v>
      </c>
      <c r="Q12" s="218"/>
      <c r="R12" s="236"/>
      <c r="S12" s="314">
        <f>'4.部照-衝2'!CY33</f>
        <v>55.136827859011632</v>
      </c>
      <c r="T12" s="218"/>
      <c r="U12" s="236"/>
      <c r="V12" s="314">
        <f t="shared" ref="V12:V15" si="1">S12-P12</f>
        <v>9.1224198229308797</v>
      </c>
      <c r="W12" s="216"/>
      <c r="X12" s="216"/>
      <c r="Y12" s="216"/>
      <c r="Z12" s="315"/>
      <c r="AB12" s="5"/>
      <c r="AI12" s="6"/>
      <c r="AM12" s="10"/>
      <c r="AN12" s="230" t="s">
        <v>303</v>
      </c>
      <c r="AO12" s="225"/>
      <c r="AP12" s="231"/>
      <c r="AQ12" s="338" t="s">
        <v>303</v>
      </c>
      <c r="AR12" s="218"/>
      <c r="AS12" s="236"/>
      <c r="AT12" s="283" t="s">
        <v>305</v>
      </c>
      <c r="AU12" s="269"/>
      <c r="AV12" s="269"/>
      <c r="AW12" s="283" t="s">
        <v>304</v>
      </c>
      <c r="AX12" s="269"/>
      <c r="AY12" s="269"/>
      <c r="AZ12" s="285"/>
      <c r="BA12" s="14"/>
      <c r="BB12" s="330" t="s">
        <v>360</v>
      </c>
      <c r="BC12" s="279"/>
      <c r="BD12" s="279"/>
      <c r="BE12" s="331"/>
      <c r="BF12" s="16"/>
      <c r="BG12" s="99" t="s">
        <v>261</v>
      </c>
      <c r="BH12" s="396">
        <f>'1.条件'!T20</f>
        <v>0.32999999999999996</v>
      </c>
      <c r="BI12" s="331"/>
    </row>
    <row r="13" spans="3:61" x14ac:dyDescent="0.45">
      <c r="D13" s="314">
        <f>'4.部照-衝2'!BU12</f>
        <v>4</v>
      </c>
      <c r="E13" s="218"/>
      <c r="F13" s="236"/>
      <c r="G13" s="216">
        <f t="shared" si="0"/>
        <v>1.2</v>
      </c>
      <c r="H13" s="218"/>
      <c r="I13" s="236"/>
      <c r="J13" s="314">
        <f>'4.部照-衝2'!CN12</f>
        <v>93.095294566818225</v>
      </c>
      <c r="K13" s="218"/>
      <c r="L13" s="236"/>
      <c r="M13" s="314">
        <f>'4.部照-衝2'!CN23</f>
        <v>38.785843246660832</v>
      </c>
      <c r="N13" s="218"/>
      <c r="O13" s="236"/>
      <c r="P13" s="314">
        <f>'4.部照-衝2'!CV34</f>
        <v>80.0869770117081</v>
      </c>
      <c r="Q13" s="218"/>
      <c r="R13" s="236"/>
      <c r="S13" s="314">
        <f>'4.部照-衝2'!CY34</f>
        <v>82.753236381060873</v>
      </c>
      <c r="T13" s="218"/>
      <c r="U13" s="236"/>
      <c r="V13" s="314">
        <f t="shared" si="1"/>
        <v>2.6662593693527725</v>
      </c>
      <c r="W13" s="216"/>
      <c r="X13" s="216"/>
      <c r="Y13" s="216"/>
      <c r="Z13" s="315"/>
      <c r="AB13" s="5"/>
      <c r="AI13" s="6"/>
      <c r="AM13" s="10"/>
      <c r="AN13" s="366">
        <f t="shared" ref="AN13:AN18" si="2">D32</f>
        <v>1</v>
      </c>
      <c r="AO13" s="227"/>
      <c r="AP13" s="227"/>
      <c r="AQ13" s="366">
        <f t="shared" ref="AQ13:AQ18" si="3">G32</f>
        <v>0.9</v>
      </c>
      <c r="AR13" s="226"/>
      <c r="AS13" s="371"/>
      <c r="AT13" s="390">
        <f t="shared" ref="AT13:AT18" si="4">M10</f>
        <v>20.292745694294677</v>
      </c>
      <c r="AU13" s="390"/>
      <c r="AV13" s="390"/>
      <c r="AW13" s="366">
        <f>AT13/AQ13/AW$4</f>
        <v>22.547495215882975</v>
      </c>
      <c r="AX13" s="226"/>
      <c r="AY13" s="226"/>
      <c r="AZ13" s="371"/>
      <c r="BA13" s="14"/>
      <c r="BB13" s="314">
        <f>AW13/1000</f>
        <v>2.2547495215882975E-2</v>
      </c>
      <c r="BC13" s="216"/>
      <c r="BD13" s="216"/>
      <c r="BE13" s="315"/>
      <c r="BF13" s="16"/>
      <c r="BG13" s="271" t="str">
        <f>IF(BB13&lt;=BH$12, "OK", "NG")</f>
        <v>OK</v>
      </c>
      <c r="BH13" s="184"/>
      <c r="BI13" s="185"/>
    </row>
    <row r="14" spans="3:61" x14ac:dyDescent="0.45">
      <c r="D14" s="314">
        <f>'4.部照-衝2'!BU13</f>
        <v>5</v>
      </c>
      <c r="E14" s="218"/>
      <c r="F14" s="236"/>
      <c r="G14" s="216">
        <f t="shared" si="0"/>
        <v>1.2999999999999998</v>
      </c>
      <c r="H14" s="218"/>
      <c r="I14" s="236"/>
      <c r="J14" s="314">
        <f>'4.部照-衝2'!CN13</f>
        <v>120.57026601029312</v>
      </c>
      <c r="K14" s="218"/>
      <c r="L14" s="236"/>
      <c r="M14" s="314">
        <f>'4.部照-衝2'!CN24</f>
        <v>51.840813142940419</v>
      </c>
      <c r="N14" s="218"/>
      <c r="O14" s="236"/>
      <c r="P14" s="314">
        <f>'4.部照-衝2'!CV35</f>
        <v>126.27116391757345</v>
      </c>
      <c r="Q14" s="218"/>
      <c r="R14" s="236"/>
      <c r="S14" s="314">
        <f>'4.部照-衝2'!CY35</f>
        <v>122.70628735556005</v>
      </c>
      <c r="T14" s="218"/>
      <c r="U14" s="236"/>
      <c r="V14" s="314">
        <f t="shared" si="1"/>
        <v>-3.5648765620133958</v>
      </c>
      <c r="W14" s="216"/>
      <c r="X14" s="216"/>
      <c r="Y14" s="216"/>
      <c r="Z14" s="315"/>
      <c r="AB14" s="5"/>
      <c r="AI14" s="6"/>
      <c r="AM14" s="10"/>
      <c r="AN14" s="314">
        <f t="shared" si="2"/>
        <v>2</v>
      </c>
      <c r="AO14" s="218"/>
      <c r="AP14" s="218"/>
      <c r="AQ14" s="314">
        <f t="shared" si="3"/>
        <v>1</v>
      </c>
      <c r="AR14" s="216"/>
      <c r="AS14" s="315"/>
      <c r="AT14" s="381">
        <f t="shared" si="4"/>
        <v>22.505256826227388</v>
      </c>
      <c r="AU14" s="381"/>
      <c r="AV14" s="381"/>
      <c r="AW14" s="314">
        <f t="shared" ref="AW14:AW18" si="5">AT14/AQ14/AW$4</f>
        <v>22.505256826227388</v>
      </c>
      <c r="AX14" s="216"/>
      <c r="AY14" s="216"/>
      <c r="AZ14" s="315"/>
      <c r="BA14" s="14"/>
      <c r="BB14" s="314">
        <f t="shared" ref="BB14:BB18" si="6">AW14/1000</f>
        <v>2.2505256826227386E-2</v>
      </c>
      <c r="BC14" s="216"/>
      <c r="BD14" s="216"/>
      <c r="BE14" s="315"/>
      <c r="BF14" s="16"/>
      <c r="BG14" s="377" t="str">
        <f>IF(BB14&lt;=BH$12, "OK", "NG")</f>
        <v>OK</v>
      </c>
      <c r="BH14" s="378"/>
      <c r="BI14" s="379"/>
    </row>
    <row r="15" spans="3:61" x14ac:dyDescent="0.45">
      <c r="D15" s="312">
        <f>'4.部照-衝2'!BU14</f>
        <v>6</v>
      </c>
      <c r="E15" s="225"/>
      <c r="F15" s="231"/>
      <c r="G15" s="224">
        <f t="shared" si="0"/>
        <v>1.4</v>
      </c>
      <c r="H15" s="225"/>
      <c r="I15" s="231"/>
      <c r="J15" s="312">
        <f>'4.部照-衝2'!CN14</f>
        <v>150.48517819782066</v>
      </c>
      <c r="K15" s="225"/>
      <c r="L15" s="231"/>
      <c r="M15" s="312">
        <f>'4.部照-衝2'!CN25</f>
        <v>68.304823968551972</v>
      </c>
      <c r="N15" s="225"/>
      <c r="O15" s="231"/>
      <c r="P15" s="312">
        <f>'4.部照-衝2'!CV36</f>
        <v>185.49402131006173</v>
      </c>
      <c r="Q15" s="225"/>
      <c r="R15" s="231"/>
      <c r="S15" s="312">
        <f>'4.部照-衝2'!CY36</f>
        <v>178.1616858338619</v>
      </c>
      <c r="T15" s="225"/>
      <c r="U15" s="231"/>
      <c r="V15" s="312">
        <f t="shared" si="1"/>
        <v>-7.3323354761998303</v>
      </c>
      <c r="W15" s="224"/>
      <c r="X15" s="224"/>
      <c r="Y15" s="224"/>
      <c r="Z15" s="313"/>
      <c r="AB15" s="5"/>
      <c r="AI15" s="6"/>
      <c r="AM15" s="10"/>
      <c r="AN15" s="314">
        <f t="shared" si="2"/>
        <v>3</v>
      </c>
      <c r="AO15" s="218"/>
      <c r="AP15" s="218"/>
      <c r="AQ15" s="314">
        <f t="shared" si="3"/>
        <v>1.1000000000000001</v>
      </c>
      <c r="AR15" s="216"/>
      <c r="AS15" s="315"/>
      <c r="AT15" s="381">
        <f t="shared" si="4"/>
        <v>29.137533395798137</v>
      </c>
      <c r="AU15" s="381"/>
      <c r="AV15" s="381"/>
      <c r="AW15" s="314">
        <f t="shared" si="5"/>
        <v>26.488666723452848</v>
      </c>
      <c r="AX15" s="216"/>
      <c r="AY15" s="216"/>
      <c r="AZ15" s="315"/>
      <c r="BA15" s="14"/>
      <c r="BB15" s="314">
        <f t="shared" si="6"/>
        <v>2.6488666723452847E-2</v>
      </c>
      <c r="BC15" s="216"/>
      <c r="BD15" s="216"/>
      <c r="BE15" s="315"/>
      <c r="BF15" s="16"/>
      <c r="BG15" s="377" t="str">
        <f t="shared" ref="BG15:BG18" si="7">IF(BB15&lt;=BH$12, "OK", "NG")</f>
        <v>OK</v>
      </c>
      <c r="BH15" s="378"/>
      <c r="BI15" s="379"/>
    </row>
    <row r="16" spans="3:61" x14ac:dyDescent="0.45">
      <c r="AB16" s="5"/>
      <c r="AI16" s="6"/>
      <c r="AM16" s="10"/>
      <c r="AN16" s="314">
        <f t="shared" si="2"/>
        <v>4</v>
      </c>
      <c r="AO16" s="218"/>
      <c r="AP16" s="218"/>
      <c r="AQ16" s="314">
        <f t="shared" si="3"/>
        <v>1.2</v>
      </c>
      <c r="AR16" s="216"/>
      <c r="AS16" s="315"/>
      <c r="AT16" s="381">
        <f t="shared" si="4"/>
        <v>38.785843246660832</v>
      </c>
      <c r="AU16" s="381"/>
      <c r="AV16" s="381"/>
      <c r="AW16" s="314">
        <f t="shared" si="5"/>
        <v>32.321536038884027</v>
      </c>
      <c r="AX16" s="216"/>
      <c r="AY16" s="216"/>
      <c r="AZ16" s="315"/>
      <c r="BA16" s="14"/>
      <c r="BB16" s="314">
        <f t="shared" si="6"/>
        <v>3.2321536038884026E-2</v>
      </c>
      <c r="BC16" s="216"/>
      <c r="BD16" s="216"/>
      <c r="BE16" s="315"/>
      <c r="BF16" s="16"/>
      <c r="BG16" s="377" t="str">
        <f t="shared" si="7"/>
        <v>OK</v>
      </c>
      <c r="BH16" s="378"/>
      <c r="BI16" s="379"/>
    </row>
    <row r="17" spans="4:61" x14ac:dyDescent="0.45">
      <c r="D17" t="s">
        <v>531</v>
      </c>
      <c r="AB17" s="5"/>
      <c r="AI17" s="6"/>
      <c r="AM17" s="10"/>
      <c r="AN17" s="314">
        <f t="shared" si="2"/>
        <v>5</v>
      </c>
      <c r="AO17" s="218"/>
      <c r="AP17" s="218"/>
      <c r="AQ17" s="314">
        <f t="shared" si="3"/>
        <v>1.2999999999999998</v>
      </c>
      <c r="AR17" s="216"/>
      <c r="AS17" s="315"/>
      <c r="AT17" s="381">
        <f t="shared" si="4"/>
        <v>51.840813142940419</v>
      </c>
      <c r="AU17" s="381"/>
      <c r="AV17" s="381"/>
      <c r="AW17" s="314">
        <f t="shared" si="5"/>
        <v>39.877548571492639</v>
      </c>
      <c r="AX17" s="216"/>
      <c r="AY17" s="216"/>
      <c r="AZ17" s="315"/>
      <c r="BA17" s="14"/>
      <c r="BB17" s="314">
        <f t="shared" si="6"/>
        <v>3.9877548571492637E-2</v>
      </c>
      <c r="BC17" s="216"/>
      <c r="BD17" s="216"/>
      <c r="BE17" s="315"/>
      <c r="BF17" s="16"/>
      <c r="BG17" s="377" t="str">
        <f t="shared" si="7"/>
        <v>OK</v>
      </c>
      <c r="BH17" s="378"/>
      <c r="BI17" s="379"/>
    </row>
    <row r="18" spans="4:61" x14ac:dyDescent="0.45">
      <c r="D18" t="s">
        <v>532</v>
      </c>
      <c r="AB18" s="5"/>
      <c r="AI18" s="6"/>
      <c r="AM18" s="10"/>
      <c r="AN18" s="312">
        <f t="shared" si="2"/>
        <v>6</v>
      </c>
      <c r="AO18" s="225"/>
      <c r="AP18" s="225"/>
      <c r="AQ18" s="312">
        <f t="shared" si="3"/>
        <v>1.4</v>
      </c>
      <c r="AR18" s="224"/>
      <c r="AS18" s="313"/>
      <c r="AT18" s="384">
        <f t="shared" si="4"/>
        <v>68.304823968551972</v>
      </c>
      <c r="AU18" s="384"/>
      <c r="AV18" s="384"/>
      <c r="AW18" s="312">
        <f t="shared" si="5"/>
        <v>48.789159977537125</v>
      </c>
      <c r="AX18" s="224"/>
      <c r="AY18" s="224"/>
      <c r="AZ18" s="313"/>
      <c r="BA18" s="14"/>
      <c r="BB18" s="312">
        <f t="shared" si="6"/>
        <v>4.8789159977537126E-2</v>
      </c>
      <c r="BC18" s="224"/>
      <c r="BD18" s="224"/>
      <c r="BE18" s="313"/>
      <c r="BF18" s="16"/>
      <c r="BG18" s="386" t="str">
        <f t="shared" si="7"/>
        <v>OK</v>
      </c>
      <c r="BH18" s="387"/>
      <c r="BI18" s="388"/>
    </row>
    <row r="19" spans="4:61" x14ac:dyDescent="0.35">
      <c r="D19" s="394" t="s">
        <v>347</v>
      </c>
      <c r="E19" s="222"/>
      <c r="F19" s="258" t="s">
        <v>3</v>
      </c>
      <c r="G19" s="241" t="s">
        <v>348</v>
      </c>
      <c r="H19" s="241"/>
      <c r="I19" s="219" t="s">
        <v>349</v>
      </c>
      <c r="J19" s="241" t="s">
        <v>350</v>
      </c>
      <c r="K19" s="241"/>
      <c r="M19" s="258" t="s">
        <v>3</v>
      </c>
      <c r="N19" s="241" t="s">
        <v>348</v>
      </c>
      <c r="O19" s="241"/>
      <c r="P19" s="241"/>
      <c r="Q19" s="241"/>
      <c r="R19" s="219" t="s">
        <v>349</v>
      </c>
      <c r="S19" s="20">
        <f>V27</f>
        <v>6</v>
      </c>
      <c r="T19" s="241" t="s">
        <v>250</v>
      </c>
      <c r="U19" s="241"/>
      <c r="V19" s="11"/>
      <c r="AB19" s="5"/>
      <c r="AI19" s="6"/>
    </row>
    <row r="20" spans="4:61" x14ac:dyDescent="0.35">
      <c r="D20" s="222"/>
      <c r="E20" s="222"/>
      <c r="F20" s="258"/>
      <c r="G20" s="358" t="s">
        <v>51</v>
      </c>
      <c r="H20" s="358"/>
      <c r="I20" s="219"/>
      <c r="J20" s="358" t="s">
        <v>66</v>
      </c>
      <c r="K20" s="358"/>
      <c r="M20" s="258"/>
      <c r="N20" s="216">
        <f>W24</f>
        <v>1</v>
      </c>
      <c r="O20" s="216"/>
      <c r="P20" s="221" t="s">
        <v>307</v>
      </c>
      <c r="Q20" s="221"/>
      <c r="R20" s="219"/>
      <c r="S20" s="216">
        <f>V26</f>
        <v>1</v>
      </c>
      <c r="T20" s="216"/>
      <c r="U20" s="221" t="s">
        <v>355</v>
      </c>
      <c r="V20" s="221"/>
      <c r="AB20" s="7"/>
      <c r="AC20" s="11"/>
      <c r="AD20" s="11"/>
      <c r="AE20" s="11"/>
      <c r="AF20" s="11"/>
      <c r="AG20" s="11"/>
      <c r="AH20" s="11"/>
      <c r="AI20" s="8"/>
    </row>
    <row r="21" spans="4:61" x14ac:dyDescent="0.45">
      <c r="D21" t="s">
        <v>256</v>
      </c>
    </row>
    <row r="22" spans="4:61" x14ac:dyDescent="0.45">
      <c r="D22" s="394" t="s">
        <v>347</v>
      </c>
      <c r="E22" s="394"/>
      <c r="F22" t="s">
        <v>351</v>
      </c>
    </row>
    <row r="23" spans="4:61" x14ac:dyDescent="0.45">
      <c r="D23" s="220" t="s">
        <v>348</v>
      </c>
      <c r="E23" s="220"/>
      <c r="F23" t="s">
        <v>352</v>
      </c>
      <c r="K23" s="220" t="s">
        <v>348</v>
      </c>
      <c r="L23" s="220"/>
      <c r="M23" t="s">
        <v>3</v>
      </c>
      <c r="N23" s="220" t="s">
        <v>344</v>
      </c>
      <c r="O23" s="220"/>
      <c r="P23" s="1" t="s">
        <v>62</v>
      </c>
      <c r="Q23" s="216">
        <v>1</v>
      </c>
      <c r="R23" s="216"/>
    </row>
    <row r="24" spans="4:61" x14ac:dyDescent="0.35">
      <c r="D24" s="220" t="s">
        <v>51</v>
      </c>
      <c r="E24" s="220"/>
      <c r="F24" t="s">
        <v>353</v>
      </c>
      <c r="N24" s="220" t="s">
        <v>51</v>
      </c>
      <c r="O24" s="220"/>
      <c r="P24" t="s">
        <v>3</v>
      </c>
      <c r="Q24" s="221" t="s">
        <v>307</v>
      </c>
      <c r="R24" s="221"/>
      <c r="S24" s="1" t="s">
        <v>62</v>
      </c>
      <c r="T24" s="216">
        <v>1</v>
      </c>
      <c r="U24" s="216"/>
      <c r="V24" t="s">
        <v>3</v>
      </c>
      <c r="W24" s="216">
        <f>T24</f>
        <v>1</v>
      </c>
      <c r="X24" s="216"/>
      <c r="Y24" s="376" t="s">
        <v>307</v>
      </c>
      <c r="Z24" s="376"/>
    </row>
    <row r="25" spans="4:61" x14ac:dyDescent="0.25">
      <c r="D25" s="220" t="s">
        <v>345</v>
      </c>
      <c r="E25" s="220"/>
      <c r="F25" t="s">
        <v>422</v>
      </c>
      <c r="K25" s="221" t="s">
        <v>345</v>
      </c>
      <c r="L25" s="221"/>
      <c r="M25" t="s">
        <v>3</v>
      </c>
      <c r="N25" s="220" t="s">
        <v>250</v>
      </c>
      <c r="O25" s="220"/>
      <c r="P25" s="1" t="s">
        <v>179</v>
      </c>
      <c r="Q25" s="2" t="s">
        <v>348</v>
      </c>
    </row>
    <row r="26" spans="4:61" x14ac:dyDescent="0.35">
      <c r="D26" s="220" t="s">
        <v>66</v>
      </c>
      <c r="E26" s="220"/>
      <c r="F26" t="s">
        <v>354</v>
      </c>
      <c r="S26" s="245" t="s">
        <v>66</v>
      </c>
      <c r="T26" s="245"/>
      <c r="U26" s="258" t="s">
        <v>3</v>
      </c>
      <c r="V26" s="216">
        <f>T24</f>
        <v>1</v>
      </c>
      <c r="W26" s="216"/>
      <c r="X26" s="241" t="s">
        <v>355</v>
      </c>
      <c r="Y26" s="241"/>
    </row>
    <row r="27" spans="4:61" x14ac:dyDescent="0.25">
      <c r="D27" s="2"/>
      <c r="E27" s="2"/>
      <c r="N27" s="15"/>
      <c r="O27" s="15"/>
      <c r="P27" s="15"/>
      <c r="Q27" s="15"/>
      <c r="R27" s="15"/>
      <c r="S27" s="245"/>
      <c r="T27" s="245"/>
      <c r="U27" s="258"/>
      <c r="V27" s="305">
        <v>6</v>
      </c>
      <c r="W27" s="305"/>
      <c r="X27" s="305"/>
      <c r="Y27" s="305"/>
      <c r="Z27" s="15"/>
    </row>
    <row r="28" spans="4:61" x14ac:dyDescent="0.25">
      <c r="D28" t="s">
        <v>388</v>
      </c>
      <c r="E28" s="10"/>
      <c r="F28" s="22"/>
      <c r="G28" s="22"/>
      <c r="H28" s="16"/>
      <c r="I28" s="25"/>
      <c r="J28" s="25"/>
      <c r="K28" s="25"/>
      <c r="L28" s="25"/>
      <c r="N28" s="16"/>
      <c r="O28" s="14"/>
      <c r="P28" s="14"/>
      <c r="Q28" s="14"/>
      <c r="R28" s="14"/>
      <c r="S28" s="14"/>
      <c r="T28" s="14"/>
      <c r="V28" s="16"/>
      <c r="W28" s="23"/>
      <c r="X28" s="23"/>
      <c r="Y28" s="14"/>
    </row>
    <row r="29" spans="4:61" x14ac:dyDescent="0.45">
      <c r="D29" s="232" t="s">
        <v>48</v>
      </c>
      <c r="E29" s="233"/>
      <c r="F29" s="234"/>
      <c r="G29" s="232" t="s">
        <v>47</v>
      </c>
      <c r="H29" s="233"/>
      <c r="I29" s="234"/>
      <c r="J29" s="232" t="s">
        <v>356</v>
      </c>
      <c r="K29" s="233"/>
      <c r="L29" s="234"/>
      <c r="M29" s="271" t="s">
        <v>338</v>
      </c>
      <c r="N29" s="184"/>
      <c r="O29" s="185"/>
      <c r="P29" s="178" t="s">
        <v>357</v>
      </c>
      <c r="Q29" s="179"/>
      <c r="R29" s="179"/>
      <c r="S29" s="179"/>
      <c r="T29" s="179"/>
      <c r="U29" s="180"/>
      <c r="W29" s="178" t="s">
        <v>357</v>
      </c>
      <c r="X29" s="179"/>
      <c r="Y29" s="179"/>
      <c r="Z29" s="179"/>
      <c r="AA29" s="179"/>
      <c r="AB29" s="180"/>
      <c r="AD29" s="178" t="s">
        <v>361</v>
      </c>
      <c r="AE29" s="179"/>
      <c r="AF29" s="179"/>
      <c r="AG29" s="179"/>
      <c r="AH29" s="179"/>
      <c r="AI29" s="180"/>
    </row>
    <row r="30" spans="4:61" x14ac:dyDescent="0.45">
      <c r="D30" s="235" t="s">
        <v>297</v>
      </c>
      <c r="E30" s="220"/>
      <c r="F30" s="237"/>
      <c r="G30" s="235" t="s">
        <v>307</v>
      </c>
      <c r="H30" s="220"/>
      <c r="I30" s="237"/>
      <c r="J30" s="235" t="s">
        <v>348</v>
      </c>
      <c r="K30" s="220"/>
      <c r="L30" s="237"/>
      <c r="M30" s="273" t="s">
        <v>250</v>
      </c>
      <c r="N30" s="221"/>
      <c r="O30" s="282"/>
      <c r="P30" s="393" t="s">
        <v>358</v>
      </c>
      <c r="Q30" s="394"/>
      <c r="R30" s="394"/>
      <c r="S30" s="393" t="s">
        <v>359</v>
      </c>
      <c r="T30" s="394"/>
      <c r="U30" s="395"/>
      <c r="W30" s="393" t="s">
        <v>358</v>
      </c>
      <c r="X30" s="394"/>
      <c r="Y30" s="394"/>
      <c r="Z30" s="393" t="s">
        <v>359</v>
      </c>
      <c r="AA30" s="394"/>
      <c r="AB30" s="395"/>
      <c r="AD30" s="271" t="s">
        <v>362</v>
      </c>
      <c r="AE30" s="184"/>
      <c r="AF30" s="184"/>
      <c r="AG30" s="271" t="s">
        <v>363</v>
      </c>
      <c r="AH30" s="184"/>
      <c r="AI30" s="185"/>
    </row>
    <row r="31" spans="4:61" x14ac:dyDescent="0.45">
      <c r="D31" s="230" t="s">
        <v>303</v>
      </c>
      <c r="E31" s="225"/>
      <c r="F31" s="231"/>
      <c r="G31" s="338" t="s">
        <v>303</v>
      </c>
      <c r="H31" s="218"/>
      <c r="I31" s="236"/>
      <c r="J31" s="230" t="s">
        <v>305</v>
      </c>
      <c r="K31" s="225"/>
      <c r="L31" s="231"/>
      <c r="M31" s="360" t="s">
        <v>535</v>
      </c>
      <c r="N31" s="361"/>
      <c r="O31" s="362"/>
      <c r="P31" s="283" t="s">
        <v>304</v>
      </c>
      <c r="Q31" s="269"/>
      <c r="R31" s="269"/>
      <c r="S31" s="283" t="s">
        <v>304</v>
      </c>
      <c r="T31" s="269"/>
      <c r="U31" s="285"/>
      <c r="W31" s="283" t="s">
        <v>360</v>
      </c>
      <c r="X31" s="269"/>
      <c r="Y31" s="269"/>
      <c r="Z31" s="283" t="s">
        <v>360</v>
      </c>
      <c r="AA31" s="269"/>
      <c r="AB31" s="285"/>
      <c r="AD31" s="99" t="s">
        <v>261</v>
      </c>
      <c r="AE31" s="392">
        <f>'1.条件'!T17</f>
        <v>6.75</v>
      </c>
      <c r="AF31" s="285"/>
      <c r="AG31" s="99" t="s">
        <v>364</v>
      </c>
      <c r="AH31" s="392">
        <f>-'1.条件'!T19</f>
        <v>-0.33750000000000002</v>
      </c>
      <c r="AI31" s="285"/>
    </row>
    <row r="32" spans="4:61" x14ac:dyDescent="0.45">
      <c r="D32" s="314">
        <f t="shared" ref="D32:D37" si="8">D10</f>
        <v>1</v>
      </c>
      <c r="E32" s="218"/>
      <c r="F32" s="218"/>
      <c r="G32" s="366">
        <f t="shared" ref="G32:G37" si="9">G10</f>
        <v>0.9</v>
      </c>
      <c r="H32" s="226"/>
      <c r="I32" s="371"/>
      <c r="J32" s="216">
        <f t="shared" ref="J32:J37" si="10">J10</f>
        <v>30.508596273871952</v>
      </c>
      <c r="K32" s="218"/>
      <c r="L32" s="236"/>
      <c r="M32" s="314">
        <f t="shared" ref="M32:M37" si="11">V10</f>
        <v>17.563579337447951</v>
      </c>
      <c r="N32" s="218"/>
      <c r="O32" s="218"/>
      <c r="P32" s="389">
        <f>J32/N$20/G32-S$19*M32/S$20/G32^2</f>
        <v>-96.202147380497479</v>
      </c>
      <c r="Q32" s="390"/>
      <c r="R32" s="390"/>
      <c r="S32" s="389">
        <f>J32/N$20/G32+S$19*M32/S$20/G32^2</f>
        <v>163.99902798910182</v>
      </c>
      <c r="T32" s="390"/>
      <c r="U32" s="391"/>
      <c r="W32" s="389">
        <f>P32/1000</f>
        <v>-9.6202147380497482E-2</v>
      </c>
      <c r="X32" s="390"/>
      <c r="Y32" s="390"/>
      <c r="Z32" s="389">
        <f>S32/1000</f>
        <v>0.16399902798910182</v>
      </c>
      <c r="AA32" s="390"/>
      <c r="AB32" s="391"/>
      <c r="AD32" s="271" t="str">
        <f>IF(AND(W32&lt;=AE$31,Z32&lt;=AE$31), "OK", "NG")</f>
        <v>OK</v>
      </c>
      <c r="AE32" s="184"/>
      <c r="AF32" s="184"/>
      <c r="AG32" s="271" t="str">
        <f>IF(AND(W32&gt;=AH$31,Z32&gt;=AH$31), "OK", "NG")</f>
        <v>OK</v>
      </c>
      <c r="AH32" s="184"/>
      <c r="AI32" s="185"/>
    </row>
    <row r="33" spans="4:70" x14ac:dyDescent="0.45">
      <c r="D33" s="314">
        <f t="shared" si="8"/>
        <v>2</v>
      </c>
      <c r="E33" s="218"/>
      <c r="F33" s="218"/>
      <c r="G33" s="314">
        <f t="shared" si="9"/>
        <v>1</v>
      </c>
      <c r="H33" s="216"/>
      <c r="I33" s="315"/>
      <c r="J33" s="216">
        <f t="shared" si="10"/>
        <v>47.033761524693908</v>
      </c>
      <c r="K33" s="218"/>
      <c r="L33" s="236"/>
      <c r="M33" s="314">
        <f t="shared" si="11"/>
        <v>14.317224000541959</v>
      </c>
      <c r="N33" s="218"/>
      <c r="O33" s="218"/>
      <c r="P33" s="380">
        <f t="shared" ref="P33:P37" si="12">J33/N$20/G33-S$19*M33/S$20/G33^2</f>
        <v>-38.869582478557852</v>
      </c>
      <c r="Q33" s="381"/>
      <c r="R33" s="381"/>
      <c r="S33" s="380">
        <f t="shared" ref="S33:S37" si="13">J33/N$20/G33+S$19*M33/S$20/G33^2</f>
        <v>132.93710552794568</v>
      </c>
      <c r="T33" s="381"/>
      <c r="U33" s="382"/>
      <c r="W33" s="380">
        <f>P33/1000</f>
        <v>-3.8869582478557853E-2</v>
      </c>
      <c r="X33" s="381"/>
      <c r="Y33" s="381"/>
      <c r="Z33" s="380">
        <f>S33/1000</f>
        <v>0.13293710552794569</v>
      </c>
      <c r="AA33" s="381"/>
      <c r="AB33" s="382"/>
      <c r="AD33" s="377" t="str">
        <f t="shared" ref="AD33:AD37" si="14">IF(AND(W33&lt;=AE$31,Z33&lt;=AE$31), "OK", "NG")</f>
        <v>OK</v>
      </c>
      <c r="AE33" s="378"/>
      <c r="AF33" s="378"/>
      <c r="AG33" s="377" t="str">
        <f t="shared" ref="AG33:AG37" si="15">IF(AND(W33&gt;=AH$31,Z33&gt;=AH$31), "OK", "NG")</f>
        <v>OK</v>
      </c>
      <c r="AH33" s="378"/>
      <c r="AI33" s="379"/>
    </row>
    <row r="34" spans="4:70" x14ac:dyDescent="0.45">
      <c r="D34" s="314">
        <f t="shared" si="8"/>
        <v>3</v>
      </c>
      <c r="E34" s="218"/>
      <c r="F34" s="218"/>
      <c r="G34" s="314">
        <f t="shared" si="9"/>
        <v>1.1000000000000001</v>
      </c>
      <c r="H34" s="216"/>
      <c r="I34" s="315"/>
      <c r="J34" s="216">
        <f t="shared" si="10"/>
        <v>68.325495752465855</v>
      </c>
      <c r="K34" s="218"/>
      <c r="L34" s="236"/>
      <c r="M34" s="314">
        <f t="shared" si="11"/>
        <v>9.1224198229308797</v>
      </c>
      <c r="N34" s="218"/>
      <c r="O34" s="218"/>
      <c r="P34" s="380">
        <f t="shared" si="12"/>
        <v>16.878947429857156</v>
      </c>
      <c r="Q34" s="381"/>
      <c r="R34" s="381"/>
      <c r="S34" s="380">
        <f t="shared" si="13"/>
        <v>107.3492266655353</v>
      </c>
      <c r="T34" s="381"/>
      <c r="U34" s="382"/>
      <c r="W34" s="380">
        <f t="shared" ref="W34:W37" si="16">P34/1000</f>
        <v>1.6878947429857155E-2</v>
      </c>
      <c r="X34" s="381"/>
      <c r="Y34" s="381"/>
      <c r="Z34" s="380">
        <f t="shared" ref="Z34:Z37" si="17">S34/1000</f>
        <v>0.1073492266655353</v>
      </c>
      <c r="AA34" s="381"/>
      <c r="AB34" s="382"/>
      <c r="AD34" s="377" t="str">
        <f t="shared" si="14"/>
        <v>OK</v>
      </c>
      <c r="AE34" s="378"/>
      <c r="AF34" s="378"/>
      <c r="AG34" s="377" t="str">
        <f t="shared" si="15"/>
        <v>OK</v>
      </c>
      <c r="AH34" s="378"/>
      <c r="AI34" s="379"/>
    </row>
    <row r="35" spans="4:70" x14ac:dyDescent="0.45">
      <c r="D35" s="314">
        <f t="shared" si="8"/>
        <v>4</v>
      </c>
      <c r="E35" s="218"/>
      <c r="F35" s="218"/>
      <c r="G35" s="314">
        <f t="shared" si="9"/>
        <v>1.2</v>
      </c>
      <c r="H35" s="216"/>
      <c r="I35" s="315"/>
      <c r="J35" s="216">
        <f t="shared" si="10"/>
        <v>93.095294566818225</v>
      </c>
      <c r="K35" s="218"/>
      <c r="L35" s="236"/>
      <c r="M35" s="314">
        <f t="shared" si="11"/>
        <v>2.6662593693527725</v>
      </c>
      <c r="N35" s="218"/>
      <c r="O35" s="218"/>
      <c r="P35" s="380">
        <f t="shared" si="12"/>
        <v>66.469998100045302</v>
      </c>
      <c r="Q35" s="381"/>
      <c r="R35" s="381"/>
      <c r="S35" s="380">
        <f t="shared" si="13"/>
        <v>88.688826177985078</v>
      </c>
      <c r="T35" s="381"/>
      <c r="U35" s="382"/>
      <c r="W35" s="380">
        <f t="shared" si="16"/>
        <v>6.6469998100045308E-2</v>
      </c>
      <c r="X35" s="381"/>
      <c r="Y35" s="381"/>
      <c r="Z35" s="380">
        <f t="shared" si="17"/>
        <v>8.8688826177985083E-2</v>
      </c>
      <c r="AA35" s="381"/>
      <c r="AB35" s="382"/>
      <c r="AD35" s="377" t="str">
        <f t="shared" si="14"/>
        <v>OK</v>
      </c>
      <c r="AE35" s="378"/>
      <c r="AF35" s="378"/>
      <c r="AG35" s="377" t="str">
        <f t="shared" si="15"/>
        <v>OK</v>
      </c>
      <c r="AH35" s="378"/>
      <c r="AI35" s="379"/>
    </row>
    <row r="36" spans="4:70" x14ac:dyDescent="0.45">
      <c r="D36" s="314">
        <f t="shared" si="8"/>
        <v>5</v>
      </c>
      <c r="E36" s="218"/>
      <c r="F36" s="218"/>
      <c r="G36" s="314">
        <f t="shared" si="9"/>
        <v>1.2999999999999998</v>
      </c>
      <c r="H36" s="216"/>
      <c r="I36" s="315"/>
      <c r="J36" s="216">
        <f t="shared" si="10"/>
        <v>120.57026601029312</v>
      </c>
      <c r="K36" s="218"/>
      <c r="L36" s="236"/>
      <c r="M36" s="314">
        <f t="shared" si="11"/>
        <v>-3.5648765620133958</v>
      </c>
      <c r="N36" s="218"/>
      <c r="O36" s="218"/>
      <c r="P36" s="380">
        <f t="shared" si="12"/>
        <v>105.40272496181153</v>
      </c>
      <c r="Q36" s="381"/>
      <c r="R36" s="381"/>
      <c r="S36" s="380">
        <f t="shared" si="13"/>
        <v>80.089991977101008</v>
      </c>
      <c r="T36" s="381"/>
      <c r="U36" s="382"/>
      <c r="W36" s="380">
        <f t="shared" si="16"/>
        <v>0.10540272496181152</v>
      </c>
      <c r="X36" s="381"/>
      <c r="Y36" s="381"/>
      <c r="Z36" s="380">
        <f t="shared" si="17"/>
        <v>8.008999197710101E-2</v>
      </c>
      <c r="AA36" s="381"/>
      <c r="AB36" s="382"/>
      <c r="AD36" s="377" t="str">
        <f t="shared" si="14"/>
        <v>OK</v>
      </c>
      <c r="AE36" s="378"/>
      <c r="AF36" s="378"/>
      <c r="AG36" s="377" t="str">
        <f t="shared" si="15"/>
        <v>OK</v>
      </c>
      <c r="AH36" s="378"/>
      <c r="AI36" s="379"/>
    </row>
    <row r="37" spans="4:70" x14ac:dyDescent="0.45">
      <c r="D37" s="312">
        <f t="shared" si="8"/>
        <v>6</v>
      </c>
      <c r="E37" s="225"/>
      <c r="F37" s="225"/>
      <c r="G37" s="312">
        <f t="shared" si="9"/>
        <v>1.4</v>
      </c>
      <c r="H37" s="224"/>
      <c r="I37" s="313"/>
      <c r="J37" s="224">
        <f t="shared" si="10"/>
        <v>150.48517819782066</v>
      </c>
      <c r="K37" s="225"/>
      <c r="L37" s="231"/>
      <c r="M37" s="312">
        <f t="shared" si="11"/>
        <v>-7.3323354761998303</v>
      </c>
      <c r="N37" s="225"/>
      <c r="O37" s="225"/>
      <c r="P37" s="383">
        <f t="shared" si="12"/>
        <v>129.93533792558566</v>
      </c>
      <c r="Q37" s="384"/>
      <c r="R37" s="384"/>
      <c r="S37" s="383">
        <f t="shared" si="13"/>
        <v>85.043488071300985</v>
      </c>
      <c r="T37" s="384"/>
      <c r="U37" s="385"/>
      <c r="W37" s="383">
        <f t="shared" si="16"/>
        <v>0.12993533792558565</v>
      </c>
      <c r="X37" s="384"/>
      <c r="Y37" s="384"/>
      <c r="Z37" s="383">
        <f t="shared" si="17"/>
        <v>8.5043488071300979E-2</v>
      </c>
      <c r="AA37" s="384"/>
      <c r="AB37" s="385"/>
      <c r="AD37" s="386" t="str">
        <f t="shared" si="14"/>
        <v>OK</v>
      </c>
      <c r="AE37" s="387"/>
      <c r="AF37" s="387"/>
      <c r="AG37" s="386" t="str">
        <f t="shared" si="15"/>
        <v>OK</v>
      </c>
      <c r="AH37" s="387"/>
      <c r="AI37" s="388"/>
    </row>
    <row r="38" spans="4:70" x14ac:dyDescent="0.45">
      <c r="AI38">
        <v>28</v>
      </c>
      <c r="BR38">
        <v>29</v>
      </c>
    </row>
  </sheetData>
  <sheetProtection sheet="1" objects="1" scenarios="1"/>
  <mergeCells count="256">
    <mergeCell ref="V13:Z13"/>
    <mergeCell ref="V14:Z14"/>
    <mergeCell ref="V15:Z15"/>
    <mergeCell ref="P7:Z7"/>
    <mergeCell ref="K25:L25"/>
    <mergeCell ref="N25:O25"/>
    <mergeCell ref="AW4:AX4"/>
    <mergeCell ref="AM6:AN6"/>
    <mergeCell ref="AM3:AN4"/>
    <mergeCell ref="AO3:AO4"/>
    <mergeCell ref="AP3:AQ3"/>
    <mergeCell ref="AS3:AS4"/>
    <mergeCell ref="AU3:AV3"/>
    <mergeCell ref="AP4:AQ4"/>
    <mergeCell ref="AT4:AU4"/>
    <mergeCell ref="V8:Z8"/>
    <mergeCell ref="V9:Z9"/>
    <mergeCell ref="V10:Z10"/>
    <mergeCell ref="AU7:AV7"/>
    <mergeCell ref="AX7:AY7"/>
    <mergeCell ref="AN12:AP12"/>
    <mergeCell ref="AQ12:AS12"/>
    <mergeCell ref="AT12:AV12"/>
    <mergeCell ref="AW12:AZ12"/>
    <mergeCell ref="D4:E4"/>
    <mergeCell ref="G4:H4"/>
    <mergeCell ref="K4:L4"/>
    <mergeCell ref="N4:O4"/>
    <mergeCell ref="G5:H5"/>
    <mergeCell ref="K5:L5"/>
    <mergeCell ref="BG10:BI10"/>
    <mergeCell ref="D9:F9"/>
    <mergeCell ref="G9:I9"/>
    <mergeCell ref="J9:L9"/>
    <mergeCell ref="M9:O9"/>
    <mergeCell ref="P9:R9"/>
    <mergeCell ref="S9:U9"/>
    <mergeCell ref="D8:F8"/>
    <mergeCell ref="G8:I8"/>
    <mergeCell ref="J8:L8"/>
    <mergeCell ref="M8:O8"/>
    <mergeCell ref="P8:R8"/>
    <mergeCell ref="S8:U8"/>
    <mergeCell ref="AN10:AP10"/>
    <mergeCell ref="AQ10:AS10"/>
    <mergeCell ref="AT10:AV10"/>
    <mergeCell ref="AW10:AZ10"/>
    <mergeCell ref="BB10:BE10"/>
    <mergeCell ref="D7:F7"/>
    <mergeCell ref="G7:I7"/>
    <mergeCell ref="J7:L7"/>
    <mergeCell ref="M7:O7"/>
    <mergeCell ref="BA7:BB7"/>
    <mergeCell ref="AM7:AN7"/>
    <mergeCell ref="BG11:BI11"/>
    <mergeCell ref="D11:F11"/>
    <mergeCell ref="G11:I11"/>
    <mergeCell ref="J11:L11"/>
    <mergeCell ref="M11:O11"/>
    <mergeCell ref="P11:R11"/>
    <mergeCell ref="S11:U11"/>
    <mergeCell ref="BB12:BE12"/>
    <mergeCell ref="BH12:BI12"/>
    <mergeCell ref="AW11:AZ11"/>
    <mergeCell ref="BB11:BE11"/>
    <mergeCell ref="D10:F10"/>
    <mergeCell ref="G10:I10"/>
    <mergeCell ref="J10:L10"/>
    <mergeCell ref="M10:O10"/>
    <mergeCell ref="P10:R10"/>
    <mergeCell ref="S10:U10"/>
    <mergeCell ref="V11:Z11"/>
    <mergeCell ref="D12:F12"/>
    <mergeCell ref="G12:I12"/>
    <mergeCell ref="J12:L12"/>
    <mergeCell ref="M12:O12"/>
    <mergeCell ref="P12:R12"/>
    <mergeCell ref="S12:U12"/>
    <mergeCell ref="AN11:AP11"/>
    <mergeCell ref="AQ11:AS11"/>
    <mergeCell ref="AT11:AV11"/>
    <mergeCell ref="V12:Z12"/>
    <mergeCell ref="BG13:BI13"/>
    <mergeCell ref="AN13:AP13"/>
    <mergeCell ref="AQ13:AS13"/>
    <mergeCell ref="AT13:AV13"/>
    <mergeCell ref="AW13:AZ13"/>
    <mergeCell ref="BB13:BE13"/>
    <mergeCell ref="BG15:BI15"/>
    <mergeCell ref="AN15:AP15"/>
    <mergeCell ref="AQ15:AS15"/>
    <mergeCell ref="AT15:AV15"/>
    <mergeCell ref="AW15:AZ15"/>
    <mergeCell ref="BB15:BE15"/>
    <mergeCell ref="AN14:AP14"/>
    <mergeCell ref="AQ14:AS14"/>
    <mergeCell ref="AT14:AV14"/>
    <mergeCell ref="AW14:AZ14"/>
    <mergeCell ref="BB14:BE14"/>
    <mergeCell ref="BG14:BI14"/>
    <mergeCell ref="M13:O13"/>
    <mergeCell ref="P13:R13"/>
    <mergeCell ref="S13:U13"/>
    <mergeCell ref="D15:F15"/>
    <mergeCell ref="G15:I15"/>
    <mergeCell ref="J15:L15"/>
    <mergeCell ref="M15:O15"/>
    <mergeCell ref="P15:R15"/>
    <mergeCell ref="S15:U15"/>
    <mergeCell ref="D14:F14"/>
    <mergeCell ref="G14:I14"/>
    <mergeCell ref="J14:L14"/>
    <mergeCell ref="M14:O14"/>
    <mergeCell ref="P14:R14"/>
    <mergeCell ref="S14:U14"/>
    <mergeCell ref="D13:F13"/>
    <mergeCell ref="G13:I13"/>
    <mergeCell ref="J13:L13"/>
    <mergeCell ref="AN16:AP16"/>
    <mergeCell ref="AQ16:AS16"/>
    <mergeCell ref="AN18:AP18"/>
    <mergeCell ref="AQ18:AS18"/>
    <mergeCell ref="AT18:AV18"/>
    <mergeCell ref="AW18:AZ18"/>
    <mergeCell ref="BB18:BE18"/>
    <mergeCell ref="BG18:BI18"/>
    <mergeCell ref="AT16:AV16"/>
    <mergeCell ref="AW16:AZ16"/>
    <mergeCell ref="BB16:BE16"/>
    <mergeCell ref="BG16:BI16"/>
    <mergeCell ref="AN17:AP17"/>
    <mergeCell ref="AQ17:AS17"/>
    <mergeCell ref="AT17:AV17"/>
    <mergeCell ref="AW17:AZ17"/>
    <mergeCell ref="BB17:BE17"/>
    <mergeCell ref="BG17:BI17"/>
    <mergeCell ref="D22:E22"/>
    <mergeCell ref="D23:E23"/>
    <mergeCell ref="K23:L23"/>
    <mergeCell ref="N23:O23"/>
    <mergeCell ref="D24:E24"/>
    <mergeCell ref="N24:O24"/>
    <mergeCell ref="N19:Q19"/>
    <mergeCell ref="R19:R20"/>
    <mergeCell ref="T19:U19"/>
    <mergeCell ref="G20:H20"/>
    <mergeCell ref="J20:K20"/>
    <mergeCell ref="N20:O20"/>
    <mergeCell ref="P20:Q20"/>
    <mergeCell ref="S20:T20"/>
    <mergeCell ref="U20:V20"/>
    <mergeCell ref="D19:E20"/>
    <mergeCell ref="F19:F20"/>
    <mergeCell ref="G19:H19"/>
    <mergeCell ref="I19:I20"/>
    <mergeCell ref="J19:K19"/>
    <mergeCell ref="M19:M20"/>
    <mergeCell ref="Q23:R23"/>
    <mergeCell ref="V27:Y27"/>
    <mergeCell ref="D29:F29"/>
    <mergeCell ref="G29:I29"/>
    <mergeCell ref="J29:L29"/>
    <mergeCell ref="M29:O29"/>
    <mergeCell ref="P29:U29"/>
    <mergeCell ref="W29:AB29"/>
    <mergeCell ref="Q24:R24"/>
    <mergeCell ref="T24:U24"/>
    <mergeCell ref="W24:X24"/>
    <mergeCell ref="Y24:Z24"/>
    <mergeCell ref="D25:E25"/>
    <mergeCell ref="D26:E26"/>
    <mergeCell ref="S26:T27"/>
    <mergeCell ref="U26:U27"/>
    <mergeCell ref="V26:W26"/>
    <mergeCell ref="X26:Y26"/>
    <mergeCell ref="AD29:AI29"/>
    <mergeCell ref="D30:F30"/>
    <mergeCell ref="G30:I30"/>
    <mergeCell ref="J30:L30"/>
    <mergeCell ref="M30:O30"/>
    <mergeCell ref="P30:R30"/>
    <mergeCell ref="S30:U30"/>
    <mergeCell ref="W30:Y30"/>
    <mergeCell ref="Z30:AB30"/>
    <mergeCell ref="AD30:AF30"/>
    <mergeCell ref="AG30:AI30"/>
    <mergeCell ref="AH31:AI31"/>
    <mergeCell ref="D32:F32"/>
    <mergeCell ref="G32:I32"/>
    <mergeCell ref="J32:L32"/>
    <mergeCell ref="M32:O32"/>
    <mergeCell ref="P32:R32"/>
    <mergeCell ref="S32:U32"/>
    <mergeCell ref="W32:Y32"/>
    <mergeCell ref="Z32:AB32"/>
    <mergeCell ref="AD32:AF32"/>
    <mergeCell ref="AG32:AI32"/>
    <mergeCell ref="D31:F31"/>
    <mergeCell ref="G31:I31"/>
    <mergeCell ref="J31:L31"/>
    <mergeCell ref="M31:O31"/>
    <mergeCell ref="P31:R31"/>
    <mergeCell ref="S31:U31"/>
    <mergeCell ref="W31:Y31"/>
    <mergeCell ref="Z31:AB31"/>
    <mergeCell ref="AE31:AF31"/>
    <mergeCell ref="AG33:AI33"/>
    <mergeCell ref="D34:F34"/>
    <mergeCell ref="G34:I34"/>
    <mergeCell ref="J34:L34"/>
    <mergeCell ref="M34:O34"/>
    <mergeCell ref="P34:R34"/>
    <mergeCell ref="S34:U34"/>
    <mergeCell ref="W34:Y34"/>
    <mergeCell ref="Z34:AB34"/>
    <mergeCell ref="AD34:AF34"/>
    <mergeCell ref="AG34:AI34"/>
    <mergeCell ref="D33:F33"/>
    <mergeCell ref="G33:I33"/>
    <mergeCell ref="J33:L33"/>
    <mergeCell ref="M33:O33"/>
    <mergeCell ref="P33:R33"/>
    <mergeCell ref="S33:U33"/>
    <mergeCell ref="W33:Y33"/>
    <mergeCell ref="Z33:AB33"/>
    <mergeCell ref="AD33:AF33"/>
    <mergeCell ref="AG37:AI37"/>
    <mergeCell ref="AG36:AI36"/>
    <mergeCell ref="D37:F37"/>
    <mergeCell ref="G37:I37"/>
    <mergeCell ref="J37:L37"/>
    <mergeCell ref="M37:O37"/>
    <mergeCell ref="P37:R37"/>
    <mergeCell ref="S37:U37"/>
    <mergeCell ref="W37:Y37"/>
    <mergeCell ref="Z37:AB37"/>
    <mergeCell ref="AD37:AF37"/>
    <mergeCell ref="AG35:AI35"/>
    <mergeCell ref="D36:F36"/>
    <mergeCell ref="G36:I36"/>
    <mergeCell ref="J36:L36"/>
    <mergeCell ref="M36:O36"/>
    <mergeCell ref="P36:R36"/>
    <mergeCell ref="S36:U36"/>
    <mergeCell ref="W36:Y36"/>
    <mergeCell ref="Z36:AB36"/>
    <mergeCell ref="AD36:AF36"/>
    <mergeCell ref="D35:F35"/>
    <mergeCell ref="G35:I35"/>
    <mergeCell ref="J35:L35"/>
    <mergeCell ref="M35:O35"/>
    <mergeCell ref="P35:R35"/>
    <mergeCell ref="S35:U35"/>
    <mergeCell ref="W35:Y35"/>
    <mergeCell ref="Z35:AB35"/>
    <mergeCell ref="AD35:AF35"/>
  </mergeCells>
  <phoneticPr fontId="1"/>
  <conditionalFormatting sqref="AD32:AD37">
    <cfRule type="cellIs" dxfId="2" priority="3" operator="equal">
      <formula>"NG"</formula>
    </cfRule>
  </conditionalFormatting>
  <conditionalFormatting sqref="AG32:AG37">
    <cfRule type="cellIs" dxfId="1" priority="2" operator="equal">
      <formula>"NG"</formula>
    </cfRule>
  </conditionalFormatting>
  <conditionalFormatting sqref="BG13:BG18">
    <cfRule type="cellIs" dxfId="0" priority="1" operator="equal">
      <formula>"NG"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7C9CF-3071-4036-8A45-03514AF22043}">
  <dimension ref="A1:BR38"/>
  <sheetViews>
    <sheetView showGridLines="0" view="pageBreakPreview" zoomScale="70" zoomScaleNormal="65" zoomScaleSheetLayoutView="70" workbookViewId="0">
      <selection activeCell="A2" sqref="A2"/>
    </sheetView>
  </sheetViews>
  <sheetFormatPr defaultRowHeight="18" x14ac:dyDescent="0.45"/>
  <cols>
    <col min="1" max="70" width="3" customWidth="1"/>
  </cols>
  <sheetData>
    <row r="1" spans="1:70" x14ac:dyDescent="0.45">
      <c r="A1" t="s">
        <v>446</v>
      </c>
    </row>
    <row r="2" spans="1:70" x14ac:dyDescent="0.45">
      <c r="B2" t="s">
        <v>198</v>
      </c>
      <c r="AJ2" s="47"/>
      <c r="AK2" s="3" t="s">
        <v>199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1:70" x14ac:dyDescent="0.45">
      <c r="C3" t="s">
        <v>50</v>
      </c>
      <c r="AJ3" s="3"/>
      <c r="AK3" s="3"/>
      <c r="AL3" s="3" t="s">
        <v>221</v>
      </c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70" x14ac:dyDescent="0.45">
      <c r="C4" t="s">
        <v>215</v>
      </c>
      <c r="AJ4" s="3"/>
      <c r="AK4" s="47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 spans="1:70" x14ac:dyDescent="0.45">
      <c r="AJ5" s="3"/>
      <c r="AK5" s="47"/>
      <c r="AL5" s="3" t="s">
        <v>477</v>
      </c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45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2"/>
      <c r="BR5" s="3"/>
    </row>
    <row r="6" spans="1:70" x14ac:dyDescent="0.45">
      <c r="AJ6" s="3"/>
      <c r="AK6" s="3"/>
      <c r="AM6" s="3" t="s">
        <v>219</v>
      </c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46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53"/>
      <c r="BR6" s="3"/>
    </row>
    <row r="7" spans="1:70" x14ac:dyDescent="0.45">
      <c r="V7" t="s">
        <v>2</v>
      </c>
      <c r="AC7" s="2" t="s">
        <v>40</v>
      </c>
      <c r="AE7" t="s">
        <v>3</v>
      </c>
      <c r="AF7" s="216">
        <f>'1.条件'!T6</f>
        <v>6</v>
      </c>
      <c r="AG7" s="216"/>
      <c r="AH7" s="216"/>
      <c r="AI7" s="1" t="s">
        <v>4</v>
      </c>
      <c r="AJ7" s="3"/>
      <c r="AK7" s="3"/>
      <c r="AL7" s="3"/>
      <c r="AM7" t="s">
        <v>220</v>
      </c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46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53"/>
      <c r="BR7" s="3"/>
    </row>
    <row r="8" spans="1:70" x14ac:dyDescent="0.45">
      <c r="V8" t="s">
        <v>6</v>
      </c>
      <c r="AC8" s="2" t="s">
        <v>42</v>
      </c>
      <c r="AE8" t="s">
        <v>3</v>
      </c>
      <c r="AF8" s="216">
        <f>'1.条件'!T7</f>
        <v>0.8</v>
      </c>
      <c r="AG8" s="216"/>
      <c r="AH8" s="216"/>
      <c r="AI8" s="1" t="s">
        <v>4</v>
      </c>
      <c r="AJ8" s="3"/>
      <c r="AK8" s="3"/>
      <c r="AL8" s="3"/>
      <c r="AM8" s="3"/>
      <c r="AN8" s="220" t="s">
        <v>401</v>
      </c>
      <c r="AO8" s="220"/>
      <c r="AP8" s="219" t="s">
        <v>3</v>
      </c>
      <c r="AQ8" s="223" t="s">
        <v>398</v>
      </c>
      <c r="AR8" s="223"/>
      <c r="AS8" s="3"/>
      <c r="AT8" s="219" t="s">
        <v>3</v>
      </c>
      <c r="AU8" s="225">
        <f>'1.条件'!BH4</f>
        <v>30</v>
      </c>
      <c r="AV8" s="225"/>
      <c r="AW8" s="3"/>
      <c r="AX8" s="3"/>
      <c r="AY8" s="3"/>
      <c r="AZ8" s="3"/>
      <c r="BA8" s="3"/>
      <c r="BB8" s="3"/>
      <c r="BC8" s="3"/>
      <c r="BD8" s="3"/>
      <c r="BE8" s="46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53"/>
      <c r="BR8" s="3"/>
    </row>
    <row r="9" spans="1:70" x14ac:dyDescent="0.45">
      <c r="V9" t="s">
        <v>5</v>
      </c>
      <c r="AC9" s="2" t="s">
        <v>41</v>
      </c>
      <c r="AE9" t="s">
        <v>3</v>
      </c>
      <c r="AF9" s="216">
        <f>'1.条件'!T8</f>
        <v>1.4</v>
      </c>
      <c r="AG9" s="216"/>
      <c r="AH9" s="216"/>
      <c r="AI9" s="1" t="s">
        <v>4</v>
      </c>
      <c r="AJ9" s="3"/>
      <c r="AK9" s="3"/>
      <c r="AL9" s="3"/>
      <c r="AM9" s="3"/>
      <c r="AN9" s="220"/>
      <c r="AO9" s="220"/>
      <c r="AP9" s="219"/>
      <c r="AQ9" s="220" t="s">
        <v>197</v>
      </c>
      <c r="AR9" s="220"/>
      <c r="AS9" s="3"/>
      <c r="AT9" s="219"/>
      <c r="AU9" s="217">
        <f>'1.条件'!T11</f>
        <v>10</v>
      </c>
      <c r="AV9" s="218"/>
      <c r="AW9" s="3"/>
      <c r="AX9" s="3"/>
      <c r="AY9" s="3"/>
      <c r="AZ9" s="3"/>
      <c r="BA9" s="3"/>
      <c r="BB9" s="3"/>
      <c r="BC9" s="3"/>
      <c r="BD9" s="3"/>
      <c r="BE9" s="46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53"/>
      <c r="BR9" s="3"/>
    </row>
    <row r="10" spans="1:70" x14ac:dyDescent="0.45">
      <c r="V10" t="s">
        <v>7</v>
      </c>
      <c r="AA10" s="1">
        <v>1</v>
      </c>
      <c r="AB10" t="s">
        <v>9</v>
      </c>
      <c r="AC10" s="2" t="s">
        <v>406</v>
      </c>
      <c r="AF10" s="216">
        <f>'1.条件'!T9</f>
        <v>0.5</v>
      </c>
      <c r="AG10" s="216"/>
      <c r="AH10" s="216"/>
      <c r="AI10" s="1"/>
      <c r="AJ10" s="3"/>
      <c r="AK10" s="3"/>
      <c r="AL10" s="3"/>
      <c r="AM10" s="3"/>
      <c r="AN10" s="3"/>
      <c r="AO10" s="3"/>
      <c r="AP10" s="28" t="s">
        <v>188</v>
      </c>
      <c r="AQ10" s="239">
        <f>AU8/AU9</f>
        <v>3</v>
      </c>
      <c r="AR10" s="239"/>
      <c r="AS10" s="1" t="s">
        <v>63</v>
      </c>
      <c r="AT10" s="26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46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53"/>
      <c r="BR10" s="3"/>
    </row>
    <row r="11" spans="1:70" x14ac:dyDescent="0.45">
      <c r="V11" t="s">
        <v>10</v>
      </c>
      <c r="AA11" s="1">
        <v>1</v>
      </c>
      <c r="AB11" t="s">
        <v>9</v>
      </c>
      <c r="AC11" s="2" t="s">
        <v>407</v>
      </c>
      <c r="AF11" s="216">
        <f>'1.条件'!T10</f>
        <v>0.4</v>
      </c>
      <c r="AG11" s="216"/>
      <c r="AH11" s="216"/>
      <c r="AI11" s="1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46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53"/>
      <c r="BR11" s="3"/>
    </row>
    <row r="12" spans="1:70" x14ac:dyDescent="0.45">
      <c r="AC12" s="18"/>
      <c r="AF12" s="238"/>
      <c r="AG12" s="238"/>
      <c r="AH12" s="238"/>
      <c r="AI12" s="1"/>
      <c r="AJ12" s="3"/>
      <c r="AK12" s="3"/>
      <c r="AL12" s="3"/>
      <c r="AM12" s="3"/>
      <c r="AN12" s="3" t="s">
        <v>200</v>
      </c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46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53"/>
      <c r="BR12" s="3"/>
    </row>
    <row r="13" spans="1:70" x14ac:dyDescent="0.45">
      <c r="AC13" s="2" t="s">
        <v>408</v>
      </c>
      <c r="AE13" t="s">
        <v>3</v>
      </c>
      <c r="AF13" s="216">
        <f>AF7*AF10</f>
        <v>3</v>
      </c>
      <c r="AG13" s="216"/>
      <c r="AH13" s="216"/>
      <c r="AI13" s="1" t="s">
        <v>4</v>
      </c>
      <c r="AJ13" s="3"/>
      <c r="AK13" s="3"/>
      <c r="AL13" s="3"/>
      <c r="AM13" s="3"/>
      <c r="AN13" s="220" t="s">
        <v>401</v>
      </c>
      <c r="AO13" s="220"/>
      <c r="AP13" s="3" t="s">
        <v>493</v>
      </c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46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53"/>
      <c r="BR13" s="3"/>
    </row>
    <row r="14" spans="1:70" x14ac:dyDescent="0.45">
      <c r="AC14" s="2" t="s">
        <v>56</v>
      </c>
      <c r="AE14" t="s">
        <v>3</v>
      </c>
      <c r="AF14" s="216">
        <f>AF9+AF15</f>
        <v>3.8000000000000003</v>
      </c>
      <c r="AG14" s="216"/>
      <c r="AH14" s="216"/>
      <c r="AI14" s="1" t="s">
        <v>4</v>
      </c>
      <c r="AJ14" s="3"/>
      <c r="AK14" s="3"/>
      <c r="AL14" s="3"/>
      <c r="AM14" s="3"/>
      <c r="AN14" s="220" t="s">
        <v>398</v>
      </c>
      <c r="AO14" s="220"/>
      <c r="AP14" s="3" t="s">
        <v>494</v>
      </c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46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53"/>
      <c r="BR14" s="3"/>
    </row>
    <row r="15" spans="1:70" x14ac:dyDescent="0.45">
      <c r="AC15" s="2" t="s">
        <v>409</v>
      </c>
      <c r="AE15" t="s">
        <v>3</v>
      </c>
      <c r="AF15" s="216">
        <f>AF7*AF11</f>
        <v>2.4000000000000004</v>
      </c>
      <c r="AG15" s="216"/>
      <c r="AH15" s="216"/>
      <c r="AI15" s="1" t="s">
        <v>4</v>
      </c>
      <c r="AJ15" s="3"/>
      <c r="AK15" s="3"/>
      <c r="AL15" s="3"/>
      <c r="AM15" s="3"/>
      <c r="AN15" s="220" t="s">
        <v>197</v>
      </c>
      <c r="AO15" s="220"/>
      <c r="AP15" s="3" t="s">
        <v>495</v>
      </c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46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53"/>
      <c r="BR15" s="3"/>
    </row>
    <row r="16" spans="1:70" x14ac:dyDescent="0.45">
      <c r="AC16" s="2"/>
      <c r="AF16" s="216"/>
      <c r="AG16" s="216"/>
      <c r="AH16" s="216"/>
      <c r="AI16" s="1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46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53"/>
      <c r="BR16" s="3"/>
    </row>
    <row r="17" spans="3:70" x14ac:dyDescent="0.45">
      <c r="AC17" s="2"/>
      <c r="AF17" s="216"/>
      <c r="AG17" s="216"/>
      <c r="AH17" s="216"/>
      <c r="AI17" s="1"/>
      <c r="AK17" s="3"/>
      <c r="AL17" s="3"/>
      <c r="AM17" s="3" t="s">
        <v>201</v>
      </c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46"/>
      <c r="BQ17" s="6"/>
    </row>
    <row r="18" spans="3:70" x14ac:dyDescent="0.45">
      <c r="AC18" s="2"/>
      <c r="AF18" s="216"/>
      <c r="AG18" s="216"/>
      <c r="AH18" s="216"/>
      <c r="AI18" s="1"/>
      <c r="AL18" s="3"/>
      <c r="AM18" s="3"/>
      <c r="AN18" s="220" t="s">
        <v>402</v>
      </c>
      <c r="AO18" s="220"/>
      <c r="AP18" s="28" t="s">
        <v>188</v>
      </c>
      <c r="AQ18" s="220" t="s">
        <v>40</v>
      </c>
      <c r="AR18" s="220"/>
      <c r="AS18" s="220"/>
      <c r="AT18" s="3" t="s">
        <v>202</v>
      </c>
      <c r="AU18" s="220" t="s">
        <v>403</v>
      </c>
      <c r="AV18" s="220"/>
      <c r="AW18" s="220"/>
      <c r="AX18" s="3"/>
      <c r="AY18" s="3"/>
      <c r="AZ18" s="3"/>
      <c r="BA18" s="3"/>
      <c r="BB18" s="3"/>
      <c r="BC18" s="3"/>
      <c r="BD18" s="3"/>
      <c r="BE18" s="46"/>
      <c r="BQ18" s="6"/>
    </row>
    <row r="19" spans="3:70" x14ac:dyDescent="0.45">
      <c r="AC19" s="2"/>
      <c r="AF19" s="23"/>
      <c r="AG19" s="23"/>
      <c r="AH19" s="23"/>
      <c r="AJ19" s="3"/>
      <c r="AM19" s="3"/>
      <c r="AN19" s="3"/>
      <c r="AO19" s="3"/>
      <c r="AP19" s="28" t="s">
        <v>188</v>
      </c>
      <c r="AQ19" s="213">
        <f>'1.条件'!T6</f>
        <v>6</v>
      </c>
      <c r="AR19" s="213"/>
      <c r="AS19" s="213"/>
      <c r="AT19" s="3" t="s">
        <v>202</v>
      </c>
      <c r="AU19" s="213">
        <f>'1.条件'!BH5</f>
        <v>0.6</v>
      </c>
      <c r="AV19" s="213"/>
      <c r="AW19" s="213"/>
      <c r="AX19" s="3"/>
      <c r="AY19" s="3"/>
      <c r="AZ19" s="3"/>
      <c r="BA19" s="3"/>
      <c r="BB19" s="3"/>
      <c r="BC19" s="3"/>
      <c r="BD19" s="3"/>
      <c r="BE19" s="5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53"/>
      <c r="BR19" s="3"/>
    </row>
    <row r="20" spans="3:70" x14ac:dyDescent="0.45">
      <c r="AC20" s="2"/>
      <c r="AF20" s="23"/>
      <c r="AG20" s="23"/>
      <c r="AH20" s="23"/>
      <c r="AJ20" s="3"/>
      <c r="AK20" s="47"/>
      <c r="AP20" s="28" t="s">
        <v>188</v>
      </c>
      <c r="AQ20" s="213">
        <f>AQ19+AU19</f>
        <v>6.6</v>
      </c>
      <c r="AR20" s="213"/>
      <c r="AS20" s="213"/>
      <c r="AT20" s="1" t="s">
        <v>111</v>
      </c>
      <c r="BE20" s="7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54"/>
      <c r="BR20" s="3"/>
    </row>
    <row r="21" spans="3:70" x14ac:dyDescent="0.45">
      <c r="C21" t="s">
        <v>386</v>
      </c>
      <c r="AC21" s="2"/>
      <c r="AF21" s="23"/>
      <c r="AG21" s="23"/>
      <c r="AJ21" s="3"/>
      <c r="AK21" s="47"/>
      <c r="AN21" s="28"/>
      <c r="AO21" s="48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 spans="3:70" x14ac:dyDescent="0.45">
      <c r="AJ22" s="3"/>
      <c r="AK22" s="3"/>
      <c r="AL22" s="3" t="s">
        <v>478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45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2"/>
      <c r="BR22" s="3"/>
    </row>
    <row r="23" spans="3:70" x14ac:dyDescent="0.45">
      <c r="D23" s="232" t="s">
        <v>43</v>
      </c>
      <c r="E23" s="234"/>
      <c r="F23" s="232" t="s">
        <v>47</v>
      </c>
      <c r="G23" s="233"/>
      <c r="H23" s="234"/>
      <c r="I23" s="232" t="s">
        <v>48</v>
      </c>
      <c r="J23" s="233"/>
      <c r="K23" s="234"/>
      <c r="L23" s="232" t="s">
        <v>49</v>
      </c>
      <c r="M23" s="233"/>
      <c r="N23" s="234"/>
      <c r="O23" s="232" t="s">
        <v>418</v>
      </c>
      <c r="P23" s="233"/>
      <c r="Q23" s="233"/>
      <c r="R23" s="233"/>
      <c r="S23" s="233"/>
      <c r="T23" s="234"/>
      <c r="U23" s="232" t="s">
        <v>393</v>
      </c>
      <c r="V23" s="233"/>
      <c r="W23" s="233"/>
      <c r="X23" s="233"/>
      <c r="Y23" s="233"/>
      <c r="Z23" s="233"/>
      <c r="AA23" s="234"/>
      <c r="AJ23" s="3"/>
      <c r="AK23" s="3"/>
      <c r="AL23" s="3"/>
      <c r="AM23" s="3" t="s">
        <v>217</v>
      </c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46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53"/>
      <c r="BR23" s="3"/>
    </row>
    <row r="24" spans="3:70" x14ac:dyDescent="0.45">
      <c r="D24" s="5"/>
      <c r="E24" s="6"/>
      <c r="F24" s="235"/>
      <c r="G24" s="218"/>
      <c r="H24" s="236"/>
      <c r="I24" s="235"/>
      <c r="J24" s="218"/>
      <c r="K24" s="236"/>
      <c r="L24" s="235" t="s">
        <v>51</v>
      </c>
      <c r="M24" s="218"/>
      <c r="N24" s="236"/>
      <c r="O24" s="235" t="s">
        <v>54</v>
      </c>
      <c r="P24" s="220"/>
      <c r="Q24" s="220"/>
      <c r="R24" s="220"/>
      <c r="S24" s="220"/>
      <c r="T24" s="237"/>
      <c r="U24" s="235" t="s">
        <v>57</v>
      </c>
      <c r="V24" s="220"/>
      <c r="W24" s="220"/>
      <c r="X24" s="220"/>
      <c r="Y24" s="220"/>
      <c r="Z24" s="220"/>
      <c r="AA24" s="237"/>
      <c r="AJ24" s="3"/>
      <c r="AK24" s="3"/>
      <c r="AL24" s="3"/>
      <c r="AM24" t="s">
        <v>218</v>
      </c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46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53"/>
      <c r="BR24" s="3"/>
    </row>
    <row r="25" spans="3:70" x14ac:dyDescent="0.45">
      <c r="D25" s="7"/>
      <c r="E25" s="8"/>
      <c r="F25" s="230" t="s">
        <v>53</v>
      </c>
      <c r="G25" s="225"/>
      <c r="H25" s="231"/>
      <c r="I25" s="230" t="s">
        <v>53</v>
      </c>
      <c r="J25" s="225"/>
      <c r="K25" s="231"/>
      <c r="L25" s="230" t="s">
        <v>52</v>
      </c>
      <c r="M25" s="225"/>
      <c r="N25" s="231"/>
      <c r="O25" s="230" t="s">
        <v>53</v>
      </c>
      <c r="P25" s="225"/>
      <c r="Q25" s="225"/>
      <c r="R25" s="225"/>
      <c r="S25" s="225"/>
      <c r="T25" s="231"/>
      <c r="U25" s="230" t="s">
        <v>58</v>
      </c>
      <c r="V25" s="225"/>
      <c r="W25" s="225"/>
      <c r="X25" s="225"/>
      <c r="Y25" s="225"/>
      <c r="Z25" s="225"/>
      <c r="AA25" s="231"/>
      <c r="AJ25" s="3"/>
      <c r="AK25" s="3"/>
      <c r="AL25" s="3"/>
      <c r="AM25" s="3"/>
      <c r="AN25" s="220" t="s">
        <v>404</v>
      </c>
      <c r="AO25" s="220"/>
      <c r="AP25" s="219" t="s">
        <v>3</v>
      </c>
      <c r="AQ25" s="241" t="s">
        <v>400</v>
      </c>
      <c r="AR25" s="241"/>
      <c r="AS25" s="3"/>
      <c r="AT25" s="219" t="s">
        <v>3</v>
      </c>
      <c r="AU25" s="225">
        <f>'1.条件'!BH6</f>
        <v>25</v>
      </c>
      <c r="AV25" s="225"/>
      <c r="AW25" s="3"/>
      <c r="AX25" s="3"/>
      <c r="AY25" s="3"/>
      <c r="AZ25" s="3"/>
      <c r="BA25" s="3"/>
      <c r="BB25" s="3"/>
      <c r="BC25" s="3"/>
      <c r="BD25" s="3"/>
      <c r="BE25" s="46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53"/>
      <c r="BR25" s="3"/>
    </row>
    <row r="26" spans="3:70" x14ac:dyDescent="0.45">
      <c r="D26" s="228" t="s">
        <v>44</v>
      </c>
      <c r="E26" s="228"/>
      <c r="F26" s="214">
        <f>AF14</f>
        <v>3.8000000000000003</v>
      </c>
      <c r="G26" s="215"/>
      <c r="H26" s="215"/>
      <c r="I26" s="214">
        <f>AF7</f>
        <v>6</v>
      </c>
      <c r="J26" s="215"/>
      <c r="K26" s="215"/>
      <c r="L26" s="214">
        <f>F26*I26</f>
        <v>22.8</v>
      </c>
      <c r="M26" s="215"/>
      <c r="N26" s="215"/>
      <c r="O26" s="214">
        <f>AF14/2</f>
        <v>1.9000000000000001</v>
      </c>
      <c r="P26" s="214"/>
      <c r="Q26" s="214"/>
      <c r="R26" s="214"/>
      <c r="S26" s="214"/>
      <c r="T26" s="214"/>
      <c r="U26" s="214">
        <f>L26*O26</f>
        <v>43.320000000000007</v>
      </c>
      <c r="V26" s="214"/>
      <c r="W26" s="214"/>
      <c r="X26" s="214"/>
      <c r="Y26" s="214"/>
      <c r="Z26" s="214"/>
      <c r="AA26" s="214"/>
      <c r="AJ26" s="3"/>
      <c r="AK26" s="3"/>
      <c r="AL26" s="3"/>
      <c r="AM26" s="3"/>
      <c r="AN26" s="220"/>
      <c r="AO26" s="220"/>
      <c r="AP26" s="219"/>
      <c r="AQ26" s="220" t="s">
        <v>197</v>
      </c>
      <c r="AR26" s="220"/>
      <c r="AS26" s="3"/>
      <c r="AT26" s="219"/>
      <c r="AU26" s="217">
        <f>'1.条件'!T11</f>
        <v>10</v>
      </c>
      <c r="AV26" s="218"/>
      <c r="AW26" s="3"/>
      <c r="AX26" s="3"/>
      <c r="AY26" s="3"/>
      <c r="AZ26" s="3"/>
      <c r="BA26" s="3"/>
      <c r="BB26" s="3"/>
      <c r="BC26" s="3"/>
      <c r="BD26" s="3"/>
      <c r="BE26" s="46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53"/>
      <c r="BR26" s="3"/>
    </row>
    <row r="27" spans="3:70" x14ac:dyDescent="0.45">
      <c r="D27" s="228" t="s">
        <v>45</v>
      </c>
      <c r="E27" s="228"/>
      <c r="F27" s="214">
        <f>AF13</f>
        <v>3</v>
      </c>
      <c r="G27" s="215"/>
      <c r="H27" s="215"/>
      <c r="I27" s="214">
        <f>AF7</f>
        <v>6</v>
      </c>
      <c r="J27" s="215"/>
      <c r="K27" s="215"/>
      <c r="L27" s="214">
        <f>-F27*I27/2</f>
        <v>-9</v>
      </c>
      <c r="M27" s="215"/>
      <c r="N27" s="215"/>
      <c r="O27" s="214">
        <f>AF13/3</f>
        <v>1</v>
      </c>
      <c r="P27" s="214"/>
      <c r="Q27" s="214"/>
      <c r="R27" s="214"/>
      <c r="S27" s="214"/>
      <c r="T27" s="214"/>
      <c r="U27" s="214">
        <f>L27*O27</f>
        <v>-9</v>
      </c>
      <c r="V27" s="214"/>
      <c r="W27" s="214"/>
      <c r="X27" s="214"/>
      <c r="Y27" s="214"/>
      <c r="Z27" s="214"/>
      <c r="AA27" s="214"/>
      <c r="AJ27" s="3"/>
      <c r="AK27" s="3"/>
      <c r="AL27" s="3"/>
      <c r="AM27" s="3"/>
      <c r="AN27" s="3"/>
      <c r="AO27" s="3"/>
      <c r="AP27" s="28" t="s">
        <v>188</v>
      </c>
      <c r="AQ27" s="240">
        <f>AU25/AU26</f>
        <v>2.5</v>
      </c>
      <c r="AR27" s="240"/>
      <c r="AS27" s="240"/>
      <c r="AT27" s="1" t="s">
        <v>63</v>
      </c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46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53"/>
      <c r="BR27" s="3"/>
    </row>
    <row r="28" spans="3:70" x14ac:dyDescent="0.45">
      <c r="D28" s="228" t="s">
        <v>55</v>
      </c>
      <c r="E28" s="228"/>
      <c r="F28" s="214">
        <f>AF15</f>
        <v>2.4000000000000004</v>
      </c>
      <c r="G28" s="215"/>
      <c r="H28" s="215"/>
      <c r="I28" s="214">
        <f>AF7</f>
        <v>6</v>
      </c>
      <c r="J28" s="215"/>
      <c r="K28" s="215"/>
      <c r="L28" s="214">
        <f>-F28*I28/2</f>
        <v>-7.2000000000000011</v>
      </c>
      <c r="M28" s="215"/>
      <c r="N28" s="215"/>
      <c r="O28" s="214">
        <f>AF9+AF15*2/3</f>
        <v>3</v>
      </c>
      <c r="P28" s="214"/>
      <c r="Q28" s="214"/>
      <c r="R28" s="214"/>
      <c r="S28" s="214"/>
      <c r="T28" s="214"/>
      <c r="U28" s="214">
        <f>L28*O28</f>
        <v>-21.6</v>
      </c>
      <c r="V28" s="214"/>
      <c r="W28" s="214"/>
      <c r="X28" s="214"/>
      <c r="Y28" s="214"/>
      <c r="Z28" s="214"/>
      <c r="AA28" s="214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46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53"/>
      <c r="BR28" s="3"/>
    </row>
    <row r="29" spans="3:70" x14ac:dyDescent="0.45">
      <c r="D29" s="229" t="s">
        <v>46</v>
      </c>
      <c r="E29" s="229"/>
      <c r="F29" s="215"/>
      <c r="G29" s="215"/>
      <c r="H29" s="215"/>
      <c r="I29" s="215"/>
      <c r="J29" s="215"/>
      <c r="K29" s="215"/>
      <c r="L29" s="214">
        <f>SUM(L26:N28)</f>
        <v>6.6</v>
      </c>
      <c r="M29" s="215"/>
      <c r="N29" s="215"/>
      <c r="O29" s="215"/>
      <c r="P29" s="215"/>
      <c r="Q29" s="215"/>
      <c r="R29" s="215"/>
      <c r="S29" s="215"/>
      <c r="T29" s="215"/>
      <c r="U29" s="214">
        <f>SUM(U26:W28)</f>
        <v>12.720000000000006</v>
      </c>
      <c r="V29" s="214"/>
      <c r="W29" s="214"/>
      <c r="X29" s="214"/>
      <c r="Y29" s="214"/>
      <c r="Z29" s="214"/>
      <c r="AA29" s="214"/>
      <c r="AJ29" s="3"/>
      <c r="AK29" s="3"/>
      <c r="AL29" s="3"/>
      <c r="AM29" s="3"/>
      <c r="AN29" s="3" t="s">
        <v>200</v>
      </c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46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53"/>
      <c r="BR29" s="3"/>
    </row>
    <row r="30" spans="3:70" x14ac:dyDescent="0.45">
      <c r="AJ30" s="3"/>
      <c r="AK30" s="3"/>
      <c r="AL30" s="3"/>
      <c r="AM30" s="3"/>
      <c r="AN30" s="220" t="s">
        <v>404</v>
      </c>
      <c r="AO30" s="220"/>
      <c r="AP30" s="3" t="s">
        <v>496</v>
      </c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46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53"/>
      <c r="BR30" s="3"/>
    </row>
    <row r="31" spans="3:70" x14ac:dyDescent="0.45">
      <c r="C31" t="s">
        <v>216</v>
      </c>
      <c r="AJ31" s="3"/>
      <c r="AK31" s="3"/>
      <c r="AL31" s="3"/>
      <c r="AM31" s="3"/>
      <c r="AN31" s="221" t="s">
        <v>400</v>
      </c>
      <c r="AO31" s="221"/>
      <c r="AP31" s="3" t="s">
        <v>497</v>
      </c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46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53"/>
      <c r="BR31" s="3"/>
    </row>
    <row r="32" spans="3:70" x14ac:dyDescent="0.45">
      <c r="C32" s="220" t="s">
        <v>59</v>
      </c>
      <c r="D32" s="220"/>
      <c r="E32" s="219" t="s">
        <v>3</v>
      </c>
      <c r="F32" s="19" t="s">
        <v>46</v>
      </c>
      <c r="G32" s="223" t="s">
        <v>57</v>
      </c>
      <c r="H32" s="223"/>
      <c r="J32" s="219" t="s">
        <v>3</v>
      </c>
      <c r="K32" s="224">
        <f>U29</f>
        <v>12.720000000000006</v>
      </c>
      <c r="L32" s="225"/>
      <c r="M32" s="225"/>
      <c r="O32" s="219" t="s">
        <v>3</v>
      </c>
      <c r="P32" s="216">
        <f>K32/K33</f>
        <v>1.9272727272727284</v>
      </c>
      <c r="Q32" s="216"/>
      <c r="R32" s="216"/>
      <c r="AJ32" s="3"/>
      <c r="AK32" s="3"/>
      <c r="AL32" s="3"/>
      <c r="AM32" s="3"/>
      <c r="AN32" s="220" t="s">
        <v>197</v>
      </c>
      <c r="AO32" s="220"/>
      <c r="AP32" s="3" t="s">
        <v>495</v>
      </c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46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53"/>
      <c r="BR32" s="3"/>
    </row>
    <row r="33" spans="3:70" x14ac:dyDescent="0.45">
      <c r="C33" s="220"/>
      <c r="D33" s="220"/>
      <c r="E33" s="219"/>
      <c r="F33" s="18" t="s">
        <v>46</v>
      </c>
      <c r="G33" s="2" t="s">
        <v>51</v>
      </c>
      <c r="J33" s="219"/>
      <c r="K33" s="226">
        <f>L29</f>
        <v>6.6</v>
      </c>
      <c r="L33" s="227"/>
      <c r="M33" s="227"/>
      <c r="O33" s="219"/>
      <c r="P33" s="216"/>
      <c r="Q33" s="216"/>
      <c r="R33" s="216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46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53"/>
      <c r="BR33" s="3"/>
    </row>
    <row r="34" spans="3:70" x14ac:dyDescent="0.45">
      <c r="C34" s="10"/>
      <c r="D34" s="10"/>
      <c r="E34" s="4"/>
      <c r="G34" s="2"/>
      <c r="J34" s="4"/>
      <c r="K34" s="9"/>
      <c r="L34" s="4"/>
      <c r="M34" s="4"/>
      <c r="O34" s="4"/>
      <c r="P34" s="9"/>
      <c r="Q34" s="9"/>
      <c r="R34" s="9"/>
      <c r="AK34" s="3"/>
      <c r="AL34" s="3"/>
      <c r="AM34" s="3" t="s">
        <v>203</v>
      </c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46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53"/>
    </row>
    <row r="35" spans="3:70" x14ac:dyDescent="0.45">
      <c r="C35" t="s">
        <v>103</v>
      </c>
      <c r="AL35" s="3"/>
      <c r="AM35" s="3"/>
      <c r="AN35" s="220" t="s">
        <v>405</v>
      </c>
      <c r="AO35" s="220"/>
      <c r="AP35" t="s">
        <v>188</v>
      </c>
      <c r="AQ35" s="2" t="s">
        <v>408</v>
      </c>
      <c r="AR35" s="2" t="s">
        <v>68</v>
      </c>
      <c r="AS35" s="27" t="s">
        <v>210</v>
      </c>
      <c r="BB35" s="3"/>
      <c r="BC35" s="3"/>
      <c r="BD35" s="3"/>
      <c r="BE35" s="46"/>
      <c r="BQ35" s="6"/>
    </row>
    <row r="36" spans="3:70" x14ac:dyDescent="0.45">
      <c r="C36" s="220" t="s">
        <v>102</v>
      </c>
      <c r="D36" s="220"/>
      <c r="E36" t="s">
        <v>3</v>
      </c>
      <c r="F36" s="220" t="s">
        <v>51</v>
      </c>
      <c r="G36" s="220"/>
      <c r="H36" s="220"/>
      <c r="I36" t="s">
        <v>62</v>
      </c>
      <c r="J36" s="222" t="s">
        <v>101</v>
      </c>
      <c r="K36" s="222"/>
      <c r="M36" t="s">
        <v>3</v>
      </c>
      <c r="N36" s="216">
        <f>L29</f>
        <v>6.6</v>
      </c>
      <c r="O36" s="216"/>
      <c r="P36" s="216"/>
      <c r="Q36" t="s">
        <v>62</v>
      </c>
      <c r="R36" s="217">
        <f>'1.条件'!T15</f>
        <v>23</v>
      </c>
      <c r="S36" s="218"/>
      <c r="U36" t="s">
        <v>3</v>
      </c>
      <c r="V36" s="216">
        <f>N36*R36</f>
        <v>151.79999999999998</v>
      </c>
      <c r="W36" s="216"/>
      <c r="X36" s="216"/>
      <c r="Y36" s="1" t="s">
        <v>63</v>
      </c>
      <c r="AL36" s="3"/>
      <c r="AM36" s="3"/>
      <c r="AN36" s="2"/>
      <c r="AO36" s="2"/>
      <c r="AP36" t="s">
        <v>188</v>
      </c>
      <c r="AQ36" s="216">
        <f>AF13</f>
        <v>3</v>
      </c>
      <c r="AR36" s="216"/>
      <c r="AS36" s="216"/>
      <c r="AT36" s="2" t="s">
        <v>68</v>
      </c>
      <c r="AU36" s="216">
        <f>'1.条件'!BH7</f>
        <v>0.4</v>
      </c>
      <c r="AV36" s="216"/>
      <c r="AW36" s="216"/>
      <c r="AX36" s="3"/>
      <c r="AY36" s="3"/>
      <c r="AZ36" s="3"/>
      <c r="BA36" s="3"/>
      <c r="BB36" s="3"/>
      <c r="BC36" s="3"/>
      <c r="BD36" s="3"/>
      <c r="BE36" s="5"/>
      <c r="BQ36" s="6"/>
    </row>
    <row r="37" spans="3:70" x14ac:dyDescent="0.45">
      <c r="C37" s="2"/>
      <c r="D37" s="2"/>
      <c r="AN37" s="3"/>
      <c r="AO37" s="3"/>
      <c r="AP37" s="28" t="s">
        <v>188</v>
      </c>
      <c r="AQ37" s="213">
        <f>AQ36+AU36</f>
        <v>3.4</v>
      </c>
      <c r="AR37" s="213"/>
      <c r="AS37" s="213"/>
      <c r="AT37" s="1" t="s">
        <v>111</v>
      </c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7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8"/>
    </row>
    <row r="38" spans="3:70" x14ac:dyDescent="0.45">
      <c r="AI38">
        <v>3</v>
      </c>
      <c r="BR38">
        <v>4</v>
      </c>
    </row>
  </sheetData>
  <sheetProtection sheet="1" objects="1" scenarios="1"/>
  <mergeCells count="98">
    <mergeCell ref="AQ20:AS20"/>
    <mergeCell ref="AN25:AO26"/>
    <mergeCell ref="AP25:AP26"/>
    <mergeCell ref="AQ25:AR25"/>
    <mergeCell ref="O27:T27"/>
    <mergeCell ref="AT25:AT26"/>
    <mergeCell ref="AU36:AW36"/>
    <mergeCell ref="AU25:AV25"/>
    <mergeCell ref="AQ26:AR26"/>
    <mergeCell ref="AU26:AV26"/>
    <mergeCell ref="AQ36:AS36"/>
    <mergeCell ref="AQ27:AS27"/>
    <mergeCell ref="AN15:AO15"/>
    <mergeCell ref="AN18:AO18"/>
    <mergeCell ref="AQ18:AS18"/>
    <mergeCell ref="AN8:AO9"/>
    <mergeCell ref="AP8:AP9"/>
    <mergeCell ref="AQ8:AR8"/>
    <mergeCell ref="AN13:AO13"/>
    <mergeCell ref="AN14:AO14"/>
    <mergeCell ref="AU18:AW18"/>
    <mergeCell ref="AQ19:AS19"/>
    <mergeCell ref="AU19:AW19"/>
    <mergeCell ref="AT8:AT9"/>
    <mergeCell ref="AU8:AV8"/>
    <mergeCell ref="AQ9:AR9"/>
    <mergeCell ref="AU9:AV9"/>
    <mergeCell ref="AQ10:AR10"/>
    <mergeCell ref="AF7:AH7"/>
    <mergeCell ref="AF8:AH8"/>
    <mergeCell ref="AF9:AH9"/>
    <mergeCell ref="AF10:AH10"/>
    <mergeCell ref="AF11:AH11"/>
    <mergeCell ref="AF12:AH12"/>
    <mergeCell ref="AF14:AH14"/>
    <mergeCell ref="AF13:AH13"/>
    <mergeCell ref="F27:H27"/>
    <mergeCell ref="I27:K27"/>
    <mergeCell ref="U23:AA23"/>
    <mergeCell ref="U24:AA24"/>
    <mergeCell ref="U25:AA25"/>
    <mergeCell ref="U26:AA26"/>
    <mergeCell ref="U27:AA27"/>
    <mergeCell ref="I26:K26"/>
    <mergeCell ref="F24:H24"/>
    <mergeCell ref="F25:H25"/>
    <mergeCell ref="I25:K25"/>
    <mergeCell ref="I23:K23"/>
    <mergeCell ref="L27:N27"/>
    <mergeCell ref="D27:E27"/>
    <mergeCell ref="I24:K24"/>
    <mergeCell ref="D23:E23"/>
    <mergeCell ref="F23:H23"/>
    <mergeCell ref="D26:E26"/>
    <mergeCell ref="F26:H26"/>
    <mergeCell ref="L25:N25"/>
    <mergeCell ref="AF15:AH15"/>
    <mergeCell ref="L23:N23"/>
    <mergeCell ref="L26:N26"/>
    <mergeCell ref="AF16:AH16"/>
    <mergeCell ref="AF17:AH17"/>
    <mergeCell ref="AF18:AH18"/>
    <mergeCell ref="L24:N24"/>
    <mergeCell ref="O23:T23"/>
    <mergeCell ref="O24:T24"/>
    <mergeCell ref="O25:T25"/>
    <mergeCell ref="O26:T26"/>
    <mergeCell ref="D28:E28"/>
    <mergeCell ref="F28:H28"/>
    <mergeCell ref="D29:E29"/>
    <mergeCell ref="F29:H29"/>
    <mergeCell ref="I28:K28"/>
    <mergeCell ref="I29:K29"/>
    <mergeCell ref="C36:D36"/>
    <mergeCell ref="F36:H36"/>
    <mergeCell ref="J36:K36"/>
    <mergeCell ref="N36:P36"/>
    <mergeCell ref="C32:D33"/>
    <mergeCell ref="E32:E33"/>
    <mergeCell ref="G32:H32"/>
    <mergeCell ref="J32:J33"/>
    <mergeCell ref="K32:M32"/>
    <mergeCell ref="K33:M33"/>
    <mergeCell ref="AQ37:AS37"/>
    <mergeCell ref="L28:N28"/>
    <mergeCell ref="V36:X36"/>
    <mergeCell ref="R36:S36"/>
    <mergeCell ref="O32:O33"/>
    <mergeCell ref="P32:R33"/>
    <mergeCell ref="L29:N29"/>
    <mergeCell ref="AN30:AO30"/>
    <mergeCell ref="AN31:AO31"/>
    <mergeCell ref="AN32:AO32"/>
    <mergeCell ref="AN35:AO35"/>
    <mergeCell ref="U28:AA28"/>
    <mergeCell ref="O28:T28"/>
    <mergeCell ref="O29:T29"/>
    <mergeCell ref="U29:AA29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24944-7B32-4959-AAF4-0AEA5B87322C}">
  <dimension ref="B2:BR42"/>
  <sheetViews>
    <sheetView showGridLines="0" view="pageBreakPreview" zoomScale="70" zoomScaleNormal="65" zoomScaleSheetLayoutView="70" workbookViewId="0">
      <selection activeCell="A2" sqref="A2"/>
    </sheetView>
  </sheetViews>
  <sheetFormatPr defaultRowHeight="18" x14ac:dyDescent="0.45"/>
  <cols>
    <col min="1" max="70" width="3" customWidth="1"/>
  </cols>
  <sheetData>
    <row r="2" spans="2:68" x14ac:dyDescent="0.45">
      <c r="B2" t="s">
        <v>447</v>
      </c>
      <c r="AN2" s="229" t="s">
        <v>83</v>
      </c>
      <c r="AO2" s="229"/>
      <c r="AP2" s="248" t="s">
        <v>205</v>
      </c>
      <c r="AQ2" s="248"/>
      <c r="AR2" s="248"/>
      <c r="AS2" s="248" t="s">
        <v>66</v>
      </c>
      <c r="AT2" s="248"/>
      <c r="AU2" s="248"/>
      <c r="AV2" s="248" t="s">
        <v>65</v>
      </c>
      <c r="AW2" s="248"/>
      <c r="AX2" s="248"/>
    </row>
    <row r="3" spans="2:68" x14ac:dyDescent="0.45">
      <c r="C3" s="49" t="s">
        <v>448</v>
      </c>
      <c r="V3" s="36" t="s">
        <v>2</v>
      </c>
      <c r="W3" s="37"/>
      <c r="X3" s="37"/>
      <c r="Y3" s="37"/>
      <c r="Z3" s="37"/>
      <c r="AA3" s="37"/>
      <c r="AB3" s="37"/>
      <c r="AC3" s="38" t="s">
        <v>40</v>
      </c>
      <c r="AD3" s="37"/>
      <c r="AE3" s="37" t="s">
        <v>3</v>
      </c>
      <c r="AF3" s="226">
        <f>'1.条件'!T6</f>
        <v>6</v>
      </c>
      <c r="AG3" s="226"/>
      <c r="AH3" s="226"/>
      <c r="AI3" s="39" t="s">
        <v>4</v>
      </c>
      <c r="AL3" s="1" t="str">
        <f>IF(MAX(AV$3:AV$16)=AV3, 1,"")</f>
        <v/>
      </c>
      <c r="AN3" s="215">
        <v>45</v>
      </c>
      <c r="AO3" s="215"/>
      <c r="AP3" s="214">
        <f t="shared" ref="AP3:AP16" si="0">(G$36/TAN(AN3*PI()/180))+K$36</f>
        <v>3.6000000000000005</v>
      </c>
      <c r="AQ3" s="214"/>
      <c r="AR3" s="214"/>
      <c r="AS3" s="214">
        <f t="shared" ref="AS3:AS16" si="1">AD$29*AP3</f>
        <v>241.20000000000005</v>
      </c>
      <c r="AT3" s="214"/>
      <c r="AU3" s="214"/>
      <c r="AV3" s="214">
        <f t="shared" ref="AV3:AV16" si="2">AS3*SIN((AN3-AH$26)*PI()/180)/COS((AN3-AF$27)*PI()/180)</f>
        <v>65.210364815156069</v>
      </c>
      <c r="AW3" s="214"/>
      <c r="AX3" s="214"/>
    </row>
    <row r="4" spans="2:68" x14ac:dyDescent="0.45">
      <c r="D4" t="s">
        <v>64</v>
      </c>
      <c r="V4" s="5" t="s">
        <v>6</v>
      </c>
      <c r="AC4" s="2" t="s">
        <v>42</v>
      </c>
      <c r="AE4" t="s">
        <v>3</v>
      </c>
      <c r="AF4" s="216">
        <f>'1.条件'!T7</f>
        <v>0.8</v>
      </c>
      <c r="AG4" s="216"/>
      <c r="AH4" s="216"/>
      <c r="AI4" s="40" t="s">
        <v>4</v>
      </c>
      <c r="AL4" s="1" t="str">
        <f t="shared" ref="AL4:AL16" si="3">IF(MAX(AV$3:AV$16)=AV4, 1,"")</f>
        <v/>
      </c>
      <c r="AN4" s="215">
        <v>46</v>
      </c>
      <c r="AO4" s="215"/>
      <c r="AP4" s="156">
        <f t="shared" si="0"/>
        <v>3.3941326488424446</v>
      </c>
      <c r="AQ4" s="157"/>
      <c r="AR4" s="158"/>
      <c r="AS4" s="214">
        <f t="shared" si="1"/>
        <v>227.4068874724438</v>
      </c>
      <c r="AT4" s="214"/>
      <c r="AU4" s="214"/>
      <c r="AV4" s="214">
        <f t="shared" si="2"/>
        <v>65.833313870244254</v>
      </c>
      <c r="AW4" s="214"/>
      <c r="AX4" s="214"/>
    </row>
    <row r="5" spans="2:68" x14ac:dyDescent="0.45">
      <c r="V5" s="5" t="s">
        <v>5</v>
      </c>
      <c r="AC5" s="2" t="s">
        <v>41</v>
      </c>
      <c r="AE5" t="s">
        <v>3</v>
      </c>
      <c r="AF5" s="216">
        <f>'1.条件'!T8</f>
        <v>1.4</v>
      </c>
      <c r="AG5" s="216"/>
      <c r="AH5" s="216"/>
      <c r="AI5" s="40" t="s">
        <v>4</v>
      </c>
      <c r="AL5" s="1">
        <f t="shared" si="3"/>
        <v>1</v>
      </c>
      <c r="AN5" s="215">
        <v>47</v>
      </c>
      <c r="AO5" s="215"/>
      <c r="AP5" s="156">
        <f t="shared" si="0"/>
        <v>3.19509051682597</v>
      </c>
      <c r="AQ5" s="157"/>
      <c r="AR5" s="158"/>
      <c r="AS5" s="214">
        <f t="shared" si="1"/>
        <v>214.07106462733998</v>
      </c>
      <c r="AT5" s="214"/>
      <c r="AU5" s="214"/>
      <c r="AV5" s="214">
        <f t="shared" si="2"/>
        <v>66.115640431871469</v>
      </c>
      <c r="AW5" s="214"/>
      <c r="AX5" s="214"/>
      <c r="AZ5" t="s">
        <v>137</v>
      </c>
      <c r="BJ5" s="222" t="s">
        <v>83</v>
      </c>
      <c r="BK5" s="222"/>
      <c r="BL5" t="s">
        <v>3</v>
      </c>
      <c r="BM5" s="217">
        <f>VLOOKUP(1,AL3:AX16,3)</f>
        <v>47</v>
      </c>
      <c r="BN5" s="217"/>
      <c r="BO5" s="217"/>
      <c r="BP5" t="s">
        <v>24</v>
      </c>
    </row>
    <row r="6" spans="2:68" x14ac:dyDescent="0.45">
      <c r="D6" s="220" t="s">
        <v>65</v>
      </c>
      <c r="E6" s="220"/>
      <c r="F6" s="219" t="s">
        <v>3</v>
      </c>
      <c r="G6" s="12" t="s">
        <v>66</v>
      </c>
      <c r="H6" s="11" t="s">
        <v>67</v>
      </c>
      <c r="I6" s="242" t="s">
        <v>97</v>
      </c>
      <c r="J6" s="242"/>
      <c r="K6" s="242"/>
      <c r="L6" s="242"/>
      <c r="V6" s="5" t="s">
        <v>7</v>
      </c>
      <c r="AA6" s="1">
        <v>1</v>
      </c>
      <c r="AB6" t="s">
        <v>9</v>
      </c>
      <c r="AC6" s="2" t="s">
        <v>406</v>
      </c>
      <c r="AF6" s="216">
        <f>'1.条件'!T9</f>
        <v>0.5</v>
      </c>
      <c r="AG6" s="216"/>
      <c r="AH6" s="216"/>
      <c r="AI6" s="40"/>
      <c r="AL6" s="1" t="str">
        <f t="shared" si="3"/>
        <v/>
      </c>
      <c r="AN6" s="215">
        <v>48</v>
      </c>
      <c r="AO6" s="215"/>
      <c r="AP6" s="156">
        <f t="shared" si="0"/>
        <v>3.0024242657870399</v>
      </c>
      <c r="AQ6" s="157"/>
      <c r="AR6" s="158"/>
      <c r="AS6" s="214">
        <f t="shared" si="1"/>
        <v>201.16242580773167</v>
      </c>
      <c r="AT6" s="214"/>
      <c r="AU6" s="214"/>
      <c r="AV6" s="214">
        <f t="shared" si="2"/>
        <v>66.068528824721724</v>
      </c>
      <c r="AW6" s="214"/>
      <c r="AX6" s="214"/>
    </row>
    <row r="7" spans="2:68" x14ac:dyDescent="0.45">
      <c r="D7" s="220"/>
      <c r="E7" s="220"/>
      <c r="F7" s="219"/>
      <c r="G7" s="243" t="s">
        <v>98</v>
      </c>
      <c r="H7" s="243"/>
      <c r="I7" s="243"/>
      <c r="J7" s="243"/>
      <c r="K7" s="243"/>
      <c r="L7" s="243"/>
      <c r="V7" s="5" t="s">
        <v>10</v>
      </c>
      <c r="AA7" s="1">
        <v>1</v>
      </c>
      <c r="AB7" t="s">
        <v>9</v>
      </c>
      <c r="AC7" s="2" t="s">
        <v>410</v>
      </c>
      <c r="AF7" s="216">
        <f>'1.条件'!T10</f>
        <v>0.4</v>
      </c>
      <c r="AG7" s="216"/>
      <c r="AH7" s="216"/>
      <c r="AI7" s="40"/>
      <c r="AL7" s="1" t="str">
        <f t="shared" si="3"/>
        <v/>
      </c>
      <c r="AN7" s="215">
        <v>49</v>
      </c>
      <c r="AO7" s="215"/>
      <c r="AP7" s="156">
        <f t="shared" si="0"/>
        <v>2.8157204268973599</v>
      </c>
      <c r="AQ7" s="157"/>
      <c r="AR7" s="158"/>
      <c r="AS7" s="214">
        <f t="shared" si="1"/>
        <v>188.65326860212312</v>
      </c>
      <c r="AT7" s="214"/>
      <c r="AU7" s="214"/>
      <c r="AV7" s="214">
        <f t="shared" si="2"/>
        <v>65.701550611971768</v>
      </c>
      <c r="AW7" s="214"/>
      <c r="AX7" s="214"/>
      <c r="BJ7" s="220" t="s">
        <v>205</v>
      </c>
      <c r="BK7" s="220"/>
      <c r="BL7" t="s">
        <v>3</v>
      </c>
      <c r="BM7" s="216">
        <f>VLOOKUP(1,AL3:AX16,5)</f>
        <v>3.19509051682597</v>
      </c>
      <c r="BN7" s="216"/>
      <c r="BO7" s="216"/>
      <c r="BP7" s="1" t="s">
        <v>4</v>
      </c>
    </row>
    <row r="8" spans="2:68" x14ac:dyDescent="0.45">
      <c r="V8" s="7"/>
      <c r="W8" s="11"/>
      <c r="X8" s="11"/>
      <c r="Y8" s="11"/>
      <c r="Z8" s="11"/>
      <c r="AA8" s="11"/>
      <c r="AB8" s="11"/>
      <c r="AC8" s="20"/>
      <c r="AD8" s="20"/>
      <c r="AE8" s="20"/>
      <c r="AF8" s="20"/>
      <c r="AG8" s="20"/>
      <c r="AH8" s="20"/>
      <c r="AI8" s="41"/>
      <c r="AL8" s="1" t="str">
        <f t="shared" si="3"/>
        <v/>
      </c>
      <c r="AN8" s="215">
        <v>50</v>
      </c>
      <c r="AO8" s="215"/>
      <c r="AP8" s="156">
        <f t="shared" si="0"/>
        <v>2.6345977870636794</v>
      </c>
      <c r="AQ8" s="157"/>
      <c r="AR8" s="158"/>
      <c r="AS8" s="214">
        <f t="shared" si="1"/>
        <v>176.51805173326653</v>
      </c>
      <c r="AT8" s="214"/>
      <c r="AU8" s="214"/>
      <c r="AV8" s="214">
        <f t="shared" si="2"/>
        <v>65.02277967579893</v>
      </c>
      <c r="AW8" s="214"/>
      <c r="AX8" s="214"/>
      <c r="BJ8" s="2"/>
      <c r="BK8" s="2"/>
      <c r="BM8" s="23"/>
      <c r="BN8" s="23"/>
      <c r="BO8" s="23"/>
      <c r="BP8" s="1"/>
    </row>
    <row r="9" spans="2:68" x14ac:dyDescent="0.45">
      <c r="D9" s="220" t="s">
        <v>66</v>
      </c>
      <c r="E9" s="220"/>
      <c r="F9" s="219" t="s">
        <v>3</v>
      </c>
      <c r="G9" s="12" t="s">
        <v>205</v>
      </c>
      <c r="H9" s="11" t="s">
        <v>67</v>
      </c>
      <c r="I9" s="13" t="s">
        <v>40</v>
      </c>
      <c r="J9" s="219" t="s">
        <v>67</v>
      </c>
      <c r="K9" s="222" t="s">
        <v>100</v>
      </c>
      <c r="L9" s="222"/>
      <c r="M9" s="219" t="s">
        <v>68</v>
      </c>
      <c r="N9" s="220" t="s">
        <v>33</v>
      </c>
      <c r="O9" s="219" t="s">
        <v>67</v>
      </c>
      <c r="P9" s="220" t="s">
        <v>205</v>
      </c>
      <c r="AL9" s="1" t="str">
        <f t="shared" si="3"/>
        <v/>
      </c>
      <c r="AN9" s="215">
        <v>51</v>
      </c>
      <c r="AO9" s="215"/>
      <c r="AP9" s="156">
        <f t="shared" si="0"/>
        <v>2.458704199170044</v>
      </c>
      <c r="AQ9" s="157"/>
      <c r="AR9" s="158"/>
      <c r="AS9" s="214">
        <f t="shared" si="1"/>
        <v>164.73318134439296</v>
      </c>
      <c r="AT9" s="214"/>
      <c r="AU9" s="214"/>
      <c r="AV9" s="214">
        <f t="shared" si="2"/>
        <v>64.038889415135429</v>
      </c>
      <c r="AW9" s="214"/>
      <c r="AX9" s="214"/>
      <c r="BJ9" s="220" t="s">
        <v>66</v>
      </c>
      <c r="BK9" s="220"/>
      <c r="BL9" t="s">
        <v>3</v>
      </c>
      <c r="BM9" s="216">
        <f>VLOOKUP(1,AL3:AX16,8)</f>
        <v>214.07106462733998</v>
      </c>
      <c r="BN9" s="216"/>
      <c r="BO9" s="216"/>
      <c r="BP9" s="21" t="s">
        <v>91</v>
      </c>
    </row>
    <row r="10" spans="2:68" x14ac:dyDescent="0.45">
      <c r="D10" s="220"/>
      <c r="E10" s="220"/>
      <c r="F10" s="219"/>
      <c r="H10" s="1">
        <v>2</v>
      </c>
      <c r="J10" s="219"/>
      <c r="K10" s="222"/>
      <c r="L10" s="222"/>
      <c r="M10" s="219"/>
      <c r="N10" s="220"/>
      <c r="O10" s="219"/>
      <c r="P10" s="220"/>
      <c r="V10" s="36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42"/>
      <c r="AL10" s="1" t="str">
        <f t="shared" si="3"/>
        <v/>
      </c>
      <c r="AN10" s="215">
        <v>52</v>
      </c>
      <c r="AO10" s="215"/>
      <c r="AP10" s="156">
        <f t="shared" si="0"/>
        <v>2.2877137590403045</v>
      </c>
      <c r="AQ10" s="157"/>
      <c r="AR10" s="158"/>
      <c r="AS10" s="214">
        <f t="shared" si="1"/>
        <v>153.2768218557004</v>
      </c>
      <c r="AT10" s="214"/>
      <c r="AU10" s="214"/>
      <c r="AV10" s="214">
        <f t="shared" si="2"/>
        <v>62.755234031152746</v>
      </c>
      <c r="AW10" s="214"/>
      <c r="AX10" s="214"/>
      <c r="BJ10" s="2"/>
      <c r="BK10" s="2"/>
      <c r="BM10" s="23"/>
      <c r="BN10" s="23"/>
      <c r="BO10" s="23"/>
      <c r="BP10" s="1"/>
    </row>
    <row r="11" spans="2:68" x14ac:dyDescent="0.45">
      <c r="V11" s="5"/>
      <c r="AI11" s="6"/>
      <c r="AL11" s="1" t="str">
        <f t="shared" si="3"/>
        <v/>
      </c>
      <c r="AN11" s="215">
        <v>53</v>
      </c>
      <c r="AO11" s="215"/>
      <c r="AP11" s="156">
        <f t="shared" si="0"/>
        <v>2.1213243006167657</v>
      </c>
      <c r="AQ11" s="157"/>
      <c r="AR11" s="158"/>
      <c r="AS11" s="214">
        <f t="shared" si="1"/>
        <v>142.12872814132331</v>
      </c>
      <c r="AT11" s="214"/>
      <c r="AU11" s="214"/>
      <c r="AV11" s="214">
        <f t="shared" si="2"/>
        <v>61.175915519687827</v>
      </c>
      <c r="AW11" s="214"/>
      <c r="AX11" s="214"/>
      <c r="AZ11" t="s">
        <v>85</v>
      </c>
      <c r="BJ11" s="220" t="s">
        <v>65</v>
      </c>
      <c r="BK11" s="220"/>
      <c r="BL11" t="s">
        <v>3</v>
      </c>
      <c r="BM11" s="216">
        <f>VLOOKUP(1,AL3:AX16,11)</f>
        <v>66.115640431871469</v>
      </c>
      <c r="BN11" s="216"/>
      <c r="BO11" s="216"/>
      <c r="BP11" s="21" t="s">
        <v>91</v>
      </c>
    </row>
    <row r="12" spans="2:68" x14ac:dyDescent="0.45">
      <c r="D12" s="220" t="s">
        <v>205</v>
      </c>
      <c r="E12" s="220"/>
      <c r="F12" s="219" t="s">
        <v>3</v>
      </c>
      <c r="G12" s="219" t="s">
        <v>60</v>
      </c>
      <c r="H12" s="11"/>
      <c r="I12" s="17">
        <v>1</v>
      </c>
      <c r="J12" s="11"/>
      <c r="K12" s="244" t="s">
        <v>68</v>
      </c>
      <c r="L12" s="222" t="s">
        <v>70</v>
      </c>
      <c r="M12" s="222"/>
      <c r="N12" s="222"/>
      <c r="O12" s="219" t="s">
        <v>61</v>
      </c>
      <c r="P12" s="219" t="s">
        <v>62</v>
      </c>
      <c r="Q12" s="220" t="s">
        <v>40</v>
      </c>
      <c r="V12" s="5"/>
      <c r="AI12" s="6"/>
      <c r="AL12" s="1" t="str">
        <f t="shared" si="3"/>
        <v/>
      </c>
      <c r="AN12" s="215">
        <v>54</v>
      </c>
      <c r="AO12" s="215"/>
      <c r="AP12" s="156">
        <f t="shared" si="0"/>
        <v>1.9592551680321657</v>
      </c>
      <c r="AQ12" s="157"/>
      <c r="AR12" s="158"/>
      <c r="AS12" s="214">
        <f t="shared" si="1"/>
        <v>131.27009625815509</v>
      </c>
      <c r="AT12" s="214"/>
      <c r="AU12" s="214"/>
      <c r="AV12" s="214">
        <f t="shared" si="2"/>
        <v>59.303837689759263</v>
      </c>
      <c r="AW12" s="214"/>
      <c r="AX12" s="214"/>
      <c r="AY12" s="15"/>
      <c r="AZ12" s="15"/>
      <c r="BA12" s="15"/>
      <c r="BB12" s="15"/>
      <c r="BC12" s="15"/>
    </row>
    <row r="13" spans="2:68" x14ac:dyDescent="0.45">
      <c r="D13" s="220"/>
      <c r="E13" s="220"/>
      <c r="F13" s="219"/>
      <c r="G13" s="219"/>
      <c r="H13" s="222" t="s">
        <v>77</v>
      </c>
      <c r="I13" s="222"/>
      <c r="J13" s="222"/>
      <c r="K13" s="244"/>
      <c r="L13" s="222"/>
      <c r="M13" s="222"/>
      <c r="N13" s="222"/>
      <c r="O13" s="219"/>
      <c r="P13" s="219"/>
      <c r="Q13" s="220"/>
      <c r="V13" s="5"/>
      <c r="AI13" s="6"/>
      <c r="AL13" s="1" t="str">
        <f t="shared" si="3"/>
        <v/>
      </c>
      <c r="AN13" s="215">
        <v>55</v>
      </c>
      <c r="AO13" s="215"/>
      <c r="AP13" s="156">
        <f t="shared" si="0"/>
        <v>1.8012452292582584</v>
      </c>
      <c r="AQ13" s="157"/>
      <c r="AR13" s="158"/>
      <c r="AS13" s="214">
        <f t="shared" si="1"/>
        <v>120.6834303603033</v>
      </c>
      <c r="AT13" s="214"/>
      <c r="AU13" s="214"/>
      <c r="AV13" s="214">
        <f t="shared" si="2"/>
        <v>57.14074826801847</v>
      </c>
      <c r="AW13" s="214"/>
      <c r="AX13" s="214"/>
    </row>
    <row r="14" spans="2:68" x14ac:dyDescent="0.45">
      <c r="D14" t="s">
        <v>71</v>
      </c>
      <c r="V14" s="5"/>
      <c r="AI14" s="6"/>
      <c r="AL14" s="1" t="str">
        <f t="shared" si="3"/>
        <v/>
      </c>
      <c r="AM14" s="15"/>
      <c r="AN14" s="215">
        <v>56</v>
      </c>
      <c r="AO14" s="215"/>
      <c r="AP14" s="156">
        <f t="shared" si="0"/>
        <v>1.6470511010545597</v>
      </c>
      <c r="AQ14" s="157"/>
      <c r="AR14" s="158"/>
      <c r="AS14" s="214">
        <f t="shared" si="1"/>
        <v>110.35242377065549</v>
      </c>
      <c r="AT14" s="214"/>
      <c r="AU14" s="214"/>
      <c r="AV14" s="214">
        <f t="shared" si="2"/>
        <v>54.687269921822747</v>
      </c>
      <c r="AW14" s="214"/>
      <c r="AX14" s="214"/>
      <c r="AY14" s="15"/>
      <c r="AZ14" s="15"/>
      <c r="BA14" s="15"/>
      <c r="BB14" s="15"/>
      <c r="BC14" s="15"/>
    </row>
    <row r="15" spans="2:68" x14ac:dyDescent="0.45">
      <c r="D15" s="220" t="s">
        <v>65</v>
      </c>
      <c r="E15" s="220"/>
      <c r="F15" t="s">
        <v>498</v>
      </c>
      <c r="V15" s="5"/>
      <c r="AI15" s="6"/>
      <c r="AL15" s="1" t="str">
        <f t="shared" si="3"/>
        <v/>
      </c>
      <c r="AN15" s="215">
        <v>57</v>
      </c>
      <c r="AO15" s="215"/>
      <c r="AP15" s="156">
        <f t="shared" si="0"/>
        <v>1.4964455591850636</v>
      </c>
      <c r="AQ15" s="157"/>
      <c r="AR15" s="158"/>
      <c r="AS15" s="214">
        <f t="shared" si="1"/>
        <v>100.26185246539926</v>
      </c>
      <c r="AT15" s="214"/>
      <c r="AU15" s="214"/>
      <c r="AV15" s="214">
        <f t="shared" si="2"/>
        <v>51.942920831438727</v>
      </c>
      <c r="AW15" s="214"/>
      <c r="AX15" s="214"/>
    </row>
    <row r="16" spans="2:68" x14ac:dyDescent="0.45">
      <c r="D16" s="220" t="s">
        <v>66</v>
      </c>
      <c r="E16" s="220"/>
      <c r="F16" t="s">
        <v>499</v>
      </c>
      <c r="V16" s="5"/>
      <c r="AI16" s="6"/>
      <c r="AL16" s="1" t="str">
        <f t="shared" si="3"/>
        <v/>
      </c>
      <c r="AN16" s="215">
        <v>58</v>
      </c>
      <c r="AO16" s="215"/>
      <c r="AP16" s="156">
        <f t="shared" si="0"/>
        <v>1.3492161114559638</v>
      </c>
      <c r="AQ16" s="157"/>
      <c r="AR16" s="158"/>
      <c r="AS16" s="214">
        <f t="shared" si="1"/>
        <v>90.397479467549573</v>
      </c>
      <c r="AT16" s="214"/>
      <c r="AU16" s="214"/>
      <c r="AV16" s="214">
        <f t="shared" si="2"/>
        <v>48.906125258587721</v>
      </c>
      <c r="AW16" s="214"/>
      <c r="AX16" s="214"/>
      <c r="AY16" s="15"/>
      <c r="AZ16" s="15"/>
      <c r="BA16" s="15"/>
      <c r="BB16" s="15"/>
      <c r="BC16" s="15"/>
    </row>
    <row r="17" spans="4:70" x14ac:dyDescent="0.45">
      <c r="D17" s="245" t="s">
        <v>205</v>
      </c>
      <c r="E17" s="245"/>
      <c r="F17" s="49" t="s">
        <v>500</v>
      </c>
      <c r="G17" s="15"/>
      <c r="V17" s="5"/>
      <c r="AI17" s="6"/>
      <c r="AV17" s="15"/>
    </row>
    <row r="18" spans="4:70" x14ac:dyDescent="0.45">
      <c r="D18" s="222" t="s">
        <v>83</v>
      </c>
      <c r="E18" s="222"/>
      <c r="F18" t="s">
        <v>73</v>
      </c>
      <c r="V18" s="5"/>
      <c r="AI18" s="6"/>
      <c r="AM18" s="15" t="s">
        <v>86</v>
      </c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36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42"/>
    </row>
    <row r="19" spans="4:70" x14ac:dyDescent="0.45">
      <c r="D19" s="222" t="s">
        <v>22</v>
      </c>
      <c r="E19" s="222"/>
      <c r="F19" t="s">
        <v>74</v>
      </c>
      <c r="Q19" s="18" t="s">
        <v>22</v>
      </c>
      <c r="R19" t="s">
        <v>3</v>
      </c>
      <c r="S19" s="218">
        <f>'1.条件'!T24</f>
        <v>30</v>
      </c>
      <c r="T19" s="218"/>
      <c r="U19" t="s">
        <v>24</v>
      </c>
      <c r="V19" s="5"/>
      <c r="AI19" s="6"/>
      <c r="AM19" s="251" t="s">
        <v>87</v>
      </c>
      <c r="AN19" s="251"/>
      <c r="AO19" s="16" t="s">
        <v>3</v>
      </c>
      <c r="AP19" s="245" t="s">
        <v>65</v>
      </c>
      <c r="AQ19" s="245"/>
      <c r="AR19" s="252" t="s">
        <v>95</v>
      </c>
      <c r="AS19" s="252"/>
      <c r="AT19" s="252"/>
      <c r="AU19" s="252"/>
      <c r="BD19" s="5"/>
      <c r="BR19" s="6"/>
    </row>
    <row r="20" spans="4:70" x14ac:dyDescent="0.45">
      <c r="D20" s="222" t="s">
        <v>72</v>
      </c>
      <c r="E20" s="222"/>
      <c r="F20" t="s">
        <v>396</v>
      </c>
      <c r="V20" s="5"/>
      <c r="AI20" s="6"/>
      <c r="AO20" s="16" t="s">
        <v>3</v>
      </c>
      <c r="AP20" s="253">
        <f>BM11</f>
        <v>66.115640431871469</v>
      </c>
      <c r="AQ20" s="253"/>
      <c r="AR20" s="253"/>
      <c r="AS20" s="252" t="s">
        <v>88</v>
      </c>
      <c r="AT20" s="252"/>
      <c r="AU20" s="252"/>
      <c r="AV20" s="254">
        <f>R21</f>
        <v>-21.8</v>
      </c>
      <c r="AW20" s="254"/>
      <c r="AX20" s="254"/>
      <c r="AY20" s="16" t="s">
        <v>89</v>
      </c>
      <c r="AZ20" s="254">
        <f>P23</f>
        <v>20</v>
      </c>
      <c r="BA20" s="254"/>
      <c r="BB20" s="254"/>
      <c r="BC20" s="15" t="s">
        <v>90</v>
      </c>
      <c r="BD20" s="5"/>
      <c r="BR20" s="6"/>
    </row>
    <row r="21" spans="4:70" x14ac:dyDescent="0.45">
      <c r="F21" s="18" t="s">
        <v>72</v>
      </c>
      <c r="G21" t="s">
        <v>3</v>
      </c>
      <c r="H21" s="222" t="s">
        <v>104</v>
      </c>
      <c r="I21" s="222"/>
      <c r="J21" s="1" t="s">
        <v>15</v>
      </c>
      <c r="L21" t="s">
        <v>3</v>
      </c>
      <c r="M21" s="222" t="s">
        <v>104</v>
      </c>
      <c r="N21" s="222"/>
      <c r="O21" s="256">
        <f>AF7</f>
        <v>0.4</v>
      </c>
      <c r="P21" s="256"/>
      <c r="Q21" t="s">
        <v>3</v>
      </c>
      <c r="R21" s="247">
        <f>-ROUND(ATAN(O21)*180/PI(),2)</f>
        <v>-21.8</v>
      </c>
      <c r="S21" s="247"/>
      <c r="T21" s="247"/>
      <c r="U21" t="s">
        <v>24</v>
      </c>
      <c r="V21" s="5"/>
      <c r="AI21" s="6"/>
      <c r="AO21" s="16" t="s">
        <v>3</v>
      </c>
      <c r="AP21" s="253">
        <f>AP20*COS((AV20+AZ20)*PI()/180)</f>
        <v>66.083016354437348</v>
      </c>
      <c r="AQ21" s="253"/>
      <c r="AR21" s="253"/>
      <c r="AS21" s="21" t="s">
        <v>91</v>
      </c>
      <c r="AT21" s="15"/>
      <c r="BD21" s="5"/>
      <c r="BR21" s="6"/>
    </row>
    <row r="22" spans="4:70" x14ac:dyDescent="0.45">
      <c r="D22" s="222" t="s">
        <v>75</v>
      </c>
      <c r="E22" s="222"/>
      <c r="F22" t="s">
        <v>76</v>
      </c>
      <c r="V22" s="5"/>
      <c r="AI22" s="6"/>
      <c r="BD22" s="5"/>
      <c r="BR22" s="6"/>
    </row>
    <row r="23" spans="4:70" x14ac:dyDescent="0.45">
      <c r="F23" s="222" t="s">
        <v>75</v>
      </c>
      <c r="G23" s="219" t="s">
        <v>3</v>
      </c>
      <c r="H23" s="17">
        <v>2</v>
      </c>
      <c r="I23" s="222" t="s">
        <v>22</v>
      </c>
      <c r="K23" s="219" t="s">
        <v>3</v>
      </c>
      <c r="L23" s="17">
        <v>2</v>
      </c>
      <c r="M23" s="218">
        <f>S19</f>
        <v>30</v>
      </c>
      <c r="N23" s="218"/>
      <c r="O23" s="219" t="s">
        <v>3</v>
      </c>
      <c r="P23" s="218">
        <f>L23/L24*M23</f>
        <v>20</v>
      </c>
      <c r="Q23" s="218"/>
      <c r="R23" s="219" t="s">
        <v>24</v>
      </c>
      <c r="V23" s="5"/>
      <c r="AI23" s="6"/>
      <c r="AM23" s="15" t="s">
        <v>92</v>
      </c>
      <c r="AN23" s="15"/>
      <c r="AO23" s="15"/>
      <c r="AP23" s="15"/>
      <c r="AQ23" s="15"/>
      <c r="AR23" s="15"/>
      <c r="AS23" s="15"/>
      <c r="AT23" s="15"/>
      <c r="AU23" s="15"/>
      <c r="BD23" s="5"/>
      <c r="BR23" s="6"/>
    </row>
    <row r="24" spans="4:70" x14ac:dyDescent="0.45">
      <c r="F24" s="222"/>
      <c r="G24" s="219"/>
      <c r="H24" s="14">
        <v>3</v>
      </c>
      <c r="I24" s="222"/>
      <c r="K24" s="219"/>
      <c r="L24" s="14">
        <v>3</v>
      </c>
      <c r="M24" s="218"/>
      <c r="N24" s="218"/>
      <c r="O24" s="219"/>
      <c r="P24" s="218"/>
      <c r="Q24" s="218"/>
      <c r="R24" s="219"/>
      <c r="V24" s="7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8"/>
      <c r="AM24" s="251" t="s">
        <v>93</v>
      </c>
      <c r="AN24" s="251"/>
      <c r="AO24" s="16" t="s">
        <v>3</v>
      </c>
      <c r="AP24" s="245" t="s">
        <v>65</v>
      </c>
      <c r="AQ24" s="245"/>
      <c r="AR24" s="252" t="s">
        <v>96</v>
      </c>
      <c r="AS24" s="252"/>
      <c r="AT24" s="252"/>
      <c r="AU24" s="252"/>
      <c r="BD24" s="5"/>
      <c r="BR24" s="6"/>
    </row>
    <row r="25" spans="4:70" x14ac:dyDescent="0.45">
      <c r="D25" t="s">
        <v>78</v>
      </c>
      <c r="AI25" s="1"/>
      <c r="AO25" s="16" t="s">
        <v>3</v>
      </c>
      <c r="AP25" s="253">
        <f>BM11</f>
        <v>66.115640431871469</v>
      </c>
      <c r="AQ25" s="253"/>
      <c r="AR25" s="253"/>
      <c r="AS25" s="252" t="s">
        <v>94</v>
      </c>
      <c r="AT25" s="252"/>
      <c r="AU25" s="252"/>
      <c r="AV25" s="257">
        <f>R21</f>
        <v>-21.8</v>
      </c>
      <c r="AW25" s="257"/>
      <c r="AX25" s="257"/>
      <c r="AY25" s="16" t="s">
        <v>89</v>
      </c>
      <c r="AZ25" s="254">
        <f>P23</f>
        <v>20</v>
      </c>
      <c r="BA25" s="254"/>
      <c r="BB25" s="254"/>
      <c r="BC25" s="15" t="s">
        <v>90</v>
      </c>
      <c r="BD25" s="5"/>
      <c r="BR25" s="6"/>
    </row>
    <row r="26" spans="4:70" x14ac:dyDescent="0.45">
      <c r="D26" s="220" t="s">
        <v>65</v>
      </c>
      <c r="E26" s="220"/>
      <c r="F26" s="219" t="s">
        <v>3</v>
      </c>
      <c r="G26" s="12" t="s">
        <v>66</v>
      </c>
      <c r="H26" s="11" t="s">
        <v>67</v>
      </c>
      <c r="I26" s="242" t="s">
        <v>97</v>
      </c>
      <c r="J26" s="242"/>
      <c r="K26" s="242"/>
      <c r="L26" s="242"/>
      <c r="N26" s="219" t="s">
        <v>3</v>
      </c>
      <c r="O26" s="12" t="s">
        <v>66</v>
      </c>
      <c r="P26" s="11" t="s">
        <v>67</v>
      </c>
      <c r="Q26" s="249" t="s">
        <v>79</v>
      </c>
      <c r="R26" s="249"/>
      <c r="S26" s="19" t="s">
        <v>83</v>
      </c>
      <c r="T26" s="11" t="s">
        <v>69</v>
      </c>
      <c r="U26" s="20">
        <f>S19</f>
        <v>30</v>
      </c>
      <c r="V26" s="11" t="s">
        <v>61</v>
      </c>
      <c r="W26" s="11"/>
      <c r="X26" s="11"/>
      <c r="Y26" s="11"/>
      <c r="AA26" s="219" t="s">
        <v>3</v>
      </c>
      <c r="AB26" s="12" t="s">
        <v>66</v>
      </c>
      <c r="AC26" s="11" t="s">
        <v>67</v>
      </c>
      <c r="AD26" s="249" t="s">
        <v>79</v>
      </c>
      <c r="AE26" s="249"/>
      <c r="AF26" s="19" t="s">
        <v>83</v>
      </c>
      <c r="AG26" s="11" t="s">
        <v>69</v>
      </c>
      <c r="AH26" s="20">
        <f>S19</f>
        <v>30</v>
      </c>
      <c r="AI26" s="20" t="s">
        <v>61</v>
      </c>
      <c r="AO26" s="16" t="s">
        <v>3</v>
      </c>
      <c r="AP26" s="253">
        <f>AP25*SIN((AV25+AZ25)*PI()/180)</f>
        <v>-2.0767424529016738</v>
      </c>
      <c r="AQ26" s="253"/>
      <c r="AR26" s="253"/>
      <c r="AS26" s="21" t="s">
        <v>91</v>
      </c>
      <c r="AT26" s="15"/>
      <c r="BD26" s="5"/>
      <c r="BR26" s="6"/>
    </row>
    <row r="27" spans="4:70" x14ac:dyDescent="0.45">
      <c r="D27" s="220"/>
      <c r="E27" s="220"/>
      <c r="F27" s="219"/>
      <c r="G27" s="243" t="s">
        <v>98</v>
      </c>
      <c r="H27" s="243"/>
      <c r="I27" s="243"/>
      <c r="J27" s="243"/>
      <c r="K27" s="243"/>
      <c r="L27" s="243"/>
      <c r="N27" s="219"/>
      <c r="O27" s="222" t="s">
        <v>80</v>
      </c>
      <c r="P27" s="222"/>
      <c r="Q27" s="18" t="s">
        <v>83</v>
      </c>
      <c r="R27" t="s">
        <v>69</v>
      </c>
      <c r="S27" s="1">
        <f>S19</f>
        <v>30</v>
      </c>
      <c r="T27" t="s">
        <v>69</v>
      </c>
      <c r="U27" s="250">
        <f>R21</f>
        <v>-21.8</v>
      </c>
      <c r="V27" s="250"/>
      <c r="W27" s="1" t="s">
        <v>105</v>
      </c>
      <c r="X27" s="250">
        <f>P23</f>
        <v>20</v>
      </c>
      <c r="Y27" s="250"/>
      <c r="Z27" t="s">
        <v>61</v>
      </c>
      <c r="AA27" s="219"/>
      <c r="AB27" s="222" t="s">
        <v>80</v>
      </c>
      <c r="AC27" s="222"/>
      <c r="AD27" s="18" t="s">
        <v>83</v>
      </c>
      <c r="AE27" t="s">
        <v>69</v>
      </c>
      <c r="AF27" s="250">
        <f>S27+U27+X27</f>
        <v>28.2</v>
      </c>
      <c r="AG27" s="250"/>
      <c r="AH27" s="250"/>
      <c r="AI27" t="s">
        <v>61</v>
      </c>
      <c r="BD27" s="5"/>
      <c r="BR27" s="6"/>
    </row>
    <row r="28" spans="4:70" x14ac:dyDescent="0.45">
      <c r="AM28" s="15" t="s">
        <v>107</v>
      </c>
      <c r="AN28" s="15"/>
      <c r="AO28" s="15"/>
      <c r="AP28" s="15"/>
      <c r="AQ28" s="15"/>
      <c r="AR28" s="15"/>
      <c r="AS28" s="15"/>
      <c r="AT28" s="15"/>
      <c r="BD28" s="5"/>
      <c r="BR28" s="6"/>
    </row>
    <row r="29" spans="4:70" x14ac:dyDescent="0.45">
      <c r="D29" s="220" t="s">
        <v>66</v>
      </c>
      <c r="E29" s="220"/>
      <c r="F29" s="219" t="s">
        <v>3</v>
      </c>
      <c r="G29" s="12" t="s">
        <v>205</v>
      </c>
      <c r="H29" s="11" t="s">
        <v>67</v>
      </c>
      <c r="I29" s="13" t="s">
        <v>40</v>
      </c>
      <c r="J29" s="222" t="s">
        <v>100</v>
      </c>
      <c r="K29" s="222"/>
      <c r="L29" s="219" t="s">
        <v>68</v>
      </c>
      <c r="M29" s="220" t="s">
        <v>33</v>
      </c>
      <c r="N29" s="219" t="s">
        <v>67</v>
      </c>
      <c r="O29" s="220" t="s">
        <v>205</v>
      </c>
      <c r="Q29" s="219" t="s">
        <v>3</v>
      </c>
      <c r="R29" s="12" t="s">
        <v>205</v>
      </c>
      <c r="S29" s="11" t="s">
        <v>67</v>
      </c>
      <c r="T29" s="224">
        <f>AF3</f>
        <v>6</v>
      </c>
      <c r="U29" s="224"/>
      <c r="V29" s="218" t="s">
        <v>106</v>
      </c>
      <c r="W29" s="217">
        <f>'1.条件'!T25</f>
        <v>19</v>
      </c>
      <c r="X29" s="219" t="s">
        <v>68</v>
      </c>
      <c r="Y29" s="217">
        <f>'1.条件'!T37</f>
        <v>10</v>
      </c>
      <c r="Z29" s="219" t="s">
        <v>67</v>
      </c>
      <c r="AA29" s="220" t="s">
        <v>205</v>
      </c>
      <c r="AB29" s="35"/>
      <c r="AC29" s="219" t="s">
        <v>3</v>
      </c>
      <c r="AD29" s="216">
        <f>T29/S30*W29+Y29</f>
        <v>67</v>
      </c>
      <c r="AE29" s="216"/>
      <c r="AF29" s="219" t="s">
        <v>67</v>
      </c>
      <c r="AG29" s="220" t="s">
        <v>205</v>
      </c>
      <c r="AJ29" s="1"/>
      <c r="AK29" s="1"/>
      <c r="AM29" s="251" t="s">
        <v>108</v>
      </c>
      <c r="AN29" s="251"/>
      <c r="AO29" s="16" t="s">
        <v>3</v>
      </c>
      <c r="AP29" s="22" t="s">
        <v>109</v>
      </c>
      <c r="AQ29" s="15" t="s">
        <v>110</v>
      </c>
      <c r="AR29" s="21">
        <v>3</v>
      </c>
      <c r="AW29" s="15"/>
      <c r="AX29" s="2"/>
      <c r="BD29" s="5"/>
      <c r="BR29" s="6"/>
    </row>
    <row r="30" spans="4:70" x14ac:dyDescent="0.45">
      <c r="D30" s="220"/>
      <c r="E30" s="220"/>
      <c r="F30" s="219"/>
      <c r="H30" s="1">
        <v>2</v>
      </c>
      <c r="J30" s="222"/>
      <c r="K30" s="222"/>
      <c r="L30" s="219"/>
      <c r="M30" s="220"/>
      <c r="N30" s="219"/>
      <c r="O30" s="220"/>
      <c r="Q30" s="219"/>
      <c r="S30" s="1">
        <v>2</v>
      </c>
      <c r="V30" s="218"/>
      <c r="W30" s="217"/>
      <c r="X30" s="219"/>
      <c r="Y30" s="217"/>
      <c r="Z30" s="219"/>
      <c r="AA30" s="220"/>
      <c r="AC30" s="219"/>
      <c r="AD30" s="216"/>
      <c r="AE30" s="216"/>
      <c r="AF30" s="219"/>
      <c r="AG30" s="220"/>
      <c r="AO30" s="16" t="s">
        <v>3</v>
      </c>
      <c r="AP30" s="253">
        <f>AF3</f>
        <v>6</v>
      </c>
      <c r="AQ30" s="253"/>
      <c r="AR30" s="15" t="s">
        <v>110</v>
      </c>
      <c r="AS30" s="21">
        <v>3</v>
      </c>
      <c r="AY30" s="15"/>
      <c r="AZ30" s="253"/>
      <c r="BA30" s="253"/>
      <c r="BD30" s="5"/>
      <c r="BR30" s="6"/>
    </row>
    <row r="31" spans="4:70" x14ac:dyDescent="0.45">
      <c r="F31" s="4"/>
      <c r="V31" s="43"/>
      <c r="AO31" s="16" t="s">
        <v>3</v>
      </c>
      <c r="AP31" s="253">
        <f>AP30/AS30</f>
        <v>2</v>
      </c>
      <c r="AQ31" s="253"/>
      <c r="AR31" s="253"/>
      <c r="AS31" s="21" t="s">
        <v>111</v>
      </c>
      <c r="AT31" s="21"/>
      <c r="BD31" s="5"/>
      <c r="BR31" s="6"/>
    </row>
    <row r="32" spans="4:70" x14ac:dyDescent="0.45">
      <c r="D32" s="220" t="s">
        <v>205</v>
      </c>
      <c r="E32" s="220"/>
      <c r="F32" s="219" t="s">
        <v>3</v>
      </c>
      <c r="G32" s="219" t="s">
        <v>60</v>
      </c>
      <c r="H32" s="11"/>
      <c r="I32" s="17">
        <v>1</v>
      </c>
      <c r="J32" s="11"/>
      <c r="K32" s="219" t="s">
        <v>68</v>
      </c>
      <c r="L32" s="222" t="s">
        <v>70</v>
      </c>
      <c r="M32" s="222"/>
      <c r="N32" s="222"/>
      <c r="O32" s="219" t="s">
        <v>61</v>
      </c>
      <c r="P32" s="219" t="s">
        <v>62</v>
      </c>
      <c r="Q32" s="220" t="s">
        <v>40</v>
      </c>
      <c r="S32" s="219" t="s">
        <v>3</v>
      </c>
      <c r="T32" s="219" t="s">
        <v>60</v>
      </c>
      <c r="U32" s="11"/>
      <c r="V32" s="17">
        <v>1</v>
      </c>
      <c r="W32" s="11"/>
      <c r="X32" s="219" t="s">
        <v>68</v>
      </c>
      <c r="Y32" s="222" t="s">
        <v>81</v>
      </c>
      <c r="Z32" s="222"/>
      <c r="AA32" s="247">
        <f>R21</f>
        <v>-21.8</v>
      </c>
      <c r="AB32" s="247"/>
      <c r="AC32" s="247"/>
      <c r="AD32" s="219" t="s">
        <v>82</v>
      </c>
      <c r="AE32" s="219"/>
      <c r="AF32" s="216">
        <f>AF3</f>
        <v>6</v>
      </c>
      <c r="AG32" s="216"/>
      <c r="BD32" s="7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8"/>
    </row>
    <row r="33" spans="4:70" x14ac:dyDescent="0.45">
      <c r="D33" s="220"/>
      <c r="E33" s="220"/>
      <c r="F33" s="219"/>
      <c r="G33" s="219"/>
      <c r="H33" s="222" t="s">
        <v>77</v>
      </c>
      <c r="I33" s="222"/>
      <c r="J33" s="222"/>
      <c r="K33" s="219"/>
      <c r="L33" s="222"/>
      <c r="M33" s="222"/>
      <c r="N33" s="222"/>
      <c r="O33" s="219"/>
      <c r="P33" s="219"/>
      <c r="Q33" s="220"/>
      <c r="S33" s="219"/>
      <c r="T33" s="219"/>
      <c r="U33" s="222" t="s">
        <v>77</v>
      </c>
      <c r="V33" s="222"/>
      <c r="W33" s="222"/>
      <c r="X33" s="219"/>
      <c r="Y33" s="222"/>
      <c r="Z33" s="222"/>
      <c r="AA33" s="247"/>
      <c r="AB33" s="247"/>
      <c r="AC33" s="247"/>
      <c r="AD33" s="219"/>
      <c r="AE33" s="219"/>
      <c r="AF33" s="216"/>
      <c r="AG33" s="216"/>
      <c r="AM33" s="251" t="s">
        <v>112</v>
      </c>
      <c r="AN33" s="251"/>
      <c r="AO33" s="16" t="s">
        <v>3</v>
      </c>
      <c r="AP33" s="33" t="s">
        <v>41</v>
      </c>
      <c r="AQ33" t="s">
        <v>68</v>
      </c>
      <c r="AR33" s="255" t="s">
        <v>113</v>
      </c>
      <c r="AS33" s="255"/>
      <c r="AT33" t="s">
        <v>62</v>
      </c>
      <c r="AU33" s="255" t="s">
        <v>410</v>
      </c>
      <c r="AV33" s="255"/>
    </row>
    <row r="34" spans="4:70" x14ac:dyDescent="0.45">
      <c r="F34" s="219" t="s">
        <v>3</v>
      </c>
      <c r="G34" s="219" t="s">
        <v>60</v>
      </c>
      <c r="H34" s="11"/>
      <c r="I34" s="17">
        <v>1</v>
      </c>
      <c r="J34" s="11"/>
      <c r="K34" s="219" t="s">
        <v>68</v>
      </c>
      <c r="L34" s="216">
        <f>ROUND(TAN(AA32*PI()/180),2)</f>
        <v>-0.4</v>
      </c>
      <c r="M34" s="216"/>
      <c r="N34" s="216"/>
      <c r="O34" s="219" t="s">
        <v>82</v>
      </c>
      <c r="P34" s="219"/>
      <c r="Q34" s="246">
        <f>AF32</f>
        <v>6</v>
      </c>
      <c r="R34" s="246"/>
      <c r="S34" s="246"/>
      <c r="AO34" s="16" t="s">
        <v>3</v>
      </c>
      <c r="AP34" s="216">
        <f>AF5</f>
        <v>1.4</v>
      </c>
      <c r="AQ34" s="218"/>
      <c r="AR34" s="218"/>
      <c r="AS34" t="s">
        <v>68</v>
      </c>
      <c r="AT34" s="216">
        <f>AP31</f>
        <v>2</v>
      </c>
      <c r="AU34" s="218"/>
      <c r="AV34" s="218"/>
      <c r="AW34" t="s">
        <v>62</v>
      </c>
      <c r="AX34" s="216">
        <f>AF7</f>
        <v>0.4</v>
      </c>
      <c r="AY34" s="218"/>
      <c r="AZ34" s="218"/>
      <c r="BA34" s="1"/>
    </row>
    <row r="35" spans="4:70" x14ac:dyDescent="0.45">
      <c r="F35" s="219"/>
      <c r="G35" s="219"/>
      <c r="H35" s="222" t="s">
        <v>77</v>
      </c>
      <c r="I35" s="222"/>
      <c r="J35" s="222"/>
      <c r="K35" s="219"/>
      <c r="L35" s="216"/>
      <c r="M35" s="216"/>
      <c r="N35" s="216"/>
      <c r="O35" s="219"/>
      <c r="P35" s="219"/>
      <c r="Q35" s="246"/>
      <c r="R35" s="246"/>
      <c r="S35" s="246"/>
      <c r="AO35" s="16" t="s">
        <v>3</v>
      </c>
      <c r="AP35" s="216">
        <f>AP34+AT34*AX34</f>
        <v>2.2000000000000002</v>
      </c>
      <c r="AQ35" s="216"/>
      <c r="AR35" s="216"/>
      <c r="AS35" s="21" t="s">
        <v>111</v>
      </c>
    </row>
    <row r="36" spans="4:70" x14ac:dyDescent="0.45">
      <c r="F36" s="219" t="s">
        <v>3</v>
      </c>
      <c r="G36" s="224">
        <f>I34*Q34</f>
        <v>6</v>
      </c>
      <c r="H36" s="224"/>
      <c r="I36" s="224"/>
      <c r="J36" s="219" t="s">
        <v>68</v>
      </c>
      <c r="K36" s="216">
        <f>L34*Q34</f>
        <v>-2.4000000000000004</v>
      </c>
      <c r="L36" s="216"/>
      <c r="M36" s="216"/>
    </row>
    <row r="37" spans="4:70" x14ac:dyDescent="0.45">
      <c r="F37" s="219"/>
      <c r="G37" s="222" t="s">
        <v>77</v>
      </c>
      <c r="H37" s="222"/>
      <c r="I37" s="222"/>
      <c r="J37" s="219"/>
      <c r="K37" s="216"/>
      <c r="L37" s="216"/>
      <c r="M37" s="216"/>
    </row>
    <row r="38" spans="4:70" x14ac:dyDescent="0.45">
      <c r="AI38">
        <v>5</v>
      </c>
      <c r="BR38">
        <v>6</v>
      </c>
    </row>
    <row r="41" spans="4:70" x14ac:dyDescent="0.45">
      <c r="AB41" s="4"/>
    </row>
    <row r="42" spans="4:70" x14ac:dyDescent="0.45">
      <c r="AB42" s="4"/>
    </row>
  </sheetData>
  <sheetProtection sheet="1" objects="1" scenarios="1"/>
  <mergeCells count="202">
    <mergeCell ref="BJ7:BK7"/>
    <mergeCell ref="BM7:BO7"/>
    <mergeCell ref="BJ9:BK9"/>
    <mergeCell ref="BM9:BO9"/>
    <mergeCell ref="Z29:Z30"/>
    <mergeCell ref="X29:X30"/>
    <mergeCell ref="W29:W30"/>
    <mergeCell ref="AF29:AF30"/>
    <mergeCell ref="AG29:AG30"/>
    <mergeCell ref="AP8:AR8"/>
    <mergeCell ref="AP25:AR25"/>
    <mergeCell ref="AS25:AU25"/>
    <mergeCell ref="AV25:AX25"/>
    <mergeCell ref="AS15:AU15"/>
    <mergeCell ref="AV15:AX15"/>
    <mergeCell ref="AN16:AO16"/>
    <mergeCell ref="AP16:AR16"/>
    <mergeCell ref="AS16:AU16"/>
    <mergeCell ref="AV16:AX16"/>
    <mergeCell ref="AS8:AU8"/>
    <mergeCell ref="AV8:AX8"/>
    <mergeCell ref="AN9:AO9"/>
    <mergeCell ref="AP9:AR9"/>
    <mergeCell ref="AS9:AU9"/>
    <mergeCell ref="AV9:AX9"/>
    <mergeCell ref="AA29:AA30"/>
    <mergeCell ref="AC29:AC30"/>
    <mergeCell ref="AD29:AE30"/>
    <mergeCell ref="V29:V30"/>
    <mergeCell ref="N26:N27"/>
    <mergeCell ref="Q26:R26"/>
    <mergeCell ref="O27:P27"/>
    <mergeCell ref="O12:O13"/>
    <mergeCell ref="O23:O24"/>
    <mergeCell ref="Y29:Y30"/>
    <mergeCell ref="P23:Q24"/>
    <mergeCell ref="R23:R24"/>
    <mergeCell ref="O21:P21"/>
    <mergeCell ref="R21:T21"/>
    <mergeCell ref="P12:P13"/>
    <mergeCell ref="Q12:Q13"/>
    <mergeCell ref="U27:V27"/>
    <mergeCell ref="X27:Y27"/>
    <mergeCell ref="AP34:AR34"/>
    <mergeCell ref="AT34:AV34"/>
    <mergeCell ref="AX34:AZ34"/>
    <mergeCell ref="AP35:AR35"/>
    <mergeCell ref="AR33:AS33"/>
    <mergeCell ref="AU33:AV33"/>
    <mergeCell ref="AM29:AN29"/>
    <mergeCell ref="AP31:AR31"/>
    <mergeCell ref="AM33:AN33"/>
    <mergeCell ref="AP30:AQ30"/>
    <mergeCell ref="AZ30:BA30"/>
    <mergeCell ref="AZ25:BB25"/>
    <mergeCell ref="AP26:AR26"/>
    <mergeCell ref="AP21:AR21"/>
    <mergeCell ref="AM24:AN24"/>
    <mergeCell ref="AP24:AQ24"/>
    <mergeCell ref="AR24:AU24"/>
    <mergeCell ref="AP4:AR4"/>
    <mergeCell ref="AS4:AU4"/>
    <mergeCell ref="AV4:AX4"/>
    <mergeCell ref="AV11:AX11"/>
    <mergeCell ref="AN12:AO12"/>
    <mergeCell ref="AP12:AR12"/>
    <mergeCell ref="AS12:AU12"/>
    <mergeCell ref="AV12:AX12"/>
    <mergeCell ref="AN13:AO13"/>
    <mergeCell ref="AP13:AR13"/>
    <mergeCell ref="AS13:AU13"/>
    <mergeCell ref="AV13:AX13"/>
    <mergeCell ref="AN14:AO14"/>
    <mergeCell ref="AP14:AR14"/>
    <mergeCell ref="AS14:AU14"/>
    <mergeCell ref="AV14:AX14"/>
    <mergeCell ref="AN15:AO15"/>
    <mergeCell ref="AP15:AR15"/>
    <mergeCell ref="BJ11:BK11"/>
    <mergeCell ref="BJ5:BK5"/>
    <mergeCell ref="AN4:AO4"/>
    <mergeCell ref="BM11:BO11"/>
    <mergeCell ref="AM19:AN19"/>
    <mergeCell ref="AP19:AQ19"/>
    <mergeCell ref="AR19:AU19"/>
    <mergeCell ref="AP20:AR20"/>
    <mergeCell ref="AS20:AU20"/>
    <mergeCell ref="AN10:AO10"/>
    <mergeCell ref="AP10:AR10"/>
    <mergeCell ref="AS10:AU10"/>
    <mergeCell ref="AV10:AX10"/>
    <mergeCell ref="AV20:AX20"/>
    <mergeCell ref="AZ20:BB20"/>
    <mergeCell ref="BM5:BO5"/>
    <mergeCell ref="AN7:AO7"/>
    <mergeCell ref="AP7:AR7"/>
    <mergeCell ref="AS7:AU7"/>
    <mergeCell ref="AV7:AX7"/>
    <mergeCell ref="AN8:AO8"/>
    <mergeCell ref="AN11:AO11"/>
    <mergeCell ref="AP11:AR11"/>
    <mergeCell ref="AS11:AU11"/>
    <mergeCell ref="AN2:AO2"/>
    <mergeCell ref="AP2:AR2"/>
    <mergeCell ref="AS2:AU2"/>
    <mergeCell ref="AV2:AX2"/>
    <mergeCell ref="U33:W33"/>
    <mergeCell ref="AA26:AA27"/>
    <mergeCell ref="AD26:AE26"/>
    <mergeCell ref="AB27:AC27"/>
    <mergeCell ref="AF27:AH27"/>
    <mergeCell ref="AF6:AH6"/>
    <mergeCell ref="AF7:AH7"/>
    <mergeCell ref="AN5:AO5"/>
    <mergeCell ref="AP5:AR5"/>
    <mergeCell ref="AS5:AU5"/>
    <mergeCell ref="AV5:AX5"/>
    <mergeCell ref="AN6:AO6"/>
    <mergeCell ref="AP6:AR6"/>
    <mergeCell ref="AS6:AU6"/>
    <mergeCell ref="AV6:AX6"/>
    <mergeCell ref="AN3:AO3"/>
    <mergeCell ref="AP3:AR3"/>
    <mergeCell ref="AS3:AU3"/>
    <mergeCell ref="AV3:AX3"/>
    <mergeCell ref="AD32:AE33"/>
    <mergeCell ref="F36:F37"/>
    <mergeCell ref="G36:I36"/>
    <mergeCell ref="J36:J37"/>
    <mergeCell ref="G37:I37"/>
    <mergeCell ref="F34:F35"/>
    <mergeCell ref="AF32:AG33"/>
    <mergeCell ref="G34:G35"/>
    <mergeCell ref="K34:K35"/>
    <mergeCell ref="L34:N35"/>
    <mergeCell ref="O34:P35"/>
    <mergeCell ref="Q34:S35"/>
    <mergeCell ref="H35:J35"/>
    <mergeCell ref="K36:M37"/>
    <mergeCell ref="X32:X33"/>
    <mergeCell ref="Y32:Z33"/>
    <mergeCell ref="AA32:AC33"/>
    <mergeCell ref="H33:J33"/>
    <mergeCell ref="Q32:Q33"/>
    <mergeCell ref="D32:E33"/>
    <mergeCell ref="F32:F33"/>
    <mergeCell ref="G32:G33"/>
    <mergeCell ref="K32:K33"/>
    <mergeCell ref="L32:N33"/>
    <mergeCell ref="O32:O33"/>
    <mergeCell ref="P32:P33"/>
    <mergeCell ref="Q29:Q30"/>
    <mergeCell ref="T29:U29"/>
    <mergeCell ref="D29:E30"/>
    <mergeCell ref="F29:F30"/>
    <mergeCell ref="J29:K30"/>
    <mergeCell ref="L29:L30"/>
    <mergeCell ref="M29:M30"/>
    <mergeCell ref="N29:N30"/>
    <mergeCell ref="O29:O30"/>
    <mergeCell ref="S32:S33"/>
    <mergeCell ref="T32:T33"/>
    <mergeCell ref="D26:E27"/>
    <mergeCell ref="F26:F27"/>
    <mergeCell ref="I26:L26"/>
    <mergeCell ref="G27:L27"/>
    <mergeCell ref="D12:E13"/>
    <mergeCell ref="F12:F13"/>
    <mergeCell ref="G12:G13"/>
    <mergeCell ref="K12:K13"/>
    <mergeCell ref="L12:N13"/>
    <mergeCell ref="D22:E22"/>
    <mergeCell ref="F23:F24"/>
    <mergeCell ref="G23:G24"/>
    <mergeCell ref="I23:I24"/>
    <mergeCell ref="K23:K24"/>
    <mergeCell ref="M23:N24"/>
    <mergeCell ref="D20:E20"/>
    <mergeCell ref="H21:I21"/>
    <mergeCell ref="M21:N21"/>
    <mergeCell ref="H13:J13"/>
    <mergeCell ref="D17:E17"/>
    <mergeCell ref="AF3:AH3"/>
    <mergeCell ref="AF4:AH4"/>
    <mergeCell ref="AF5:AH5"/>
    <mergeCell ref="M9:M10"/>
    <mergeCell ref="N9:N10"/>
    <mergeCell ref="O9:O10"/>
    <mergeCell ref="P9:P10"/>
    <mergeCell ref="D18:E18"/>
    <mergeCell ref="D19:E19"/>
    <mergeCell ref="S19:T19"/>
    <mergeCell ref="D6:E7"/>
    <mergeCell ref="F6:F7"/>
    <mergeCell ref="I6:L6"/>
    <mergeCell ref="G7:L7"/>
    <mergeCell ref="D9:E10"/>
    <mergeCell ref="F9:F10"/>
    <mergeCell ref="J9:J10"/>
    <mergeCell ref="K9:L10"/>
    <mergeCell ref="D15:E15"/>
    <mergeCell ref="D16:E16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D1684-1E09-4D3E-A344-7511A17689FD}">
  <dimension ref="C1:BR41"/>
  <sheetViews>
    <sheetView showGridLines="0" view="pageBreakPreview" zoomScale="70" zoomScaleNormal="65" zoomScaleSheetLayoutView="70" workbookViewId="0">
      <selection activeCell="A2" sqref="A2"/>
    </sheetView>
  </sheetViews>
  <sheetFormatPr defaultRowHeight="18" x14ac:dyDescent="0.45"/>
  <cols>
    <col min="1" max="70" width="3" customWidth="1"/>
  </cols>
  <sheetData>
    <row r="1" spans="3:68" x14ac:dyDescent="0.45">
      <c r="T1" s="15"/>
      <c r="U1" s="15"/>
      <c r="V1" s="15"/>
      <c r="W1" s="15"/>
    </row>
    <row r="2" spans="3:68" x14ac:dyDescent="0.45">
      <c r="U2" s="15"/>
      <c r="V2" s="15"/>
      <c r="W2" s="15"/>
      <c r="X2" s="15"/>
      <c r="AN2" s="229" t="s">
        <v>83</v>
      </c>
      <c r="AO2" s="229"/>
      <c r="AP2" s="248" t="s">
        <v>205</v>
      </c>
      <c r="AQ2" s="248"/>
      <c r="AR2" s="248"/>
      <c r="AS2" s="248" t="s">
        <v>66</v>
      </c>
      <c r="AT2" s="248"/>
      <c r="AU2" s="248"/>
      <c r="AV2" s="248" t="s">
        <v>65</v>
      </c>
      <c r="AW2" s="248"/>
      <c r="AX2" s="248"/>
    </row>
    <row r="3" spans="3:68" x14ac:dyDescent="0.45">
      <c r="C3" s="49" t="s">
        <v>449</v>
      </c>
      <c r="V3" s="36" t="s">
        <v>2</v>
      </c>
      <c r="W3" s="37"/>
      <c r="X3" s="37"/>
      <c r="Y3" s="37"/>
      <c r="Z3" s="37"/>
      <c r="AA3" s="37"/>
      <c r="AB3" s="37"/>
      <c r="AC3" s="38" t="s">
        <v>40</v>
      </c>
      <c r="AD3" s="37"/>
      <c r="AE3" s="37" t="s">
        <v>3</v>
      </c>
      <c r="AF3" s="226">
        <f>'1.条件'!T6</f>
        <v>6</v>
      </c>
      <c r="AG3" s="226"/>
      <c r="AH3" s="226"/>
      <c r="AI3" s="39" t="s">
        <v>4</v>
      </c>
      <c r="AL3" s="1" t="str">
        <f t="shared" ref="AL3:AL16" si="0">IF(MAX(AV$3:AV$16)=AV3, 1,"")</f>
        <v/>
      </c>
      <c r="AN3" s="215">
        <v>45</v>
      </c>
      <c r="AO3" s="215"/>
      <c r="AP3" s="214">
        <f t="shared" ref="AP3:AP16" si="1">(G$36/TAN(AN3*PI()/180))+K$36</f>
        <v>3.6000000000000005</v>
      </c>
      <c r="AQ3" s="214"/>
      <c r="AR3" s="214"/>
      <c r="AS3" s="214">
        <f t="shared" ref="AS3:AS16" si="2">AD$29*AP3</f>
        <v>205.20000000000002</v>
      </c>
      <c r="AT3" s="214"/>
      <c r="AU3" s="214"/>
      <c r="AV3" s="214">
        <f t="shared" ref="AV3:AV16" si="3">AS3*SIN((AN3-AH$26)*PI()/180)/COS((AN3-AF$27)*PI()/180)</f>
        <v>55.477474544237253</v>
      </c>
      <c r="AW3" s="214"/>
      <c r="AX3" s="214"/>
    </row>
    <row r="4" spans="3:68" x14ac:dyDescent="0.45">
      <c r="D4" s="15" t="s">
        <v>208</v>
      </c>
      <c r="U4" s="50"/>
      <c r="V4" s="5" t="s">
        <v>6</v>
      </c>
      <c r="AC4" s="2" t="s">
        <v>42</v>
      </c>
      <c r="AE4" t="s">
        <v>3</v>
      </c>
      <c r="AF4" s="216">
        <f>'1.条件'!T7</f>
        <v>0.8</v>
      </c>
      <c r="AG4" s="216"/>
      <c r="AH4" s="216"/>
      <c r="AI4" s="40" t="s">
        <v>4</v>
      </c>
      <c r="AL4" s="1" t="str">
        <f t="shared" si="0"/>
        <v/>
      </c>
      <c r="AN4" s="215">
        <v>46</v>
      </c>
      <c r="AO4" s="215"/>
      <c r="AP4" s="214">
        <f t="shared" si="1"/>
        <v>3.3941326488424446</v>
      </c>
      <c r="AQ4" s="214"/>
      <c r="AR4" s="214"/>
      <c r="AS4" s="214">
        <f t="shared" si="2"/>
        <v>193.46556098401933</v>
      </c>
      <c r="AT4" s="214"/>
      <c r="AU4" s="214"/>
      <c r="AV4" s="214">
        <f t="shared" si="3"/>
        <v>56.007446128416753</v>
      </c>
      <c r="AW4" s="214"/>
      <c r="AX4" s="214"/>
    </row>
    <row r="5" spans="3:68" x14ac:dyDescent="0.45">
      <c r="D5" s="49" t="s">
        <v>209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50"/>
      <c r="V5" s="5" t="s">
        <v>5</v>
      </c>
      <c r="AC5" s="2" t="s">
        <v>41</v>
      </c>
      <c r="AE5" t="s">
        <v>3</v>
      </c>
      <c r="AF5" s="216">
        <f>'1.条件'!T8</f>
        <v>1.4</v>
      </c>
      <c r="AG5" s="216"/>
      <c r="AH5" s="216"/>
      <c r="AI5" s="40" t="s">
        <v>4</v>
      </c>
      <c r="AL5" s="1">
        <f t="shared" si="0"/>
        <v>1</v>
      </c>
      <c r="AN5" s="215">
        <v>47</v>
      </c>
      <c r="AO5" s="215"/>
      <c r="AP5" s="214">
        <f t="shared" si="1"/>
        <v>3.19509051682597</v>
      </c>
      <c r="AQ5" s="214"/>
      <c r="AR5" s="214"/>
      <c r="AS5" s="214">
        <f t="shared" si="2"/>
        <v>182.1201594590803</v>
      </c>
      <c r="AT5" s="214"/>
      <c r="AU5" s="214"/>
      <c r="AV5" s="214">
        <f t="shared" si="3"/>
        <v>56.247634397263788</v>
      </c>
      <c r="AW5" s="214"/>
      <c r="AX5" s="214"/>
      <c r="AZ5" t="s">
        <v>137</v>
      </c>
      <c r="BJ5" s="222" t="s">
        <v>83</v>
      </c>
      <c r="BK5" s="222"/>
      <c r="BL5" t="s">
        <v>3</v>
      </c>
      <c r="BM5" s="217">
        <f>VLOOKUP(1,AL3:AX16,3)</f>
        <v>47</v>
      </c>
      <c r="BN5" s="217"/>
      <c r="BO5" s="217"/>
      <c r="BP5" t="s">
        <v>24</v>
      </c>
    </row>
    <row r="6" spans="3:68" x14ac:dyDescent="0.45">
      <c r="D6" t="s">
        <v>411</v>
      </c>
      <c r="V6" s="5" t="s">
        <v>7</v>
      </c>
      <c r="AA6" s="1">
        <v>1</v>
      </c>
      <c r="AB6" t="s">
        <v>9</v>
      </c>
      <c r="AC6" s="2" t="s">
        <v>406</v>
      </c>
      <c r="AF6" s="216">
        <f>'1.条件'!T9</f>
        <v>0.5</v>
      </c>
      <c r="AG6" s="216"/>
      <c r="AH6" s="216"/>
      <c r="AI6" s="40"/>
      <c r="AL6" s="1" t="str">
        <f t="shared" si="0"/>
        <v/>
      </c>
      <c r="AN6" s="215">
        <v>48</v>
      </c>
      <c r="AO6" s="215"/>
      <c r="AP6" s="214">
        <f t="shared" si="1"/>
        <v>3.0024242657870399</v>
      </c>
      <c r="AQ6" s="214"/>
      <c r="AR6" s="214"/>
      <c r="AS6" s="214">
        <f t="shared" si="2"/>
        <v>171.13818314986128</v>
      </c>
      <c r="AT6" s="214"/>
      <c r="AU6" s="214"/>
      <c r="AV6" s="214">
        <f t="shared" si="3"/>
        <v>56.207554373270725</v>
      </c>
      <c r="AW6" s="214"/>
      <c r="AX6" s="214"/>
    </row>
    <row r="7" spans="3:68" x14ac:dyDescent="0.45">
      <c r="V7" s="5" t="s">
        <v>10</v>
      </c>
      <c r="AA7" s="1">
        <v>1</v>
      </c>
      <c r="AB7" t="s">
        <v>9</v>
      </c>
      <c r="AC7" s="2" t="s">
        <v>410</v>
      </c>
      <c r="AF7" s="216">
        <f>'1.条件'!T10</f>
        <v>0.4</v>
      </c>
      <c r="AG7" s="216"/>
      <c r="AH7" s="216"/>
      <c r="AI7" s="40"/>
      <c r="AL7" s="1" t="str">
        <f t="shared" si="0"/>
        <v/>
      </c>
      <c r="AN7" s="215">
        <v>49</v>
      </c>
      <c r="AO7" s="215"/>
      <c r="AP7" s="214">
        <f t="shared" si="1"/>
        <v>2.8157204268973599</v>
      </c>
      <c r="AQ7" s="214"/>
      <c r="AR7" s="214"/>
      <c r="AS7" s="214">
        <f t="shared" si="2"/>
        <v>160.49606433314952</v>
      </c>
      <c r="AT7" s="214"/>
      <c r="AU7" s="214"/>
      <c r="AV7" s="214">
        <f t="shared" si="3"/>
        <v>55.895349028095382</v>
      </c>
      <c r="AW7" s="214"/>
      <c r="AX7" s="214"/>
      <c r="BJ7" s="220" t="s">
        <v>205</v>
      </c>
      <c r="BK7" s="220"/>
      <c r="BL7" t="s">
        <v>3</v>
      </c>
      <c r="BM7" s="216">
        <f>VLOOKUP(1,AL3:AX16,5)</f>
        <v>3.19509051682597</v>
      </c>
      <c r="BN7" s="216"/>
      <c r="BO7" s="216"/>
      <c r="BP7" s="1" t="s">
        <v>4</v>
      </c>
    </row>
    <row r="8" spans="3:68" x14ac:dyDescent="0.45">
      <c r="V8" s="7"/>
      <c r="W8" s="11"/>
      <c r="X8" s="11"/>
      <c r="Y8" s="11"/>
      <c r="Z8" s="11"/>
      <c r="AA8" s="11"/>
      <c r="AB8" s="11"/>
      <c r="AC8" s="20"/>
      <c r="AD8" s="20"/>
      <c r="AE8" s="20"/>
      <c r="AF8" s="20"/>
      <c r="AG8" s="20"/>
      <c r="AH8" s="20"/>
      <c r="AI8" s="41"/>
      <c r="AL8" s="1" t="str">
        <f t="shared" si="0"/>
        <v/>
      </c>
      <c r="AN8" s="215">
        <v>50</v>
      </c>
      <c r="AO8" s="215"/>
      <c r="AP8" s="214">
        <f t="shared" si="1"/>
        <v>2.6345977870636794</v>
      </c>
      <c r="AQ8" s="214"/>
      <c r="AR8" s="214"/>
      <c r="AS8" s="214">
        <f t="shared" si="2"/>
        <v>150.17207386262973</v>
      </c>
      <c r="AT8" s="214"/>
      <c r="AU8" s="214"/>
      <c r="AV8" s="214">
        <f t="shared" si="3"/>
        <v>55.317887186873705</v>
      </c>
      <c r="AW8" s="214"/>
      <c r="AX8" s="214"/>
      <c r="BJ8" s="2"/>
      <c r="BK8" s="2"/>
      <c r="BM8" s="23"/>
      <c r="BN8" s="23"/>
      <c r="BO8" s="23"/>
      <c r="BP8" s="1"/>
    </row>
    <row r="9" spans="3:68" x14ac:dyDescent="0.45">
      <c r="AL9" s="1" t="str">
        <f t="shared" si="0"/>
        <v/>
      </c>
      <c r="AN9" s="215">
        <v>51</v>
      </c>
      <c r="AO9" s="215"/>
      <c r="AP9" s="214">
        <f t="shared" si="1"/>
        <v>2.458704199170044</v>
      </c>
      <c r="AQ9" s="214"/>
      <c r="AR9" s="214"/>
      <c r="AS9" s="214">
        <f t="shared" si="2"/>
        <v>140.1461393526925</v>
      </c>
      <c r="AT9" s="214"/>
      <c r="AU9" s="214"/>
      <c r="AV9" s="214">
        <f t="shared" si="3"/>
        <v>54.480846218846551</v>
      </c>
      <c r="AW9" s="214"/>
      <c r="AX9" s="214"/>
      <c r="BJ9" s="220" t="s">
        <v>66</v>
      </c>
      <c r="BK9" s="220"/>
      <c r="BL9" t="s">
        <v>3</v>
      </c>
      <c r="BM9" s="216">
        <f>VLOOKUP(1,AL3:AX16,8)</f>
        <v>182.1201594590803</v>
      </c>
      <c r="BN9" s="216"/>
      <c r="BO9" s="216"/>
      <c r="BP9" s="21" t="s">
        <v>91</v>
      </c>
    </row>
    <row r="10" spans="3:68" x14ac:dyDescent="0.45">
      <c r="V10" s="36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42"/>
      <c r="AL10" s="1" t="str">
        <f t="shared" si="0"/>
        <v/>
      </c>
      <c r="AN10" s="215">
        <v>52</v>
      </c>
      <c r="AO10" s="215"/>
      <c r="AP10" s="214">
        <f t="shared" si="1"/>
        <v>2.2877137590403045</v>
      </c>
      <c r="AQ10" s="214"/>
      <c r="AR10" s="214"/>
      <c r="AS10" s="214">
        <f t="shared" si="2"/>
        <v>130.39968426529737</v>
      </c>
      <c r="AT10" s="214"/>
      <c r="AU10" s="214"/>
      <c r="AV10" s="214">
        <f t="shared" si="3"/>
        <v>53.388781190682188</v>
      </c>
      <c r="AW10" s="214"/>
      <c r="AX10" s="214"/>
      <c r="BJ10" s="10"/>
      <c r="BK10" s="10"/>
      <c r="BM10" s="23"/>
      <c r="BN10" s="23"/>
      <c r="BO10" s="23"/>
      <c r="BP10" s="1"/>
    </row>
    <row r="11" spans="3:68" x14ac:dyDescent="0.45">
      <c r="V11" s="5"/>
      <c r="AI11" s="6"/>
      <c r="AL11" s="1" t="str">
        <f t="shared" si="0"/>
        <v/>
      </c>
      <c r="AN11" s="215">
        <v>53</v>
      </c>
      <c r="AO11" s="215"/>
      <c r="AP11" s="214">
        <f t="shared" si="1"/>
        <v>2.1213243006167657</v>
      </c>
      <c r="AQ11" s="214"/>
      <c r="AR11" s="214"/>
      <c r="AS11" s="214">
        <f t="shared" si="2"/>
        <v>120.91548513515565</v>
      </c>
      <c r="AT11" s="214"/>
      <c r="AU11" s="214"/>
      <c r="AV11" s="214">
        <f t="shared" si="3"/>
        <v>52.045181860032926</v>
      </c>
      <c r="AW11" s="214"/>
      <c r="AX11" s="214"/>
      <c r="AZ11" t="s">
        <v>85</v>
      </c>
      <c r="BJ11" s="220" t="s">
        <v>65</v>
      </c>
      <c r="BK11" s="220"/>
      <c r="BL11" t="s">
        <v>3</v>
      </c>
      <c r="BM11" s="216">
        <f>VLOOKUP(1,AL3:AX16,11)</f>
        <v>56.247634397263788</v>
      </c>
      <c r="BN11" s="216"/>
      <c r="BO11" s="216"/>
      <c r="BP11" s="21" t="s">
        <v>91</v>
      </c>
    </row>
    <row r="12" spans="3:68" x14ac:dyDescent="0.45">
      <c r="V12" s="5"/>
      <c r="AI12" s="6"/>
      <c r="AL12" s="1" t="str">
        <f t="shared" si="0"/>
        <v/>
      </c>
      <c r="AN12" s="215">
        <v>54</v>
      </c>
      <c r="AO12" s="215"/>
      <c r="AP12" s="214">
        <f t="shared" si="1"/>
        <v>1.9592551680321657</v>
      </c>
      <c r="AQ12" s="214"/>
      <c r="AR12" s="214"/>
      <c r="AS12" s="214">
        <f t="shared" si="2"/>
        <v>111.67754457783344</v>
      </c>
      <c r="AT12" s="214"/>
      <c r="AU12" s="214"/>
      <c r="AV12" s="214">
        <f t="shared" si="3"/>
        <v>50.452518631586244</v>
      </c>
      <c r="AW12" s="214"/>
      <c r="AX12" s="214"/>
      <c r="AY12" s="15"/>
      <c r="AZ12" s="15"/>
      <c r="BA12" s="15"/>
      <c r="BB12" s="15"/>
      <c r="BC12" s="15"/>
    </row>
    <row r="13" spans="3:68" x14ac:dyDescent="0.45">
      <c r="V13" s="5"/>
      <c r="AI13" s="6"/>
      <c r="AL13" s="1" t="str">
        <f t="shared" si="0"/>
        <v/>
      </c>
      <c r="AN13" s="215">
        <v>55</v>
      </c>
      <c r="AO13" s="215"/>
      <c r="AP13" s="214">
        <f t="shared" si="1"/>
        <v>1.8012452292582584</v>
      </c>
      <c r="AQ13" s="214"/>
      <c r="AR13" s="214"/>
      <c r="AS13" s="214">
        <f t="shared" si="2"/>
        <v>102.67097806772072</v>
      </c>
      <c r="AT13" s="214"/>
      <c r="AU13" s="214"/>
      <c r="AV13" s="214">
        <f t="shared" si="3"/>
        <v>48.61227837726944</v>
      </c>
      <c r="AW13" s="214"/>
      <c r="AX13" s="214"/>
    </row>
    <row r="14" spans="3:68" x14ac:dyDescent="0.45">
      <c r="V14" s="5"/>
      <c r="AI14" s="6"/>
      <c r="AL14" s="1" t="str">
        <f t="shared" si="0"/>
        <v/>
      </c>
      <c r="AM14" s="15"/>
      <c r="AN14" s="215">
        <v>56</v>
      </c>
      <c r="AO14" s="215"/>
      <c r="AP14" s="214">
        <f t="shared" si="1"/>
        <v>1.6470511010545597</v>
      </c>
      <c r="AQ14" s="214"/>
      <c r="AR14" s="214"/>
      <c r="AS14" s="214">
        <f t="shared" si="2"/>
        <v>93.881912760109898</v>
      </c>
      <c r="AT14" s="214"/>
      <c r="AU14" s="214"/>
      <c r="AV14" s="214">
        <f t="shared" si="3"/>
        <v>46.524990829013383</v>
      </c>
      <c r="AW14" s="214"/>
      <c r="AX14" s="214"/>
      <c r="AY14" s="15"/>
      <c r="AZ14" s="15"/>
      <c r="BA14" s="15"/>
      <c r="BB14" s="15"/>
      <c r="BC14" s="15"/>
    </row>
    <row r="15" spans="3:68" x14ac:dyDescent="0.45">
      <c r="V15" s="5"/>
      <c r="AI15" s="6"/>
      <c r="AL15" s="1" t="str">
        <f t="shared" si="0"/>
        <v/>
      </c>
      <c r="AN15" s="215">
        <v>57</v>
      </c>
      <c r="AO15" s="215"/>
      <c r="AP15" s="214">
        <f t="shared" si="1"/>
        <v>1.4964455591850636</v>
      </c>
      <c r="AQ15" s="214"/>
      <c r="AR15" s="214"/>
      <c r="AS15" s="214">
        <f t="shared" si="2"/>
        <v>85.297396873548621</v>
      </c>
      <c r="AT15" s="214"/>
      <c r="AU15" s="214"/>
      <c r="AV15" s="214">
        <f t="shared" si="3"/>
        <v>44.190246080477728</v>
      </c>
      <c r="AW15" s="214"/>
      <c r="AX15" s="214"/>
    </row>
    <row r="16" spans="3:68" x14ac:dyDescent="0.45">
      <c r="V16" s="5"/>
      <c r="AI16" s="6"/>
      <c r="AL16" s="1" t="str">
        <f t="shared" si="0"/>
        <v/>
      </c>
      <c r="AN16" s="215">
        <v>58</v>
      </c>
      <c r="AO16" s="215"/>
      <c r="AP16" s="214">
        <f t="shared" si="1"/>
        <v>1.3492161114559638</v>
      </c>
      <c r="AQ16" s="214"/>
      <c r="AR16" s="214"/>
      <c r="AS16" s="214">
        <f t="shared" si="2"/>
        <v>76.905318352989937</v>
      </c>
      <c r="AT16" s="214"/>
      <c r="AU16" s="214"/>
      <c r="AV16" s="214">
        <f t="shared" si="3"/>
        <v>41.606703578201497</v>
      </c>
      <c r="AW16" s="214"/>
      <c r="AX16" s="214"/>
      <c r="AY16" s="15"/>
      <c r="AZ16" s="15"/>
      <c r="BA16" s="15"/>
      <c r="BB16" s="15"/>
      <c r="BC16" s="15"/>
    </row>
    <row r="17" spans="4:70" x14ac:dyDescent="0.45">
      <c r="V17" s="5"/>
      <c r="AI17" s="6"/>
      <c r="AV17" s="15"/>
    </row>
    <row r="18" spans="4:70" x14ac:dyDescent="0.45">
      <c r="V18" s="5"/>
      <c r="AI18" s="6"/>
      <c r="AM18" s="15" t="s">
        <v>86</v>
      </c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36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42"/>
    </row>
    <row r="19" spans="4:70" x14ac:dyDescent="0.45">
      <c r="V19" s="5"/>
      <c r="AI19" s="6"/>
      <c r="AM19" s="251" t="s">
        <v>87</v>
      </c>
      <c r="AN19" s="251"/>
      <c r="AO19" s="16" t="s">
        <v>3</v>
      </c>
      <c r="AP19" s="245" t="s">
        <v>65</v>
      </c>
      <c r="AQ19" s="245"/>
      <c r="AR19" s="252" t="s">
        <v>95</v>
      </c>
      <c r="AS19" s="252"/>
      <c r="AT19" s="252"/>
      <c r="AU19" s="252"/>
      <c r="BD19" s="5"/>
      <c r="BR19" s="6"/>
    </row>
    <row r="20" spans="4:70" x14ac:dyDescent="0.45">
      <c r="V20" s="5"/>
      <c r="AI20" s="6"/>
      <c r="AO20" s="16" t="s">
        <v>3</v>
      </c>
      <c r="AP20" s="253">
        <f>BM11</f>
        <v>56.247634397263788</v>
      </c>
      <c r="AQ20" s="253"/>
      <c r="AR20" s="253"/>
      <c r="AS20" s="252" t="s">
        <v>88</v>
      </c>
      <c r="AT20" s="252"/>
      <c r="AU20" s="252"/>
      <c r="AV20" s="254">
        <f>'2.土-常'!R21</f>
        <v>-21.8</v>
      </c>
      <c r="AW20" s="254"/>
      <c r="AX20" s="254"/>
      <c r="AY20" s="16" t="s">
        <v>89</v>
      </c>
      <c r="AZ20" s="254">
        <f>'2.土-常'!P23</f>
        <v>20</v>
      </c>
      <c r="BA20" s="254"/>
      <c r="BB20" s="254"/>
      <c r="BC20" s="15" t="s">
        <v>90</v>
      </c>
      <c r="BD20" s="5"/>
      <c r="BR20" s="6"/>
    </row>
    <row r="21" spans="4:70" x14ac:dyDescent="0.45">
      <c r="V21" s="5"/>
      <c r="AI21" s="6"/>
      <c r="AO21" s="16" t="s">
        <v>3</v>
      </c>
      <c r="AP21" s="253">
        <f>AP20*COS((AV20+AZ20)*PI()/180)</f>
        <v>56.219879585118342</v>
      </c>
      <c r="AQ21" s="253"/>
      <c r="AR21" s="253"/>
      <c r="AS21" s="21" t="s">
        <v>91</v>
      </c>
      <c r="AT21" s="15"/>
      <c r="BD21" s="5"/>
      <c r="BR21" s="6"/>
    </row>
    <row r="22" spans="4:70" x14ac:dyDescent="0.45">
      <c r="V22" s="5"/>
      <c r="AI22" s="6"/>
      <c r="BD22" s="5"/>
      <c r="BR22" s="6"/>
    </row>
    <row r="23" spans="4:70" x14ac:dyDescent="0.45">
      <c r="V23" s="5"/>
      <c r="AI23" s="6"/>
      <c r="AM23" s="15" t="s">
        <v>92</v>
      </c>
      <c r="AN23" s="15"/>
      <c r="AO23" s="15"/>
      <c r="AP23" s="15"/>
      <c r="AQ23" s="15"/>
      <c r="AR23" s="15"/>
      <c r="AS23" s="15"/>
      <c r="AT23" s="15"/>
      <c r="AU23" s="15"/>
      <c r="BD23" s="5"/>
      <c r="BR23" s="6"/>
    </row>
    <row r="24" spans="4:70" x14ac:dyDescent="0.45">
      <c r="V24" s="7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8"/>
      <c r="AM24" s="251" t="s">
        <v>93</v>
      </c>
      <c r="AN24" s="251"/>
      <c r="AO24" s="16" t="s">
        <v>3</v>
      </c>
      <c r="AP24" s="245" t="s">
        <v>65</v>
      </c>
      <c r="AQ24" s="245"/>
      <c r="AR24" s="252" t="s">
        <v>96</v>
      </c>
      <c r="AS24" s="252"/>
      <c r="AT24" s="252"/>
      <c r="AU24" s="252"/>
      <c r="BD24" s="5"/>
      <c r="BR24" s="6"/>
    </row>
    <row r="25" spans="4:70" x14ac:dyDescent="0.45">
      <c r="AO25" s="16" t="s">
        <v>3</v>
      </c>
      <c r="AP25" s="253">
        <f>BM11</f>
        <v>56.247634397263788</v>
      </c>
      <c r="AQ25" s="253"/>
      <c r="AR25" s="253"/>
      <c r="AS25" s="252" t="s">
        <v>94</v>
      </c>
      <c r="AT25" s="252"/>
      <c r="AU25" s="252"/>
      <c r="AV25" s="257">
        <f>'2.土-常'!R21</f>
        <v>-21.8</v>
      </c>
      <c r="AW25" s="257"/>
      <c r="AX25" s="257"/>
      <c r="AY25" s="16" t="s">
        <v>89</v>
      </c>
      <c r="AZ25" s="254">
        <f>'2.土-常'!P23</f>
        <v>20</v>
      </c>
      <c r="BA25" s="254"/>
      <c r="BB25" s="254"/>
      <c r="BC25" s="15" t="s">
        <v>90</v>
      </c>
      <c r="BD25" s="5"/>
      <c r="BR25" s="6"/>
    </row>
    <row r="26" spans="4:70" x14ac:dyDescent="0.45">
      <c r="D26" s="220" t="s">
        <v>65</v>
      </c>
      <c r="E26" s="220"/>
      <c r="F26" s="219" t="s">
        <v>3</v>
      </c>
      <c r="G26" s="12" t="s">
        <v>66</v>
      </c>
      <c r="H26" s="11" t="s">
        <v>67</v>
      </c>
      <c r="I26" s="242" t="s">
        <v>97</v>
      </c>
      <c r="J26" s="242"/>
      <c r="K26" s="242"/>
      <c r="L26" s="242"/>
      <c r="N26" s="219" t="s">
        <v>3</v>
      </c>
      <c r="O26" s="12" t="s">
        <v>66</v>
      </c>
      <c r="P26" s="11" t="s">
        <v>67</v>
      </c>
      <c r="Q26" s="249" t="s">
        <v>79</v>
      </c>
      <c r="R26" s="249"/>
      <c r="S26" s="19" t="s">
        <v>83</v>
      </c>
      <c r="T26" s="11" t="s">
        <v>69</v>
      </c>
      <c r="U26" s="20">
        <f>'2.土-常'!S19</f>
        <v>30</v>
      </c>
      <c r="V26" s="11" t="s">
        <v>61</v>
      </c>
      <c r="W26" s="11"/>
      <c r="X26" s="11"/>
      <c r="Y26" s="11"/>
      <c r="AA26" s="219" t="s">
        <v>3</v>
      </c>
      <c r="AB26" s="12" t="s">
        <v>66</v>
      </c>
      <c r="AC26" s="11" t="s">
        <v>67</v>
      </c>
      <c r="AD26" s="249" t="s">
        <v>79</v>
      </c>
      <c r="AE26" s="249"/>
      <c r="AF26" s="19" t="s">
        <v>83</v>
      </c>
      <c r="AG26" s="11" t="s">
        <v>69</v>
      </c>
      <c r="AH26" s="20">
        <f>'2.土-常'!S19</f>
        <v>30</v>
      </c>
      <c r="AI26" s="20" t="s">
        <v>61</v>
      </c>
      <c r="AO26" s="16" t="s">
        <v>3</v>
      </c>
      <c r="AP26" s="253">
        <f>AP25*SIN((AV25+AZ25)*PI()/180)</f>
        <v>-1.7667808927670954</v>
      </c>
      <c r="AQ26" s="253"/>
      <c r="AR26" s="253"/>
      <c r="AS26" s="21" t="s">
        <v>91</v>
      </c>
      <c r="AT26" s="15"/>
      <c r="BD26" s="5"/>
      <c r="BR26" s="6"/>
    </row>
    <row r="27" spans="4:70" x14ac:dyDescent="0.45">
      <c r="D27" s="220"/>
      <c r="E27" s="220"/>
      <c r="F27" s="219"/>
      <c r="G27" s="243" t="s">
        <v>98</v>
      </c>
      <c r="H27" s="243"/>
      <c r="I27" s="243"/>
      <c r="J27" s="243"/>
      <c r="K27" s="243"/>
      <c r="L27" s="243"/>
      <c r="N27" s="219"/>
      <c r="O27" s="222" t="s">
        <v>80</v>
      </c>
      <c r="P27" s="222"/>
      <c r="Q27" s="18" t="s">
        <v>83</v>
      </c>
      <c r="R27" t="s">
        <v>69</v>
      </c>
      <c r="S27" s="1">
        <f>'2.土-常'!S19</f>
        <v>30</v>
      </c>
      <c r="T27" t="s">
        <v>69</v>
      </c>
      <c r="U27" s="250">
        <f>'2.土-常'!R21</f>
        <v>-21.8</v>
      </c>
      <c r="V27" s="250"/>
      <c r="W27" s="1" t="s">
        <v>105</v>
      </c>
      <c r="X27" s="250">
        <f>'2.土-常'!P23</f>
        <v>20</v>
      </c>
      <c r="Y27" s="250"/>
      <c r="Z27" t="s">
        <v>61</v>
      </c>
      <c r="AA27" s="219"/>
      <c r="AB27" s="222" t="s">
        <v>80</v>
      </c>
      <c r="AC27" s="222"/>
      <c r="AD27" s="18" t="s">
        <v>83</v>
      </c>
      <c r="AE27" t="s">
        <v>69</v>
      </c>
      <c r="AF27" s="250">
        <f>S27+U27+X27</f>
        <v>28.2</v>
      </c>
      <c r="AG27" s="250"/>
      <c r="AH27" s="250"/>
      <c r="AI27" t="s">
        <v>61</v>
      </c>
      <c r="BD27" s="5"/>
      <c r="BR27" s="6"/>
    </row>
    <row r="28" spans="4:70" x14ac:dyDescent="0.45">
      <c r="AM28" s="15" t="s">
        <v>107</v>
      </c>
      <c r="AN28" s="15"/>
      <c r="AO28" s="15"/>
      <c r="AP28" s="15"/>
      <c r="AQ28" s="15"/>
      <c r="AR28" s="15"/>
      <c r="AS28" s="15"/>
      <c r="AT28" s="15"/>
      <c r="BD28" s="5"/>
      <c r="BR28" s="6"/>
    </row>
    <row r="29" spans="4:70" x14ac:dyDescent="0.45">
      <c r="D29" s="220" t="s">
        <v>66</v>
      </c>
      <c r="E29" s="220"/>
      <c r="F29" s="219" t="s">
        <v>3</v>
      </c>
      <c r="G29" s="12" t="s">
        <v>205</v>
      </c>
      <c r="H29" s="11" t="s">
        <v>67</v>
      </c>
      <c r="I29" s="13" t="s">
        <v>40</v>
      </c>
      <c r="J29" s="222" t="s">
        <v>100</v>
      </c>
      <c r="K29" s="222"/>
      <c r="L29" s="219" t="s">
        <v>68</v>
      </c>
      <c r="M29" s="220" t="s">
        <v>33</v>
      </c>
      <c r="N29" s="219" t="s">
        <v>67</v>
      </c>
      <c r="O29" s="220" t="s">
        <v>205</v>
      </c>
      <c r="Q29" s="219" t="s">
        <v>3</v>
      </c>
      <c r="R29" s="12" t="s">
        <v>205</v>
      </c>
      <c r="S29" s="11" t="s">
        <v>67</v>
      </c>
      <c r="T29" s="224">
        <f>AF3</f>
        <v>6</v>
      </c>
      <c r="U29" s="224"/>
      <c r="V29" s="218" t="s">
        <v>106</v>
      </c>
      <c r="W29" s="217">
        <f>'1.条件'!T25</f>
        <v>19</v>
      </c>
      <c r="X29" s="219" t="s">
        <v>68</v>
      </c>
      <c r="Y29" s="217">
        <v>0</v>
      </c>
      <c r="Z29" s="219" t="s">
        <v>67</v>
      </c>
      <c r="AA29" s="220" t="s">
        <v>205</v>
      </c>
      <c r="AB29" s="35"/>
      <c r="AC29" s="219" t="s">
        <v>3</v>
      </c>
      <c r="AD29" s="216">
        <f>T29/S30*W29+Y29</f>
        <v>57</v>
      </c>
      <c r="AE29" s="216"/>
      <c r="AF29" s="219" t="s">
        <v>67</v>
      </c>
      <c r="AG29" s="220" t="s">
        <v>205</v>
      </c>
      <c r="AH29" s="35"/>
      <c r="AI29" s="35"/>
      <c r="AJ29" s="1"/>
      <c r="AK29" s="1"/>
      <c r="AM29" s="251" t="s">
        <v>108</v>
      </c>
      <c r="AN29" s="251"/>
      <c r="AO29" s="16" t="s">
        <v>3</v>
      </c>
      <c r="AP29" s="22" t="s">
        <v>109</v>
      </c>
      <c r="AQ29" s="15" t="s">
        <v>110</v>
      </c>
      <c r="AR29" s="21">
        <v>3</v>
      </c>
      <c r="AS29" s="2"/>
      <c r="AW29" s="15"/>
      <c r="AX29" s="2"/>
      <c r="BD29" s="5"/>
      <c r="BR29" s="6"/>
    </row>
    <row r="30" spans="4:70" x14ac:dyDescent="0.45">
      <c r="D30" s="220"/>
      <c r="E30" s="220"/>
      <c r="F30" s="219"/>
      <c r="H30" s="1">
        <v>2</v>
      </c>
      <c r="J30" s="222"/>
      <c r="K30" s="222"/>
      <c r="L30" s="219"/>
      <c r="M30" s="220"/>
      <c r="N30" s="219"/>
      <c r="O30" s="220"/>
      <c r="Q30" s="219"/>
      <c r="S30" s="1">
        <v>2</v>
      </c>
      <c r="V30" s="218"/>
      <c r="W30" s="217"/>
      <c r="X30" s="219"/>
      <c r="Y30" s="217"/>
      <c r="Z30" s="219"/>
      <c r="AA30" s="220"/>
      <c r="AB30" s="35"/>
      <c r="AC30" s="219"/>
      <c r="AD30" s="216"/>
      <c r="AE30" s="216"/>
      <c r="AF30" s="219"/>
      <c r="AG30" s="220"/>
      <c r="AH30" s="35"/>
      <c r="AI30" s="35"/>
      <c r="AO30" s="16" t="s">
        <v>3</v>
      </c>
      <c r="AP30" s="253">
        <f>AF3</f>
        <v>6</v>
      </c>
      <c r="AQ30" s="253"/>
      <c r="AR30" s="15" t="s">
        <v>110</v>
      </c>
      <c r="AS30" s="21">
        <v>3</v>
      </c>
      <c r="AY30" s="15"/>
      <c r="AZ30" s="58"/>
      <c r="BA30" s="58"/>
      <c r="BD30" s="5"/>
      <c r="BR30" s="6"/>
    </row>
    <row r="31" spans="4:70" x14ac:dyDescent="0.45">
      <c r="V31" s="43"/>
      <c r="AO31" s="16" t="s">
        <v>3</v>
      </c>
      <c r="AP31" s="253">
        <f>AP30/AS30-AZ30</f>
        <v>2</v>
      </c>
      <c r="AQ31" s="253"/>
      <c r="AR31" s="253"/>
      <c r="AS31" s="21" t="s">
        <v>111</v>
      </c>
      <c r="AT31" s="21"/>
      <c r="BD31" s="5"/>
      <c r="BR31" s="6"/>
    </row>
    <row r="32" spans="4:70" x14ac:dyDescent="0.45">
      <c r="D32" s="220" t="s">
        <v>205</v>
      </c>
      <c r="E32" s="220"/>
      <c r="F32" s="219" t="s">
        <v>3</v>
      </c>
      <c r="G32" s="219" t="s">
        <v>60</v>
      </c>
      <c r="H32" s="11"/>
      <c r="I32" s="17">
        <v>1</v>
      </c>
      <c r="J32" s="11"/>
      <c r="K32" s="219" t="s">
        <v>68</v>
      </c>
      <c r="L32" s="222" t="s">
        <v>70</v>
      </c>
      <c r="M32" s="222"/>
      <c r="N32" s="222"/>
      <c r="O32" s="219" t="s">
        <v>61</v>
      </c>
      <c r="P32" s="219" t="s">
        <v>62</v>
      </c>
      <c r="Q32" s="220" t="s">
        <v>40</v>
      </c>
      <c r="S32" s="219" t="s">
        <v>3</v>
      </c>
      <c r="T32" s="219" t="s">
        <v>60</v>
      </c>
      <c r="U32" s="11"/>
      <c r="V32" s="17">
        <v>1</v>
      </c>
      <c r="W32" s="11"/>
      <c r="X32" s="219" t="s">
        <v>68</v>
      </c>
      <c r="Y32" s="222" t="s">
        <v>81</v>
      </c>
      <c r="Z32" s="222"/>
      <c r="AA32" s="247">
        <f>'2.土-常'!R21</f>
        <v>-21.8</v>
      </c>
      <c r="AB32" s="247"/>
      <c r="AC32" s="247"/>
      <c r="AD32" s="219" t="s">
        <v>82</v>
      </c>
      <c r="AE32" s="219"/>
      <c r="AF32" s="216">
        <f>AF3</f>
        <v>6</v>
      </c>
      <c r="AG32" s="216"/>
      <c r="BD32" s="7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8"/>
    </row>
    <row r="33" spans="4:70" x14ac:dyDescent="0.45">
      <c r="D33" s="220"/>
      <c r="E33" s="220"/>
      <c r="F33" s="219"/>
      <c r="G33" s="219"/>
      <c r="H33" s="222" t="s">
        <v>77</v>
      </c>
      <c r="I33" s="222"/>
      <c r="J33" s="222"/>
      <c r="K33" s="219"/>
      <c r="L33" s="222"/>
      <c r="M33" s="222"/>
      <c r="N33" s="222"/>
      <c r="O33" s="219"/>
      <c r="P33" s="219"/>
      <c r="Q33" s="220"/>
      <c r="S33" s="219"/>
      <c r="T33" s="219"/>
      <c r="U33" s="222" t="s">
        <v>77</v>
      </c>
      <c r="V33" s="222"/>
      <c r="W33" s="222"/>
      <c r="X33" s="219"/>
      <c r="Y33" s="222"/>
      <c r="Z33" s="222"/>
      <c r="AA33" s="247"/>
      <c r="AB33" s="247"/>
      <c r="AC33" s="247"/>
      <c r="AD33" s="219"/>
      <c r="AE33" s="219"/>
      <c r="AF33" s="216"/>
      <c r="AG33" s="216"/>
      <c r="AM33" s="251" t="s">
        <v>112</v>
      </c>
      <c r="AN33" s="251"/>
      <c r="AO33" s="16" t="s">
        <v>3</v>
      </c>
      <c r="AP33" s="33" t="s">
        <v>41</v>
      </c>
      <c r="AQ33" t="s">
        <v>68</v>
      </c>
      <c r="AR33" s="255" t="s">
        <v>113</v>
      </c>
      <c r="AS33" s="255"/>
      <c r="AT33" t="s">
        <v>62</v>
      </c>
      <c r="AU33" s="255" t="s">
        <v>410</v>
      </c>
      <c r="AV33" s="255"/>
    </row>
    <row r="34" spans="4:70" x14ac:dyDescent="0.45">
      <c r="F34" s="219" t="s">
        <v>3</v>
      </c>
      <c r="G34" s="219" t="s">
        <v>60</v>
      </c>
      <c r="H34" s="11"/>
      <c r="I34" s="17">
        <v>1</v>
      </c>
      <c r="J34" s="11"/>
      <c r="K34" s="219" t="s">
        <v>68</v>
      </c>
      <c r="L34" s="216">
        <f>ROUND(TAN(AA32*PI()/180),2)</f>
        <v>-0.4</v>
      </c>
      <c r="M34" s="216"/>
      <c r="N34" s="216"/>
      <c r="O34" s="219" t="s">
        <v>82</v>
      </c>
      <c r="P34" s="219"/>
      <c r="Q34" s="246">
        <f>AF32</f>
        <v>6</v>
      </c>
      <c r="R34" s="246"/>
      <c r="S34" s="246"/>
      <c r="W34" s="35"/>
      <c r="X34" s="35"/>
      <c r="AO34" s="16" t="s">
        <v>3</v>
      </c>
      <c r="AP34" s="216">
        <f>AF5</f>
        <v>1.4</v>
      </c>
      <c r="AQ34" s="218"/>
      <c r="AR34" s="218"/>
      <c r="AS34" t="s">
        <v>68</v>
      </c>
      <c r="AT34" s="216">
        <f>AP31</f>
        <v>2</v>
      </c>
      <c r="AU34" s="218"/>
      <c r="AV34" s="218"/>
      <c r="AW34" t="s">
        <v>62</v>
      </c>
      <c r="AX34" s="216">
        <f>AF7</f>
        <v>0.4</v>
      </c>
      <c r="AY34" s="218"/>
      <c r="AZ34" s="218"/>
      <c r="BA34" s="1"/>
    </row>
    <row r="35" spans="4:70" x14ac:dyDescent="0.45">
      <c r="F35" s="219"/>
      <c r="G35" s="219"/>
      <c r="H35" s="222" t="s">
        <v>77</v>
      </c>
      <c r="I35" s="222"/>
      <c r="J35" s="222"/>
      <c r="K35" s="219"/>
      <c r="L35" s="216"/>
      <c r="M35" s="216"/>
      <c r="N35" s="216"/>
      <c r="O35" s="219"/>
      <c r="P35" s="219"/>
      <c r="Q35" s="246"/>
      <c r="R35" s="246"/>
      <c r="S35" s="246"/>
      <c r="W35" s="35"/>
      <c r="X35" s="35"/>
      <c r="AO35" s="16" t="s">
        <v>3</v>
      </c>
      <c r="AP35" s="216">
        <f>AP34+AT34*AX34</f>
        <v>2.2000000000000002</v>
      </c>
      <c r="AQ35" s="216"/>
      <c r="AR35" s="216"/>
      <c r="AS35" s="21" t="s">
        <v>111</v>
      </c>
    </row>
    <row r="36" spans="4:70" x14ac:dyDescent="0.45">
      <c r="F36" s="219" t="s">
        <v>3</v>
      </c>
      <c r="G36" s="224">
        <f>I34*Q34</f>
        <v>6</v>
      </c>
      <c r="H36" s="224"/>
      <c r="I36" s="224"/>
      <c r="J36" s="219" t="s">
        <v>68</v>
      </c>
      <c r="K36" s="216">
        <f>L34*Q34</f>
        <v>-2.4000000000000004</v>
      </c>
      <c r="L36" s="216"/>
      <c r="M36" s="216"/>
    </row>
    <row r="37" spans="4:70" x14ac:dyDescent="0.45">
      <c r="F37" s="219"/>
      <c r="G37" s="222" t="s">
        <v>77</v>
      </c>
      <c r="H37" s="222"/>
      <c r="I37" s="222"/>
      <c r="J37" s="219"/>
      <c r="K37" s="216"/>
      <c r="L37" s="216"/>
      <c r="M37" s="216"/>
    </row>
    <row r="38" spans="4:70" x14ac:dyDescent="0.45">
      <c r="AI38">
        <v>7</v>
      </c>
      <c r="BR38">
        <v>8</v>
      </c>
    </row>
    <row r="40" spans="4:70" x14ac:dyDescent="0.45">
      <c r="AB40" s="4"/>
    </row>
    <row r="41" spans="4:70" x14ac:dyDescent="0.45">
      <c r="AB41" s="4"/>
    </row>
  </sheetData>
  <sheetProtection sheet="1" objects="1" scenarios="1"/>
  <mergeCells count="160">
    <mergeCell ref="AN2:AO2"/>
    <mergeCell ref="AP2:AR2"/>
    <mergeCell ref="AS2:AU2"/>
    <mergeCell ref="AV2:AX2"/>
    <mergeCell ref="AF3:AH3"/>
    <mergeCell ref="AN3:AO3"/>
    <mergeCell ref="AP3:AR3"/>
    <mergeCell ref="AS3:AU3"/>
    <mergeCell ref="AV3:AX3"/>
    <mergeCell ref="BJ5:BK5"/>
    <mergeCell ref="BM5:BO5"/>
    <mergeCell ref="AF6:AH6"/>
    <mergeCell ref="AN6:AO6"/>
    <mergeCell ref="AP6:AR6"/>
    <mergeCell ref="AS6:AU6"/>
    <mergeCell ref="AV6:AX6"/>
    <mergeCell ref="AS4:AU4"/>
    <mergeCell ref="AV4:AX4"/>
    <mergeCell ref="AF5:AH5"/>
    <mergeCell ref="AN5:AO5"/>
    <mergeCell ref="AP5:AR5"/>
    <mergeCell ref="AS5:AU5"/>
    <mergeCell ref="AV5:AX5"/>
    <mergeCell ref="AF4:AH4"/>
    <mergeCell ref="AN4:AO4"/>
    <mergeCell ref="AP4:AR4"/>
    <mergeCell ref="AV7:AX7"/>
    <mergeCell ref="BJ11:BK11"/>
    <mergeCell ref="BM11:BO11"/>
    <mergeCell ref="AN8:AO8"/>
    <mergeCell ref="AP8:AR8"/>
    <mergeCell ref="AS8:AU8"/>
    <mergeCell ref="AV8:AX8"/>
    <mergeCell ref="AF7:AH7"/>
    <mergeCell ref="AN7:AO7"/>
    <mergeCell ref="AP7:AR7"/>
    <mergeCell ref="AS7:AU7"/>
    <mergeCell ref="BJ7:BK7"/>
    <mergeCell ref="BM7:BO7"/>
    <mergeCell ref="BJ9:BK9"/>
    <mergeCell ref="BM9:BO9"/>
    <mergeCell ref="AN10:AO10"/>
    <mergeCell ref="AP10:AR10"/>
    <mergeCell ref="AS10:AU10"/>
    <mergeCell ref="AV10:AX10"/>
    <mergeCell ref="AN11:AO11"/>
    <mergeCell ref="AP11:AR11"/>
    <mergeCell ref="AS11:AU11"/>
    <mergeCell ref="AV11:AX11"/>
    <mergeCell ref="AN9:AO9"/>
    <mergeCell ref="AP9:AR9"/>
    <mergeCell ref="AS9:AU9"/>
    <mergeCell ref="AV9:AX9"/>
    <mergeCell ref="AN14:AO14"/>
    <mergeCell ref="AP14:AR14"/>
    <mergeCell ref="AS14:AU14"/>
    <mergeCell ref="AV14:AX14"/>
    <mergeCell ref="AN15:AO15"/>
    <mergeCell ref="AP15:AR15"/>
    <mergeCell ref="AS15:AU15"/>
    <mergeCell ref="AV15:AX15"/>
    <mergeCell ref="AN12:AO12"/>
    <mergeCell ref="AP12:AR12"/>
    <mergeCell ref="AS12:AU12"/>
    <mergeCell ref="AV12:AX12"/>
    <mergeCell ref="AN13:AO13"/>
    <mergeCell ref="AP13:AR13"/>
    <mergeCell ref="AS13:AU13"/>
    <mergeCell ref="AV13:AX13"/>
    <mergeCell ref="AZ20:BB20"/>
    <mergeCell ref="AP21:AR21"/>
    <mergeCell ref="AP19:AQ19"/>
    <mergeCell ref="AR19:AU19"/>
    <mergeCell ref="AP20:AR20"/>
    <mergeCell ref="AS20:AU20"/>
    <mergeCell ref="AV20:AX20"/>
    <mergeCell ref="AM19:AN19"/>
    <mergeCell ref="AN16:AO16"/>
    <mergeCell ref="AP16:AR16"/>
    <mergeCell ref="AS16:AU16"/>
    <mergeCell ref="AV16:AX16"/>
    <mergeCell ref="AZ25:BB25"/>
    <mergeCell ref="G27:L27"/>
    <mergeCell ref="O27:P27"/>
    <mergeCell ref="AB27:AC27"/>
    <mergeCell ref="AF27:AH27"/>
    <mergeCell ref="AP26:AR26"/>
    <mergeCell ref="AM24:AN24"/>
    <mergeCell ref="AP24:AQ24"/>
    <mergeCell ref="AR24:AU24"/>
    <mergeCell ref="I26:L26"/>
    <mergeCell ref="N26:N27"/>
    <mergeCell ref="Q26:R26"/>
    <mergeCell ref="AA26:AA27"/>
    <mergeCell ref="AD26:AE26"/>
    <mergeCell ref="U27:V27"/>
    <mergeCell ref="X27:Y27"/>
    <mergeCell ref="D29:E30"/>
    <mergeCell ref="F29:F30"/>
    <mergeCell ref="J29:K30"/>
    <mergeCell ref="L29:L30"/>
    <mergeCell ref="M29:M30"/>
    <mergeCell ref="AP25:AR25"/>
    <mergeCell ref="AS25:AU25"/>
    <mergeCell ref="AV25:AX25"/>
    <mergeCell ref="D26:E27"/>
    <mergeCell ref="F26:F27"/>
    <mergeCell ref="W29:W30"/>
    <mergeCell ref="X29:X30"/>
    <mergeCell ref="Z29:Z30"/>
    <mergeCell ref="Y29:Y30"/>
    <mergeCell ref="AM29:AN29"/>
    <mergeCell ref="N29:N30"/>
    <mergeCell ref="O29:O30"/>
    <mergeCell ref="Q29:Q30"/>
    <mergeCell ref="T29:U29"/>
    <mergeCell ref="V29:V30"/>
    <mergeCell ref="AA29:AA30"/>
    <mergeCell ref="AP30:AQ30"/>
    <mergeCell ref="AC29:AC30"/>
    <mergeCell ref="AD29:AE30"/>
    <mergeCell ref="D32:E33"/>
    <mergeCell ref="F32:F33"/>
    <mergeCell ref="G32:G33"/>
    <mergeCell ref="K32:K33"/>
    <mergeCell ref="L32:N33"/>
    <mergeCell ref="H33:J33"/>
    <mergeCell ref="AM33:AN33"/>
    <mergeCell ref="AR33:AS33"/>
    <mergeCell ref="O32:O33"/>
    <mergeCell ref="P32:P33"/>
    <mergeCell ref="Q32:Q33"/>
    <mergeCell ref="AF29:AF30"/>
    <mergeCell ref="AG29:AG30"/>
    <mergeCell ref="S32:S33"/>
    <mergeCell ref="T32:T33"/>
    <mergeCell ref="X32:X33"/>
    <mergeCell ref="Y32:Z33"/>
    <mergeCell ref="AA32:AC33"/>
    <mergeCell ref="AP34:AR34"/>
    <mergeCell ref="AT34:AV34"/>
    <mergeCell ref="AP31:AR31"/>
    <mergeCell ref="AX34:AZ34"/>
    <mergeCell ref="U33:W33"/>
    <mergeCell ref="AP35:AR35"/>
    <mergeCell ref="AD32:AE33"/>
    <mergeCell ref="AF32:AG33"/>
    <mergeCell ref="F36:F37"/>
    <mergeCell ref="G36:I36"/>
    <mergeCell ref="J36:J37"/>
    <mergeCell ref="K36:M37"/>
    <mergeCell ref="H35:J35"/>
    <mergeCell ref="G37:I37"/>
    <mergeCell ref="F34:F35"/>
    <mergeCell ref="G34:G35"/>
    <mergeCell ref="K34:K35"/>
    <mergeCell ref="L34:N35"/>
    <mergeCell ref="O34:P35"/>
    <mergeCell ref="Q34:S35"/>
    <mergeCell ref="AU33:AV33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16CE0-FD8F-4C1C-A43B-DA8E82639CA4}">
  <dimension ref="A1:DA43"/>
  <sheetViews>
    <sheetView showGridLines="0" view="pageBreakPreview" zoomScale="70" zoomScaleNormal="65" zoomScaleSheetLayoutView="70" workbookViewId="0">
      <selection activeCell="A2" sqref="A2"/>
    </sheetView>
  </sheetViews>
  <sheetFormatPr defaultRowHeight="18" x14ac:dyDescent="0.45"/>
  <cols>
    <col min="1" max="70" width="3" customWidth="1"/>
    <col min="71" max="105" width="2.8984375" customWidth="1"/>
  </cols>
  <sheetData>
    <row r="1" spans="1:103" x14ac:dyDescent="0.45">
      <c r="A1" t="s">
        <v>450</v>
      </c>
    </row>
    <row r="2" spans="1:103" x14ac:dyDescent="0.45">
      <c r="B2" t="s">
        <v>445</v>
      </c>
      <c r="AL2" s="3" t="s">
        <v>455</v>
      </c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V2" s="221" t="s">
        <v>226</v>
      </c>
      <c r="BW2" s="221"/>
      <c r="BX2" s="3" t="s">
        <v>227</v>
      </c>
      <c r="BY2" s="216">
        <f>G17</f>
        <v>1.040754365404613</v>
      </c>
      <c r="BZ2" s="216"/>
      <c r="CA2" s="216"/>
      <c r="CB2" s="3"/>
      <c r="CC2" s="3"/>
      <c r="CS2" s="3"/>
      <c r="CT2" s="3"/>
      <c r="CU2" s="3"/>
    </row>
    <row r="3" spans="1:103" x14ac:dyDescent="0.45">
      <c r="B3" s="3" t="s">
        <v>451</v>
      </c>
      <c r="AL3" s="3"/>
      <c r="AM3" s="3" t="s">
        <v>480</v>
      </c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V3" s="245" t="s">
        <v>235</v>
      </c>
      <c r="BW3" s="245"/>
      <c r="BX3" t="s">
        <v>236</v>
      </c>
      <c r="BY3" s="56" t="s">
        <v>237</v>
      </c>
      <c r="BZ3" s="3" t="s">
        <v>227</v>
      </c>
      <c r="CA3" s="270">
        <f>BO35</f>
        <v>0.56000000000000005</v>
      </c>
      <c r="CB3" s="270"/>
      <c r="CC3" t="s">
        <v>236</v>
      </c>
      <c r="CD3" s="213">
        <f>'1.条件'!T8</f>
        <v>1.4</v>
      </c>
      <c r="CE3" s="213"/>
      <c r="CF3" s="213"/>
      <c r="CG3" s="3" t="s">
        <v>227</v>
      </c>
      <c r="CH3" s="213">
        <f>CA3*CD3</f>
        <v>0.78400000000000003</v>
      </c>
      <c r="CI3" s="213"/>
      <c r="CJ3" s="213"/>
    </row>
    <row r="4" spans="1:103" x14ac:dyDescent="0.45">
      <c r="C4" s="3" t="s">
        <v>452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M4" s="245" t="s">
        <v>233</v>
      </c>
      <c r="AN4" s="245"/>
      <c r="AO4" s="258" t="s">
        <v>3</v>
      </c>
      <c r="AP4" s="267" t="s">
        <v>250</v>
      </c>
      <c r="AQ4" s="267"/>
      <c r="AR4" s="59" t="s">
        <v>234</v>
      </c>
      <c r="AS4" s="267" t="s">
        <v>235</v>
      </c>
      <c r="AT4" s="267"/>
      <c r="AU4" s="11" t="s">
        <v>236</v>
      </c>
      <c r="AV4" s="57" t="s">
        <v>237</v>
      </c>
      <c r="AW4" s="60" t="s">
        <v>236</v>
      </c>
      <c r="AX4" s="267" t="s">
        <v>275</v>
      </c>
      <c r="AY4" s="267"/>
      <c r="AZ4" s="11"/>
      <c r="BA4" s="11"/>
      <c r="BB4" s="11"/>
      <c r="BC4" s="11"/>
      <c r="BD4" s="30"/>
      <c r="BF4" s="36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42"/>
      <c r="BV4" t="s">
        <v>281</v>
      </c>
      <c r="BZ4" s="221" t="s">
        <v>226</v>
      </c>
      <c r="CA4" s="221"/>
      <c r="CB4" s="3" t="s">
        <v>283</v>
      </c>
      <c r="CC4" s="245" t="s">
        <v>235</v>
      </c>
      <c r="CD4" s="245"/>
      <c r="CE4" t="s">
        <v>236</v>
      </c>
      <c r="CF4" s="56" t="s">
        <v>237</v>
      </c>
      <c r="CH4" t="s">
        <v>282</v>
      </c>
    </row>
    <row r="5" spans="1:103" ht="19.2" x14ac:dyDescent="0.45">
      <c r="D5" s="3"/>
      <c r="E5" s="3"/>
      <c r="F5" s="3"/>
      <c r="G5" s="271" t="s">
        <v>114</v>
      </c>
      <c r="H5" s="184"/>
      <c r="I5" s="184"/>
      <c r="J5" s="272" t="s">
        <v>115</v>
      </c>
      <c r="K5" s="184"/>
      <c r="L5" s="184"/>
      <c r="M5" s="178" t="s">
        <v>116</v>
      </c>
      <c r="N5" s="179"/>
      <c r="O5" s="179"/>
      <c r="P5" s="179"/>
      <c r="Q5" s="179"/>
      <c r="R5" s="180"/>
      <c r="S5" s="178" t="s">
        <v>117</v>
      </c>
      <c r="T5" s="179"/>
      <c r="U5" s="179"/>
      <c r="V5" s="179"/>
      <c r="W5" s="179"/>
      <c r="X5" s="179"/>
      <c r="Y5" s="179"/>
      <c r="Z5" s="180"/>
      <c r="AM5" s="245"/>
      <c r="AN5" s="245"/>
      <c r="AO5" s="258"/>
      <c r="AP5" s="56" t="s">
        <v>237</v>
      </c>
      <c r="AQ5" s="21" t="s">
        <v>238</v>
      </c>
      <c r="AR5" s="106" t="s">
        <v>395</v>
      </c>
      <c r="AS5" s="61" t="s">
        <v>243</v>
      </c>
      <c r="AT5" t="s">
        <v>234</v>
      </c>
      <c r="AU5" s="245" t="s">
        <v>235</v>
      </c>
      <c r="AV5" s="245"/>
      <c r="AW5" t="s">
        <v>240</v>
      </c>
      <c r="AX5" t="s">
        <v>241</v>
      </c>
      <c r="AY5" s="61" t="s">
        <v>243</v>
      </c>
      <c r="AZ5" t="s">
        <v>234</v>
      </c>
      <c r="BA5" s="245" t="s">
        <v>242</v>
      </c>
      <c r="BB5" s="245"/>
      <c r="BC5" s="21" t="s">
        <v>244</v>
      </c>
      <c r="BD5" s="21" t="s">
        <v>245</v>
      </c>
      <c r="BF5" s="102"/>
      <c r="BG5" s="35"/>
      <c r="BH5" s="35"/>
      <c r="BR5" s="6"/>
    </row>
    <row r="6" spans="1:103" x14ac:dyDescent="0.45">
      <c r="D6" s="3"/>
      <c r="E6" s="3"/>
      <c r="F6" s="3"/>
      <c r="G6" s="273" t="s">
        <v>118</v>
      </c>
      <c r="H6" s="221"/>
      <c r="I6" s="221"/>
      <c r="J6" s="274" t="s">
        <v>109</v>
      </c>
      <c r="K6" s="221"/>
      <c r="L6" s="221"/>
      <c r="M6" s="274" t="s">
        <v>119</v>
      </c>
      <c r="N6" s="221"/>
      <c r="O6" s="221"/>
      <c r="P6" s="274" t="s">
        <v>120</v>
      </c>
      <c r="Q6" s="221"/>
      <c r="R6" s="221"/>
      <c r="S6" s="274" t="s">
        <v>228</v>
      </c>
      <c r="T6" s="221"/>
      <c r="U6" s="221"/>
      <c r="V6" s="221"/>
      <c r="W6" s="274" t="s">
        <v>229</v>
      </c>
      <c r="X6" s="221"/>
      <c r="Y6" s="221"/>
      <c r="Z6" s="282"/>
      <c r="BF6" s="5"/>
      <c r="BR6" s="6"/>
      <c r="BV6" s="245" t="s">
        <v>233</v>
      </c>
      <c r="BW6" s="245"/>
      <c r="BX6" s="258" t="s">
        <v>3</v>
      </c>
      <c r="BY6" s="267" t="s">
        <v>250</v>
      </c>
      <c r="BZ6" s="267"/>
      <c r="CA6" s="59" t="s">
        <v>99</v>
      </c>
      <c r="CB6" s="267" t="s">
        <v>235</v>
      </c>
      <c r="CC6" s="267"/>
      <c r="CD6" s="11" t="s">
        <v>67</v>
      </c>
      <c r="CE6" s="57" t="s">
        <v>237</v>
      </c>
      <c r="CF6" s="60" t="s">
        <v>67</v>
      </c>
      <c r="CG6" s="267" t="s">
        <v>275</v>
      </c>
      <c r="CH6" s="267"/>
      <c r="CI6" s="11"/>
      <c r="CJ6" s="11"/>
      <c r="CK6" s="11"/>
      <c r="CL6" s="11"/>
      <c r="CM6" s="30"/>
    </row>
    <row r="7" spans="1:103" ht="19.2" x14ac:dyDescent="0.45">
      <c r="D7" s="3"/>
      <c r="E7" s="3"/>
      <c r="F7" s="3"/>
      <c r="G7" s="283" t="s">
        <v>121</v>
      </c>
      <c r="H7" s="269"/>
      <c r="I7" s="269"/>
      <c r="J7" s="284" t="s">
        <v>121</v>
      </c>
      <c r="K7" s="269"/>
      <c r="L7" s="269"/>
      <c r="M7" s="284" t="s">
        <v>122</v>
      </c>
      <c r="N7" s="269"/>
      <c r="O7" s="269"/>
      <c r="P7" s="284" t="s">
        <v>122</v>
      </c>
      <c r="Q7" s="269"/>
      <c r="R7" s="269"/>
      <c r="S7" s="278" t="s">
        <v>394</v>
      </c>
      <c r="T7" s="279"/>
      <c r="U7" s="279"/>
      <c r="V7" s="280"/>
      <c r="W7" s="284" t="s">
        <v>394</v>
      </c>
      <c r="X7" s="269"/>
      <c r="Y7" s="269"/>
      <c r="Z7" s="285"/>
      <c r="AM7" s="245" t="s">
        <v>246</v>
      </c>
      <c r="AN7" s="245"/>
      <c r="AO7" s="4" t="s">
        <v>227</v>
      </c>
      <c r="AP7" s="245" t="s">
        <v>230</v>
      </c>
      <c r="AQ7" s="245"/>
      <c r="AR7" s="62" t="s">
        <v>234</v>
      </c>
      <c r="AS7" s="245" t="s">
        <v>233</v>
      </c>
      <c r="AT7" s="245"/>
      <c r="AU7" s="257" t="s">
        <v>238</v>
      </c>
      <c r="AV7" s="257"/>
      <c r="AW7" s="106" t="s">
        <v>395</v>
      </c>
      <c r="BD7" s="3"/>
      <c r="BF7" s="5"/>
      <c r="BR7" s="6"/>
      <c r="BV7" s="245"/>
      <c r="BW7" s="245"/>
      <c r="BX7" s="258"/>
      <c r="BY7" s="56" t="s">
        <v>237</v>
      </c>
      <c r="BZ7" s="112" t="s">
        <v>180</v>
      </c>
      <c r="CA7" s="106" t="s">
        <v>395</v>
      </c>
      <c r="CB7" s="61" t="s">
        <v>243</v>
      </c>
      <c r="CC7" t="s">
        <v>99</v>
      </c>
      <c r="CD7" s="245" t="s">
        <v>235</v>
      </c>
      <c r="CE7" s="245"/>
      <c r="CF7" s="113" t="s">
        <v>240</v>
      </c>
      <c r="CG7" t="s">
        <v>241</v>
      </c>
      <c r="CH7" s="61" t="s">
        <v>243</v>
      </c>
      <c r="CI7" t="s">
        <v>99</v>
      </c>
      <c r="CJ7" s="245" t="s">
        <v>242</v>
      </c>
      <c r="CK7" s="245"/>
      <c r="CL7" s="21" t="s">
        <v>179</v>
      </c>
      <c r="CM7" s="21" t="s">
        <v>245</v>
      </c>
    </row>
    <row r="8" spans="1:103" x14ac:dyDescent="0.45">
      <c r="D8" s="281" t="s">
        <v>123</v>
      </c>
      <c r="E8" s="281"/>
      <c r="F8" s="281"/>
      <c r="G8" s="276">
        <f>'2.自と衝'!V36</f>
        <v>151.79999999999998</v>
      </c>
      <c r="H8" s="276"/>
      <c r="I8" s="276"/>
      <c r="J8" s="275">
        <v>0</v>
      </c>
      <c r="K8" s="276"/>
      <c r="L8" s="276"/>
      <c r="M8" s="275">
        <f>'2.自と衝'!P32</f>
        <v>1.9272727272727284</v>
      </c>
      <c r="N8" s="276"/>
      <c r="O8" s="276"/>
      <c r="P8" s="286" t="s">
        <v>126</v>
      </c>
      <c r="Q8" s="193"/>
      <c r="R8" s="193"/>
      <c r="S8" s="275">
        <f>G8*M8</f>
        <v>292.56000000000012</v>
      </c>
      <c r="T8" s="276"/>
      <c r="U8" s="276"/>
      <c r="V8" s="276"/>
      <c r="W8" s="275">
        <v>0</v>
      </c>
      <c r="X8" s="276"/>
      <c r="Y8" s="276"/>
      <c r="Z8" s="277"/>
      <c r="AM8" s="56"/>
      <c r="AN8" s="56"/>
      <c r="AS8" s="56"/>
      <c r="AT8" s="56"/>
      <c r="BD8" s="3"/>
      <c r="BF8" s="5"/>
      <c r="BR8" s="6"/>
      <c r="BV8" s="22"/>
      <c r="BW8" s="22"/>
      <c r="BX8" s="16"/>
      <c r="BY8" s="56"/>
      <c r="BZ8" s="112"/>
      <c r="CA8" s="106"/>
      <c r="CB8" s="61"/>
      <c r="CD8" s="22"/>
      <c r="CE8" s="22"/>
      <c r="CF8" s="113"/>
      <c r="CH8" s="61"/>
      <c r="CJ8" s="22"/>
      <c r="CK8" s="22"/>
      <c r="CL8" s="21"/>
      <c r="CM8" s="21"/>
    </row>
    <row r="9" spans="1:103" x14ac:dyDescent="0.45">
      <c r="D9" s="281" t="s">
        <v>124</v>
      </c>
      <c r="E9" s="281"/>
      <c r="F9" s="281"/>
      <c r="G9" s="276">
        <f>'2.土-常'!AP26</f>
        <v>-2.0767424529016738</v>
      </c>
      <c r="H9" s="276"/>
      <c r="I9" s="276"/>
      <c r="J9" s="275">
        <f>'2.土-常'!AP21</f>
        <v>66.083016354437348</v>
      </c>
      <c r="K9" s="276"/>
      <c r="L9" s="276"/>
      <c r="M9" s="275">
        <f>'2.土-常'!AP35</f>
        <v>2.2000000000000002</v>
      </c>
      <c r="N9" s="276"/>
      <c r="O9" s="276"/>
      <c r="P9" s="275">
        <f>'2.土-常'!AP31</f>
        <v>2</v>
      </c>
      <c r="Q9" s="276"/>
      <c r="R9" s="276"/>
      <c r="S9" s="275">
        <f>G9*M9</f>
        <v>-4.5688333963836829</v>
      </c>
      <c r="T9" s="276"/>
      <c r="U9" s="276"/>
      <c r="V9" s="276"/>
      <c r="W9" s="275">
        <f>J9*P9</f>
        <v>132.1660327088747</v>
      </c>
      <c r="X9" s="276"/>
      <c r="Y9" s="276"/>
      <c r="Z9" s="277"/>
      <c r="AM9" s="245" t="s">
        <v>247</v>
      </c>
      <c r="AN9" s="245"/>
      <c r="AO9" s="4" t="s">
        <v>227</v>
      </c>
      <c r="AP9" s="245" t="s">
        <v>260</v>
      </c>
      <c r="AQ9" s="245"/>
      <c r="AR9" t="s">
        <v>68</v>
      </c>
      <c r="AS9" s="245" t="s">
        <v>233</v>
      </c>
      <c r="AT9" s="245"/>
      <c r="AU9" s="261" t="s">
        <v>181</v>
      </c>
      <c r="AV9" s="261"/>
      <c r="AW9" s="106" t="s">
        <v>395</v>
      </c>
      <c r="BD9" s="3"/>
      <c r="BF9" s="5"/>
      <c r="BR9" s="6"/>
      <c r="BV9" s="22"/>
      <c r="BW9" s="22"/>
      <c r="BX9" s="258" t="s">
        <v>3</v>
      </c>
      <c r="BY9" s="302">
        <f>BG19</f>
        <v>155.82513389474173</v>
      </c>
      <c r="BZ9" s="303"/>
      <c r="CA9" s="303"/>
      <c r="CB9" s="59" t="s">
        <v>99</v>
      </c>
      <c r="CC9" s="292">
        <f>BO35</f>
        <v>0.56000000000000005</v>
      </c>
      <c r="CD9" s="292"/>
      <c r="CE9" s="20" t="s">
        <v>62</v>
      </c>
      <c r="CF9" s="262">
        <f>'1.条件'!T8</f>
        <v>1.4</v>
      </c>
      <c r="CG9" s="262"/>
      <c r="CH9" s="20" t="s">
        <v>62</v>
      </c>
      <c r="CI9" s="302">
        <f>G11</f>
        <v>149.72325754709831</v>
      </c>
      <c r="CJ9" s="303"/>
      <c r="CK9" s="303"/>
      <c r="CL9" s="11"/>
      <c r="CM9" s="11"/>
      <c r="CP9" s="11"/>
      <c r="CQ9" s="11"/>
    </row>
    <row r="10" spans="1:103" x14ac:dyDescent="0.45">
      <c r="D10" s="281"/>
      <c r="E10" s="281"/>
      <c r="F10" s="281"/>
      <c r="G10" s="276"/>
      <c r="H10" s="276"/>
      <c r="I10" s="276"/>
      <c r="J10" s="275"/>
      <c r="K10" s="276"/>
      <c r="L10" s="276"/>
      <c r="M10" s="275"/>
      <c r="N10" s="276"/>
      <c r="O10" s="276"/>
      <c r="P10" s="275"/>
      <c r="Q10" s="276"/>
      <c r="R10" s="276"/>
      <c r="S10" s="275"/>
      <c r="T10" s="276"/>
      <c r="U10" s="276"/>
      <c r="V10" s="276"/>
      <c r="W10" s="275"/>
      <c r="X10" s="276"/>
      <c r="Y10" s="276"/>
      <c r="Z10" s="277"/>
      <c r="AF10" t="s">
        <v>206</v>
      </c>
      <c r="BD10" s="3"/>
      <c r="BF10" s="5"/>
      <c r="BR10" s="6"/>
      <c r="BV10" s="22"/>
      <c r="BW10" s="22"/>
      <c r="BX10" s="258"/>
      <c r="BY10" s="268">
        <f>'1.条件'!T8</f>
        <v>1.4</v>
      </c>
      <c r="BZ10" s="268"/>
      <c r="CA10" s="112" t="s">
        <v>180</v>
      </c>
      <c r="CB10" s="304">
        <f>BA23</f>
        <v>21.8</v>
      </c>
      <c r="CC10" s="305"/>
      <c r="CD10" s="61" t="s">
        <v>243</v>
      </c>
      <c r="CE10" t="s">
        <v>99</v>
      </c>
      <c r="CF10" s="306">
        <f>BO35</f>
        <v>0.56000000000000005</v>
      </c>
      <c r="CG10" s="306"/>
      <c r="CH10" s="113" t="s">
        <v>240</v>
      </c>
      <c r="CI10" s="226">
        <f>BI21</f>
        <v>6.4621977685614063</v>
      </c>
      <c r="CJ10" s="227"/>
      <c r="CK10" s="227"/>
      <c r="CL10" s="61" t="s">
        <v>243</v>
      </c>
      <c r="CM10" t="s">
        <v>99</v>
      </c>
      <c r="CN10" s="307">
        <f>BO34</f>
        <v>0.6</v>
      </c>
      <c r="CO10" s="306"/>
      <c r="CP10" s="21" t="s">
        <v>179</v>
      </c>
      <c r="CQ10" s="21" t="s">
        <v>245</v>
      </c>
    </row>
    <row r="11" spans="1:103" x14ac:dyDescent="0.45">
      <c r="D11" s="281" t="s">
        <v>125</v>
      </c>
      <c r="E11" s="281"/>
      <c r="F11" s="281"/>
      <c r="G11" s="276">
        <f>SUM(G8:G10)</f>
        <v>149.72325754709831</v>
      </c>
      <c r="H11" s="276"/>
      <c r="I11" s="276"/>
      <c r="J11" s="275">
        <f>SUM(J8:J10)</f>
        <v>66.083016354437348</v>
      </c>
      <c r="K11" s="276"/>
      <c r="L11" s="276"/>
      <c r="M11" s="286" t="s">
        <v>126</v>
      </c>
      <c r="N11" s="193"/>
      <c r="O11" s="193"/>
      <c r="P11" s="286" t="s">
        <v>126</v>
      </c>
      <c r="Q11" s="193"/>
      <c r="R11" s="193"/>
      <c r="S11" s="275">
        <f>SUM(S8:S10)</f>
        <v>287.99116660361642</v>
      </c>
      <c r="T11" s="276"/>
      <c r="U11" s="276"/>
      <c r="V11" s="276"/>
      <c r="W11" s="275">
        <f>SUM(W8:W10)</f>
        <v>132.1660327088747</v>
      </c>
      <c r="X11" s="276"/>
      <c r="Y11" s="276"/>
      <c r="Z11" s="277"/>
      <c r="AM11" s="245" t="s">
        <v>249</v>
      </c>
      <c r="AN11" s="245"/>
      <c r="AO11" s="258" t="s">
        <v>3</v>
      </c>
      <c r="AP11" s="63">
        <v>2</v>
      </c>
      <c r="AQ11" s="267" t="s">
        <v>246</v>
      </c>
      <c r="AR11" s="267"/>
      <c r="AS11" s="63" t="s">
        <v>251</v>
      </c>
      <c r="AT11" s="59" t="s">
        <v>234</v>
      </c>
      <c r="AU11" s="63">
        <v>3</v>
      </c>
      <c r="AV11" s="267" t="s">
        <v>235</v>
      </c>
      <c r="AW11" s="267"/>
      <c r="AX11" s="64" t="s">
        <v>239</v>
      </c>
      <c r="BF11" s="5"/>
      <c r="BR11" s="6"/>
      <c r="BV11" s="22"/>
      <c r="BW11" s="22"/>
      <c r="BX11" s="16"/>
      <c r="BY11" s="114"/>
      <c r="BZ11" s="114"/>
      <c r="CA11" s="112"/>
      <c r="CB11" s="109"/>
      <c r="CC11" s="25"/>
      <c r="CD11" s="61"/>
      <c r="CF11" s="110"/>
      <c r="CG11" s="110"/>
      <c r="CH11" s="113"/>
      <c r="CI11" s="23"/>
      <c r="CJ11" s="14"/>
      <c r="CK11" s="14"/>
      <c r="CL11" s="61"/>
      <c r="CN11" s="111"/>
      <c r="CO11" s="110"/>
      <c r="CP11" s="21"/>
      <c r="CQ11" s="21"/>
    </row>
    <row r="12" spans="1:103" x14ac:dyDescent="0.45">
      <c r="D12" s="28"/>
      <c r="E12" s="28"/>
      <c r="F12" s="28"/>
      <c r="G12" s="32"/>
      <c r="H12" s="32"/>
      <c r="I12" s="32"/>
      <c r="J12" s="32"/>
      <c r="K12" s="32"/>
      <c r="L12" s="32"/>
      <c r="M12" s="25"/>
      <c r="N12" s="25"/>
      <c r="O12" s="25"/>
      <c r="P12" s="25"/>
      <c r="Q12" s="25"/>
      <c r="R12" s="25"/>
      <c r="S12" s="32"/>
      <c r="T12" s="32"/>
      <c r="U12" s="32"/>
      <c r="V12" s="32"/>
      <c r="W12" s="32"/>
      <c r="X12" s="32"/>
      <c r="Y12" s="32"/>
      <c r="Z12" s="32"/>
      <c r="AM12" s="245"/>
      <c r="AN12" s="245"/>
      <c r="AO12" s="258"/>
      <c r="AQ12" s="21"/>
      <c r="AT12" s="56" t="s">
        <v>237</v>
      </c>
      <c r="BF12" s="5"/>
      <c r="BR12" s="6"/>
      <c r="BV12" s="22"/>
      <c r="BW12" s="22"/>
      <c r="BX12" s="258" t="s">
        <v>3</v>
      </c>
      <c r="BY12" s="302">
        <f>BY9</f>
        <v>155.82513389474173</v>
      </c>
      <c r="BZ12" s="303"/>
      <c r="CA12" s="303"/>
      <c r="CB12" s="59" t="s">
        <v>99</v>
      </c>
      <c r="CC12" s="262">
        <f>CC9*CF9*CI9</f>
        <v>117.38303391692509</v>
      </c>
      <c r="CD12" s="262"/>
      <c r="CE12" s="262"/>
      <c r="CF12" s="57"/>
      <c r="CG12" s="11"/>
      <c r="CH12" s="11"/>
      <c r="CL12" s="11"/>
      <c r="CM12" s="11"/>
      <c r="CN12" s="11"/>
      <c r="CQ12" s="258" t="s">
        <v>3</v>
      </c>
      <c r="CR12" s="263">
        <f>BY12-CC12</f>
        <v>38.442099977816639</v>
      </c>
      <c r="CS12" s="263"/>
      <c r="CT12" s="263"/>
      <c r="CV12" s="258" t="s">
        <v>3</v>
      </c>
      <c r="CW12" s="266">
        <f>CR12/CR13</f>
        <v>7.1208579888759633</v>
      </c>
      <c r="CX12" s="266"/>
      <c r="CY12" s="266"/>
    </row>
    <row r="13" spans="1:103" x14ac:dyDescent="0.45">
      <c r="C13" s="3" t="s">
        <v>453</v>
      </c>
      <c r="AM13" s="245" t="s">
        <v>252</v>
      </c>
      <c r="AN13" s="245"/>
      <c r="AO13" s="258" t="s">
        <v>3</v>
      </c>
      <c r="AP13" s="63">
        <v>2</v>
      </c>
      <c r="AQ13" s="267" t="s">
        <v>246</v>
      </c>
      <c r="AR13" s="267"/>
      <c r="AS13" s="63" t="s">
        <v>253</v>
      </c>
      <c r="AT13" s="267" t="s">
        <v>235</v>
      </c>
      <c r="AU13" s="267"/>
      <c r="AV13" s="59" t="s">
        <v>234</v>
      </c>
      <c r="AW13" s="63">
        <v>1</v>
      </c>
      <c r="AX13" s="64" t="s">
        <v>239</v>
      </c>
      <c r="BF13" s="5"/>
      <c r="BR13" s="6"/>
      <c r="BV13" s="22"/>
      <c r="BW13" s="22"/>
      <c r="BX13" s="258"/>
      <c r="BY13" s="268">
        <f>BY10</f>
        <v>1.4</v>
      </c>
      <c r="BZ13" s="268"/>
      <c r="CA13" s="1" t="s">
        <v>62</v>
      </c>
      <c r="CB13" s="269">
        <f>SIN(CB10*PI()/180)</f>
        <v>0.37136783555023484</v>
      </c>
      <c r="CC13" s="269"/>
      <c r="CD13" s="1" t="s">
        <v>62</v>
      </c>
      <c r="CE13" s="218">
        <f>1-CF10</f>
        <v>0.43999999999999995</v>
      </c>
      <c r="CF13" s="218"/>
      <c r="CH13" t="s">
        <v>68</v>
      </c>
      <c r="CI13" s="226">
        <f>CI10</f>
        <v>6.4621977685614063</v>
      </c>
      <c r="CJ13" s="227"/>
      <c r="CK13" s="227"/>
      <c r="CL13" s="1" t="s">
        <v>62</v>
      </c>
      <c r="CM13" s="270">
        <f>1-CN10/3</f>
        <v>0.8</v>
      </c>
      <c r="CN13" s="270"/>
      <c r="CQ13" s="258"/>
      <c r="CR13" s="268">
        <f>BY13*CB13*CE13+CI13*CM13</f>
        <v>5.3985208015480692</v>
      </c>
      <c r="CS13" s="268"/>
      <c r="CT13" s="268"/>
      <c r="CV13" s="258"/>
      <c r="CW13" s="266"/>
      <c r="CX13" s="266"/>
      <c r="CY13" s="266"/>
    </row>
    <row r="14" spans="1:103" x14ac:dyDescent="0.45">
      <c r="D14" s="3" t="s">
        <v>182</v>
      </c>
      <c r="F14" s="14"/>
      <c r="G14" s="23"/>
      <c r="H14" s="23"/>
      <c r="I14" s="23"/>
      <c r="K14" s="23"/>
      <c r="L14" s="14"/>
      <c r="M14" s="14"/>
      <c r="O14" s="23"/>
      <c r="P14" s="14"/>
      <c r="Q14" s="14"/>
      <c r="S14" s="23"/>
      <c r="T14" s="14"/>
      <c r="AM14" s="245"/>
      <c r="AN14" s="245"/>
      <c r="AO14" s="258"/>
      <c r="AQ14" s="21"/>
      <c r="AT14" s="56" t="s">
        <v>237</v>
      </c>
      <c r="BF14" s="5"/>
      <c r="BR14" s="6"/>
    </row>
    <row r="15" spans="1:103" x14ac:dyDescent="0.45">
      <c r="D15" s="245" t="s">
        <v>226</v>
      </c>
      <c r="E15" s="245"/>
      <c r="F15" s="258" t="s">
        <v>3</v>
      </c>
      <c r="G15" s="267" t="s">
        <v>346</v>
      </c>
      <c r="H15" s="267"/>
      <c r="I15" s="267"/>
      <c r="J15" s="267"/>
      <c r="K15" s="267"/>
      <c r="L15" s="3"/>
      <c r="M15" s="258" t="s">
        <v>3</v>
      </c>
      <c r="N15" s="293">
        <f>S11</f>
        <v>287.99116660361642</v>
      </c>
      <c r="O15" s="293"/>
      <c r="P15" s="293"/>
      <c r="Q15" s="29" t="s">
        <v>130</v>
      </c>
      <c r="R15" s="293">
        <f>W11</f>
        <v>132.1660327088747</v>
      </c>
      <c r="S15" s="293"/>
      <c r="T15" s="293"/>
      <c r="AM15" s="245" t="s">
        <v>254</v>
      </c>
      <c r="AN15" s="245"/>
      <c r="AO15" s="258" t="s">
        <v>3</v>
      </c>
      <c r="AP15" s="63">
        <v>2</v>
      </c>
      <c r="AQ15" s="267" t="s">
        <v>233</v>
      </c>
      <c r="AR15" s="267"/>
      <c r="AS15" s="11"/>
      <c r="BF15" s="5"/>
      <c r="BR15" s="6"/>
      <c r="BV15" s="245" t="s">
        <v>246</v>
      </c>
      <c r="BW15" s="245"/>
      <c r="BX15" s="4" t="s">
        <v>227</v>
      </c>
      <c r="BY15" s="245" t="s">
        <v>230</v>
      </c>
      <c r="BZ15" s="245"/>
      <c r="CA15" s="62" t="s">
        <v>234</v>
      </c>
      <c r="CB15" s="245" t="s">
        <v>233</v>
      </c>
      <c r="CC15" s="245"/>
      <c r="CD15" s="257" t="s">
        <v>238</v>
      </c>
      <c r="CE15" s="257"/>
      <c r="CF15" s="106" t="s">
        <v>395</v>
      </c>
      <c r="CH15" s="4" t="s">
        <v>227</v>
      </c>
      <c r="CI15" s="213">
        <f>G11</f>
        <v>149.72325754709831</v>
      </c>
      <c r="CJ15" s="213"/>
      <c r="CK15" s="213"/>
      <c r="CL15" s="62" t="s">
        <v>234</v>
      </c>
      <c r="CM15" s="216">
        <f>CW12</f>
        <v>7.1208579888759633</v>
      </c>
      <c r="CN15" s="216"/>
      <c r="CO15" s="216"/>
      <c r="CP15" s="261" t="s">
        <v>238</v>
      </c>
      <c r="CQ15" s="261"/>
      <c r="CR15" s="247">
        <f>BA23</f>
        <v>21.8</v>
      </c>
      <c r="CS15" s="247"/>
      <c r="CT15" s="4" t="s">
        <v>227</v>
      </c>
      <c r="CU15" s="213">
        <f>CI15-CM15*SIN(CR15*PI()/180)</f>
        <v>147.07879992850886</v>
      </c>
      <c r="CV15" s="213"/>
      <c r="CW15" s="213"/>
    </row>
    <row r="16" spans="1:103" ht="19.2" x14ac:dyDescent="0.45">
      <c r="D16" s="245"/>
      <c r="E16" s="245"/>
      <c r="F16" s="258"/>
      <c r="G16" s="245" t="s">
        <v>230</v>
      </c>
      <c r="H16" s="245"/>
      <c r="I16" s="245"/>
      <c r="J16" s="245"/>
      <c r="K16" s="245"/>
      <c r="L16" s="3"/>
      <c r="M16" s="258"/>
      <c r="N16" s="3"/>
      <c r="O16" s="3"/>
      <c r="P16" s="213">
        <f>G11</f>
        <v>149.72325754709831</v>
      </c>
      <c r="Q16" s="213"/>
      <c r="R16" s="213"/>
      <c r="S16" s="3"/>
      <c r="T16" s="3"/>
      <c r="W16" s="36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42"/>
      <c r="AM16" s="245"/>
      <c r="AN16" s="245"/>
      <c r="AO16" s="258"/>
      <c r="AP16" s="245" t="s">
        <v>242</v>
      </c>
      <c r="AQ16" s="245"/>
      <c r="AR16" t="s">
        <v>236</v>
      </c>
      <c r="AS16" s="65" t="s">
        <v>255</v>
      </c>
      <c r="BF16" s="5"/>
      <c r="BR16" s="6"/>
    </row>
    <row r="17" spans="3:102" x14ac:dyDescent="0.45">
      <c r="F17" t="s">
        <v>227</v>
      </c>
      <c r="G17" s="216">
        <f>(N15-R15)/P16</f>
        <v>1.040754365404613</v>
      </c>
      <c r="H17" s="216"/>
      <c r="I17" s="216"/>
      <c r="J17" s="1" t="s">
        <v>128</v>
      </c>
      <c r="W17" s="5"/>
      <c r="AI17" s="6"/>
      <c r="AJ17" s="3"/>
      <c r="AK17" s="3"/>
      <c r="AM17" t="s">
        <v>256</v>
      </c>
      <c r="BF17" s="5"/>
      <c r="BR17" s="6"/>
      <c r="BV17" s="245" t="s">
        <v>247</v>
      </c>
      <c r="BW17" s="245"/>
      <c r="BX17" s="4" t="s">
        <v>227</v>
      </c>
      <c r="BY17" s="245" t="s">
        <v>260</v>
      </c>
      <c r="BZ17" s="245"/>
      <c r="CA17" t="s">
        <v>68</v>
      </c>
      <c r="CB17" s="245" t="s">
        <v>233</v>
      </c>
      <c r="CC17" s="245"/>
      <c r="CD17" s="261" t="s">
        <v>181</v>
      </c>
      <c r="CE17" s="261"/>
      <c r="CF17" s="106" t="s">
        <v>395</v>
      </c>
      <c r="CH17" s="4" t="s">
        <v>227</v>
      </c>
      <c r="CI17" s="213">
        <f>J11</f>
        <v>66.083016354437348</v>
      </c>
      <c r="CJ17" s="213"/>
      <c r="CK17" s="213"/>
      <c r="CL17" t="s">
        <v>68</v>
      </c>
      <c r="CM17" s="216">
        <f>CW12</f>
        <v>7.1208579888759633</v>
      </c>
      <c r="CN17" s="216"/>
      <c r="CO17" s="216"/>
      <c r="CP17" s="261" t="s">
        <v>248</v>
      </c>
      <c r="CQ17" s="261"/>
      <c r="CR17" s="247">
        <f>BA23</f>
        <v>21.8</v>
      </c>
      <c r="CS17" s="247"/>
      <c r="CT17" s="4" t="s">
        <v>227</v>
      </c>
      <c r="CU17" s="213">
        <f>CI17+CM17*COS(CR17*PI()/180)</f>
        <v>72.694632072340411</v>
      </c>
      <c r="CV17" s="213"/>
      <c r="CW17" s="213"/>
    </row>
    <row r="18" spans="3:102" x14ac:dyDescent="0.45">
      <c r="E18" s="3"/>
      <c r="F18" s="3"/>
      <c r="G18" s="3"/>
      <c r="H18" s="3"/>
      <c r="L18" s="3"/>
      <c r="M18" s="3"/>
      <c r="N18" s="3"/>
      <c r="O18" s="3"/>
      <c r="P18" s="3"/>
      <c r="Q18" s="3"/>
      <c r="R18" s="3"/>
      <c r="S18" s="3"/>
      <c r="T18" s="3"/>
      <c r="W18" s="5"/>
      <c r="AI18" s="6"/>
      <c r="AJ18" s="3"/>
      <c r="AK18" s="3"/>
      <c r="AM18" s="245" t="s">
        <v>250</v>
      </c>
      <c r="AN18" s="245"/>
      <c r="AO18" t="s">
        <v>506</v>
      </c>
      <c r="AP18" s="22"/>
      <c r="BF18" s="7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8"/>
      <c r="BV18" s="22"/>
      <c r="BW18" s="22"/>
      <c r="BX18" s="4"/>
      <c r="BY18" s="22"/>
      <c r="BZ18" s="22"/>
      <c r="CB18" s="22"/>
      <c r="CC18" s="22"/>
      <c r="CD18" s="104"/>
      <c r="CE18" s="104"/>
      <c r="CF18" s="106"/>
      <c r="CH18" s="4"/>
      <c r="CI18" s="32"/>
      <c r="CJ18" s="32"/>
      <c r="CK18" s="32"/>
      <c r="CM18" s="23"/>
      <c r="CN18" s="23"/>
      <c r="CO18" s="23"/>
      <c r="CP18" s="104"/>
      <c r="CQ18" s="104"/>
      <c r="CR18" s="103"/>
      <c r="CS18" s="103"/>
      <c r="CT18" s="4"/>
      <c r="CU18" s="32"/>
      <c r="CV18" s="32"/>
      <c r="CW18" s="32"/>
    </row>
    <row r="19" spans="3:102" ht="19.2" x14ac:dyDescent="0.45">
      <c r="D19" s="3" t="s">
        <v>479</v>
      </c>
      <c r="W19" s="5"/>
      <c r="AI19" s="6"/>
      <c r="AJ19" s="3"/>
      <c r="AK19" s="3"/>
      <c r="AN19" s="245" t="s">
        <v>250</v>
      </c>
      <c r="AO19" s="245"/>
      <c r="AP19" s="3" t="s">
        <v>227</v>
      </c>
      <c r="AQ19" s="245" t="s">
        <v>258</v>
      </c>
      <c r="AR19" s="245"/>
      <c r="AS19" s="62" t="s">
        <v>234</v>
      </c>
      <c r="AT19" s="245" t="s">
        <v>259</v>
      </c>
      <c r="AU19" s="245"/>
      <c r="AW19" s="3" t="s">
        <v>227</v>
      </c>
      <c r="AX19" s="213">
        <f>S11</f>
        <v>287.99116660361642</v>
      </c>
      <c r="AY19" s="213"/>
      <c r="AZ19" s="213"/>
      <c r="BA19" s="4" t="s">
        <v>130</v>
      </c>
      <c r="BB19" s="213">
        <f>W11</f>
        <v>132.1660327088747</v>
      </c>
      <c r="BC19" s="213"/>
      <c r="BD19" s="213"/>
      <c r="BE19" s="3"/>
      <c r="BF19" s="3" t="s">
        <v>227</v>
      </c>
      <c r="BG19" s="213">
        <f>AX19-BB19</f>
        <v>155.82513389474173</v>
      </c>
      <c r="BH19" s="213"/>
      <c r="BI19" s="213"/>
      <c r="BV19" s="265" t="s">
        <v>266</v>
      </c>
      <c r="BW19" s="265"/>
      <c r="BX19" s="4" t="s">
        <v>3</v>
      </c>
      <c r="BY19" s="245" t="s">
        <v>242</v>
      </c>
      <c r="BZ19" s="245"/>
      <c r="CA19" t="s">
        <v>67</v>
      </c>
      <c r="CB19" s="65" t="s">
        <v>255</v>
      </c>
      <c r="CD19" s="4" t="s">
        <v>3</v>
      </c>
      <c r="CE19" s="259">
        <f>BO34</f>
        <v>0.6</v>
      </c>
      <c r="CF19" s="257"/>
      <c r="CG19" t="s">
        <v>67</v>
      </c>
      <c r="CH19" s="253">
        <f>BI21</f>
        <v>6.4621977685614063</v>
      </c>
      <c r="CI19" s="253"/>
      <c r="CK19" s="4" t="s">
        <v>3</v>
      </c>
      <c r="CL19" s="253">
        <f>CE19*CH19</f>
        <v>3.8773186611368438</v>
      </c>
      <c r="CM19" s="253"/>
      <c r="CN19" s="253"/>
      <c r="CO19" s="23"/>
      <c r="CP19" s="104"/>
      <c r="CQ19" s="104"/>
      <c r="CR19" s="103"/>
      <c r="CS19" s="103"/>
      <c r="CT19" s="4"/>
      <c r="CU19" s="32"/>
      <c r="CV19" s="32"/>
      <c r="CW19" s="32"/>
    </row>
    <row r="20" spans="3:102" x14ac:dyDescent="0.45">
      <c r="D20" s="241" t="s">
        <v>41</v>
      </c>
      <c r="E20" s="241"/>
      <c r="G20" s="258" t="s">
        <v>3</v>
      </c>
      <c r="H20" s="293">
        <f>'1.条件'!T8</f>
        <v>1.4</v>
      </c>
      <c r="I20" s="279"/>
      <c r="J20" s="279"/>
      <c r="L20" s="219" t="s">
        <v>127</v>
      </c>
      <c r="M20" s="216">
        <f>H20/H21</f>
        <v>0.7</v>
      </c>
      <c r="N20" s="216"/>
      <c r="O20" s="216"/>
      <c r="P20" s="218" t="s">
        <v>128</v>
      </c>
      <c r="W20" s="5"/>
      <c r="AI20" s="6"/>
      <c r="AM20" s="265" t="s">
        <v>255</v>
      </c>
      <c r="AN20" s="265"/>
      <c r="AO20" s="3" t="s">
        <v>257</v>
      </c>
      <c r="AP20" s="3"/>
      <c r="AQ20" s="3"/>
      <c r="BV20" s="22"/>
      <c r="BW20" s="22"/>
      <c r="BX20" s="4"/>
      <c r="BY20" s="22"/>
      <c r="BZ20" s="22"/>
      <c r="CB20" s="22"/>
      <c r="CC20" s="22"/>
      <c r="CD20" s="104"/>
      <c r="CE20" s="104"/>
      <c r="CF20" s="106"/>
      <c r="CH20" s="4"/>
      <c r="CI20" s="32"/>
      <c r="CJ20" s="32"/>
      <c r="CK20" s="32"/>
      <c r="CM20" s="23"/>
      <c r="CN20" s="23"/>
      <c r="CO20" s="23"/>
      <c r="CP20" s="104"/>
      <c r="CQ20" s="104"/>
      <c r="CR20" s="103"/>
      <c r="CS20" s="103"/>
      <c r="CT20" s="4"/>
      <c r="CU20" s="32"/>
      <c r="CV20" s="32"/>
      <c r="CW20" s="32"/>
    </row>
    <row r="21" spans="3:102" x14ac:dyDescent="0.45">
      <c r="D21" s="305">
        <f>'1.条件'!AX35</f>
        <v>2</v>
      </c>
      <c r="E21" s="305"/>
      <c r="G21" s="258"/>
      <c r="H21" s="269">
        <f>D21</f>
        <v>2</v>
      </c>
      <c r="I21" s="269"/>
      <c r="J21" s="269"/>
      <c r="L21" s="219"/>
      <c r="M21" s="216"/>
      <c r="N21" s="216"/>
      <c r="O21" s="216"/>
      <c r="P21" s="218"/>
      <c r="U21" s="14"/>
      <c r="W21" s="5"/>
      <c r="AI21" s="6"/>
      <c r="AJ21" s="3"/>
      <c r="AK21" s="3"/>
      <c r="AN21" s="265" t="s">
        <v>255</v>
      </c>
      <c r="AO21" s="265"/>
      <c r="AP21" s="3" t="s">
        <v>227</v>
      </c>
      <c r="AQ21" s="2" t="s">
        <v>276</v>
      </c>
      <c r="AR21" t="s">
        <v>277</v>
      </c>
      <c r="AS21" t="s">
        <v>278</v>
      </c>
      <c r="AT21" s="301" t="s">
        <v>412</v>
      </c>
      <c r="AU21" s="301"/>
      <c r="AV21" s="301"/>
      <c r="AW21" s="3" t="s">
        <v>227</v>
      </c>
      <c r="AX21" s="213">
        <f>'1.条件'!T6</f>
        <v>6</v>
      </c>
      <c r="AY21" s="213"/>
      <c r="AZ21" s="213"/>
      <c r="BA21" t="s">
        <v>277</v>
      </c>
      <c r="BB21" t="s">
        <v>278</v>
      </c>
      <c r="BC21" s="219" t="s">
        <v>279</v>
      </c>
      <c r="BD21" s="219"/>
      <c r="BE21" s="213">
        <f>'1.条件'!T10</f>
        <v>0.4</v>
      </c>
      <c r="BF21" s="213"/>
      <c r="BG21" t="s">
        <v>280</v>
      </c>
      <c r="BH21" s="3" t="s">
        <v>227</v>
      </c>
      <c r="BI21" s="213">
        <f>AX21*SQRT(1+BE21^2)</f>
        <v>6.4621977685614063</v>
      </c>
      <c r="BJ21" s="213"/>
      <c r="BK21" s="213"/>
      <c r="BV21" s="264" t="s">
        <v>265</v>
      </c>
      <c r="BW21" s="264"/>
      <c r="BX21" s="4" t="s">
        <v>3</v>
      </c>
      <c r="BY21" s="65" t="s">
        <v>255</v>
      </c>
      <c r="BZ21" s="62" t="s">
        <v>99</v>
      </c>
      <c r="CA21" s="265" t="s">
        <v>266</v>
      </c>
      <c r="CB21" s="265"/>
      <c r="CC21" s="22"/>
      <c r="CD21" s="4" t="s">
        <v>3</v>
      </c>
      <c r="CE21" s="253">
        <f>BI21</f>
        <v>6.4621977685614063</v>
      </c>
      <c r="CF21" s="253"/>
      <c r="CG21" s="62" t="s">
        <v>99</v>
      </c>
      <c r="CH21" s="253">
        <f>CL19</f>
        <v>3.8773186611368438</v>
      </c>
      <c r="CI21" s="253"/>
      <c r="CK21" s="4" t="s">
        <v>3</v>
      </c>
      <c r="CL21" s="253">
        <f>CE21-CH21</f>
        <v>2.5848791074245625</v>
      </c>
      <c r="CM21" s="253"/>
      <c r="CN21" s="253"/>
      <c r="CO21" s="23"/>
      <c r="CP21" s="104"/>
      <c r="CQ21" s="104"/>
      <c r="CR21" s="103"/>
      <c r="CS21" s="103"/>
      <c r="CT21" s="4"/>
      <c r="CU21" s="32"/>
      <c r="CV21" s="32"/>
      <c r="CW21" s="32"/>
    </row>
    <row r="22" spans="3:102" x14ac:dyDescent="0.45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14"/>
      <c r="W22" s="5"/>
      <c r="AI22" s="6"/>
      <c r="AJ22" s="3"/>
      <c r="AK22" s="3"/>
      <c r="AL22" s="3"/>
      <c r="AM22" s="287" t="s">
        <v>395</v>
      </c>
      <c r="AN22" s="287"/>
      <c r="AO22" t="s">
        <v>397</v>
      </c>
      <c r="BV22" s="22"/>
      <c r="BW22" s="22"/>
      <c r="BX22" s="4"/>
      <c r="BY22" s="22"/>
      <c r="BZ22" s="22"/>
      <c r="CB22" s="22"/>
      <c r="CC22" s="22"/>
      <c r="CD22" s="104"/>
      <c r="CE22" s="104"/>
      <c r="CF22" s="106"/>
      <c r="CH22" s="4"/>
      <c r="CI22" s="32"/>
      <c r="CJ22" s="32"/>
      <c r="CK22" s="32"/>
      <c r="CM22" s="23"/>
      <c r="CN22" s="23"/>
      <c r="CO22" s="23"/>
      <c r="CP22" s="104"/>
      <c r="CQ22" s="104"/>
      <c r="CR22" s="103"/>
      <c r="CS22" s="103"/>
      <c r="CT22" s="4"/>
      <c r="CU22" s="32"/>
      <c r="CV22" s="32"/>
      <c r="CW22" s="32"/>
    </row>
    <row r="23" spans="3:102" x14ac:dyDescent="0.45">
      <c r="D23" s="3" t="s">
        <v>131</v>
      </c>
      <c r="U23" s="14"/>
      <c r="W23" s="5"/>
      <c r="AI23" s="6"/>
      <c r="AJ23" s="3"/>
      <c r="AK23" s="3"/>
      <c r="AL23" s="3"/>
      <c r="AN23" s="287" t="s">
        <v>395</v>
      </c>
      <c r="AO23" s="287"/>
      <c r="AP23" t="s">
        <v>3</v>
      </c>
      <c r="AQ23" s="222" t="s">
        <v>104</v>
      </c>
      <c r="AR23" s="222"/>
      <c r="AS23" s="2" t="s">
        <v>410</v>
      </c>
      <c r="AU23" t="s">
        <v>3</v>
      </c>
      <c r="AV23" s="222" t="s">
        <v>104</v>
      </c>
      <c r="AW23" s="222"/>
      <c r="AX23" s="256">
        <f>'1.条件'!T10</f>
        <v>0.4</v>
      </c>
      <c r="AY23" s="256"/>
      <c r="AZ23" t="s">
        <v>3</v>
      </c>
      <c r="BA23" s="247">
        <f>ROUND(ATAN(AX23)*180/PI(),2)</f>
        <v>21.8</v>
      </c>
      <c r="BB23" s="247"/>
      <c r="BC23" s="247"/>
      <c r="BD23" t="s">
        <v>24</v>
      </c>
      <c r="BV23" s="245" t="s">
        <v>254</v>
      </c>
      <c r="BW23" s="245"/>
      <c r="BX23" s="258" t="s">
        <v>3</v>
      </c>
      <c r="BY23" s="63">
        <v>2</v>
      </c>
      <c r="BZ23" s="267" t="s">
        <v>233</v>
      </c>
      <c r="CA23" s="267"/>
      <c r="CB23" s="11"/>
      <c r="CD23" s="258" t="s">
        <v>3</v>
      </c>
      <c r="CE23" s="63">
        <v>2</v>
      </c>
      <c r="CF23" s="11" t="s">
        <v>67</v>
      </c>
      <c r="CG23" s="262">
        <f>CW12</f>
        <v>7.1208579888759633</v>
      </c>
      <c r="CH23" s="262"/>
      <c r="CI23" s="11"/>
      <c r="CK23" s="258" t="s">
        <v>3</v>
      </c>
      <c r="CL23" s="224">
        <f>CE23*CG23</f>
        <v>14.241715977751927</v>
      </c>
      <c r="CM23" s="224"/>
      <c r="CN23" s="224"/>
      <c r="CO23" s="21"/>
      <c r="CP23" s="258" t="s">
        <v>3</v>
      </c>
      <c r="CQ23" s="216">
        <f>CL23/CL24</f>
        <v>3.673083700986342</v>
      </c>
      <c r="CR23" s="216"/>
      <c r="CS23" s="216"/>
      <c r="CT23" s="4"/>
      <c r="CU23" s="32"/>
      <c r="CV23" s="32"/>
      <c r="CW23" s="32"/>
    </row>
    <row r="24" spans="3:102" ht="19.2" x14ac:dyDescent="0.45">
      <c r="D24" s="308" t="s">
        <v>226</v>
      </c>
      <c r="E24" s="309"/>
      <c r="F24" s="24" t="s">
        <v>127</v>
      </c>
      <c r="G24" s="276">
        <f>G17</f>
        <v>1.040754365404613</v>
      </c>
      <c r="H24" s="276"/>
      <c r="I24" s="277"/>
      <c r="J24" s="28" t="str">
        <f>IF(G24&lt;=O24, "≦", "&gt;")</f>
        <v>&gt;</v>
      </c>
      <c r="K24" s="294" t="s">
        <v>232</v>
      </c>
      <c r="L24" s="295"/>
      <c r="M24" s="55">
        <v>2</v>
      </c>
      <c r="N24" s="24" t="s">
        <v>127</v>
      </c>
      <c r="O24" s="276">
        <f>M20</f>
        <v>0.7</v>
      </c>
      <c r="P24" s="276"/>
      <c r="Q24" s="277"/>
      <c r="R24" s="3"/>
      <c r="S24" s="178" t="str">
        <f>IF(J24="&gt;", "OK", "NG")</f>
        <v>OK</v>
      </c>
      <c r="T24" s="180"/>
      <c r="U24" s="14"/>
      <c r="W24" s="5"/>
      <c r="AI24" s="6"/>
      <c r="AJ24" s="3"/>
      <c r="AK24" s="3"/>
      <c r="AL24" s="3"/>
      <c r="AM24" s="245" t="s">
        <v>246</v>
      </c>
      <c r="AN24" s="245"/>
      <c r="AO24" s="3" t="s">
        <v>507</v>
      </c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L24" s="3"/>
      <c r="BM24" s="3"/>
      <c r="BN24" s="3"/>
      <c r="BO24" s="3"/>
      <c r="BP24" s="3"/>
      <c r="BQ24" s="3"/>
      <c r="BV24" s="245"/>
      <c r="BW24" s="245"/>
      <c r="BX24" s="258"/>
      <c r="BY24" s="245" t="s">
        <v>242</v>
      </c>
      <c r="BZ24" s="245"/>
      <c r="CA24" t="s">
        <v>67</v>
      </c>
      <c r="CB24" s="65" t="s">
        <v>255</v>
      </c>
      <c r="CD24" s="258"/>
      <c r="CE24" s="259">
        <f>BO34</f>
        <v>0.6</v>
      </c>
      <c r="CF24" s="257"/>
      <c r="CG24" t="s">
        <v>67</v>
      </c>
      <c r="CH24" s="253">
        <f>BI21</f>
        <v>6.4621977685614063</v>
      </c>
      <c r="CI24" s="253"/>
      <c r="CK24" s="258"/>
      <c r="CL24" s="260">
        <f>CE24*CH24</f>
        <v>3.8773186611368438</v>
      </c>
      <c r="CM24" s="260"/>
      <c r="CN24" s="260"/>
      <c r="CO24" s="21"/>
      <c r="CP24" s="258"/>
      <c r="CQ24" s="216"/>
      <c r="CR24" s="216"/>
      <c r="CS24" s="216"/>
      <c r="CT24" s="4"/>
      <c r="CU24" s="32"/>
      <c r="CV24" s="32"/>
      <c r="CW24" s="32"/>
    </row>
    <row r="25" spans="3:102" x14ac:dyDescent="0.45">
      <c r="S25" s="23"/>
      <c r="T25" s="14"/>
      <c r="U25" s="14"/>
      <c r="W25" s="5"/>
      <c r="AI25" s="6"/>
      <c r="AJ25" s="3"/>
      <c r="AK25" s="3"/>
      <c r="AL25" s="3"/>
      <c r="AM25" s="245" t="s">
        <v>247</v>
      </c>
      <c r="AN25" s="245"/>
      <c r="AO25" s="3" t="s">
        <v>508</v>
      </c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3:102" x14ac:dyDescent="0.45">
      <c r="S26" s="23"/>
      <c r="T26" s="14"/>
      <c r="U26" s="14"/>
      <c r="W26" s="7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8"/>
      <c r="AJ26" s="3"/>
      <c r="AK26" s="3"/>
      <c r="AL26" s="3"/>
      <c r="AM26" s="245" t="s">
        <v>233</v>
      </c>
      <c r="AN26" s="245"/>
      <c r="AO26" s="3" t="s">
        <v>509</v>
      </c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V26" s="245" t="s">
        <v>249</v>
      </c>
      <c r="BW26" s="245"/>
      <c r="BX26" s="258" t="s">
        <v>3</v>
      </c>
      <c r="BY26" s="63">
        <v>2</v>
      </c>
      <c r="BZ26" s="267" t="s">
        <v>246</v>
      </c>
      <c r="CA26" s="267"/>
      <c r="CB26" s="63" t="s">
        <v>251</v>
      </c>
      <c r="CC26" s="59" t="s">
        <v>234</v>
      </c>
      <c r="CD26" s="63">
        <v>3</v>
      </c>
      <c r="CE26" s="267" t="s">
        <v>235</v>
      </c>
      <c r="CF26" s="267"/>
      <c r="CG26" s="64" t="s">
        <v>239</v>
      </c>
      <c r="CI26" s="258" t="s">
        <v>3</v>
      </c>
      <c r="CJ26" s="63">
        <v>2</v>
      </c>
      <c r="CK26" s="293">
        <f>CU15</f>
        <v>147.07879992850886</v>
      </c>
      <c r="CL26" s="293"/>
      <c r="CM26" s="293"/>
      <c r="CN26" s="63" t="s">
        <v>251</v>
      </c>
      <c r="CO26" s="59" t="s">
        <v>234</v>
      </c>
      <c r="CP26" s="63">
        <v>3</v>
      </c>
      <c r="CQ26" s="225">
        <f>BO35</f>
        <v>0.56000000000000005</v>
      </c>
      <c r="CR26" s="225"/>
      <c r="CS26" s="64" t="s">
        <v>239</v>
      </c>
      <c r="CU26" s="258" t="s">
        <v>3</v>
      </c>
      <c r="CV26" s="293">
        <f>CJ26*CK26*(2-3*CQ26)</f>
        <v>94.130431954245623</v>
      </c>
      <c r="CW26" s="293"/>
      <c r="CX26" s="293"/>
    </row>
    <row r="27" spans="3:102" x14ac:dyDescent="0.45">
      <c r="C27" s="3" t="s">
        <v>454</v>
      </c>
      <c r="Q27" s="14"/>
      <c r="S27" s="23"/>
      <c r="T27" s="14"/>
      <c r="U27" s="14"/>
      <c r="AJ27" s="3"/>
      <c r="AK27" s="3"/>
      <c r="AL27" s="3"/>
      <c r="AM27" s="22"/>
      <c r="AO27" s="3" t="s">
        <v>263</v>
      </c>
      <c r="AP27" s="3"/>
      <c r="AQ27" s="3"/>
      <c r="AR27" s="221" t="s">
        <v>226</v>
      </c>
      <c r="AS27" s="221"/>
      <c r="AT27" s="3" t="s">
        <v>261</v>
      </c>
      <c r="AU27" s="245" t="s">
        <v>235</v>
      </c>
      <c r="AV27" s="245"/>
      <c r="AW27" t="s">
        <v>236</v>
      </c>
      <c r="AX27" s="56" t="s">
        <v>237</v>
      </c>
      <c r="AY27" s="3" t="s">
        <v>262</v>
      </c>
      <c r="AZ27" s="3"/>
      <c r="BA27" s="3"/>
      <c r="BB27" s="245" t="s">
        <v>233</v>
      </c>
      <c r="BC27" s="245"/>
      <c r="BD27" s="3" t="s">
        <v>227</v>
      </c>
      <c r="BE27" s="61">
        <v>0</v>
      </c>
      <c r="BU27" s="3"/>
      <c r="BV27" s="245"/>
      <c r="BW27" s="245"/>
      <c r="BX27" s="258"/>
      <c r="BZ27" s="21"/>
      <c r="CC27" s="56" t="s">
        <v>237</v>
      </c>
      <c r="CI27" s="258"/>
      <c r="CM27" s="213">
        <f>'1.条件'!T8</f>
        <v>1.4</v>
      </c>
      <c r="CN27" s="213"/>
      <c r="CO27" s="213"/>
      <c r="CU27" s="258"/>
      <c r="CV27" s="213">
        <f>CM27</f>
        <v>1.4</v>
      </c>
      <c r="CW27" s="213"/>
      <c r="CX27" s="213"/>
    </row>
    <row r="28" spans="3:102" x14ac:dyDescent="0.45">
      <c r="D28" s="3" t="s">
        <v>501</v>
      </c>
      <c r="E28" s="3"/>
      <c r="F28" s="3"/>
      <c r="G28" s="3"/>
      <c r="H28" s="3"/>
      <c r="I28" s="3"/>
      <c r="J28" s="3"/>
      <c r="K28" s="3"/>
      <c r="L28" s="3"/>
      <c r="M28" s="3"/>
      <c r="AL28" s="3"/>
      <c r="AM28" s="245" t="s">
        <v>249</v>
      </c>
      <c r="AN28" s="245"/>
      <c r="AO28" s="3" t="s">
        <v>510</v>
      </c>
      <c r="BU28" s="3"/>
      <c r="BX28" s="4" t="s">
        <v>227</v>
      </c>
      <c r="BY28" s="213">
        <f>CV26/CV27</f>
        <v>67.236022824461159</v>
      </c>
      <c r="BZ28" s="213"/>
      <c r="CA28" s="213"/>
    </row>
    <row r="29" spans="3:102" x14ac:dyDescent="0.45">
      <c r="D29" s="251" t="s">
        <v>132</v>
      </c>
      <c r="E29" s="251"/>
      <c r="F29" s="258" t="s">
        <v>3</v>
      </c>
      <c r="G29" s="267" t="s">
        <v>502</v>
      </c>
      <c r="H29" s="267"/>
      <c r="I29" s="117" t="s">
        <v>134</v>
      </c>
      <c r="J29" s="118" t="s">
        <v>202</v>
      </c>
      <c r="K29" s="279" t="s">
        <v>503</v>
      </c>
      <c r="L29" s="279"/>
      <c r="M29" s="100" t="s">
        <v>504</v>
      </c>
      <c r="N29" s="3"/>
      <c r="O29" s="3"/>
      <c r="P29" s="3"/>
      <c r="Q29" s="3"/>
      <c r="R29" s="3"/>
      <c r="S29" s="3"/>
      <c r="T29" s="3"/>
      <c r="U29" s="3"/>
      <c r="V29" s="3"/>
      <c r="W29" s="3"/>
      <c r="AL29" s="3"/>
      <c r="AM29" s="245" t="s">
        <v>252</v>
      </c>
      <c r="AN29" s="245"/>
      <c r="AO29" s="3" t="s">
        <v>511</v>
      </c>
    </row>
    <row r="30" spans="3:102" x14ac:dyDescent="0.45">
      <c r="D30" s="251"/>
      <c r="E30" s="251"/>
      <c r="F30" s="258"/>
      <c r="G30" s="3"/>
      <c r="H30" s="3"/>
      <c r="I30" s="245" t="s">
        <v>260</v>
      </c>
      <c r="J30" s="24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AL30" s="3"/>
      <c r="AM30" s="245" t="s">
        <v>254</v>
      </c>
      <c r="AN30" s="245"/>
      <c r="AO30" s="3" t="s">
        <v>512</v>
      </c>
      <c r="BV30" s="245" t="s">
        <v>252</v>
      </c>
      <c r="BW30" s="245"/>
      <c r="BX30" s="258" t="s">
        <v>3</v>
      </c>
      <c r="BY30" s="63">
        <v>2</v>
      </c>
      <c r="BZ30" s="267" t="s">
        <v>246</v>
      </c>
      <c r="CA30" s="267"/>
      <c r="CB30" s="63" t="s">
        <v>253</v>
      </c>
      <c r="CC30" s="267" t="s">
        <v>235</v>
      </c>
      <c r="CD30" s="267"/>
      <c r="CE30" s="59" t="s">
        <v>234</v>
      </c>
      <c r="CF30" s="63">
        <v>1</v>
      </c>
      <c r="CG30" s="64" t="s">
        <v>239</v>
      </c>
      <c r="CI30" s="258" t="s">
        <v>3</v>
      </c>
      <c r="CJ30" s="63">
        <v>2</v>
      </c>
      <c r="CK30" s="293">
        <f>CU15</f>
        <v>147.07879992850886</v>
      </c>
      <c r="CL30" s="293"/>
      <c r="CM30" s="293"/>
      <c r="CN30" s="63" t="s">
        <v>253</v>
      </c>
      <c r="CO30" s="225">
        <f>BO35</f>
        <v>0.56000000000000005</v>
      </c>
      <c r="CP30" s="225"/>
      <c r="CQ30" s="59" t="s">
        <v>234</v>
      </c>
      <c r="CR30" s="63">
        <v>1</v>
      </c>
      <c r="CS30" s="64" t="s">
        <v>239</v>
      </c>
      <c r="CU30" s="258" t="s">
        <v>3</v>
      </c>
      <c r="CV30" s="293">
        <f>CJ30*CK30*(3*CO30-1)</f>
        <v>200.02716790277211</v>
      </c>
      <c r="CW30" s="293"/>
      <c r="CX30" s="293"/>
    </row>
    <row r="31" spans="3:102" x14ac:dyDescent="0.45">
      <c r="AL31" s="3"/>
      <c r="AM31" s="245" t="s">
        <v>264</v>
      </c>
      <c r="AN31" s="245"/>
      <c r="AO31" s="3" t="s">
        <v>513</v>
      </c>
      <c r="BV31" s="245"/>
      <c r="BW31" s="245"/>
      <c r="BX31" s="258"/>
      <c r="BZ31" s="21"/>
      <c r="CC31" s="56" t="s">
        <v>237</v>
      </c>
      <c r="CI31" s="258"/>
      <c r="CM31" s="213">
        <f>'1.条件'!T8</f>
        <v>1.4</v>
      </c>
      <c r="CN31" s="213"/>
      <c r="CO31" s="213"/>
      <c r="CU31" s="258"/>
      <c r="CV31" s="213">
        <f>CM31</f>
        <v>1.4</v>
      </c>
      <c r="CW31" s="213"/>
      <c r="CX31" s="213"/>
    </row>
    <row r="32" spans="3:102" x14ac:dyDescent="0.45">
      <c r="D32" s="3" t="s">
        <v>505</v>
      </c>
      <c r="AL32" s="3"/>
      <c r="AM32" s="264" t="s">
        <v>265</v>
      </c>
      <c r="AN32" s="264"/>
      <c r="AO32" s="3" t="s">
        <v>514</v>
      </c>
      <c r="BX32" s="4" t="s">
        <v>227</v>
      </c>
      <c r="BY32" s="213">
        <f>CV30/CV31</f>
        <v>142.8765485019801</v>
      </c>
      <c r="BZ32" s="213"/>
      <c r="CA32" s="213"/>
    </row>
    <row r="33" spans="4:105" x14ac:dyDescent="0.45">
      <c r="D33" s="251" t="s">
        <v>132</v>
      </c>
      <c r="E33" s="251"/>
      <c r="F33" s="258" t="s">
        <v>3</v>
      </c>
      <c r="G33" s="267" t="s">
        <v>230</v>
      </c>
      <c r="H33" s="267"/>
      <c r="I33" s="30" t="s">
        <v>133</v>
      </c>
      <c r="J33" s="31" t="s">
        <v>134</v>
      </c>
      <c r="K33" s="3"/>
      <c r="L33" s="258" t="s">
        <v>3</v>
      </c>
      <c r="M33" s="293">
        <f>G11</f>
        <v>149.72325754709831</v>
      </c>
      <c r="N33" s="293"/>
      <c r="O33" s="293"/>
      <c r="P33" s="30" t="s">
        <v>133</v>
      </c>
      <c r="Q33" s="262">
        <f>'1.条件'!T30</f>
        <v>0.7</v>
      </c>
      <c r="R33" s="292"/>
      <c r="S33" s="3"/>
      <c r="T33" s="258" t="s">
        <v>3</v>
      </c>
      <c r="U33" s="253">
        <f>M33/O34*Q33</f>
        <v>1.5859790618642253</v>
      </c>
      <c r="V33" s="253"/>
      <c r="W33" s="253"/>
      <c r="AL33" s="3"/>
      <c r="AM33" s="264" t="s">
        <v>266</v>
      </c>
      <c r="AN33" s="264"/>
      <c r="AO33" s="3" t="s">
        <v>515</v>
      </c>
    </row>
    <row r="34" spans="4:105" ht="19.2" x14ac:dyDescent="0.45">
      <c r="D34" s="251"/>
      <c r="E34" s="251"/>
      <c r="F34" s="258"/>
      <c r="G34" s="3"/>
      <c r="H34" s="245" t="s">
        <v>231</v>
      </c>
      <c r="I34" s="245"/>
      <c r="J34" s="3"/>
      <c r="K34" s="3"/>
      <c r="L34" s="258"/>
      <c r="M34" s="3"/>
      <c r="N34" s="3"/>
      <c r="O34" s="213">
        <f>J11</f>
        <v>66.083016354437348</v>
      </c>
      <c r="P34" s="213"/>
      <c r="Q34" s="213"/>
      <c r="R34" s="3"/>
      <c r="S34" s="3"/>
      <c r="T34" s="258"/>
      <c r="U34" s="253"/>
      <c r="V34" s="253"/>
      <c r="W34" s="253"/>
      <c r="AL34" s="3"/>
      <c r="AM34" s="245" t="s">
        <v>242</v>
      </c>
      <c r="AN34" s="245"/>
      <c r="AO34" s="3" t="s">
        <v>285</v>
      </c>
      <c r="BE34" s="3"/>
      <c r="BL34" s="245" t="s">
        <v>242</v>
      </c>
      <c r="BM34" s="245"/>
      <c r="BN34" t="s">
        <v>227</v>
      </c>
      <c r="BO34" s="270">
        <f>_xlfn.IFS('1.条件'!T10=0.3, 0.5, '1.条件'!T10=0.4, 0.6,'1.条件'!T10=0.5, 0.7)</f>
        <v>0.6</v>
      </c>
      <c r="BP34" s="270"/>
      <c r="BV34" s="3" t="s">
        <v>131</v>
      </c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56"/>
      <c r="CO34" s="56"/>
      <c r="CP34" s="56"/>
      <c r="CQ34" s="56"/>
      <c r="CR34" s="56"/>
      <c r="CS34" s="56"/>
    </row>
    <row r="35" spans="4:105" x14ac:dyDescent="0.45">
      <c r="AL35" s="3"/>
      <c r="AM35" s="245" t="s">
        <v>273</v>
      </c>
      <c r="AN35" s="245"/>
      <c r="AO35" s="3" t="s">
        <v>267</v>
      </c>
      <c r="BE35" s="3"/>
      <c r="BL35" s="245" t="s">
        <v>235</v>
      </c>
      <c r="BM35" s="245"/>
      <c r="BN35" t="s">
        <v>227</v>
      </c>
      <c r="BO35" s="218">
        <v>0.56000000000000005</v>
      </c>
      <c r="BP35" s="218"/>
      <c r="BV35" s="296" t="s">
        <v>249</v>
      </c>
      <c r="BW35" s="297"/>
      <c r="BX35" s="24" t="s">
        <v>127</v>
      </c>
      <c r="BY35" s="276">
        <f>BY28</f>
        <v>67.236022824461159</v>
      </c>
      <c r="BZ35" s="276"/>
      <c r="CA35" s="277"/>
      <c r="CB35" s="28" t="str">
        <f>IF(BY35&lt;=CH35, "≦", "&gt;")</f>
        <v>≦</v>
      </c>
      <c r="CC35" s="178" t="s">
        <v>136</v>
      </c>
      <c r="CD35" s="179"/>
      <c r="CE35" s="179"/>
      <c r="CF35" s="179"/>
      <c r="CG35" s="179"/>
      <c r="CH35" s="300">
        <f>'1.条件'!T32</f>
        <v>300</v>
      </c>
      <c r="CI35" s="194"/>
      <c r="CJ35" s="3"/>
      <c r="CK35" s="178" t="str">
        <f>IF(CB35="≦", "OK", "NG")</f>
        <v>OK</v>
      </c>
      <c r="CL35" s="180"/>
      <c r="CM35" s="56"/>
      <c r="CN35" s="56"/>
      <c r="CO35" s="56"/>
      <c r="CP35" s="56"/>
      <c r="CQ35" s="56"/>
      <c r="CR35" s="56"/>
    </row>
    <row r="36" spans="4:105" x14ac:dyDescent="0.45">
      <c r="D36" s="3" t="s">
        <v>131</v>
      </c>
      <c r="AL36" s="3"/>
      <c r="AM36" s="22"/>
      <c r="AN36" s="22"/>
      <c r="AO36" s="3"/>
      <c r="BE36" s="3"/>
      <c r="BL36" s="22"/>
      <c r="BM36" s="22"/>
      <c r="BO36" s="14"/>
      <c r="BP36" s="14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</row>
    <row r="37" spans="4:105" x14ac:dyDescent="0.45">
      <c r="D37" s="288" t="s">
        <v>132</v>
      </c>
      <c r="E37" s="289"/>
      <c r="F37" s="24" t="s">
        <v>127</v>
      </c>
      <c r="G37" s="276">
        <f>M33/O34*Q33</f>
        <v>1.5859790618642253</v>
      </c>
      <c r="H37" s="276"/>
      <c r="I37" s="277"/>
      <c r="J37" s="28" t="str">
        <f>IF(G37&lt;=O37, "&lt;", "≧")</f>
        <v>≧</v>
      </c>
      <c r="K37" s="178" t="s">
        <v>135</v>
      </c>
      <c r="L37" s="179"/>
      <c r="M37" s="179"/>
      <c r="N37" s="179"/>
      <c r="O37" s="290">
        <f>'1.条件'!AT36</f>
        <v>1.5</v>
      </c>
      <c r="P37" s="291"/>
      <c r="Q37" s="3"/>
      <c r="R37" s="3"/>
      <c r="S37" s="178" t="str">
        <f>IF(J37="≧", "OK", "NG")</f>
        <v>OK</v>
      </c>
      <c r="T37" s="180"/>
      <c r="AA37" s="3"/>
      <c r="AL37" s="3"/>
      <c r="AO37" s="67" t="s">
        <v>268</v>
      </c>
      <c r="AP37" s="68"/>
      <c r="AQ37" s="68"/>
      <c r="AR37" s="68"/>
      <c r="AS37" s="68"/>
      <c r="AT37" s="69"/>
      <c r="AU37" s="298" t="s">
        <v>270</v>
      </c>
      <c r="AV37" s="299"/>
      <c r="AW37" s="299"/>
      <c r="AX37" s="299"/>
      <c r="AY37" s="299"/>
      <c r="AZ37" s="298" t="s">
        <v>271</v>
      </c>
      <c r="BA37" s="299"/>
      <c r="BB37" s="299"/>
      <c r="BC37" s="299"/>
      <c r="BD37" s="299"/>
      <c r="BE37" s="298" t="s">
        <v>272</v>
      </c>
      <c r="BF37" s="299"/>
      <c r="BG37" s="299"/>
      <c r="BH37" s="299"/>
      <c r="BI37" s="299"/>
      <c r="BJ37" s="71"/>
      <c r="BV37" s="296" t="s">
        <v>252</v>
      </c>
      <c r="BW37" s="297"/>
      <c r="BX37" s="24" t="s">
        <v>127</v>
      </c>
      <c r="BY37" s="276">
        <f>BY32</f>
        <v>142.8765485019801</v>
      </c>
      <c r="BZ37" s="276"/>
      <c r="CA37" s="277"/>
      <c r="CB37" s="28" t="str">
        <f>IF(BY37&lt;=CH37, "≦", "&gt;")</f>
        <v>≦</v>
      </c>
      <c r="CC37" s="178" t="s">
        <v>136</v>
      </c>
      <c r="CD37" s="179"/>
      <c r="CE37" s="179"/>
      <c r="CF37" s="179"/>
      <c r="CG37" s="179"/>
      <c r="CH37" s="300">
        <f>'1.条件'!T32</f>
        <v>300</v>
      </c>
      <c r="CI37" s="194"/>
      <c r="CJ37" s="3"/>
      <c r="CK37" s="178" t="str">
        <f>IF(CB37="≦", "OK", "NG")</f>
        <v>OK</v>
      </c>
      <c r="CL37" s="180"/>
      <c r="CM37" s="66"/>
      <c r="CN37" s="66"/>
      <c r="CO37" s="66"/>
    </row>
    <row r="38" spans="4:105" ht="19.2" x14ac:dyDescent="0.45">
      <c r="Z38" s="3"/>
      <c r="AA38" s="3"/>
      <c r="AI38">
        <v>9</v>
      </c>
      <c r="AL38" s="3"/>
      <c r="AO38" s="296" t="s">
        <v>242</v>
      </c>
      <c r="AP38" s="297"/>
      <c r="AQ38" s="70" t="s">
        <v>269</v>
      </c>
      <c r="AR38" s="68"/>
      <c r="AS38" s="68"/>
      <c r="AT38" s="69"/>
      <c r="AU38" s="204">
        <v>0.5</v>
      </c>
      <c r="AV38" s="205"/>
      <c r="AW38" s="205"/>
      <c r="AX38" s="205"/>
      <c r="AY38" s="206"/>
      <c r="AZ38" s="204">
        <v>0.6</v>
      </c>
      <c r="BA38" s="205"/>
      <c r="BB38" s="205"/>
      <c r="BC38" s="205"/>
      <c r="BD38" s="206"/>
      <c r="BE38" s="204">
        <v>0.7</v>
      </c>
      <c r="BF38" s="205"/>
      <c r="BG38" s="205"/>
      <c r="BH38" s="205"/>
      <c r="BI38" s="205"/>
      <c r="BJ38" s="41"/>
      <c r="BR38">
        <v>10</v>
      </c>
      <c r="DA38">
        <v>11</v>
      </c>
    </row>
    <row r="39" spans="4:105" x14ac:dyDescent="0.45">
      <c r="Z39" s="3"/>
      <c r="AA39" s="3"/>
    </row>
    <row r="41" spans="4:105" x14ac:dyDescent="0.45">
      <c r="BV41" s="3"/>
      <c r="BW41" s="56"/>
      <c r="BX41" s="56"/>
      <c r="BY41" s="28"/>
      <c r="BZ41" s="73"/>
      <c r="CA41" s="73"/>
      <c r="CB41" s="73"/>
    </row>
    <row r="43" spans="4:105" x14ac:dyDescent="0.45">
      <c r="BW43" s="72"/>
    </row>
  </sheetData>
  <sheetProtection sheet="1" objects="1" scenarios="1"/>
  <mergeCells count="271">
    <mergeCell ref="D29:E30"/>
    <mergeCell ref="F29:F30"/>
    <mergeCell ref="G29:H29"/>
    <mergeCell ref="K29:L29"/>
    <mergeCell ref="I30:J30"/>
    <mergeCell ref="D10:F10"/>
    <mergeCell ref="G10:I10"/>
    <mergeCell ref="J10:L10"/>
    <mergeCell ref="M10:O10"/>
    <mergeCell ref="D24:E24"/>
    <mergeCell ref="D20:E20"/>
    <mergeCell ref="D21:E21"/>
    <mergeCell ref="S10:V10"/>
    <mergeCell ref="W10:Z10"/>
    <mergeCell ref="CV27:CX27"/>
    <mergeCell ref="BV30:BW31"/>
    <mergeCell ref="BX30:BX31"/>
    <mergeCell ref="BZ30:CA30"/>
    <mergeCell ref="CC30:CD30"/>
    <mergeCell ref="CI30:CI31"/>
    <mergeCell ref="CK30:CM30"/>
    <mergeCell ref="CO30:CP30"/>
    <mergeCell ref="CM31:CO31"/>
    <mergeCell ref="CU30:CU31"/>
    <mergeCell ref="CV30:CX30"/>
    <mergeCell ref="CV31:CX31"/>
    <mergeCell ref="BY28:CA28"/>
    <mergeCell ref="BX26:BX27"/>
    <mergeCell ref="BZ26:CA26"/>
    <mergeCell ref="CE26:CF26"/>
    <mergeCell ref="CV26:CX26"/>
    <mergeCell ref="CQ26:CR26"/>
    <mergeCell ref="CM27:CO27"/>
    <mergeCell ref="AO15:AO16"/>
    <mergeCell ref="AM18:AN18"/>
    <mergeCell ref="AN19:AO19"/>
    <mergeCell ref="CH3:CJ3"/>
    <mergeCell ref="BV15:BW15"/>
    <mergeCell ref="CI15:CK15"/>
    <mergeCell ref="BY15:BZ15"/>
    <mergeCell ref="CB15:CC15"/>
    <mergeCell ref="BZ4:CA4"/>
    <mergeCell ref="CC4:CD4"/>
    <mergeCell ref="CR15:CS15"/>
    <mergeCell ref="CG6:CH6"/>
    <mergeCell ref="CD7:CE7"/>
    <mergeCell ref="CJ7:CK7"/>
    <mergeCell ref="BY9:CA9"/>
    <mergeCell ref="CC9:CD9"/>
    <mergeCell ref="CF9:CG9"/>
    <mergeCell ref="CI9:CK9"/>
    <mergeCell ref="BY10:BZ10"/>
    <mergeCell ref="CB10:CC10"/>
    <mergeCell ref="CF10:CG10"/>
    <mergeCell ref="CI10:CK10"/>
    <mergeCell ref="CN10:CO10"/>
    <mergeCell ref="BY12:CA12"/>
    <mergeCell ref="CM15:CO15"/>
    <mergeCell ref="CP15:CQ15"/>
    <mergeCell ref="CD15:CE15"/>
    <mergeCell ref="CC37:CG37"/>
    <mergeCell ref="AQ15:AR15"/>
    <mergeCell ref="AV11:AW11"/>
    <mergeCell ref="AP16:AQ16"/>
    <mergeCell ref="AN21:AO21"/>
    <mergeCell ref="AX21:AZ21"/>
    <mergeCell ref="AT21:AV21"/>
    <mergeCell ref="BC21:BD21"/>
    <mergeCell ref="BV2:BW2"/>
    <mergeCell ref="BY2:CA2"/>
    <mergeCell ref="BV3:BW3"/>
    <mergeCell ref="CA3:CB3"/>
    <mergeCell ref="CD3:CF3"/>
    <mergeCell ref="BV17:BW17"/>
    <mergeCell ref="BY17:BZ17"/>
    <mergeCell ref="CB17:CC17"/>
    <mergeCell ref="AT13:AU13"/>
    <mergeCell ref="BA5:BB5"/>
    <mergeCell ref="AX4:AY4"/>
    <mergeCell ref="AU5:AV5"/>
    <mergeCell ref="BV6:BW7"/>
    <mergeCell ref="BX6:BX7"/>
    <mergeCell ref="BY6:BZ6"/>
    <mergeCell ref="CB6:CC6"/>
    <mergeCell ref="BL34:BM34"/>
    <mergeCell ref="BO34:BP34"/>
    <mergeCell ref="BL35:BM35"/>
    <mergeCell ref="BO35:BP35"/>
    <mergeCell ref="CU26:CU27"/>
    <mergeCell ref="BV35:BW35"/>
    <mergeCell ref="BV37:BW37"/>
    <mergeCell ref="BY32:CA32"/>
    <mergeCell ref="AX19:AZ19"/>
    <mergeCell ref="BB19:BD19"/>
    <mergeCell ref="BG19:BI19"/>
    <mergeCell ref="BB27:BC27"/>
    <mergeCell ref="BE21:BF21"/>
    <mergeCell ref="BI21:BK21"/>
    <mergeCell ref="BV26:BW27"/>
    <mergeCell ref="CI26:CI27"/>
    <mergeCell ref="CK26:CM26"/>
    <mergeCell ref="CH37:CI37"/>
    <mergeCell ref="CK37:CL37"/>
    <mergeCell ref="BY35:CA35"/>
    <mergeCell ref="CC35:CG35"/>
    <mergeCell ref="CH35:CI35"/>
    <mergeCell ref="CK35:CL35"/>
    <mergeCell ref="BY37:CA37"/>
    <mergeCell ref="AO38:AP38"/>
    <mergeCell ref="AU37:AY37"/>
    <mergeCell ref="AZ37:BD37"/>
    <mergeCell ref="BE37:BI37"/>
    <mergeCell ref="AU38:AY38"/>
    <mergeCell ref="AZ38:BD38"/>
    <mergeCell ref="BE38:BI38"/>
    <mergeCell ref="AM7:AN7"/>
    <mergeCell ref="AP7:AQ7"/>
    <mergeCell ref="AS7:AT7"/>
    <mergeCell ref="AM9:AN9"/>
    <mergeCell ref="AP9:AQ9"/>
    <mergeCell ref="AS9:AT9"/>
    <mergeCell ref="AM35:AN35"/>
    <mergeCell ref="AQ19:AR19"/>
    <mergeCell ref="AT19:AU19"/>
    <mergeCell ref="AR27:AS27"/>
    <mergeCell ref="AU27:AV27"/>
    <mergeCell ref="AM15:AN16"/>
    <mergeCell ref="AQ23:AR23"/>
    <mergeCell ref="AQ11:AR11"/>
    <mergeCell ref="AV23:AW23"/>
    <mergeCell ref="AX23:AY23"/>
    <mergeCell ref="BA23:BC23"/>
    <mergeCell ref="H34:I34"/>
    <mergeCell ref="L20:L21"/>
    <mergeCell ref="M20:O21"/>
    <mergeCell ref="S24:T24"/>
    <mergeCell ref="K24:L24"/>
    <mergeCell ref="G15:K15"/>
    <mergeCell ref="M15:M16"/>
    <mergeCell ref="N15:P15"/>
    <mergeCell ref="R15:T15"/>
    <mergeCell ref="G17:I17"/>
    <mergeCell ref="G24:I24"/>
    <mergeCell ref="O24:Q24"/>
    <mergeCell ref="G20:G21"/>
    <mergeCell ref="H20:J20"/>
    <mergeCell ref="H21:J21"/>
    <mergeCell ref="P20:P21"/>
    <mergeCell ref="D37:E37"/>
    <mergeCell ref="G37:I37"/>
    <mergeCell ref="K37:N37"/>
    <mergeCell ref="D33:E34"/>
    <mergeCell ref="U33:W34"/>
    <mergeCell ref="O34:Q34"/>
    <mergeCell ref="O37:P37"/>
    <mergeCell ref="S37:T37"/>
    <mergeCell ref="AM24:AN24"/>
    <mergeCell ref="AM25:AN25"/>
    <mergeCell ref="AM32:AN32"/>
    <mergeCell ref="AM33:AN33"/>
    <mergeCell ref="AM28:AN28"/>
    <mergeCell ref="AM29:AN29"/>
    <mergeCell ref="AM30:AN30"/>
    <mergeCell ref="AM31:AN31"/>
    <mergeCell ref="AM34:AN34"/>
    <mergeCell ref="Q33:R33"/>
    <mergeCell ref="T33:T34"/>
    <mergeCell ref="AM26:AN26"/>
    <mergeCell ref="F33:F34"/>
    <mergeCell ref="G33:H33"/>
    <mergeCell ref="L33:L34"/>
    <mergeCell ref="M33:O33"/>
    <mergeCell ref="AM22:AN22"/>
    <mergeCell ref="AM20:AN20"/>
    <mergeCell ref="D15:E16"/>
    <mergeCell ref="F15:F16"/>
    <mergeCell ref="AN23:AO23"/>
    <mergeCell ref="D11:F11"/>
    <mergeCell ref="G11:I11"/>
    <mergeCell ref="J11:L11"/>
    <mergeCell ref="M11:O11"/>
    <mergeCell ref="P11:R11"/>
    <mergeCell ref="S11:V11"/>
    <mergeCell ref="G16:K16"/>
    <mergeCell ref="P16:R16"/>
    <mergeCell ref="AQ13:AR13"/>
    <mergeCell ref="AM11:AN12"/>
    <mergeCell ref="AO11:AO12"/>
    <mergeCell ref="AM13:AN14"/>
    <mergeCell ref="AO13:AO14"/>
    <mergeCell ref="D9:F9"/>
    <mergeCell ref="P6:R6"/>
    <mergeCell ref="S6:V6"/>
    <mergeCell ref="W6:Z6"/>
    <mergeCell ref="G7:I7"/>
    <mergeCell ref="J7:L7"/>
    <mergeCell ref="M7:O7"/>
    <mergeCell ref="P7:R7"/>
    <mergeCell ref="W7:Z7"/>
    <mergeCell ref="D8:F8"/>
    <mergeCell ref="G8:I8"/>
    <mergeCell ref="J8:L8"/>
    <mergeCell ref="M8:O8"/>
    <mergeCell ref="P8:R8"/>
    <mergeCell ref="S8:V8"/>
    <mergeCell ref="W8:Z8"/>
    <mergeCell ref="G9:I9"/>
    <mergeCell ref="P9:R9"/>
    <mergeCell ref="P10:R10"/>
    <mergeCell ref="BV19:BW19"/>
    <mergeCell ref="BY19:BZ19"/>
    <mergeCell ref="CE19:CF19"/>
    <mergeCell ref="CH19:CI19"/>
    <mergeCell ref="CL19:CN19"/>
    <mergeCell ref="G5:I5"/>
    <mergeCell ref="J5:L5"/>
    <mergeCell ref="M5:R5"/>
    <mergeCell ref="S5:Z5"/>
    <mergeCell ref="G6:I6"/>
    <mergeCell ref="J6:L6"/>
    <mergeCell ref="M6:O6"/>
    <mergeCell ref="W11:Z11"/>
    <mergeCell ref="AM4:AN5"/>
    <mergeCell ref="S9:V9"/>
    <mergeCell ref="W9:Z9"/>
    <mergeCell ref="J9:L9"/>
    <mergeCell ref="M9:O9"/>
    <mergeCell ref="AO4:AO5"/>
    <mergeCell ref="AP4:AQ4"/>
    <mergeCell ref="AS4:AT4"/>
    <mergeCell ref="S7:V7"/>
    <mergeCell ref="AU7:AV7"/>
    <mergeCell ref="AU9:AV9"/>
    <mergeCell ref="BV21:BW21"/>
    <mergeCell ref="CA21:CB21"/>
    <mergeCell ref="CI17:CK17"/>
    <mergeCell ref="CM17:CO17"/>
    <mergeCell ref="CW12:CY13"/>
    <mergeCell ref="CE21:CF21"/>
    <mergeCell ref="CH21:CI21"/>
    <mergeCell ref="CL21:CN21"/>
    <mergeCell ref="BV23:BW24"/>
    <mergeCell ref="BX23:BX24"/>
    <mergeCell ref="BZ23:CA23"/>
    <mergeCell ref="CD23:CD24"/>
    <mergeCell ref="CG23:CH23"/>
    <mergeCell ref="CK23:CK24"/>
    <mergeCell ref="CL23:CN23"/>
    <mergeCell ref="BY13:BZ13"/>
    <mergeCell ref="CB13:CC13"/>
    <mergeCell ref="CE13:CF13"/>
    <mergeCell ref="CI13:CK13"/>
    <mergeCell ref="CM13:CN13"/>
    <mergeCell ref="CR13:CT13"/>
    <mergeCell ref="CU15:CW15"/>
    <mergeCell ref="CR17:CS17"/>
    <mergeCell ref="CU17:CW17"/>
    <mergeCell ref="CP23:CP24"/>
    <mergeCell ref="CQ23:CS24"/>
    <mergeCell ref="BY24:BZ24"/>
    <mergeCell ref="CE24:CF24"/>
    <mergeCell ref="CH24:CI24"/>
    <mergeCell ref="CL24:CN24"/>
    <mergeCell ref="BX9:BX10"/>
    <mergeCell ref="CV12:CV13"/>
    <mergeCell ref="CQ12:CQ13"/>
    <mergeCell ref="BX12:BX13"/>
    <mergeCell ref="CP17:CQ17"/>
    <mergeCell ref="CC12:CE12"/>
    <mergeCell ref="CR12:CT12"/>
    <mergeCell ref="CD17:CE17"/>
  </mergeCells>
  <phoneticPr fontId="1"/>
  <conditionalFormatting sqref="S24:T24">
    <cfRule type="cellIs" dxfId="13" priority="3" operator="equal">
      <formula>"NG"</formula>
    </cfRule>
  </conditionalFormatting>
  <conditionalFormatting sqref="S37:T37">
    <cfRule type="cellIs" dxfId="12" priority="4" operator="equal">
      <formula>"NG"</formula>
    </cfRule>
  </conditionalFormatting>
  <conditionalFormatting sqref="CK35:CL35">
    <cfRule type="cellIs" dxfId="11" priority="2" operator="equal">
      <formula>"NG"</formula>
    </cfRule>
  </conditionalFormatting>
  <conditionalFormatting sqref="CK37:CL37">
    <cfRule type="cellIs" dxfId="10" priority="1" operator="equal">
      <formula>"NG"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4DEA-06AE-4EB2-99E7-CA6C6F1810DC}">
  <dimension ref="B2:DA43"/>
  <sheetViews>
    <sheetView showGridLines="0" view="pageBreakPreview" zoomScale="70" zoomScaleNormal="65" zoomScaleSheetLayoutView="70" workbookViewId="0">
      <selection activeCell="A2" sqref="A2"/>
    </sheetView>
  </sheetViews>
  <sheetFormatPr defaultRowHeight="18" x14ac:dyDescent="0.45"/>
  <cols>
    <col min="1" max="70" width="3" customWidth="1"/>
    <col min="71" max="105" width="2.8984375" customWidth="1"/>
  </cols>
  <sheetData>
    <row r="2" spans="2:103" x14ac:dyDescent="0.45">
      <c r="AL2" s="3" t="s">
        <v>460</v>
      </c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V2" s="221" t="s">
        <v>226</v>
      </c>
      <c r="BW2" s="221"/>
      <c r="BX2" s="3" t="s">
        <v>3</v>
      </c>
      <c r="BY2" s="216">
        <f>G17</f>
        <v>1.0812944474064072</v>
      </c>
      <c r="BZ2" s="216"/>
      <c r="CA2" s="216"/>
      <c r="CB2" s="3"/>
      <c r="CC2" s="3"/>
      <c r="CS2" s="3"/>
      <c r="CT2" s="3"/>
      <c r="CU2" s="3"/>
    </row>
    <row r="3" spans="2:103" x14ac:dyDescent="0.45">
      <c r="B3" s="3" t="s">
        <v>456</v>
      </c>
      <c r="AL3" s="3"/>
      <c r="AM3" s="3" t="s">
        <v>480</v>
      </c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V3" s="245" t="s">
        <v>235</v>
      </c>
      <c r="BW3" s="245"/>
      <c r="BX3" t="s">
        <v>67</v>
      </c>
      <c r="BY3" s="56" t="s">
        <v>237</v>
      </c>
      <c r="BZ3" s="3" t="s">
        <v>3</v>
      </c>
      <c r="CA3" s="270">
        <f>BO35</f>
        <v>0.56000000000000005</v>
      </c>
      <c r="CB3" s="270"/>
      <c r="CC3" t="s">
        <v>67</v>
      </c>
      <c r="CD3" s="213">
        <f>'1.条件'!T8</f>
        <v>1.4</v>
      </c>
      <c r="CE3" s="213"/>
      <c r="CF3" s="213"/>
      <c r="CG3" s="3" t="s">
        <v>3</v>
      </c>
      <c r="CH3" s="213">
        <f>CA3*CD3</f>
        <v>0.78400000000000003</v>
      </c>
      <c r="CI3" s="213"/>
      <c r="CJ3" s="213"/>
    </row>
    <row r="4" spans="2:103" x14ac:dyDescent="0.45">
      <c r="C4" s="3" t="s">
        <v>457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M4" s="245" t="s">
        <v>233</v>
      </c>
      <c r="AN4" s="245"/>
      <c r="AO4" s="258" t="s">
        <v>3</v>
      </c>
      <c r="AP4" s="267" t="s">
        <v>250</v>
      </c>
      <c r="AQ4" s="267"/>
      <c r="AR4" s="59" t="s">
        <v>99</v>
      </c>
      <c r="AS4" s="267" t="s">
        <v>235</v>
      </c>
      <c r="AT4" s="267"/>
      <c r="AU4" s="11" t="s">
        <v>67</v>
      </c>
      <c r="AV4" s="57" t="s">
        <v>237</v>
      </c>
      <c r="AW4" s="60" t="s">
        <v>67</v>
      </c>
      <c r="AX4" s="267" t="s">
        <v>275</v>
      </c>
      <c r="AY4" s="267"/>
      <c r="AZ4" s="11"/>
      <c r="BA4" s="11"/>
      <c r="BB4" s="11"/>
      <c r="BC4" s="11"/>
      <c r="BD4" s="30"/>
      <c r="BF4" s="36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42"/>
      <c r="BV4" t="s">
        <v>78</v>
      </c>
      <c r="BZ4" s="221" t="s">
        <v>226</v>
      </c>
      <c r="CA4" s="221"/>
      <c r="CB4" s="3" t="s">
        <v>283</v>
      </c>
      <c r="CC4" s="245" t="s">
        <v>235</v>
      </c>
      <c r="CD4" s="245"/>
      <c r="CE4" t="s">
        <v>67</v>
      </c>
      <c r="CF4" s="56" t="s">
        <v>237</v>
      </c>
      <c r="CH4" t="s">
        <v>282</v>
      </c>
    </row>
    <row r="5" spans="2:103" ht="19.2" x14ac:dyDescent="0.45">
      <c r="D5" s="3"/>
      <c r="E5" s="3"/>
      <c r="F5" s="3"/>
      <c r="G5" s="271" t="s">
        <v>114</v>
      </c>
      <c r="H5" s="184"/>
      <c r="I5" s="184"/>
      <c r="J5" s="272" t="s">
        <v>115</v>
      </c>
      <c r="K5" s="184"/>
      <c r="L5" s="184"/>
      <c r="M5" s="178" t="s">
        <v>116</v>
      </c>
      <c r="N5" s="179"/>
      <c r="O5" s="179"/>
      <c r="P5" s="179"/>
      <c r="Q5" s="179"/>
      <c r="R5" s="180"/>
      <c r="S5" s="178" t="s">
        <v>117</v>
      </c>
      <c r="T5" s="179"/>
      <c r="U5" s="179"/>
      <c r="V5" s="179"/>
      <c r="W5" s="179"/>
      <c r="X5" s="179"/>
      <c r="Y5" s="179"/>
      <c r="Z5" s="180"/>
      <c r="AM5" s="245"/>
      <c r="AN5" s="245"/>
      <c r="AO5" s="258"/>
      <c r="AP5" s="56" t="s">
        <v>237</v>
      </c>
      <c r="AQ5" s="112" t="s">
        <v>180</v>
      </c>
      <c r="AR5" s="106" t="s">
        <v>395</v>
      </c>
      <c r="AS5" s="61" t="s">
        <v>243</v>
      </c>
      <c r="AT5" t="s">
        <v>99</v>
      </c>
      <c r="AU5" s="245" t="s">
        <v>235</v>
      </c>
      <c r="AV5" s="245"/>
      <c r="AW5" t="s">
        <v>240</v>
      </c>
      <c r="AX5" t="s">
        <v>241</v>
      </c>
      <c r="AY5" s="61" t="s">
        <v>243</v>
      </c>
      <c r="AZ5" t="s">
        <v>99</v>
      </c>
      <c r="BA5" s="245" t="s">
        <v>242</v>
      </c>
      <c r="BB5" s="245"/>
      <c r="BC5" s="21" t="s">
        <v>179</v>
      </c>
      <c r="BD5" s="21" t="s">
        <v>245</v>
      </c>
      <c r="BF5" s="102"/>
      <c r="BG5" s="35"/>
      <c r="BH5" s="35"/>
      <c r="BR5" s="6"/>
    </row>
    <row r="6" spans="2:103" x14ac:dyDescent="0.45">
      <c r="D6" s="3"/>
      <c r="E6" s="3"/>
      <c r="F6" s="3"/>
      <c r="G6" s="273" t="s">
        <v>118</v>
      </c>
      <c r="H6" s="221"/>
      <c r="I6" s="221"/>
      <c r="J6" s="274" t="s">
        <v>109</v>
      </c>
      <c r="K6" s="221"/>
      <c r="L6" s="221"/>
      <c r="M6" s="274" t="s">
        <v>119</v>
      </c>
      <c r="N6" s="221"/>
      <c r="O6" s="221"/>
      <c r="P6" s="274" t="s">
        <v>120</v>
      </c>
      <c r="Q6" s="221"/>
      <c r="R6" s="221"/>
      <c r="S6" s="274" t="s">
        <v>228</v>
      </c>
      <c r="T6" s="221"/>
      <c r="U6" s="221"/>
      <c r="V6" s="221"/>
      <c r="W6" s="274" t="s">
        <v>229</v>
      </c>
      <c r="X6" s="221"/>
      <c r="Y6" s="221"/>
      <c r="Z6" s="282"/>
      <c r="BF6" s="5"/>
      <c r="BR6" s="6"/>
      <c r="BV6" s="245" t="s">
        <v>233</v>
      </c>
      <c r="BW6" s="245"/>
      <c r="BX6" s="258" t="s">
        <v>3</v>
      </c>
      <c r="BY6" s="267" t="s">
        <v>250</v>
      </c>
      <c r="BZ6" s="267"/>
      <c r="CA6" s="59" t="s">
        <v>99</v>
      </c>
      <c r="CB6" s="267" t="s">
        <v>235</v>
      </c>
      <c r="CC6" s="267"/>
      <c r="CD6" s="11" t="s">
        <v>67</v>
      </c>
      <c r="CE6" s="57" t="s">
        <v>237</v>
      </c>
      <c r="CF6" s="60" t="s">
        <v>67</v>
      </c>
      <c r="CG6" s="267" t="s">
        <v>275</v>
      </c>
      <c r="CH6" s="267"/>
      <c r="CI6" s="11"/>
      <c r="CJ6" s="11"/>
      <c r="CK6" s="11"/>
      <c r="CL6" s="11"/>
      <c r="CM6" s="30"/>
    </row>
    <row r="7" spans="2:103" ht="19.2" x14ac:dyDescent="0.45">
      <c r="D7" s="3"/>
      <c r="E7" s="3"/>
      <c r="F7" s="3"/>
      <c r="G7" s="283" t="s">
        <v>121</v>
      </c>
      <c r="H7" s="269"/>
      <c r="I7" s="269"/>
      <c r="J7" s="284" t="s">
        <v>121</v>
      </c>
      <c r="K7" s="269"/>
      <c r="L7" s="269"/>
      <c r="M7" s="284" t="s">
        <v>122</v>
      </c>
      <c r="N7" s="269"/>
      <c r="O7" s="269"/>
      <c r="P7" s="284" t="s">
        <v>122</v>
      </c>
      <c r="Q7" s="269"/>
      <c r="R7" s="269"/>
      <c r="S7" s="278" t="s">
        <v>394</v>
      </c>
      <c r="T7" s="279"/>
      <c r="U7" s="279"/>
      <c r="V7" s="280"/>
      <c r="W7" s="278" t="s">
        <v>394</v>
      </c>
      <c r="X7" s="279"/>
      <c r="Y7" s="279"/>
      <c r="Z7" s="280"/>
      <c r="AM7" s="245" t="s">
        <v>246</v>
      </c>
      <c r="AN7" s="245"/>
      <c r="AO7" s="4" t="s">
        <v>3</v>
      </c>
      <c r="AP7" s="245" t="s">
        <v>230</v>
      </c>
      <c r="AQ7" s="245"/>
      <c r="AR7" s="62" t="s">
        <v>99</v>
      </c>
      <c r="AS7" s="245" t="s">
        <v>233</v>
      </c>
      <c r="AT7" s="245"/>
      <c r="AU7" s="261" t="s">
        <v>180</v>
      </c>
      <c r="AV7" s="261"/>
      <c r="AW7" s="106" t="s">
        <v>395</v>
      </c>
      <c r="BD7" s="3"/>
      <c r="BF7" s="5"/>
      <c r="BR7" s="6"/>
      <c r="BV7" s="245"/>
      <c r="BW7" s="245"/>
      <c r="BX7" s="258"/>
      <c r="BY7" s="56" t="s">
        <v>237</v>
      </c>
      <c r="BZ7" s="112" t="s">
        <v>180</v>
      </c>
      <c r="CA7" s="106" t="s">
        <v>395</v>
      </c>
      <c r="CB7" s="61" t="s">
        <v>243</v>
      </c>
      <c r="CC7" t="s">
        <v>99</v>
      </c>
      <c r="CD7" s="245" t="s">
        <v>235</v>
      </c>
      <c r="CE7" s="245"/>
      <c r="CF7" s="113" t="s">
        <v>240</v>
      </c>
      <c r="CG7" t="s">
        <v>241</v>
      </c>
      <c r="CH7" s="61" t="s">
        <v>243</v>
      </c>
      <c r="CI7" t="s">
        <v>99</v>
      </c>
      <c r="CJ7" s="245" t="s">
        <v>242</v>
      </c>
      <c r="CK7" s="245"/>
      <c r="CL7" s="21" t="s">
        <v>179</v>
      </c>
      <c r="CM7" s="21" t="s">
        <v>245</v>
      </c>
    </row>
    <row r="8" spans="2:103" x14ac:dyDescent="0.45">
      <c r="D8" s="281" t="s">
        <v>123</v>
      </c>
      <c r="E8" s="281"/>
      <c r="F8" s="281"/>
      <c r="G8" s="276">
        <f>'2.自と衝'!V36</f>
        <v>151.79999999999998</v>
      </c>
      <c r="H8" s="276"/>
      <c r="I8" s="276"/>
      <c r="J8" s="275">
        <v>0</v>
      </c>
      <c r="K8" s="276"/>
      <c r="L8" s="276"/>
      <c r="M8" s="275">
        <f>'2.自と衝'!P32</f>
        <v>1.9272727272727284</v>
      </c>
      <c r="N8" s="276"/>
      <c r="O8" s="276"/>
      <c r="P8" s="286" t="s">
        <v>126</v>
      </c>
      <c r="Q8" s="193"/>
      <c r="R8" s="193"/>
      <c r="S8" s="275">
        <f>G8*M8</f>
        <v>292.56000000000012</v>
      </c>
      <c r="T8" s="276"/>
      <c r="U8" s="276"/>
      <c r="V8" s="276"/>
      <c r="W8" s="275">
        <v>0</v>
      </c>
      <c r="X8" s="276"/>
      <c r="Y8" s="276"/>
      <c r="Z8" s="277"/>
      <c r="AM8" s="56"/>
      <c r="AN8" s="56"/>
      <c r="AS8" s="56"/>
      <c r="AT8" s="56"/>
      <c r="BD8" s="3"/>
      <c r="BF8" s="5"/>
      <c r="BR8" s="6"/>
      <c r="BV8" s="22"/>
      <c r="BW8" s="22"/>
      <c r="BX8" s="16"/>
      <c r="BY8" s="56"/>
      <c r="BZ8" s="112"/>
      <c r="CA8" s="106"/>
      <c r="CB8" s="61"/>
      <c r="CD8" s="22"/>
      <c r="CE8" s="22"/>
      <c r="CF8" s="113"/>
      <c r="CH8" s="61"/>
      <c r="CJ8" s="22"/>
      <c r="CK8" s="22"/>
      <c r="CL8" s="21"/>
      <c r="CM8" s="21"/>
    </row>
    <row r="9" spans="2:103" x14ac:dyDescent="0.45">
      <c r="D9" s="281" t="s">
        <v>212</v>
      </c>
      <c r="E9" s="281"/>
      <c r="F9" s="281"/>
      <c r="G9" s="276">
        <f>'2.自と衝'!AQ27</f>
        <v>2.5</v>
      </c>
      <c r="H9" s="276"/>
      <c r="I9" s="276"/>
      <c r="J9" s="275">
        <f>'2.自と衝'!AQ10</f>
        <v>3</v>
      </c>
      <c r="K9" s="276"/>
      <c r="L9" s="276"/>
      <c r="M9" s="275">
        <f>'2.自と衝'!AQ37</f>
        <v>3.4</v>
      </c>
      <c r="N9" s="276"/>
      <c r="O9" s="276"/>
      <c r="P9" s="275">
        <f>'2.自と衝'!AQ20</f>
        <v>6.6</v>
      </c>
      <c r="Q9" s="276"/>
      <c r="R9" s="276"/>
      <c r="S9" s="275">
        <f>IF(G9&lt;0, 0, G9*M9)</f>
        <v>8.5</v>
      </c>
      <c r="T9" s="276"/>
      <c r="U9" s="276"/>
      <c r="V9" s="276"/>
      <c r="W9" s="275">
        <f>J9*P9</f>
        <v>19.799999999999997</v>
      </c>
      <c r="X9" s="276"/>
      <c r="Y9" s="276"/>
      <c r="Z9" s="277"/>
      <c r="AM9" s="245" t="s">
        <v>247</v>
      </c>
      <c r="AN9" s="245"/>
      <c r="AO9" s="4" t="s">
        <v>3</v>
      </c>
      <c r="AP9" s="245" t="s">
        <v>260</v>
      </c>
      <c r="AQ9" s="245"/>
      <c r="AR9" t="s">
        <v>68</v>
      </c>
      <c r="AS9" s="245" t="s">
        <v>233</v>
      </c>
      <c r="AT9" s="245"/>
      <c r="AU9" s="261" t="s">
        <v>181</v>
      </c>
      <c r="AV9" s="261"/>
      <c r="AW9" s="106" t="s">
        <v>395</v>
      </c>
      <c r="BD9" s="3"/>
      <c r="BF9" s="5"/>
      <c r="BR9" s="6"/>
      <c r="BV9" s="22"/>
      <c r="BW9" s="22"/>
      <c r="BX9" s="258" t="s">
        <v>3</v>
      </c>
      <c r="BY9" s="302">
        <f>BG19</f>
        <v>164.93332286567582</v>
      </c>
      <c r="BZ9" s="303"/>
      <c r="CA9" s="303"/>
      <c r="CB9" s="59" t="s">
        <v>99</v>
      </c>
      <c r="CC9" s="292">
        <f>BO35</f>
        <v>0.56000000000000005</v>
      </c>
      <c r="CD9" s="292"/>
      <c r="CE9" s="20" t="s">
        <v>62</v>
      </c>
      <c r="CF9" s="262">
        <f>'1.条件'!T8</f>
        <v>1.4</v>
      </c>
      <c r="CG9" s="262"/>
      <c r="CH9" s="20" t="s">
        <v>62</v>
      </c>
      <c r="CI9" s="302">
        <f>G11</f>
        <v>152.5332191072329</v>
      </c>
      <c r="CJ9" s="303"/>
      <c r="CK9" s="303"/>
      <c r="CL9" s="11"/>
      <c r="CM9" s="11"/>
      <c r="CP9" s="11"/>
      <c r="CQ9" s="11"/>
    </row>
    <row r="10" spans="2:103" x14ac:dyDescent="0.45">
      <c r="D10" s="281" t="s">
        <v>124</v>
      </c>
      <c r="E10" s="281"/>
      <c r="F10" s="281"/>
      <c r="G10" s="276">
        <f>'2.土-衝'!AP26</f>
        <v>-1.7667808927670954</v>
      </c>
      <c r="H10" s="276"/>
      <c r="I10" s="276"/>
      <c r="J10" s="275">
        <f>'2.土-衝'!AP21</f>
        <v>56.219879585118342</v>
      </c>
      <c r="K10" s="276"/>
      <c r="L10" s="276"/>
      <c r="M10" s="275">
        <f>'2.土-衝'!AP35</f>
        <v>2.2000000000000002</v>
      </c>
      <c r="N10" s="276"/>
      <c r="O10" s="276"/>
      <c r="P10" s="275">
        <f>'2.土-衝'!AP31</f>
        <v>2</v>
      </c>
      <c r="Q10" s="276"/>
      <c r="R10" s="276"/>
      <c r="S10" s="275">
        <f>G10*M10</f>
        <v>-3.8869179640876101</v>
      </c>
      <c r="T10" s="276"/>
      <c r="U10" s="276"/>
      <c r="V10" s="276"/>
      <c r="W10" s="275">
        <f>J10*P10</f>
        <v>112.43975917023668</v>
      </c>
      <c r="X10" s="276"/>
      <c r="Y10" s="276"/>
      <c r="Z10" s="277"/>
      <c r="AF10" t="s">
        <v>206</v>
      </c>
      <c r="BD10" s="3"/>
      <c r="BF10" s="5"/>
      <c r="BR10" s="6"/>
      <c r="BV10" s="22"/>
      <c r="BW10" s="22"/>
      <c r="BX10" s="258"/>
      <c r="BY10" s="268">
        <f>'1.条件'!T8</f>
        <v>1.4</v>
      </c>
      <c r="BZ10" s="268"/>
      <c r="CA10" s="112" t="s">
        <v>180</v>
      </c>
      <c r="CB10" s="304">
        <f>BA23</f>
        <v>21.8</v>
      </c>
      <c r="CC10" s="305"/>
      <c r="CD10" s="61" t="s">
        <v>243</v>
      </c>
      <c r="CE10" t="s">
        <v>99</v>
      </c>
      <c r="CF10" s="306">
        <f>BO35</f>
        <v>0.56000000000000005</v>
      </c>
      <c r="CG10" s="306"/>
      <c r="CH10" s="113" t="s">
        <v>240</v>
      </c>
      <c r="CI10" s="226">
        <f>BI21</f>
        <v>6.4621977685614063</v>
      </c>
      <c r="CJ10" s="227"/>
      <c r="CK10" s="227"/>
      <c r="CL10" s="61" t="s">
        <v>243</v>
      </c>
      <c r="CM10" t="s">
        <v>99</v>
      </c>
      <c r="CN10" s="307">
        <f>BO34</f>
        <v>0.6</v>
      </c>
      <c r="CO10" s="306"/>
      <c r="CP10" s="21" t="s">
        <v>179</v>
      </c>
      <c r="CQ10" s="21" t="s">
        <v>245</v>
      </c>
    </row>
    <row r="11" spans="2:103" x14ac:dyDescent="0.45">
      <c r="D11" s="281" t="s">
        <v>125</v>
      </c>
      <c r="E11" s="281"/>
      <c r="F11" s="281"/>
      <c r="G11" s="276">
        <f>SUM(G8:I10)</f>
        <v>152.5332191072329</v>
      </c>
      <c r="H11" s="276"/>
      <c r="I11" s="276"/>
      <c r="J11" s="310">
        <f>SUM(J8:L10)</f>
        <v>59.219879585118342</v>
      </c>
      <c r="K11" s="276"/>
      <c r="L11" s="277"/>
      <c r="M11" s="193" t="s">
        <v>126</v>
      </c>
      <c r="N11" s="193"/>
      <c r="O11" s="193"/>
      <c r="P11" s="286" t="s">
        <v>126</v>
      </c>
      <c r="Q11" s="193"/>
      <c r="R11" s="193"/>
      <c r="S11" s="275">
        <f>SUM(S8:V10)</f>
        <v>297.1730820359125</v>
      </c>
      <c r="T11" s="276"/>
      <c r="U11" s="276"/>
      <c r="V11" s="276"/>
      <c r="W11" s="310">
        <f>SUM(W8:Z10)</f>
        <v>132.23975917023668</v>
      </c>
      <c r="X11" s="276"/>
      <c r="Y11" s="276"/>
      <c r="Z11" s="277"/>
      <c r="AM11" s="245" t="s">
        <v>249</v>
      </c>
      <c r="AN11" s="245"/>
      <c r="AO11" s="258" t="s">
        <v>3</v>
      </c>
      <c r="AP11" s="63">
        <v>2</v>
      </c>
      <c r="AQ11" s="267" t="s">
        <v>246</v>
      </c>
      <c r="AR11" s="267"/>
      <c r="AS11" s="63" t="s">
        <v>251</v>
      </c>
      <c r="AT11" s="59" t="s">
        <v>99</v>
      </c>
      <c r="AU11" s="63">
        <v>3</v>
      </c>
      <c r="AV11" s="267" t="s">
        <v>235</v>
      </c>
      <c r="AW11" s="267"/>
      <c r="AX11" s="64" t="s">
        <v>61</v>
      </c>
      <c r="BF11" s="5"/>
      <c r="BR11" s="6"/>
      <c r="BV11" s="22"/>
      <c r="BW11" s="22"/>
      <c r="BX11" s="16"/>
      <c r="BY11" s="114"/>
      <c r="BZ11" s="114"/>
      <c r="CA11" s="112"/>
      <c r="CB11" s="25"/>
      <c r="CC11" s="25"/>
      <c r="CD11" s="61"/>
      <c r="CF11" s="110"/>
      <c r="CG11" s="110"/>
      <c r="CH11" s="113"/>
      <c r="CI11" s="23"/>
      <c r="CJ11" s="14"/>
      <c r="CK11" s="14"/>
      <c r="CL11" s="61"/>
      <c r="CN11" s="111"/>
      <c r="CO11" s="110"/>
      <c r="CP11" s="21"/>
      <c r="CQ11" s="21"/>
    </row>
    <row r="12" spans="2:103" x14ac:dyDescent="0.45">
      <c r="AM12" s="245"/>
      <c r="AN12" s="245"/>
      <c r="AO12" s="258"/>
      <c r="AQ12" s="21"/>
      <c r="AT12" s="56" t="s">
        <v>237</v>
      </c>
      <c r="BF12" s="5"/>
      <c r="BR12" s="6"/>
      <c r="BV12" s="22"/>
      <c r="BW12" s="22"/>
      <c r="BX12" s="258" t="s">
        <v>3</v>
      </c>
      <c r="BY12" s="302">
        <f>BY9</f>
        <v>164.93332286567582</v>
      </c>
      <c r="BZ12" s="303"/>
      <c r="CA12" s="303"/>
      <c r="CB12" s="59" t="s">
        <v>99</v>
      </c>
      <c r="CC12" s="262">
        <f>CC9*CF9*CI9</f>
        <v>119.5860437800706</v>
      </c>
      <c r="CD12" s="262"/>
      <c r="CE12" s="262"/>
      <c r="CF12" s="57"/>
      <c r="CG12" s="11"/>
      <c r="CH12" s="11"/>
      <c r="CL12" s="11"/>
      <c r="CM12" s="11"/>
      <c r="CN12" s="11"/>
      <c r="CQ12" s="258" t="s">
        <v>3</v>
      </c>
      <c r="CR12" s="263">
        <f>BY12-CC12</f>
        <v>45.347279085605223</v>
      </c>
      <c r="CS12" s="263"/>
      <c r="CT12" s="263"/>
      <c r="CV12" s="258" t="s">
        <v>3</v>
      </c>
      <c r="CW12" s="266">
        <f>CR12/CR13</f>
        <v>8.3999452354803417</v>
      </c>
      <c r="CX12" s="266"/>
      <c r="CY12" s="266"/>
    </row>
    <row r="13" spans="2:103" x14ac:dyDescent="0.45">
      <c r="C13" s="3" t="s">
        <v>458</v>
      </c>
      <c r="AM13" s="245" t="s">
        <v>252</v>
      </c>
      <c r="AN13" s="245"/>
      <c r="AO13" s="258" t="s">
        <v>3</v>
      </c>
      <c r="AP13" s="63">
        <v>2</v>
      </c>
      <c r="AQ13" s="267" t="s">
        <v>246</v>
      </c>
      <c r="AR13" s="267"/>
      <c r="AS13" s="63" t="s">
        <v>253</v>
      </c>
      <c r="AT13" s="267" t="s">
        <v>235</v>
      </c>
      <c r="AU13" s="267"/>
      <c r="AV13" s="59" t="s">
        <v>99</v>
      </c>
      <c r="AW13" s="63">
        <v>1</v>
      </c>
      <c r="AX13" s="64" t="s">
        <v>61</v>
      </c>
      <c r="BF13" s="5"/>
      <c r="BR13" s="6"/>
      <c r="BV13" s="22"/>
      <c r="BW13" s="22"/>
      <c r="BX13" s="258"/>
      <c r="BY13" s="268">
        <f>BY10</f>
        <v>1.4</v>
      </c>
      <c r="BZ13" s="268"/>
      <c r="CA13" s="1" t="s">
        <v>62</v>
      </c>
      <c r="CB13" s="269">
        <f>SIN(CB10*PI()/180)</f>
        <v>0.37136783555023484</v>
      </c>
      <c r="CC13" s="269"/>
      <c r="CD13" s="1" t="s">
        <v>62</v>
      </c>
      <c r="CE13" s="218">
        <f>1-CF10</f>
        <v>0.43999999999999995</v>
      </c>
      <c r="CF13" s="218"/>
      <c r="CH13" t="s">
        <v>68</v>
      </c>
      <c r="CI13" s="226">
        <f>CI10</f>
        <v>6.4621977685614063</v>
      </c>
      <c r="CJ13" s="227"/>
      <c r="CK13" s="227"/>
      <c r="CL13" s="1" t="s">
        <v>62</v>
      </c>
      <c r="CM13" s="270">
        <f>1-CN10/3</f>
        <v>0.8</v>
      </c>
      <c r="CN13" s="270"/>
      <c r="CQ13" s="258"/>
      <c r="CR13" s="268">
        <f>BY13*CB13*CE13+CI13*CM13</f>
        <v>5.3985208015480692</v>
      </c>
      <c r="CS13" s="268"/>
      <c r="CT13" s="268"/>
      <c r="CV13" s="258"/>
      <c r="CW13" s="266"/>
      <c r="CX13" s="266"/>
      <c r="CY13" s="266"/>
    </row>
    <row r="14" spans="2:103" x14ac:dyDescent="0.45">
      <c r="D14" s="3" t="s">
        <v>182</v>
      </c>
      <c r="F14" s="14"/>
      <c r="G14" s="23"/>
      <c r="H14" s="23"/>
      <c r="I14" s="23"/>
      <c r="K14" s="23"/>
      <c r="L14" s="14"/>
      <c r="M14" s="14"/>
      <c r="O14" s="23"/>
      <c r="P14" s="14"/>
      <c r="Q14" s="14"/>
      <c r="S14" s="23"/>
      <c r="T14" s="14"/>
      <c r="AM14" s="245"/>
      <c r="AN14" s="245"/>
      <c r="AO14" s="258"/>
      <c r="AQ14" s="21"/>
      <c r="AT14" s="56" t="s">
        <v>237</v>
      </c>
      <c r="BF14" s="5"/>
      <c r="BR14" s="6"/>
    </row>
    <row r="15" spans="2:103" x14ac:dyDescent="0.45">
      <c r="D15" s="245" t="s">
        <v>129</v>
      </c>
      <c r="E15" s="245"/>
      <c r="F15" s="258" t="s">
        <v>3</v>
      </c>
      <c r="G15" s="267" t="s">
        <v>346</v>
      </c>
      <c r="H15" s="267"/>
      <c r="I15" s="267"/>
      <c r="J15" s="267"/>
      <c r="K15" s="267"/>
      <c r="L15" s="3"/>
      <c r="M15" s="258" t="s">
        <v>3</v>
      </c>
      <c r="N15" s="293">
        <f>S11</f>
        <v>297.1730820359125</v>
      </c>
      <c r="O15" s="293"/>
      <c r="P15" s="293"/>
      <c r="Q15" s="29" t="s">
        <v>130</v>
      </c>
      <c r="R15" s="293">
        <f>W11</f>
        <v>132.23975917023668</v>
      </c>
      <c r="S15" s="293"/>
      <c r="T15" s="293"/>
      <c r="AM15" s="245" t="s">
        <v>254</v>
      </c>
      <c r="AN15" s="245"/>
      <c r="AO15" s="258" t="s">
        <v>3</v>
      </c>
      <c r="AP15" s="63">
        <v>2</v>
      </c>
      <c r="AQ15" s="267" t="s">
        <v>233</v>
      </c>
      <c r="AR15" s="267"/>
      <c r="AS15" s="11"/>
      <c r="BF15" s="5"/>
      <c r="BR15" s="6"/>
      <c r="BV15" s="245" t="s">
        <v>246</v>
      </c>
      <c r="BW15" s="245"/>
      <c r="BX15" s="4" t="s">
        <v>3</v>
      </c>
      <c r="BY15" s="245" t="s">
        <v>230</v>
      </c>
      <c r="BZ15" s="245"/>
      <c r="CA15" s="62" t="s">
        <v>99</v>
      </c>
      <c r="CB15" s="245" t="s">
        <v>233</v>
      </c>
      <c r="CC15" s="245"/>
      <c r="CD15" s="261" t="s">
        <v>180</v>
      </c>
      <c r="CE15" s="261"/>
      <c r="CF15" s="106" t="s">
        <v>395</v>
      </c>
      <c r="CH15" s="4" t="s">
        <v>3</v>
      </c>
      <c r="CI15" s="213">
        <f>G11</f>
        <v>152.5332191072329</v>
      </c>
      <c r="CJ15" s="213"/>
      <c r="CK15" s="213"/>
      <c r="CL15" s="62" t="s">
        <v>99</v>
      </c>
      <c r="CM15" s="216">
        <f>CW12</f>
        <v>8.3999452354803417</v>
      </c>
      <c r="CN15" s="218"/>
      <c r="CO15" s="218"/>
      <c r="CP15" s="261" t="s">
        <v>180</v>
      </c>
      <c r="CQ15" s="261"/>
      <c r="CR15" s="247">
        <f>BA23</f>
        <v>21.8</v>
      </c>
      <c r="CS15" s="247"/>
      <c r="CT15" s="4" t="s">
        <v>3</v>
      </c>
      <c r="CU15" s="213">
        <f>CI15-CM15*SIN(CR15*PI()/180)</f>
        <v>149.41374962639205</v>
      </c>
      <c r="CV15" s="213"/>
      <c r="CW15" s="213"/>
    </row>
    <row r="16" spans="2:103" ht="19.2" x14ac:dyDescent="0.45">
      <c r="D16" s="245"/>
      <c r="E16" s="245"/>
      <c r="F16" s="258"/>
      <c r="G16" s="245" t="s">
        <v>230</v>
      </c>
      <c r="H16" s="245"/>
      <c r="I16" s="245"/>
      <c r="J16" s="245"/>
      <c r="K16" s="245"/>
      <c r="L16" s="3"/>
      <c r="M16" s="258"/>
      <c r="N16" s="3"/>
      <c r="O16" s="3"/>
      <c r="P16" s="213">
        <f>G11</f>
        <v>152.5332191072329</v>
      </c>
      <c r="Q16" s="213"/>
      <c r="R16" s="213"/>
      <c r="S16" s="3"/>
      <c r="T16" s="3"/>
      <c r="W16" s="36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42"/>
      <c r="AM16" s="245"/>
      <c r="AN16" s="245"/>
      <c r="AO16" s="258"/>
      <c r="AP16" s="245" t="s">
        <v>242</v>
      </c>
      <c r="AQ16" s="245"/>
      <c r="AR16" t="s">
        <v>67</v>
      </c>
      <c r="AS16" s="65" t="s">
        <v>255</v>
      </c>
      <c r="BF16" s="5"/>
      <c r="BR16" s="6"/>
      <c r="BV16" s="22"/>
      <c r="BW16" s="22"/>
      <c r="BX16" s="4"/>
      <c r="BY16" s="22"/>
      <c r="BZ16" s="22"/>
      <c r="CA16" s="62"/>
      <c r="CB16" s="22"/>
      <c r="CC16" s="22"/>
      <c r="CD16" s="112"/>
      <c r="CE16" s="112"/>
      <c r="CF16" s="106"/>
      <c r="CH16" s="4"/>
      <c r="CI16" s="32"/>
      <c r="CJ16" s="32"/>
      <c r="CK16" s="32"/>
      <c r="CL16" s="62"/>
      <c r="CM16" s="23"/>
      <c r="CN16" s="14"/>
      <c r="CO16" s="14"/>
      <c r="CP16" s="104"/>
      <c r="CQ16" s="104"/>
      <c r="CR16" s="103"/>
      <c r="CS16" s="103"/>
      <c r="CT16" s="4"/>
      <c r="CU16" s="32"/>
      <c r="CV16" s="32"/>
      <c r="CW16" s="32"/>
    </row>
    <row r="17" spans="3:102" x14ac:dyDescent="0.45">
      <c r="F17" t="s">
        <v>3</v>
      </c>
      <c r="G17" s="216">
        <f>(N15-R15)/P16</f>
        <v>1.0812944474064072</v>
      </c>
      <c r="H17" s="216"/>
      <c r="I17" s="216"/>
      <c r="J17" t="s">
        <v>128</v>
      </c>
      <c r="W17" s="5"/>
      <c r="AI17" s="6"/>
      <c r="AJ17" s="3"/>
      <c r="AK17" s="3"/>
      <c r="AM17" t="s">
        <v>256</v>
      </c>
      <c r="BF17" s="5"/>
      <c r="BR17" s="6"/>
      <c r="BV17" s="245" t="s">
        <v>247</v>
      </c>
      <c r="BW17" s="245"/>
      <c r="BX17" s="4" t="s">
        <v>3</v>
      </c>
      <c r="BY17" s="245" t="s">
        <v>260</v>
      </c>
      <c r="BZ17" s="245"/>
      <c r="CA17" t="s">
        <v>68</v>
      </c>
      <c r="CB17" s="245" t="s">
        <v>233</v>
      </c>
      <c r="CC17" s="245"/>
      <c r="CD17" s="261" t="s">
        <v>181</v>
      </c>
      <c r="CE17" s="261"/>
      <c r="CF17" s="106" t="s">
        <v>395</v>
      </c>
      <c r="CH17" s="4" t="s">
        <v>3</v>
      </c>
      <c r="CI17" s="213">
        <f>J11</f>
        <v>59.219879585118342</v>
      </c>
      <c r="CJ17" s="213"/>
      <c r="CK17" s="213"/>
      <c r="CL17" t="s">
        <v>68</v>
      </c>
      <c r="CM17" s="216">
        <f>CW12</f>
        <v>8.3999452354803417</v>
      </c>
      <c r="CN17" s="218"/>
      <c r="CO17" s="218"/>
      <c r="CP17" s="261" t="s">
        <v>181</v>
      </c>
      <c r="CQ17" s="261"/>
      <c r="CR17" s="247">
        <f>BA23</f>
        <v>21.8</v>
      </c>
      <c r="CS17" s="247"/>
      <c r="CT17" s="4" t="s">
        <v>3</v>
      </c>
      <c r="CU17" s="213">
        <f>CI17+CM17*COS(CR17*PI()/180)</f>
        <v>67.019109682837694</v>
      </c>
      <c r="CV17" s="213"/>
      <c r="CW17" s="213"/>
    </row>
    <row r="18" spans="3:102" x14ac:dyDescent="0.45">
      <c r="E18" s="3"/>
      <c r="F18" s="3"/>
      <c r="G18" s="3"/>
      <c r="H18" s="3"/>
      <c r="L18" s="3"/>
      <c r="M18" s="3"/>
      <c r="N18" s="3"/>
      <c r="O18" s="3"/>
      <c r="P18" s="3"/>
      <c r="Q18" s="3"/>
      <c r="R18" s="3"/>
      <c r="S18" s="3"/>
      <c r="T18" s="3"/>
      <c r="W18" s="5"/>
      <c r="AI18" s="6"/>
      <c r="AJ18" s="3"/>
      <c r="AK18" s="3"/>
      <c r="AM18" s="245" t="s">
        <v>250</v>
      </c>
      <c r="AN18" s="245"/>
      <c r="AO18" t="s">
        <v>506</v>
      </c>
      <c r="BF18" s="7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8"/>
      <c r="BV18" s="22"/>
      <c r="BW18" s="22"/>
      <c r="BX18" s="4"/>
      <c r="BY18" s="22"/>
      <c r="BZ18" s="22"/>
      <c r="CB18" s="22"/>
      <c r="CC18" s="22"/>
      <c r="CD18" s="104"/>
      <c r="CE18" s="104"/>
      <c r="CF18" s="106"/>
      <c r="CH18" s="4"/>
      <c r="CI18" s="32"/>
      <c r="CJ18" s="32"/>
      <c r="CK18" s="32"/>
      <c r="CM18" s="23"/>
      <c r="CN18" s="14"/>
      <c r="CO18" s="14"/>
      <c r="CP18" s="104"/>
      <c r="CQ18" s="104"/>
      <c r="CR18" s="103"/>
      <c r="CS18" s="103"/>
      <c r="CT18" s="4"/>
      <c r="CU18" s="32"/>
      <c r="CV18" s="32"/>
      <c r="CW18" s="32"/>
    </row>
    <row r="19" spans="3:102" ht="19.2" x14ac:dyDescent="0.45">
      <c r="D19" s="3" t="s">
        <v>479</v>
      </c>
      <c r="W19" s="5"/>
      <c r="AI19" s="6"/>
      <c r="AJ19" s="3"/>
      <c r="AK19" s="3"/>
      <c r="AM19" s="22"/>
      <c r="AN19" s="245" t="s">
        <v>250</v>
      </c>
      <c r="AO19" s="245"/>
      <c r="AP19" s="3" t="s">
        <v>3</v>
      </c>
      <c r="AQ19" s="245" t="s">
        <v>258</v>
      </c>
      <c r="AR19" s="245"/>
      <c r="AS19" s="62" t="s">
        <v>99</v>
      </c>
      <c r="AT19" s="245" t="s">
        <v>259</v>
      </c>
      <c r="AU19" s="245"/>
      <c r="AW19" s="3" t="s">
        <v>3</v>
      </c>
      <c r="AX19" s="213">
        <f>S11</f>
        <v>297.1730820359125</v>
      </c>
      <c r="AY19" s="213"/>
      <c r="AZ19" s="213"/>
      <c r="BA19" s="4" t="s">
        <v>130</v>
      </c>
      <c r="BB19" s="213">
        <f>W11</f>
        <v>132.23975917023668</v>
      </c>
      <c r="BC19" s="213"/>
      <c r="BD19" s="213"/>
      <c r="BE19" s="3"/>
      <c r="BF19" s="3" t="s">
        <v>3</v>
      </c>
      <c r="BG19" s="213">
        <f>AX19-BB19</f>
        <v>164.93332286567582</v>
      </c>
      <c r="BH19" s="213"/>
      <c r="BI19" s="213"/>
      <c r="BV19" s="265" t="s">
        <v>266</v>
      </c>
      <c r="BW19" s="265"/>
      <c r="BX19" s="4" t="s">
        <v>3</v>
      </c>
      <c r="BY19" s="245" t="s">
        <v>242</v>
      </c>
      <c r="BZ19" s="245"/>
      <c r="CA19" t="s">
        <v>67</v>
      </c>
      <c r="CB19" s="65" t="s">
        <v>255</v>
      </c>
      <c r="CD19" s="4" t="s">
        <v>3</v>
      </c>
      <c r="CE19" s="259">
        <f>BO34</f>
        <v>0.6</v>
      </c>
      <c r="CF19" s="257"/>
      <c r="CG19" t="s">
        <v>67</v>
      </c>
      <c r="CH19" s="253">
        <f>BI21</f>
        <v>6.4621977685614063</v>
      </c>
      <c r="CI19" s="253"/>
      <c r="CK19" s="4" t="s">
        <v>3</v>
      </c>
      <c r="CL19" s="253">
        <f>CE19*CH19</f>
        <v>3.8773186611368438</v>
      </c>
      <c r="CM19" s="253"/>
      <c r="CN19" s="253"/>
      <c r="CO19" s="23"/>
      <c r="CP19" s="104"/>
      <c r="CQ19" s="104"/>
      <c r="CR19" s="103"/>
      <c r="CS19" s="103"/>
      <c r="CT19" s="4"/>
      <c r="CU19" s="32"/>
      <c r="CV19" s="32"/>
      <c r="CW19" s="32"/>
    </row>
    <row r="20" spans="3:102" x14ac:dyDescent="0.45">
      <c r="D20" s="241" t="s">
        <v>41</v>
      </c>
      <c r="E20" s="241"/>
      <c r="G20" s="258" t="s">
        <v>3</v>
      </c>
      <c r="H20" s="293">
        <f>'1.条件'!T8</f>
        <v>1.4</v>
      </c>
      <c r="I20" s="279"/>
      <c r="J20" s="279"/>
      <c r="L20" s="219" t="s">
        <v>127</v>
      </c>
      <c r="M20" s="216">
        <f>H20/H21</f>
        <v>0.46666666666666662</v>
      </c>
      <c r="N20" s="216"/>
      <c r="O20" s="216"/>
      <c r="P20" s="219" t="s">
        <v>128</v>
      </c>
      <c r="W20" s="5"/>
      <c r="AI20" s="6"/>
      <c r="AM20" s="265" t="s">
        <v>255</v>
      </c>
      <c r="AN20" s="265"/>
      <c r="AO20" s="3" t="s">
        <v>257</v>
      </c>
      <c r="AP20" s="3"/>
      <c r="AQ20" s="3"/>
      <c r="BV20" s="22"/>
      <c r="BW20" s="22"/>
      <c r="BX20" s="4"/>
      <c r="BY20" s="22"/>
      <c r="BZ20" s="22"/>
      <c r="CB20" s="22"/>
      <c r="CC20" s="22"/>
      <c r="CD20" s="104"/>
      <c r="CE20" s="104"/>
      <c r="CF20" s="106"/>
      <c r="CH20" s="4"/>
      <c r="CI20" s="32"/>
      <c r="CJ20" s="32"/>
      <c r="CK20" s="32"/>
      <c r="CM20" s="23"/>
      <c r="CN20" s="23"/>
      <c r="CO20" s="23"/>
      <c r="CP20" s="104"/>
      <c r="CQ20" s="104"/>
      <c r="CR20" s="103"/>
      <c r="CS20" s="103"/>
      <c r="CT20" s="4"/>
      <c r="CU20" s="32"/>
      <c r="CV20" s="32"/>
      <c r="CW20" s="32"/>
    </row>
    <row r="21" spans="3:102" x14ac:dyDescent="0.45">
      <c r="D21" s="305">
        <f>'1.条件'!BD35</f>
        <v>3</v>
      </c>
      <c r="E21" s="305"/>
      <c r="G21" s="258"/>
      <c r="H21" s="269">
        <f>D21</f>
        <v>3</v>
      </c>
      <c r="I21" s="269"/>
      <c r="J21" s="269"/>
      <c r="L21" s="219"/>
      <c r="M21" s="216"/>
      <c r="N21" s="216"/>
      <c r="O21" s="216"/>
      <c r="P21" s="219"/>
      <c r="U21" s="14"/>
      <c r="W21" s="5"/>
      <c r="AI21" s="6"/>
      <c r="AJ21" s="3"/>
      <c r="AK21" s="3"/>
      <c r="AN21" s="265" t="s">
        <v>255</v>
      </c>
      <c r="AO21" s="265"/>
      <c r="AP21" s="3" t="s">
        <v>3</v>
      </c>
      <c r="AQ21" s="2" t="s">
        <v>40</v>
      </c>
      <c r="AR21" t="s">
        <v>62</v>
      </c>
      <c r="AS21" t="s">
        <v>278</v>
      </c>
      <c r="AT21" s="301" t="s">
        <v>412</v>
      </c>
      <c r="AU21" s="301"/>
      <c r="AV21" s="301"/>
      <c r="AW21" s="3" t="s">
        <v>3</v>
      </c>
      <c r="AX21" s="213">
        <f>'1.条件'!T6</f>
        <v>6</v>
      </c>
      <c r="AY21" s="213"/>
      <c r="AZ21" s="213"/>
      <c r="BA21" t="s">
        <v>62</v>
      </c>
      <c r="BB21" t="s">
        <v>278</v>
      </c>
      <c r="BC21" s="219" t="s">
        <v>279</v>
      </c>
      <c r="BD21" s="219"/>
      <c r="BE21" s="213">
        <f>'1.条件'!T10</f>
        <v>0.4</v>
      </c>
      <c r="BF21" s="213"/>
      <c r="BG21" t="s">
        <v>280</v>
      </c>
      <c r="BH21" s="3" t="s">
        <v>3</v>
      </c>
      <c r="BI21" s="213">
        <f>AX21*SQRT(1+BE21^2)</f>
        <v>6.4621977685614063</v>
      </c>
      <c r="BJ21" s="213"/>
      <c r="BK21" s="213"/>
      <c r="BP21" s="3"/>
      <c r="BQ21" s="3"/>
      <c r="BV21" s="264" t="s">
        <v>265</v>
      </c>
      <c r="BW21" s="264"/>
      <c r="BX21" s="4" t="s">
        <v>3</v>
      </c>
      <c r="BY21" s="65" t="s">
        <v>255</v>
      </c>
      <c r="BZ21" s="62" t="s">
        <v>99</v>
      </c>
      <c r="CA21" s="265" t="s">
        <v>266</v>
      </c>
      <c r="CB21" s="265"/>
      <c r="CC21" s="22"/>
      <c r="CD21" s="4" t="s">
        <v>3</v>
      </c>
      <c r="CE21" s="253">
        <f>BI21</f>
        <v>6.4621977685614063</v>
      </c>
      <c r="CF21" s="253"/>
      <c r="CG21" s="62" t="s">
        <v>99</v>
      </c>
      <c r="CH21" s="253">
        <f>CL19</f>
        <v>3.8773186611368438</v>
      </c>
      <c r="CI21" s="253"/>
      <c r="CK21" s="4" t="s">
        <v>3</v>
      </c>
      <c r="CL21" s="253">
        <f>CE21-CH21</f>
        <v>2.5848791074245625</v>
      </c>
      <c r="CM21" s="253"/>
      <c r="CN21" s="253"/>
      <c r="CO21" s="23"/>
      <c r="CP21" s="104"/>
      <c r="CQ21" s="104"/>
      <c r="CR21" s="103"/>
      <c r="CS21" s="103"/>
      <c r="CT21" s="4"/>
      <c r="CU21" s="32"/>
      <c r="CV21" s="32"/>
      <c r="CW21" s="32"/>
    </row>
    <row r="22" spans="3:102" x14ac:dyDescent="0.45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14"/>
      <c r="W22" s="5"/>
      <c r="AI22" s="6"/>
      <c r="AJ22" s="3"/>
      <c r="AK22" s="3"/>
      <c r="AL22" s="3"/>
      <c r="AM22" s="287" t="s">
        <v>395</v>
      </c>
      <c r="AN22" s="287"/>
      <c r="AO22" t="s">
        <v>397</v>
      </c>
      <c r="BJ22" s="3"/>
      <c r="BK22" s="3"/>
      <c r="BL22" s="3"/>
      <c r="BM22" s="3"/>
      <c r="BN22" s="3"/>
      <c r="BO22" s="3"/>
      <c r="BP22" s="3"/>
      <c r="BQ22" s="3"/>
      <c r="BV22" s="22"/>
      <c r="BW22" s="22"/>
      <c r="BX22" s="4"/>
      <c r="BY22" s="22"/>
      <c r="BZ22" s="22"/>
      <c r="CB22" s="22"/>
      <c r="CC22" s="22"/>
      <c r="CD22" s="104"/>
      <c r="CE22" s="104"/>
      <c r="CF22" s="106"/>
      <c r="CH22" s="4"/>
      <c r="CI22" s="32"/>
      <c r="CJ22" s="32"/>
      <c r="CK22" s="32"/>
      <c r="CM22" s="23"/>
      <c r="CN22" s="23"/>
      <c r="CO22" s="23"/>
      <c r="CP22" s="104"/>
      <c r="CQ22" s="104"/>
      <c r="CR22" s="103"/>
      <c r="CS22" s="103"/>
      <c r="CT22" s="4"/>
      <c r="CU22" s="32"/>
      <c r="CV22" s="32"/>
      <c r="CW22" s="32"/>
    </row>
    <row r="23" spans="3:102" x14ac:dyDescent="0.45">
      <c r="D23" s="3" t="s">
        <v>131</v>
      </c>
      <c r="U23" s="14"/>
      <c r="W23" s="5"/>
      <c r="AI23" s="6"/>
      <c r="AJ23" s="3"/>
      <c r="AK23" s="3"/>
      <c r="AL23" s="3"/>
      <c r="AN23" s="287" t="s">
        <v>395</v>
      </c>
      <c r="AO23" s="287"/>
      <c r="AP23" t="s">
        <v>3</v>
      </c>
      <c r="AQ23" s="222" t="s">
        <v>104</v>
      </c>
      <c r="AR23" s="222"/>
      <c r="AS23" s="2" t="s">
        <v>410</v>
      </c>
      <c r="AU23" t="s">
        <v>3</v>
      </c>
      <c r="AV23" s="222" t="s">
        <v>104</v>
      </c>
      <c r="AW23" s="222"/>
      <c r="AX23" s="256">
        <f>'1.条件'!T10</f>
        <v>0.4</v>
      </c>
      <c r="AY23" s="256"/>
      <c r="AZ23" t="s">
        <v>3</v>
      </c>
      <c r="BA23" s="247">
        <f>ROUND(ATAN(AX23)*180/PI(),2)</f>
        <v>21.8</v>
      </c>
      <c r="BB23" s="247"/>
      <c r="BC23" s="247"/>
      <c r="BD23" t="s">
        <v>24</v>
      </c>
      <c r="BV23" s="245" t="s">
        <v>254</v>
      </c>
      <c r="BW23" s="245"/>
      <c r="BX23" s="258" t="s">
        <v>3</v>
      </c>
      <c r="BY23" s="63">
        <v>2</v>
      </c>
      <c r="BZ23" s="267" t="s">
        <v>233</v>
      </c>
      <c r="CA23" s="267"/>
      <c r="CB23" s="11"/>
      <c r="CD23" s="258" t="s">
        <v>3</v>
      </c>
      <c r="CE23" s="63">
        <v>2</v>
      </c>
      <c r="CF23" s="11" t="s">
        <v>67</v>
      </c>
      <c r="CG23" s="262">
        <f>CW12</f>
        <v>8.3999452354803417</v>
      </c>
      <c r="CH23" s="262"/>
      <c r="CI23" s="11"/>
      <c r="CK23" s="258" t="s">
        <v>3</v>
      </c>
      <c r="CL23" s="224">
        <f>CE23*CG23</f>
        <v>16.799890470960683</v>
      </c>
      <c r="CM23" s="224"/>
      <c r="CN23" s="224"/>
      <c r="CO23" s="21"/>
      <c r="CP23" s="258" t="s">
        <v>3</v>
      </c>
      <c r="CQ23" s="216">
        <f>CL23/CL24</f>
        <v>4.3328629754756589</v>
      </c>
      <c r="CR23" s="216"/>
      <c r="CS23" s="216"/>
      <c r="CT23" s="4"/>
      <c r="CU23" s="32"/>
      <c r="CV23" s="32"/>
      <c r="CW23" s="32"/>
    </row>
    <row r="24" spans="3:102" ht="19.2" x14ac:dyDescent="0.45">
      <c r="D24" s="308" t="s">
        <v>226</v>
      </c>
      <c r="E24" s="309"/>
      <c r="F24" s="24" t="s">
        <v>127</v>
      </c>
      <c r="G24" s="276">
        <f>G17</f>
        <v>1.0812944474064072</v>
      </c>
      <c r="H24" s="276"/>
      <c r="I24" s="277"/>
      <c r="J24" s="28" t="str">
        <f>IF(G24&lt;O24, "&lt;", "≧")</f>
        <v>≧</v>
      </c>
      <c r="K24" s="294" t="s">
        <v>232</v>
      </c>
      <c r="L24" s="295"/>
      <c r="M24" s="55">
        <v>3</v>
      </c>
      <c r="N24" s="24" t="s">
        <v>127</v>
      </c>
      <c r="O24" s="276">
        <f>M20</f>
        <v>0.46666666666666662</v>
      </c>
      <c r="P24" s="276"/>
      <c r="Q24" s="277"/>
      <c r="R24" s="3"/>
      <c r="S24" s="178" t="str">
        <f>IF(J24="≧", "OK", "NG")</f>
        <v>OK</v>
      </c>
      <c r="T24" s="180"/>
      <c r="U24" s="14"/>
      <c r="W24" s="5"/>
      <c r="AI24" s="6"/>
      <c r="AJ24" s="3"/>
      <c r="AK24" s="3"/>
      <c r="AL24" s="3"/>
      <c r="AM24" s="245" t="s">
        <v>246</v>
      </c>
      <c r="AN24" s="245"/>
      <c r="AO24" s="3" t="s">
        <v>507</v>
      </c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L24" s="3"/>
      <c r="BM24" s="3"/>
      <c r="BN24" s="3"/>
      <c r="BO24" s="3"/>
      <c r="BP24" s="3"/>
      <c r="BQ24" s="3"/>
      <c r="BV24" s="245"/>
      <c r="BW24" s="245"/>
      <c r="BX24" s="258"/>
      <c r="BY24" s="245" t="s">
        <v>242</v>
      </c>
      <c r="BZ24" s="245"/>
      <c r="CA24" t="s">
        <v>67</v>
      </c>
      <c r="CB24" s="65" t="s">
        <v>255</v>
      </c>
      <c r="CD24" s="258"/>
      <c r="CE24" s="259">
        <f>BO34</f>
        <v>0.6</v>
      </c>
      <c r="CF24" s="257"/>
      <c r="CG24" t="s">
        <v>67</v>
      </c>
      <c r="CH24" s="253">
        <f>BI21</f>
        <v>6.4621977685614063</v>
      </c>
      <c r="CI24" s="253"/>
      <c r="CK24" s="258"/>
      <c r="CL24" s="260">
        <f>CE24*CH24</f>
        <v>3.8773186611368438</v>
      </c>
      <c r="CM24" s="260"/>
      <c r="CN24" s="260"/>
      <c r="CO24" s="21"/>
      <c r="CP24" s="258"/>
      <c r="CQ24" s="216"/>
      <c r="CR24" s="216"/>
      <c r="CS24" s="216"/>
      <c r="CT24" s="4"/>
      <c r="CU24" s="32"/>
      <c r="CV24" s="32"/>
      <c r="CW24" s="32"/>
    </row>
    <row r="25" spans="3:102" x14ac:dyDescent="0.45">
      <c r="S25" s="23"/>
      <c r="T25" s="14"/>
      <c r="U25" s="14"/>
      <c r="W25" s="5"/>
      <c r="AI25" s="6"/>
      <c r="AJ25" s="3"/>
      <c r="AK25" s="3"/>
      <c r="AL25" s="3"/>
      <c r="AM25" s="245" t="s">
        <v>247</v>
      </c>
      <c r="AN25" s="245"/>
      <c r="AO25" s="3" t="s">
        <v>508</v>
      </c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3:102" x14ac:dyDescent="0.45">
      <c r="S26" s="23"/>
      <c r="T26" s="14"/>
      <c r="U26" s="14"/>
      <c r="W26" s="7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8"/>
      <c r="AJ26" s="3"/>
      <c r="AK26" s="3"/>
      <c r="AL26" s="3"/>
      <c r="AM26" s="245" t="s">
        <v>233</v>
      </c>
      <c r="AN26" s="245"/>
      <c r="AO26" s="3" t="s">
        <v>509</v>
      </c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V26" s="245" t="s">
        <v>249</v>
      </c>
      <c r="BW26" s="245"/>
      <c r="BX26" s="258" t="s">
        <v>3</v>
      </c>
      <c r="BY26" s="63">
        <v>2</v>
      </c>
      <c r="BZ26" s="267" t="s">
        <v>246</v>
      </c>
      <c r="CA26" s="267"/>
      <c r="CB26" s="63" t="s">
        <v>251</v>
      </c>
      <c r="CC26" s="59" t="s">
        <v>99</v>
      </c>
      <c r="CD26" s="63">
        <v>3</v>
      </c>
      <c r="CE26" s="267" t="s">
        <v>235</v>
      </c>
      <c r="CF26" s="267"/>
      <c r="CG26" s="64" t="s">
        <v>61</v>
      </c>
      <c r="CI26" s="258" t="s">
        <v>3</v>
      </c>
      <c r="CJ26" s="63">
        <v>2</v>
      </c>
      <c r="CK26" s="293">
        <f>CU15</f>
        <v>149.41374962639205</v>
      </c>
      <c r="CL26" s="293"/>
      <c r="CM26" s="293"/>
      <c r="CN26" s="63" t="s">
        <v>251</v>
      </c>
      <c r="CO26" s="59" t="s">
        <v>99</v>
      </c>
      <c r="CP26" s="63">
        <v>3</v>
      </c>
      <c r="CQ26" s="225">
        <f>BO35</f>
        <v>0.56000000000000005</v>
      </c>
      <c r="CR26" s="225"/>
      <c r="CS26" s="64" t="s">
        <v>61</v>
      </c>
      <c r="CU26" s="258" t="s">
        <v>3</v>
      </c>
      <c r="CV26" s="293">
        <f>CJ26*CK26*(2-3*CQ26)</f>
        <v>95.624799760890866</v>
      </c>
      <c r="CW26" s="293"/>
      <c r="CX26" s="293"/>
    </row>
    <row r="27" spans="3:102" x14ac:dyDescent="0.45">
      <c r="C27" s="3" t="s">
        <v>459</v>
      </c>
      <c r="P27" s="14"/>
      <c r="Q27" s="14"/>
      <c r="S27" s="23"/>
      <c r="T27" s="14"/>
      <c r="U27" s="14"/>
      <c r="AJ27" s="3"/>
      <c r="AK27" s="3"/>
      <c r="AL27" s="3"/>
      <c r="AM27" s="22"/>
      <c r="AO27" s="3" t="s">
        <v>263</v>
      </c>
      <c r="AP27" s="3"/>
      <c r="AQ27" s="3"/>
      <c r="AR27" s="221" t="s">
        <v>226</v>
      </c>
      <c r="AS27" s="221"/>
      <c r="AT27" s="3" t="s">
        <v>261</v>
      </c>
      <c r="AU27" s="245" t="s">
        <v>235</v>
      </c>
      <c r="AV27" s="245"/>
      <c r="AW27" t="s">
        <v>67</v>
      </c>
      <c r="AX27" s="56" t="s">
        <v>237</v>
      </c>
      <c r="AY27" s="3" t="s">
        <v>262</v>
      </c>
      <c r="AZ27" s="3"/>
      <c r="BA27" s="3"/>
      <c r="BB27" s="245" t="s">
        <v>233</v>
      </c>
      <c r="BC27" s="245"/>
      <c r="BD27" s="3" t="s">
        <v>3</v>
      </c>
      <c r="BE27" s="61">
        <v>0</v>
      </c>
      <c r="BV27" s="245"/>
      <c r="BW27" s="245"/>
      <c r="BX27" s="258"/>
      <c r="BZ27" s="21"/>
      <c r="CC27" s="56" t="s">
        <v>237</v>
      </c>
      <c r="CI27" s="258"/>
      <c r="CM27" s="213">
        <f>'1.条件'!T8</f>
        <v>1.4</v>
      </c>
      <c r="CN27" s="213"/>
      <c r="CO27" s="213"/>
      <c r="CU27" s="258"/>
      <c r="CV27" s="213">
        <f>CM27</f>
        <v>1.4</v>
      </c>
      <c r="CW27" s="213"/>
      <c r="CX27" s="213"/>
    </row>
    <row r="28" spans="3:102" x14ac:dyDescent="0.45">
      <c r="D28" s="3" t="s">
        <v>501</v>
      </c>
      <c r="E28" s="3"/>
      <c r="F28" s="3"/>
      <c r="G28" s="3"/>
      <c r="H28" s="3"/>
      <c r="I28" s="3"/>
      <c r="J28" s="3"/>
      <c r="K28" s="3"/>
      <c r="L28" s="3"/>
      <c r="M28" s="3"/>
      <c r="AL28" s="3"/>
      <c r="AM28" s="245" t="s">
        <v>249</v>
      </c>
      <c r="AN28" s="245"/>
      <c r="AO28" s="3" t="s">
        <v>510</v>
      </c>
      <c r="BX28" s="4" t="s">
        <v>3</v>
      </c>
      <c r="BY28" s="213">
        <f>CV26/CV27</f>
        <v>68.303428400636335</v>
      </c>
      <c r="BZ28" s="213"/>
      <c r="CA28" s="213"/>
    </row>
    <row r="29" spans="3:102" x14ac:dyDescent="0.45">
      <c r="D29" s="251" t="s">
        <v>132</v>
      </c>
      <c r="E29" s="251"/>
      <c r="F29" s="258" t="s">
        <v>3</v>
      </c>
      <c r="G29" s="267" t="s">
        <v>502</v>
      </c>
      <c r="H29" s="267"/>
      <c r="I29" s="117" t="s">
        <v>134</v>
      </c>
      <c r="J29" s="118" t="s">
        <v>202</v>
      </c>
      <c r="K29" s="279" t="s">
        <v>503</v>
      </c>
      <c r="L29" s="279"/>
      <c r="M29" s="100" t="s">
        <v>504</v>
      </c>
      <c r="N29" s="3"/>
      <c r="O29" s="3"/>
      <c r="P29" s="3"/>
      <c r="Q29" s="3"/>
      <c r="R29" s="3"/>
      <c r="S29" s="3"/>
      <c r="T29" s="3"/>
      <c r="U29" s="3"/>
      <c r="V29" s="3"/>
      <c r="W29" s="3"/>
      <c r="AL29" s="3"/>
      <c r="AM29" s="245" t="s">
        <v>252</v>
      </c>
      <c r="AN29" s="245"/>
      <c r="AO29" s="3" t="s">
        <v>511</v>
      </c>
      <c r="BU29" s="3"/>
    </row>
    <row r="30" spans="3:102" x14ac:dyDescent="0.45">
      <c r="D30" s="251"/>
      <c r="E30" s="251"/>
      <c r="F30" s="258"/>
      <c r="G30" s="3"/>
      <c r="H30" s="3"/>
      <c r="I30" s="245" t="s">
        <v>260</v>
      </c>
      <c r="J30" s="24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AL30" s="3"/>
      <c r="AM30" s="245" t="s">
        <v>254</v>
      </c>
      <c r="AN30" s="245"/>
      <c r="AO30" s="3" t="s">
        <v>512</v>
      </c>
      <c r="BU30" s="3"/>
      <c r="BV30" s="245" t="s">
        <v>252</v>
      </c>
      <c r="BW30" s="245"/>
      <c r="BX30" s="258" t="s">
        <v>3</v>
      </c>
      <c r="BY30" s="63">
        <v>2</v>
      </c>
      <c r="BZ30" s="267" t="s">
        <v>246</v>
      </c>
      <c r="CA30" s="267"/>
      <c r="CB30" s="63" t="s">
        <v>253</v>
      </c>
      <c r="CC30" s="267" t="s">
        <v>235</v>
      </c>
      <c r="CD30" s="267"/>
      <c r="CE30" s="59" t="s">
        <v>99</v>
      </c>
      <c r="CF30" s="63">
        <v>1</v>
      </c>
      <c r="CG30" s="64" t="s">
        <v>61</v>
      </c>
      <c r="CI30" s="258" t="s">
        <v>3</v>
      </c>
      <c r="CJ30" s="63">
        <v>2</v>
      </c>
      <c r="CK30" s="293">
        <f>CU15</f>
        <v>149.41374962639205</v>
      </c>
      <c r="CL30" s="293"/>
      <c r="CM30" s="293"/>
      <c r="CN30" s="63" t="s">
        <v>253</v>
      </c>
      <c r="CO30" s="225">
        <f>BO35</f>
        <v>0.56000000000000005</v>
      </c>
      <c r="CP30" s="225"/>
      <c r="CQ30" s="59" t="s">
        <v>99</v>
      </c>
      <c r="CR30" s="63">
        <v>1</v>
      </c>
      <c r="CS30" s="64" t="s">
        <v>61</v>
      </c>
      <c r="CU30" s="258" t="s">
        <v>3</v>
      </c>
      <c r="CV30" s="293">
        <f>CJ30*CK30*(3*CO30-1)</f>
        <v>203.20269949189324</v>
      </c>
      <c r="CW30" s="293"/>
      <c r="CX30" s="293"/>
    </row>
    <row r="31" spans="3:102" x14ac:dyDescent="0.45">
      <c r="AL31" s="3"/>
      <c r="AM31" s="245" t="s">
        <v>264</v>
      </c>
      <c r="AN31" s="245"/>
      <c r="AO31" s="3" t="s">
        <v>513</v>
      </c>
      <c r="BV31" s="245"/>
      <c r="BW31" s="245"/>
      <c r="BX31" s="258"/>
      <c r="BZ31" s="21"/>
      <c r="CC31" s="56" t="s">
        <v>237</v>
      </c>
      <c r="CI31" s="258"/>
      <c r="CM31" s="213">
        <f>'1.条件'!T8</f>
        <v>1.4</v>
      </c>
      <c r="CN31" s="213"/>
      <c r="CO31" s="213"/>
      <c r="CU31" s="258"/>
      <c r="CV31" s="213">
        <f>CM31</f>
        <v>1.4</v>
      </c>
      <c r="CW31" s="213"/>
      <c r="CX31" s="213"/>
    </row>
    <row r="32" spans="3:102" x14ac:dyDescent="0.45">
      <c r="D32" s="3" t="s">
        <v>505</v>
      </c>
      <c r="AL32" s="3"/>
      <c r="AM32" s="264" t="s">
        <v>265</v>
      </c>
      <c r="AN32" s="264"/>
      <c r="AO32" s="3" t="s">
        <v>514</v>
      </c>
      <c r="BX32" s="4" t="s">
        <v>3</v>
      </c>
      <c r="BY32" s="213">
        <f>CV30/CV31</f>
        <v>145.14478535135231</v>
      </c>
      <c r="BZ32" s="213"/>
      <c r="CA32" s="213"/>
    </row>
    <row r="33" spans="4:105" x14ac:dyDescent="0.45">
      <c r="D33" s="251" t="s">
        <v>132</v>
      </c>
      <c r="E33" s="251"/>
      <c r="F33" s="258" t="s">
        <v>3</v>
      </c>
      <c r="G33" s="267" t="s">
        <v>230</v>
      </c>
      <c r="H33" s="267"/>
      <c r="I33" s="30" t="s">
        <v>133</v>
      </c>
      <c r="J33" s="31" t="s">
        <v>134</v>
      </c>
      <c r="K33" s="3"/>
      <c r="L33" s="258" t="s">
        <v>3</v>
      </c>
      <c r="M33" s="293">
        <f>G11</f>
        <v>152.5332191072329</v>
      </c>
      <c r="N33" s="293"/>
      <c r="O33" s="293"/>
      <c r="P33" s="30" t="s">
        <v>133</v>
      </c>
      <c r="Q33" s="262">
        <f>'1.条件'!T30</f>
        <v>0.7</v>
      </c>
      <c r="R33" s="292"/>
      <c r="S33" s="3"/>
      <c r="T33" s="258" t="s">
        <v>3</v>
      </c>
      <c r="U33" s="253">
        <f>M33/O34*Q33</f>
        <v>1.8029967997755707</v>
      </c>
      <c r="V33" s="253"/>
      <c r="W33" s="253"/>
      <c r="AL33" s="3"/>
      <c r="AM33" s="264" t="s">
        <v>266</v>
      </c>
      <c r="AN33" s="264"/>
      <c r="AO33" s="3" t="s">
        <v>515</v>
      </c>
    </row>
    <row r="34" spans="4:105" ht="19.2" x14ac:dyDescent="0.45">
      <c r="D34" s="251"/>
      <c r="E34" s="251"/>
      <c r="F34" s="258"/>
      <c r="G34" s="3"/>
      <c r="H34" s="245" t="s">
        <v>231</v>
      </c>
      <c r="I34" s="245"/>
      <c r="J34" s="3"/>
      <c r="K34" s="3"/>
      <c r="L34" s="258"/>
      <c r="M34" s="3"/>
      <c r="N34" s="3"/>
      <c r="O34" s="213">
        <f>J11</f>
        <v>59.219879585118342</v>
      </c>
      <c r="P34" s="213"/>
      <c r="Q34" s="213"/>
      <c r="R34" s="3"/>
      <c r="S34" s="3"/>
      <c r="T34" s="258"/>
      <c r="U34" s="253"/>
      <c r="V34" s="253"/>
      <c r="W34" s="253"/>
      <c r="AL34" s="3"/>
      <c r="AM34" s="245" t="s">
        <v>242</v>
      </c>
      <c r="AN34" s="245"/>
      <c r="AO34" s="3" t="s">
        <v>274</v>
      </c>
      <c r="BE34" s="3"/>
      <c r="BL34" s="245" t="s">
        <v>242</v>
      </c>
      <c r="BM34" s="245"/>
      <c r="BN34" t="s">
        <v>3</v>
      </c>
      <c r="BO34" s="270">
        <f>_xlfn.IFS('1.条件'!T10=0.3, 0.5, '1.条件'!T10=0.4, 0.6,'1.条件'!T10=0.5, 0.7)</f>
        <v>0.6</v>
      </c>
      <c r="BP34" s="270"/>
      <c r="BV34" s="3" t="s">
        <v>131</v>
      </c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56"/>
      <c r="CO34" s="56"/>
      <c r="CP34" s="56"/>
      <c r="CQ34" s="56"/>
      <c r="CR34" s="56"/>
      <c r="CS34" s="56"/>
    </row>
    <row r="35" spans="4:105" x14ac:dyDescent="0.45">
      <c r="AL35" s="3"/>
      <c r="AM35" s="245" t="s">
        <v>273</v>
      </c>
      <c r="AN35" s="245"/>
      <c r="AO35" s="3" t="s">
        <v>267</v>
      </c>
      <c r="BE35" s="3"/>
      <c r="BL35" s="245" t="s">
        <v>235</v>
      </c>
      <c r="BM35" s="245"/>
      <c r="BN35" t="s">
        <v>3</v>
      </c>
      <c r="BO35" s="218">
        <v>0.56000000000000005</v>
      </c>
      <c r="BP35" s="218"/>
      <c r="BV35" s="296" t="s">
        <v>249</v>
      </c>
      <c r="BW35" s="297"/>
      <c r="BX35" s="24" t="s">
        <v>127</v>
      </c>
      <c r="BY35" s="276">
        <f>BY28</f>
        <v>68.303428400636335</v>
      </c>
      <c r="BZ35" s="276"/>
      <c r="CA35" s="277"/>
      <c r="CB35" s="28" t="str">
        <f>IF(BY35&lt;=CH35, "≦", "&gt;")</f>
        <v>≦</v>
      </c>
      <c r="CC35" s="178" t="s">
        <v>136</v>
      </c>
      <c r="CD35" s="179"/>
      <c r="CE35" s="179"/>
      <c r="CF35" s="179"/>
      <c r="CG35" s="179"/>
      <c r="CH35" s="300">
        <f>'1.条件'!AZ37</f>
        <v>450</v>
      </c>
      <c r="CI35" s="194"/>
      <c r="CJ35" s="3"/>
      <c r="CK35" s="178" t="str">
        <f>IF(CB35="≦", "OK", "NG")</f>
        <v>OK</v>
      </c>
      <c r="CL35" s="180"/>
      <c r="CM35" s="56"/>
      <c r="CN35" s="56"/>
      <c r="CO35" s="56"/>
      <c r="CP35" s="56"/>
      <c r="CQ35" s="56"/>
      <c r="CR35" s="56"/>
    </row>
    <row r="36" spans="4:105" x14ac:dyDescent="0.45">
      <c r="D36" s="3" t="s">
        <v>131</v>
      </c>
      <c r="AL36" s="3"/>
      <c r="AM36" s="22"/>
      <c r="AN36" s="22"/>
      <c r="AO36" s="3"/>
      <c r="BE36" s="3"/>
      <c r="BL36" s="22"/>
      <c r="BM36" s="22"/>
      <c r="BO36" s="14"/>
      <c r="BP36" s="14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</row>
    <row r="37" spans="4:105" x14ac:dyDescent="0.45">
      <c r="D37" s="288" t="s">
        <v>132</v>
      </c>
      <c r="E37" s="289"/>
      <c r="F37" s="24" t="s">
        <v>127</v>
      </c>
      <c r="G37" s="276">
        <f>M33/O34*Q33</f>
        <v>1.8029967997755707</v>
      </c>
      <c r="H37" s="276"/>
      <c r="I37" s="277"/>
      <c r="J37" s="28" t="str">
        <f>IF(G37&lt;=O37, "&lt;", "≧")</f>
        <v>≧</v>
      </c>
      <c r="K37" s="178" t="s">
        <v>135</v>
      </c>
      <c r="L37" s="179"/>
      <c r="M37" s="179"/>
      <c r="N37" s="179"/>
      <c r="O37" s="290">
        <f>'1.条件'!AZ36</f>
        <v>1.2</v>
      </c>
      <c r="P37" s="291"/>
      <c r="Q37" s="3"/>
      <c r="R37" s="3"/>
      <c r="S37" s="178" t="str">
        <f>IF(J37="≧", "OK", "NG")</f>
        <v>OK</v>
      </c>
      <c r="T37" s="180"/>
      <c r="AA37" s="3"/>
      <c r="AL37" s="3"/>
      <c r="AO37" s="67" t="s">
        <v>268</v>
      </c>
      <c r="AP37" s="68"/>
      <c r="AQ37" s="68"/>
      <c r="AR37" s="68"/>
      <c r="AS37" s="68"/>
      <c r="AT37" s="69"/>
      <c r="AU37" s="298" t="s">
        <v>270</v>
      </c>
      <c r="AV37" s="299"/>
      <c r="AW37" s="299"/>
      <c r="AX37" s="299"/>
      <c r="AY37" s="299"/>
      <c r="AZ37" s="298" t="s">
        <v>271</v>
      </c>
      <c r="BA37" s="299"/>
      <c r="BB37" s="299"/>
      <c r="BC37" s="299"/>
      <c r="BD37" s="299"/>
      <c r="BE37" s="298" t="s">
        <v>272</v>
      </c>
      <c r="BF37" s="299"/>
      <c r="BG37" s="299"/>
      <c r="BH37" s="299"/>
      <c r="BI37" s="299"/>
      <c r="BJ37" s="71"/>
      <c r="BV37" s="296" t="s">
        <v>252</v>
      </c>
      <c r="BW37" s="297"/>
      <c r="BX37" s="24" t="s">
        <v>127</v>
      </c>
      <c r="BY37" s="276">
        <f>BY32</f>
        <v>145.14478535135231</v>
      </c>
      <c r="BZ37" s="276"/>
      <c r="CA37" s="277"/>
      <c r="CB37" s="28" t="str">
        <f>IF(BY37&lt;=CH37, "≦", "&gt;")</f>
        <v>≦</v>
      </c>
      <c r="CC37" s="178" t="s">
        <v>136</v>
      </c>
      <c r="CD37" s="179"/>
      <c r="CE37" s="179"/>
      <c r="CF37" s="179"/>
      <c r="CG37" s="179"/>
      <c r="CH37" s="300">
        <f>'1.条件'!AZ37</f>
        <v>450</v>
      </c>
      <c r="CI37" s="194"/>
      <c r="CJ37" s="3"/>
      <c r="CK37" s="178" t="str">
        <f>IF(CB37="≦", "OK", "NG")</f>
        <v>OK</v>
      </c>
      <c r="CL37" s="180"/>
      <c r="CM37" s="66"/>
      <c r="CN37" s="66"/>
      <c r="CO37" s="66"/>
    </row>
    <row r="38" spans="4:105" ht="19.2" x14ac:dyDescent="0.45">
      <c r="Z38" s="3"/>
      <c r="AA38" s="3"/>
      <c r="AI38">
        <v>12</v>
      </c>
      <c r="AL38" s="3"/>
      <c r="AO38" s="296" t="s">
        <v>242</v>
      </c>
      <c r="AP38" s="297"/>
      <c r="AQ38" s="70" t="s">
        <v>269</v>
      </c>
      <c r="AR38" s="68"/>
      <c r="AS38" s="68"/>
      <c r="AT38" s="69"/>
      <c r="AU38" s="204">
        <v>0.5</v>
      </c>
      <c r="AV38" s="205"/>
      <c r="AW38" s="205"/>
      <c r="AX38" s="205"/>
      <c r="AY38" s="206"/>
      <c r="AZ38" s="204">
        <v>0.6</v>
      </c>
      <c r="BA38" s="205"/>
      <c r="BB38" s="205"/>
      <c r="BC38" s="205"/>
      <c r="BD38" s="206"/>
      <c r="BE38" s="204">
        <v>0.7</v>
      </c>
      <c r="BF38" s="205"/>
      <c r="BG38" s="205"/>
      <c r="BH38" s="205"/>
      <c r="BI38" s="205"/>
      <c r="BJ38" s="41"/>
      <c r="BR38">
        <v>13</v>
      </c>
      <c r="DA38">
        <v>14</v>
      </c>
    </row>
    <row r="39" spans="4:105" x14ac:dyDescent="0.45">
      <c r="Z39" s="3"/>
      <c r="AA39" s="3"/>
    </row>
    <row r="41" spans="4:105" x14ac:dyDescent="0.45">
      <c r="BV41" s="3"/>
      <c r="BW41" s="56"/>
      <c r="BX41" s="56"/>
      <c r="BY41" s="28"/>
      <c r="BZ41" s="73"/>
      <c r="CA41" s="73"/>
      <c r="CB41" s="73"/>
    </row>
    <row r="43" spans="4:105" x14ac:dyDescent="0.45">
      <c r="BW43" s="72"/>
    </row>
  </sheetData>
  <sheetProtection sheet="1" objects="1" scenarios="1"/>
  <mergeCells count="271">
    <mergeCell ref="K29:L29"/>
    <mergeCell ref="I30:J30"/>
    <mergeCell ref="BV2:BW2"/>
    <mergeCell ref="BY2:CA2"/>
    <mergeCell ref="BV3:BW3"/>
    <mergeCell ref="CA3:CB3"/>
    <mergeCell ref="CD3:CF3"/>
    <mergeCell ref="CH3:CJ3"/>
    <mergeCell ref="AS7:AT7"/>
    <mergeCell ref="BV15:BW15"/>
    <mergeCell ref="BY15:BZ15"/>
    <mergeCell ref="BV6:BW7"/>
    <mergeCell ref="BX6:BX7"/>
    <mergeCell ref="BY6:BZ6"/>
    <mergeCell ref="BY13:BZ13"/>
    <mergeCell ref="CI13:CK13"/>
    <mergeCell ref="CB6:CC6"/>
    <mergeCell ref="CG6:CH6"/>
    <mergeCell ref="CD7:CE7"/>
    <mergeCell ref="CJ7:CK7"/>
    <mergeCell ref="CI15:CK15"/>
    <mergeCell ref="AP4:AQ4"/>
    <mergeCell ref="AS4:AT4"/>
    <mergeCell ref="AX4:AY4"/>
    <mergeCell ref="BZ4:CA4"/>
    <mergeCell ref="CC4:CD4"/>
    <mergeCell ref="AU5:AV5"/>
    <mergeCell ref="BA5:BB5"/>
    <mergeCell ref="AU7:AV7"/>
    <mergeCell ref="AM4:AN5"/>
    <mergeCell ref="AO4:AO5"/>
    <mergeCell ref="W6:Z6"/>
    <mergeCell ref="G6:I6"/>
    <mergeCell ref="J6:L6"/>
    <mergeCell ref="M6:O6"/>
    <mergeCell ref="P6:R6"/>
    <mergeCell ref="S6:V6"/>
    <mergeCell ref="G5:I5"/>
    <mergeCell ref="J5:L5"/>
    <mergeCell ref="M5:R5"/>
    <mergeCell ref="S5:Z5"/>
    <mergeCell ref="W8:Z8"/>
    <mergeCell ref="AM7:AN7"/>
    <mergeCell ref="AP7:AQ7"/>
    <mergeCell ref="W10:Z10"/>
    <mergeCell ref="D8:F8"/>
    <mergeCell ref="G8:I8"/>
    <mergeCell ref="J8:L8"/>
    <mergeCell ref="M8:O8"/>
    <mergeCell ref="P8:R8"/>
    <mergeCell ref="S8:V8"/>
    <mergeCell ref="D10:F10"/>
    <mergeCell ref="G10:I10"/>
    <mergeCell ref="J10:L10"/>
    <mergeCell ref="M10:O10"/>
    <mergeCell ref="P10:R10"/>
    <mergeCell ref="S10:V10"/>
    <mergeCell ref="G7:I7"/>
    <mergeCell ref="J7:L7"/>
    <mergeCell ref="M7:O7"/>
    <mergeCell ref="P7:R7"/>
    <mergeCell ref="W7:Z7"/>
    <mergeCell ref="S7:V7"/>
    <mergeCell ref="D11:F11"/>
    <mergeCell ref="G11:I11"/>
    <mergeCell ref="J11:L11"/>
    <mergeCell ref="M11:O11"/>
    <mergeCell ref="P11:R11"/>
    <mergeCell ref="S11:V11"/>
    <mergeCell ref="D9:F9"/>
    <mergeCell ref="G9:I9"/>
    <mergeCell ref="CB13:CC13"/>
    <mergeCell ref="CC12:CE12"/>
    <mergeCell ref="J9:L9"/>
    <mergeCell ref="M9:O9"/>
    <mergeCell ref="P9:R9"/>
    <mergeCell ref="S9:V9"/>
    <mergeCell ref="W9:Z9"/>
    <mergeCell ref="AS9:AT9"/>
    <mergeCell ref="AM9:AN9"/>
    <mergeCell ref="AP9:AQ9"/>
    <mergeCell ref="AU9:AV9"/>
    <mergeCell ref="BX9:BX10"/>
    <mergeCell ref="CE13:CF13"/>
    <mergeCell ref="AM11:AN12"/>
    <mergeCell ref="AO11:AO12"/>
    <mergeCell ref="AQ11:AR11"/>
    <mergeCell ref="CN10:CO10"/>
    <mergeCell ref="AT13:AU13"/>
    <mergeCell ref="BY9:CA9"/>
    <mergeCell ref="CC9:CD9"/>
    <mergeCell ref="CF9:CG9"/>
    <mergeCell ref="CI9:CK9"/>
    <mergeCell ref="BY10:BZ10"/>
    <mergeCell ref="CB10:CC10"/>
    <mergeCell ref="CF10:CG10"/>
    <mergeCell ref="CI10:CK10"/>
    <mergeCell ref="AV11:AW11"/>
    <mergeCell ref="W11:Z11"/>
    <mergeCell ref="CI17:CK17"/>
    <mergeCell ref="CR17:CS17"/>
    <mergeCell ref="CP17:CQ17"/>
    <mergeCell ref="BX12:BX13"/>
    <mergeCell ref="CQ12:CQ13"/>
    <mergeCell ref="CM15:CO15"/>
    <mergeCell ref="CM13:CN13"/>
    <mergeCell ref="CM17:CO17"/>
    <mergeCell ref="BV17:BW17"/>
    <mergeCell ref="BY17:BZ17"/>
    <mergeCell ref="CB17:CC17"/>
    <mergeCell ref="CR15:CS15"/>
    <mergeCell ref="CR12:CT12"/>
    <mergeCell ref="CR13:CT13"/>
    <mergeCell ref="CP15:CQ15"/>
    <mergeCell ref="BY12:CA12"/>
    <mergeCell ref="CB15:CC15"/>
    <mergeCell ref="D15:E16"/>
    <mergeCell ref="F15:F16"/>
    <mergeCell ref="G15:K15"/>
    <mergeCell ref="M15:M16"/>
    <mergeCell ref="N15:P15"/>
    <mergeCell ref="R15:T15"/>
    <mergeCell ref="AM13:AN14"/>
    <mergeCell ref="AO13:AO14"/>
    <mergeCell ref="AQ13:AR13"/>
    <mergeCell ref="G16:K16"/>
    <mergeCell ref="P16:R16"/>
    <mergeCell ref="AM15:AN16"/>
    <mergeCell ref="AO15:AO16"/>
    <mergeCell ref="AQ15:AR15"/>
    <mergeCell ref="AP16:AQ16"/>
    <mergeCell ref="BX23:BX24"/>
    <mergeCell ref="BZ23:CA23"/>
    <mergeCell ref="AM20:AN20"/>
    <mergeCell ref="AT21:AV21"/>
    <mergeCell ref="CM31:CO31"/>
    <mergeCell ref="CV31:CX31"/>
    <mergeCell ref="CQ26:CR26"/>
    <mergeCell ref="CU26:CU27"/>
    <mergeCell ref="CV26:CX26"/>
    <mergeCell ref="BV30:BW31"/>
    <mergeCell ref="BX30:BX31"/>
    <mergeCell ref="BZ30:CA30"/>
    <mergeCell ref="CC30:CD30"/>
    <mergeCell ref="CI30:CI31"/>
    <mergeCell ref="BY28:CA28"/>
    <mergeCell ref="CK26:CM26"/>
    <mergeCell ref="CK30:CM30"/>
    <mergeCell ref="CM27:CO27"/>
    <mergeCell ref="CV27:CX27"/>
    <mergeCell ref="BV26:BW27"/>
    <mergeCell ref="BX26:BX27"/>
    <mergeCell ref="BI21:BK21"/>
    <mergeCell ref="AN21:AO21"/>
    <mergeCell ref="CG23:CH23"/>
    <mergeCell ref="BL34:BM34"/>
    <mergeCell ref="BO34:BP34"/>
    <mergeCell ref="BL35:BM35"/>
    <mergeCell ref="BO35:BP35"/>
    <mergeCell ref="G17:I17"/>
    <mergeCell ref="CO30:CP30"/>
    <mergeCell ref="CU30:CU31"/>
    <mergeCell ref="BZ26:CA26"/>
    <mergeCell ref="CE26:CF26"/>
    <mergeCell ref="CI26:CI27"/>
    <mergeCell ref="CD23:CD24"/>
    <mergeCell ref="CU17:CW17"/>
    <mergeCell ref="AN19:AO19"/>
    <mergeCell ref="AQ19:AR19"/>
    <mergeCell ref="AT19:AU19"/>
    <mergeCell ref="AX19:AZ19"/>
    <mergeCell ref="BB19:BD19"/>
    <mergeCell ref="BG19:BI19"/>
    <mergeCell ref="AM18:AN18"/>
    <mergeCell ref="AX21:AZ21"/>
    <mergeCell ref="BC21:BD21"/>
    <mergeCell ref="BE21:BF21"/>
    <mergeCell ref="CV30:CX30"/>
    <mergeCell ref="BV23:BW24"/>
    <mergeCell ref="CH37:CI37"/>
    <mergeCell ref="CK37:CL37"/>
    <mergeCell ref="BV35:BW35"/>
    <mergeCell ref="BY35:CA35"/>
    <mergeCell ref="CC35:CG35"/>
    <mergeCell ref="CH35:CI35"/>
    <mergeCell ref="CK35:CL35"/>
    <mergeCell ref="BY32:CA32"/>
    <mergeCell ref="BV37:BW37"/>
    <mergeCell ref="BY37:CA37"/>
    <mergeCell ref="CC37:CG37"/>
    <mergeCell ref="S24:T24"/>
    <mergeCell ref="AM24:AN24"/>
    <mergeCell ref="AM25:AN25"/>
    <mergeCell ref="AM26:AN26"/>
    <mergeCell ref="D37:E37"/>
    <mergeCell ref="G37:I37"/>
    <mergeCell ref="K37:N37"/>
    <mergeCell ref="O37:P37"/>
    <mergeCell ref="S37:T37"/>
    <mergeCell ref="AM28:AN28"/>
    <mergeCell ref="AM29:AN29"/>
    <mergeCell ref="H34:I34"/>
    <mergeCell ref="O34:Q34"/>
    <mergeCell ref="D33:E34"/>
    <mergeCell ref="F33:F34"/>
    <mergeCell ref="G33:H33"/>
    <mergeCell ref="L33:L34"/>
    <mergeCell ref="M33:O33"/>
    <mergeCell ref="Q33:R33"/>
    <mergeCell ref="T33:T34"/>
    <mergeCell ref="U33:W34"/>
    <mergeCell ref="D29:E30"/>
    <mergeCell ref="F29:F30"/>
    <mergeCell ref="G29:H29"/>
    <mergeCell ref="D20:E20"/>
    <mergeCell ref="G20:G21"/>
    <mergeCell ref="H20:J20"/>
    <mergeCell ref="L20:L21"/>
    <mergeCell ref="M20:O21"/>
    <mergeCell ref="P20:P21"/>
    <mergeCell ref="D24:E24"/>
    <mergeCell ref="G24:I24"/>
    <mergeCell ref="K24:L24"/>
    <mergeCell ref="O24:Q24"/>
    <mergeCell ref="D21:E21"/>
    <mergeCell ref="H21:J21"/>
    <mergeCell ref="AZ38:BD38"/>
    <mergeCell ref="BE38:BI38"/>
    <mergeCell ref="AO38:AP38"/>
    <mergeCell ref="AU38:AY38"/>
    <mergeCell ref="AM22:AN22"/>
    <mergeCell ref="AN23:AO23"/>
    <mergeCell ref="AQ23:AR23"/>
    <mergeCell ref="AV23:AW23"/>
    <mergeCell ref="AX23:AY23"/>
    <mergeCell ref="BA23:BC23"/>
    <mergeCell ref="AU27:AV27"/>
    <mergeCell ref="BB27:BC27"/>
    <mergeCell ref="AR27:AS27"/>
    <mergeCell ref="AM35:AN35"/>
    <mergeCell ref="AU37:AY37"/>
    <mergeCell ref="AZ37:BD37"/>
    <mergeCell ref="BE37:BI37"/>
    <mergeCell ref="AM34:AN34"/>
    <mergeCell ref="AM30:AN30"/>
    <mergeCell ref="AM31:AN31"/>
    <mergeCell ref="AM32:AN32"/>
    <mergeCell ref="AM33:AN33"/>
    <mergeCell ref="BV19:BW19"/>
    <mergeCell ref="BY19:BZ19"/>
    <mergeCell ref="CE19:CF19"/>
    <mergeCell ref="CH19:CI19"/>
    <mergeCell ref="CL19:CN19"/>
    <mergeCell ref="BV21:BW21"/>
    <mergeCell ref="CA21:CB21"/>
    <mergeCell ref="CE21:CF21"/>
    <mergeCell ref="CH21:CI21"/>
    <mergeCell ref="CL21:CN21"/>
    <mergeCell ref="CK23:CK24"/>
    <mergeCell ref="CL23:CN23"/>
    <mergeCell ref="CP23:CP24"/>
    <mergeCell ref="CQ23:CS24"/>
    <mergeCell ref="BY24:BZ24"/>
    <mergeCell ref="CE24:CF24"/>
    <mergeCell ref="CH24:CI24"/>
    <mergeCell ref="CL24:CN24"/>
    <mergeCell ref="CW12:CY13"/>
    <mergeCell ref="CD15:CE15"/>
    <mergeCell ref="CD17:CE17"/>
    <mergeCell ref="CU15:CW15"/>
    <mergeCell ref="CV12:CV13"/>
  </mergeCells>
  <phoneticPr fontId="1"/>
  <conditionalFormatting sqref="S24:T24">
    <cfRule type="cellIs" dxfId="9" priority="3" operator="equal">
      <formula>"NG"</formula>
    </cfRule>
  </conditionalFormatting>
  <conditionalFormatting sqref="S37:T37">
    <cfRule type="cellIs" dxfId="8" priority="4" operator="equal">
      <formula>"NG"</formula>
    </cfRule>
  </conditionalFormatting>
  <conditionalFormatting sqref="CK35:CL35">
    <cfRule type="cellIs" dxfId="7" priority="2" operator="equal">
      <formula>"NG"</formula>
    </cfRule>
  </conditionalFormatting>
  <conditionalFormatting sqref="CK37:CL37">
    <cfRule type="cellIs" dxfId="6" priority="1" operator="equal">
      <formula>"NG"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EC32A-4294-4B02-94AF-B28BE695667C}">
  <dimension ref="A1:DA38"/>
  <sheetViews>
    <sheetView showGridLines="0" view="pageBreakPreview" zoomScale="70" zoomScaleNormal="70" zoomScaleSheetLayoutView="70" workbookViewId="0"/>
  </sheetViews>
  <sheetFormatPr defaultRowHeight="18" x14ac:dyDescent="0.45"/>
  <cols>
    <col min="1" max="105" width="3" customWidth="1"/>
  </cols>
  <sheetData>
    <row r="1" spans="1:105" x14ac:dyDescent="0.45">
      <c r="A1" t="s">
        <v>542</v>
      </c>
    </row>
    <row r="2" spans="1:105" x14ac:dyDescent="0.45">
      <c r="B2" s="3" t="s">
        <v>207</v>
      </c>
      <c r="BU2" s="3" t="s">
        <v>462</v>
      </c>
    </row>
    <row r="3" spans="1:105" x14ac:dyDescent="0.45">
      <c r="B3" s="3"/>
      <c r="C3" s="3" t="s">
        <v>461</v>
      </c>
      <c r="AL3" t="s">
        <v>526</v>
      </c>
      <c r="BV3" t="s">
        <v>306</v>
      </c>
    </row>
    <row r="4" spans="1:105" x14ac:dyDescent="0.45">
      <c r="D4" t="s">
        <v>50</v>
      </c>
      <c r="X4" s="36"/>
      <c r="Y4" s="37"/>
      <c r="Z4" s="37"/>
      <c r="AA4" s="37"/>
      <c r="AB4" s="37"/>
      <c r="AC4" s="37"/>
      <c r="AD4" s="37"/>
      <c r="AE4" s="37"/>
      <c r="AF4" s="37"/>
      <c r="AG4" s="37"/>
      <c r="AH4" s="42"/>
      <c r="AL4" s="220" t="s">
        <v>525</v>
      </c>
      <c r="AM4" s="220"/>
      <c r="AN4" s="219" t="s">
        <v>3</v>
      </c>
      <c r="AO4" s="220" t="s">
        <v>59</v>
      </c>
      <c r="AP4" s="220"/>
      <c r="AQ4" s="219" t="s">
        <v>99</v>
      </c>
      <c r="AR4" s="223" t="s">
        <v>307</v>
      </c>
      <c r="AS4" s="223"/>
      <c r="BV4" s="220" t="s">
        <v>65</v>
      </c>
      <c r="BW4" s="220"/>
      <c r="BX4" t="s">
        <v>3</v>
      </c>
      <c r="BY4" s="216">
        <f>'2.土-常'!BM11</f>
        <v>66.115640431871469</v>
      </c>
      <c r="BZ4" s="216"/>
      <c r="CA4" s="216"/>
      <c r="CB4" s="21" t="s">
        <v>91</v>
      </c>
    </row>
    <row r="5" spans="1:105" x14ac:dyDescent="0.45">
      <c r="D5" t="s">
        <v>215</v>
      </c>
      <c r="X5" s="5"/>
      <c r="AH5" s="6"/>
      <c r="AL5" s="220"/>
      <c r="AM5" s="220"/>
      <c r="AN5" s="219"/>
      <c r="AO5" s="220"/>
      <c r="AP5" s="220"/>
      <c r="AQ5" s="219"/>
      <c r="AR5" s="218">
        <v>2</v>
      </c>
      <c r="AS5" s="218"/>
      <c r="BV5" s="220" t="s">
        <v>294</v>
      </c>
      <c r="BW5" s="220"/>
      <c r="BX5" s="316" t="s">
        <v>3</v>
      </c>
      <c r="BY5" s="317">
        <v>2</v>
      </c>
      <c r="BZ5" s="317"/>
      <c r="CA5" s="76" t="s">
        <v>67</v>
      </c>
      <c r="CB5" s="223" t="s">
        <v>65</v>
      </c>
      <c r="CC5" s="223"/>
      <c r="CE5" s="219" t="s">
        <v>3</v>
      </c>
      <c r="CF5" s="317">
        <v>2</v>
      </c>
      <c r="CG5" s="317"/>
      <c r="CH5" s="76" t="s">
        <v>67</v>
      </c>
      <c r="CI5" s="224">
        <f>BY4</f>
        <v>66.115640431871469</v>
      </c>
      <c r="CJ5" s="225"/>
      <c r="CK5" s="225"/>
      <c r="CM5" s="219" t="s">
        <v>3</v>
      </c>
      <c r="CN5" s="216">
        <f>CF5*CI5/CF6/CI6^2</f>
        <v>0.1933205860581037</v>
      </c>
      <c r="CO5" s="216"/>
      <c r="CP5" s="216"/>
    </row>
    <row r="6" spans="1:105" x14ac:dyDescent="0.45">
      <c r="C6" s="2"/>
      <c r="X6" s="5"/>
      <c r="AH6" s="6"/>
      <c r="AI6" s="1"/>
      <c r="AN6" s="219" t="s">
        <v>3</v>
      </c>
      <c r="AO6" s="224">
        <f>F31</f>
        <v>1.0000000000000009E-2</v>
      </c>
      <c r="AP6" s="224"/>
      <c r="AQ6" s="86" t="s">
        <v>309</v>
      </c>
      <c r="AR6" s="20"/>
      <c r="AS6" s="224">
        <f>J29</f>
        <v>0.24</v>
      </c>
      <c r="AT6" s="224"/>
      <c r="AU6" s="86" t="s">
        <v>312</v>
      </c>
      <c r="AV6" s="20"/>
      <c r="AW6" s="224">
        <f>N31</f>
        <v>0.32000000000000006</v>
      </c>
      <c r="AX6" s="224"/>
      <c r="AY6" s="219" t="s">
        <v>99</v>
      </c>
      <c r="AZ6" s="224">
        <f>F36</f>
        <v>9.9999999999999978E-2</v>
      </c>
      <c r="BA6" s="224"/>
      <c r="BB6" s="86" t="s">
        <v>297</v>
      </c>
      <c r="BC6" s="20" t="s">
        <v>68</v>
      </c>
      <c r="BD6" s="224">
        <f>J36</f>
        <v>0.8</v>
      </c>
      <c r="BE6" s="224"/>
      <c r="BV6" s="220"/>
      <c r="BW6" s="220"/>
      <c r="BX6" s="316"/>
      <c r="BY6" s="339" t="s">
        <v>23</v>
      </c>
      <c r="BZ6" s="339"/>
      <c r="CA6" t="s">
        <v>67</v>
      </c>
      <c r="CB6" s="220" t="s">
        <v>295</v>
      </c>
      <c r="CC6" s="220"/>
      <c r="CE6" s="219"/>
      <c r="CF6" s="335">
        <f>'1.条件'!T25</f>
        <v>19</v>
      </c>
      <c r="CG6" s="227"/>
      <c r="CH6" t="s">
        <v>67</v>
      </c>
      <c r="CI6" s="226">
        <f>'1.条件'!T6</f>
        <v>6</v>
      </c>
      <c r="CJ6" s="226"/>
      <c r="CK6" s="77" t="s">
        <v>296</v>
      </c>
      <c r="CM6" s="219"/>
      <c r="CN6" s="216"/>
      <c r="CO6" s="216"/>
      <c r="CP6" s="216"/>
    </row>
    <row r="7" spans="1:105" x14ac:dyDescent="0.45">
      <c r="E7" t="s">
        <v>6</v>
      </c>
      <c r="K7" s="2" t="s">
        <v>42</v>
      </c>
      <c r="M7" t="s">
        <v>3</v>
      </c>
      <c r="N7" s="201">
        <f>'1.条件'!T7</f>
        <v>0.8</v>
      </c>
      <c r="O7" s="202"/>
      <c r="P7" s="203"/>
      <c r="Q7" s="1" t="s">
        <v>4</v>
      </c>
      <c r="X7" s="5"/>
      <c r="AH7" s="6"/>
      <c r="AN7" s="219"/>
      <c r="AO7" s="216">
        <f>F32</f>
        <v>4.9999999999999989E-2</v>
      </c>
      <c r="AP7" s="216"/>
      <c r="AQ7" s="2" t="s">
        <v>312</v>
      </c>
      <c r="AR7" s="1"/>
      <c r="AS7" s="216">
        <f>J32</f>
        <v>0.8</v>
      </c>
      <c r="AT7" s="216"/>
      <c r="AU7" s="2"/>
      <c r="AY7" s="219"/>
      <c r="BB7" s="218">
        <f>AR5</f>
        <v>2</v>
      </c>
      <c r="BC7" s="218"/>
    </row>
    <row r="8" spans="1:105" x14ac:dyDescent="0.45">
      <c r="E8" t="s">
        <v>195</v>
      </c>
      <c r="I8">
        <v>1</v>
      </c>
      <c r="J8" t="s">
        <v>9</v>
      </c>
      <c r="K8" s="2" t="s">
        <v>406</v>
      </c>
      <c r="N8" s="201">
        <f>'1.条件'!T9</f>
        <v>0.5</v>
      </c>
      <c r="O8" s="202"/>
      <c r="P8" s="203"/>
      <c r="X8" s="5"/>
      <c r="AH8" s="6"/>
      <c r="AN8" s="219" t="s">
        <v>3</v>
      </c>
      <c r="AO8" s="130">
        <f>BB7</f>
        <v>2</v>
      </c>
      <c r="AP8" s="130" t="s">
        <v>60</v>
      </c>
      <c r="AQ8" s="224">
        <f>AO6</f>
        <v>1.0000000000000009E-2</v>
      </c>
      <c r="AR8" s="224"/>
      <c r="AS8" s="86" t="s">
        <v>309</v>
      </c>
      <c r="AT8" s="20"/>
      <c r="AU8" s="224">
        <f>AS6</f>
        <v>0.24</v>
      </c>
      <c r="AV8" s="224"/>
      <c r="AW8" s="86" t="s">
        <v>312</v>
      </c>
      <c r="AX8" s="20"/>
      <c r="AY8" s="224">
        <f>AW6</f>
        <v>0.32000000000000006</v>
      </c>
      <c r="AZ8" s="224"/>
      <c r="BA8" s="130" t="s">
        <v>61</v>
      </c>
      <c r="BB8" s="219" t="s">
        <v>99</v>
      </c>
      <c r="BC8" s="130" t="s">
        <v>60</v>
      </c>
      <c r="BD8" s="224">
        <f>AZ6</f>
        <v>9.9999999999999978E-2</v>
      </c>
      <c r="BE8" s="224"/>
      <c r="BF8" s="86" t="s">
        <v>297</v>
      </c>
      <c r="BG8" s="20" t="s">
        <v>68</v>
      </c>
      <c r="BH8" s="224">
        <f>BD6</f>
        <v>0.8</v>
      </c>
      <c r="BI8" s="224"/>
      <c r="BJ8" s="130" t="s">
        <v>536</v>
      </c>
      <c r="BK8" s="224">
        <f>AO7</f>
        <v>4.9999999999999989E-2</v>
      </c>
      <c r="BL8" s="224"/>
      <c r="BM8" s="86" t="s">
        <v>312</v>
      </c>
      <c r="BN8" s="20"/>
      <c r="BO8" s="224">
        <f>AS7</f>
        <v>0.8</v>
      </c>
      <c r="BP8" s="224"/>
      <c r="BQ8" s="130" t="s">
        <v>61</v>
      </c>
      <c r="BV8" t="s">
        <v>414</v>
      </c>
    </row>
    <row r="9" spans="1:105" x14ac:dyDescent="0.45">
      <c r="E9" t="s">
        <v>376</v>
      </c>
      <c r="I9">
        <v>1</v>
      </c>
      <c r="J9" t="s">
        <v>9</v>
      </c>
      <c r="K9" s="2" t="s">
        <v>410</v>
      </c>
      <c r="N9" s="201">
        <f>'1.条件'!T10</f>
        <v>0.4</v>
      </c>
      <c r="O9" s="202"/>
      <c r="P9" s="203"/>
      <c r="X9" s="5"/>
      <c r="AH9" s="6"/>
      <c r="AN9" s="219"/>
      <c r="AO9" s="43">
        <f>BB7</f>
        <v>2</v>
      </c>
      <c r="AP9" s="43" t="s">
        <v>60</v>
      </c>
      <c r="AQ9" s="216">
        <f>AO7</f>
        <v>4.9999999999999989E-2</v>
      </c>
      <c r="AR9" s="216"/>
      <c r="AS9" s="2" t="s">
        <v>312</v>
      </c>
      <c r="AT9" s="1"/>
      <c r="AU9" s="216">
        <f>AS7</f>
        <v>0.8</v>
      </c>
      <c r="AV9" s="216"/>
      <c r="AW9" s="43" t="s">
        <v>61</v>
      </c>
      <c r="BB9" s="219"/>
      <c r="BC9" s="43">
        <f>BB7</f>
        <v>2</v>
      </c>
      <c r="BD9" s="43" t="s">
        <v>60</v>
      </c>
      <c r="BE9" s="216">
        <f>AO7</f>
        <v>4.9999999999999989E-2</v>
      </c>
      <c r="BF9" s="216"/>
      <c r="BG9" s="2" t="s">
        <v>312</v>
      </c>
      <c r="BH9" s="1"/>
      <c r="BI9" s="216">
        <f>AS7</f>
        <v>0.8</v>
      </c>
      <c r="BJ9" s="216"/>
      <c r="BK9" s="43" t="s">
        <v>61</v>
      </c>
      <c r="BV9" s="220" t="s">
        <v>413</v>
      </c>
      <c r="BW9" s="220"/>
      <c r="BX9" t="s">
        <v>3</v>
      </c>
      <c r="BY9" s="220" t="s">
        <v>294</v>
      </c>
      <c r="BZ9" s="220"/>
      <c r="CA9" t="s">
        <v>67</v>
      </c>
      <c r="CB9" s="222" t="s">
        <v>23</v>
      </c>
      <c r="CC9" s="222"/>
      <c r="CD9" t="s">
        <v>67</v>
      </c>
      <c r="CE9" s="220" t="s">
        <v>297</v>
      </c>
      <c r="CF9" s="220"/>
      <c r="CH9" t="s">
        <v>3</v>
      </c>
      <c r="CI9" s="216">
        <f>CN5</f>
        <v>0.1933205860581037</v>
      </c>
      <c r="CJ9" s="218"/>
      <c r="CK9" s="1" t="s">
        <v>62</v>
      </c>
      <c r="CL9" s="217">
        <f>'1.条件'!T25</f>
        <v>19</v>
      </c>
      <c r="CM9" s="217"/>
      <c r="CN9" s="1" t="s">
        <v>62</v>
      </c>
      <c r="CO9" s="220" t="s">
        <v>297</v>
      </c>
      <c r="CP9" s="220"/>
      <c r="CR9" t="s">
        <v>3</v>
      </c>
      <c r="CS9" s="216">
        <f>CI9*CL9</f>
        <v>3.6730911351039706</v>
      </c>
      <c r="CT9" s="216"/>
      <c r="CU9" s="216"/>
      <c r="CV9" s="220" t="s">
        <v>297</v>
      </c>
      <c r="CW9" s="220"/>
    </row>
    <row r="10" spans="1:105" x14ac:dyDescent="0.45">
      <c r="X10" s="5"/>
      <c r="AH10" s="6"/>
      <c r="AN10" s="219" t="s">
        <v>3</v>
      </c>
      <c r="AO10" s="224">
        <f>AO8*AQ8</f>
        <v>2.0000000000000018E-2</v>
      </c>
      <c r="AP10" s="224"/>
      <c r="AQ10" s="86" t="s">
        <v>309</v>
      </c>
      <c r="AR10" s="20"/>
      <c r="AS10" s="224">
        <f>AO8*AU8</f>
        <v>0.48</v>
      </c>
      <c r="AT10" s="224"/>
      <c r="AU10" s="86" t="s">
        <v>312</v>
      </c>
      <c r="AV10" s="20"/>
      <c r="AW10" s="224">
        <f>AO8*AY8</f>
        <v>0.64000000000000012</v>
      </c>
      <c r="AX10" s="224"/>
      <c r="AY10" s="219" t="s">
        <v>99</v>
      </c>
      <c r="AZ10" s="224">
        <f>BD8*BK8</f>
        <v>4.9999999999999975E-3</v>
      </c>
      <c r="BA10" s="224"/>
      <c r="BB10" s="86" t="s">
        <v>309</v>
      </c>
      <c r="BC10" s="20"/>
      <c r="BD10" s="224">
        <f>BD8*BO8</f>
        <v>7.9999999999999988E-2</v>
      </c>
      <c r="BE10" s="224"/>
      <c r="BF10" s="86" t="s">
        <v>312</v>
      </c>
      <c r="BG10" s="20"/>
      <c r="BH10" s="224">
        <f>BH8*BK8</f>
        <v>3.9999999999999994E-2</v>
      </c>
      <c r="BI10" s="224"/>
      <c r="BJ10" s="86" t="s">
        <v>312</v>
      </c>
      <c r="BK10" s="20"/>
      <c r="BL10" s="224">
        <f>BH8*BO8</f>
        <v>0.64000000000000012</v>
      </c>
      <c r="BM10" s="224"/>
      <c r="BO10" s="43"/>
    </row>
    <row r="11" spans="1:105" x14ac:dyDescent="0.45">
      <c r="X11" s="5"/>
      <c r="AH11" s="6"/>
      <c r="AN11" s="219"/>
      <c r="AP11" s="216">
        <f>AO9*AQ9</f>
        <v>9.9999999999999978E-2</v>
      </c>
      <c r="AQ11" s="216"/>
      <c r="AR11" s="2" t="s">
        <v>312</v>
      </c>
      <c r="AS11" s="1"/>
      <c r="AT11" s="216">
        <f>AO9*AU9</f>
        <v>1.6</v>
      </c>
      <c r="AU11" s="216"/>
      <c r="AY11" s="219"/>
      <c r="BD11" s="216">
        <f>BC9*BE9</f>
        <v>9.9999999999999978E-2</v>
      </c>
      <c r="BE11" s="216"/>
      <c r="BF11" s="2" t="s">
        <v>312</v>
      </c>
      <c r="BG11" s="1"/>
      <c r="BH11" s="216">
        <f>BC9*BI9</f>
        <v>1.6</v>
      </c>
      <c r="BI11" s="216"/>
      <c r="BV11" t="s">
        <v>415</v>
      </c>
      <c r="CK11" s="2"/>
      <c r="CL11" s="2"/>
      <c r="CN11" s="36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42"/>
    </row>
    <row r="12" spans="1:105" x14ac:dyDescent="0.45">
      <c r="X12" s="5"/>
      <c r="AH12" s="6"/>
      <c r="AN12" s="219" t="s">
        <v>3</v>
      </c>
      <c r="AO12" s="224">
        <f>AO10-AZ10</f>
        <v>1.500000000000002E-2</v>
      </c>
      <c r="AP12" s="224"/>
      <c r="AQ12" s="86" t="s">
        <v>309</v>
      </c>
      <c r="AR12" s="20"/>
      <c r="AS12" s="224">
        <f>AS10-BD10-BH10</f>
        <v>0.36000000000000004</v>
      </c>
      <c r="AT12" s="224"/>
      <c r="AU12" s="86" t="s">
        <v>297</v>
      </c>
      <c r="BV12" s="220" t="s">
        <v>379</v>
      </c>
      <c r="BW12" s="220"/>
      <c r="BX12" s="316" t="s">
        <v>3</v>
      </c>
      <c r="BY12" s="223" t="s">
        <v>413</v>
      </c>
      <c r="BZ12" s="223"/>
      <c r="CA12" s="11" t="s">
        <v>67</v>
      </c>
      <c r="CB12" s="223" t="s">
        <v>297</v>
      </c>
      <c r="CC12" s="223"/>
      <c r="CG12" s="1"/>
      <c r="CN12" s="5"/>
      <c r="DA12" s="6"/>
    </row>
    <row r="13" spans="1:105" x14ac:dyDescent="0.45">
      <c r="X13" s="5"/>
      <c r="AH13" s="6"/>
      <c r="AN13" s="219"/>
      <c r="AO13" s="216">
        <f>AP11</f>
        <v>9.9999999999999978E-2</v>
      </c>
      <c r="AP13" s="216"/>
      <c r="AQ13" s="2" t="s">
        <v>312</v>
      </c>
      <c r="AR13" s="1"/>
      <c r="AS13" s="216">
        <f>AT11</f>
        <v>1.6</v>
      </c>
      <c r="AT13" s="216"/>
      <c r="AU13" s="23"/>
      <c r="BV13" s="220"/>
      <c r="BW13" s="220"/>
      <c r="BX13" s="316"/>
      <c r="CA13" s="1">
        <v>2</v>
      </c>
      <c r="CN13" s="5"/>
      <c r="DA13" s="6"/>
    </row>
    <row r="14" spans="1:105" x14ac:dyDescent="0.45">
      <c r="X14" s="5"/>
      <c r="AH14" s="6"/>
      <c r="CN14" s="5"/>
      <c r="DA14" s="6"/>
    </row>
    <row r="15" spans="1:105" ht="19.2" x14ac:dyDescent="0.45">
      <c r="X15" s="5"/>
      <c r="AH15" s="6"/>
      <c r="AL15" t="s">
        <v>517</v>
      </c>
      <c r="BV15" s="15" t="s">
        <v>86</v>
      </c>
      <c r="CN15" s="5"/>
      <c r="DA15" s="6"/>
    </row>
    <row r="16" spans="1:105" x14ac:dyDescent="0.45">
      <c r="X16" s="7"/>
      <c r="Y16" s="11"/>
      <c r="Z16" s="11"/>
      <c r="AA16" s="11"/>
      <c r="AB16" s="11"/>
      <c r="AC16" s="11"/>
      <c r="AD16" s="11"/>
      <c r="AE16" s="11"/>
      <c r="AF16" s="11"/>
      <c r="AG16" s="11"/>
      <c r="AH16" s="8"/>
      <c r="BW16" s="251" t="s">
        <v>485</v>
      </c>
      <c r="BX16" s="251"/>
      <c r="BY16" s="16" t="s">
        <v>3</v>
      </c>
      <c r="BZ16" s="245" t="s">
        <v>379</v>
      </c>
      <c r="CA16" s="245"/>
      <c r="CB16" s="252" t="s">
        <v>95</v>
      </c>
      <c r="CC16" s="252"/>
      <c r="CD16" s="252"/>
      <c r="CE16" s="252"/>
      <c r="CN16" s="5"/>
      <c r="DA16" s="6"/>
    </row>
    <row r="17" spans="3:105" x14ac:dyDescent="0.45">
      <c r="C17" t="s">
        <v>518</v>
      </c>
      <c r="E17" s="35"/>
      <c r="F17" s="1"/>
      <c r="G17" s="2"/>
      <c r="H17" s="1"/>
      <c r="I17" s="35"/>
      <c r="J17" s="1"/>
      <c r="M17" s="101"/>
      <c r="N17" s="101"/>
      <c r="O17" s="101"/>
      <c r="AI17" s="1"/>
      <c r="AL17" t="s">
        <v>527</v>
      </c>
      <c r="BQ17" s="35"/>
      <c r="BY17" s="16" t="s">
        <v>3</v>
      </c>
      <c r="BZ17" s="245" t="s">
        <v>379</v>
      </c>
      <c r="CA17" s="245"/>
      <c r="CB17" s="252" t="s">
        <v>88</v>
      </c>
      <c r="CC17" s="252"/>
      <c r="CD17" s="252"/>
      <c r="CE17" s="254">
        <f>'2.土-常'!R21</f>
        <v>-21.8</v>
      </c>
      <c r="CF17" s="254"/>
      <c r="CG17" s="16" t="s">
        <v>89</v>
      </c>
      <c r="CH17" s="254">
        <f>'2.土-常'!P23</f>
        <v>20</v>
      </c>
      <c r="CI17" s="254"/>
      <c r="CJ17" s="15" t="s">
        <v>90</v>
      </c>
      <c r="CN17" s="5"/>
      <c r="DA17" s="6"/>
    </row>
    <row r="18" spans="3:105" x14ac:dyDescent="0.45">
      <c r="C18" s="36"/>
      <c r="D18" s="232" t="s">
        <v>47</v>
      </c>
      <c r="E18" s="233"/>
      <c r="F18" s="233"/>
      <c r="G18" s="233"/>
      <c r="H18" s="233"/>
      <c r="I18" s="234"/>
      <c r="J18" s="232" t="s">
        <v>48</v>
      </c>
      <c r="K18" s="234"/>
      <c r="L18" s="232" t="s">
        <v>49</v>
      </c>
      <c r="M18" s="233"/>
      <c r="N18" s="233"/>
      <c r="O18" s="233"/>
      <c r="P18" s="233"/>
      <c r="Q18" s="233"/>
      <c r="R18" s="234"/>
      <c r="S18" s="232" t="s">
        <v>385</v>
      </c>
      <c r="T18" s="233"/>
      <c r="U18" s="233"/>
      <c r="V18" s="233"/>
      <c r="W18" s="233"/>
      <c r="X18" s="234"/>
      <c r="Y18" s="232" t="s">
        <v>393</v>
      </c>
      <c r="Z18" s="233"/>
      <c r="AA18" s="233"/>
      <c r="AB18" s="233"/>
      <c r="AC18" s="233"/>
      <c r="AD18" s="233"/>
      <c r="AE18" s="233"/>
      <c r="AF18" s="233"/>
      <c r="AG18" s="233"/>
      <c r="AH18" s="233"/>
      <c r="AI18" s="234"/>
      <c r="AL18" s="232" t="s">
        <v>48</v>
      </c>
      <c r="AM18" s="233"/>
      <c r="AN18" s="234"/>
      <c r="AO18" s="232" t="s">
        <v>49</v>
      </c>
      <c r="AP18" s="233"/>
      <c r="AQ18" s="233"/>
      <c r="AR18" s="232"/>
      <c r="AS18" s="233"/>
      <c r="AT18" s="233"/>
      <c r="AU18" s="232" t="s">
        <v>314</v>
      </c>
      <c r="AV18" s="233"/>
      <c r="AW18" s="233"/>
      <c r="AX18" s="234"/>
      <c r="AY18" s="232" t="s">
        <v>313</v>
      </c>
      <c r="AZ18" s="233"/>
      <c r="BA18" s="234"/>
      <c r="BB18" s="271" t="s">
        <v>117</v>
      </c>
      <c r="BC18" s="184"/>
      <c r="BD18" s="184"/>
      <c r="BE18" s="185"/>
      <c r="BQ18" s="35"/>
      <c r="BY18" s="16" t="s">
        <v>3</v>
      </c>
      <c r="BZ18" s="253">
        <f>COS((CE17+CH17)*PI()/180)</f>
        <v>0.9995065603657316</v>
      </c>
      <c r="CA18" s="253"/>
      <c r="CB18" s="245" t="s">
        <v>379</v>
      </c>
      <c r="CC18" s="245"/>
      <c r="CD18" s="21" t="s">
        <v>91</v>
      </c>
      <c r="CN18" s="5"/>
      <c r="DA18" s="6"/>
    </row>
    <row r="19" spans="3:105" x14ac:dyDescent="0.35">
      <c r="C19" s="85"/>
      <c r="D19" s="235"/>
      <c r="E19" s="220"/>
      <c r="F19" s="220"/>
      <c r="G19" s="220"/>
      <c r="H19" s="220"/>
      <c r="I19" s="237"/>
      <c r="J19" s="235"/>
      <c r="K19" s="237"/>
      <c r="L19" s="235" t="s">
        <v>51</v>
      </c>
      <c r="M19" s="220"/>
      <c r="N19" s="220"/>
      <c r="O19" s="220"/>
      <c r="P19" s="220"/>
      <c r="Q19" s="220"/>
      <c r="R19" s="237"/>
      <c r="S19" s="235" t="s">
        <v>54</v>
      </c>
      <c r="T19" s="220"/>
      <c r="U19" s="220"/>
      <c r="V19" s="220"/>
      <c r="W19" s="220"/>
      <c r="X19" s="237"/>
      <c r="Y19" s="235" t="s">
        <v>57</v>
      </c>
      <c r="Z19" s="220"/>
      <c r="AA19" s="220"/>
      <c r="AB19" s="220"/>
      <c r="AC19" s="220"/>
      <c r="AD19" s="220"/>
      <c r="AE19" s="220"/>
      <c r="AF19" s="220"/>
      <c r="AG19" s="220"/>
      <c r="AH19" s="220"/>
      <c r="AI19" s="237"/>
      <c r="AL19" s="235" t="s">
        <v>297</v>
      </c>
      <c r="AM19" s="220"/>
      <c r="AN19" s="237"/>
      <c r="AO19" s="235" t="s">
        <v>51</v>
      </c>
      <c r="AP19" s="220"/>
      <c r="AQ19" s="220"/>
      <c r="AR19" s="311" t="s">
        <v>101</v>
      </c>
      <c r="AS19" s="222"/>
      <c r="AT19" s="222"/>
      <c r="AU19" s="235" t="s">
        <v>315</v>
      </c>
      <c r="AV19" s="220"/>
      <c r="AW19" s="220"/>
      <c r="AX19" s="237"/>
      <c r="AY19" s="235" t="s">
        <v>525</v>
      </c>
      <c r="AZ19" s="220"/>
      <c r="BA19" s="237"/>
      <c r="BB19" s="273" t="s">
        <v>528</v>
      </c>
      <c r="BC19" s="221"/>
      <c r="BD19" s="221"/>
      <c r="BE19" s="282"/>
      <c r="BF19" s="4"/>
      <c r="BG19" s="23"/>
      <c r="BH19" s="23"/>
      <c r="BI19" s="2"/>
      <c r="BJ19" s="1"/>
      <c r="BK19" s="23"/>
      <c r="BL19" s="23"/>
      <c r="BM19" s="2"/>
      <c r="BQ19" s="35"/>
      <c r="BV19" s="15" t="s">
        <v>92</v>
      </c>
      <c r="CN19" s="5"/>
      <c r="DA19" s="6"/>
    </row>
    <row r="20" spans="3:105" x14ac:dyDescent="0.45">
      <c r="C20" s="89"/>
      <c r="D20" s="338" t="s">
        <v>53</v>
      </c>
      <c r="E20" s="218"/>
      <c r="F20" s="218"/>
      <c r="G20" s="218"/>
      <c r="H20" s="218"/>
      <c r="I20" s="236"/>
      <c r="J20" s="230" t="s">
        <v>53</v>
      </c>
      <c r="K20" s="231"/>
      <c r="L20" s="230" t="s">
        <v>52</v>
      </c>
      <c r="M20" s="225"/>
      <c r="N20" s="225"/>
      <c r="O20" s="225"/>
      <c r="P20" s="225"/>
      <c r="Q20" s="225"/>
      <c r="R20" s="231"/>
      <c r="S20" s="338" t="s">
        <v>53</v>
      </c>
      <c r="T20" s="218"/>
      <c r="U20" s="218"/>
      <c r="V20" s="218"/>
      <c r="W20" s="218"/>
      <c r="X20" s="236"/>
      <c r="Y20" s="230" t="s">
        <v>58</v>
      </c>
      <c r="Z20" s="225"/>
      <c r="AA20" s="225"/>
      <c r="AB20" s="225"/>
      <c r="AC20" s="225"/>
      <c r="AD20" s="225"/>
      <c r="AE20" s="225"/>
      <c r="AF20" s="225"/>
      <c r="AG20" s="225"/>
      <c r="AH20" s="225"/>
      <c r="AI20" s="231"/>
      <c r="AL20" s="230" t="s">
        <v>303</v>
      </c>
      <c r="AM20" s="225"/>
      <c r="AN20" s="231"/>
      <c r="AO20" s="230" t="s">
        <v>52</v>
      </c>
      <c r="AP20" s="225"/>
      <c r="AQ20" s="225"/>
      <c r="AR20" s="230" t="s">
        <v>516</v>
      </c>
      <c r="AS20" s="225"/>
      <c r="AT20" s="225"/>
      <c r="AU20" s="230" t="s">
        <v>121</v>
      </c>
      <c r="AV20" s="225"/>
      <c r="AW20" s="225"/>
      <c r="AX20" s="231"/>
      <c r="AY20" s="230" t="s">
        <v>303</v>
      </c>
      <c r="AZ20" s="225"/>
      <c r="BA20" s="231"/>
      <c r="BB20" s="330" t="s">
        <v>394</v>
      </c>
      <c r="BC20" s="279"/>
      <c r="BD20" s="279"/>
      <c r="BE20" s="331"/>
      <c r="BW20" s="251" t="s">
        <v>486</v>
      </c>
      <c r="BX20" s="251"/>
      <c r="BY20" s="16" t="s">
        <v>3</v>
      </c>
      <c r="BZ20" s="245" t="s">
        <v>379</v>
      </c>
      <c r="CA20" s="245"/>
      <c r="CB20" s="252" t="s">
        <v>96</v>
      </c>
      <c r="CC20" s="252"/>
      <c r="CD20" s="252"/>
      <c r="CE20" s="252"/>
      <c r="CN20" s="5"/>
      <c r="DA20" s="6"/>
    </row>
    <row r="21" spans="3:105" x14ac:dyDescent="0.45">
      <c r="C21" s="90" t="s">
        <v>44</v>
      </c>
      <c r="D21" s="156">
        <f>N8</f>
        <v>0.5</v>
      </c>
      <c r="E21" s="157"/>
      <c r="F21" s="84" t="s">
        <v>297</v>
      </c>
      <c r="G21" s="87" t="s">
        <v>68</v>
      </c>
      <c r="H21" s="157">
        <f>N7</f>
        <v>0.8</v>
      </c>
      <c r="I21" s="158"/>
      <c r="J21" s="332" t="s">
        <v>297</v>
      </c>
      <c r="K21" s="333"/>
      <c r="L21" s="156">
        <f>D21</f>
        <v>0.5</v>
      </c>
      <c r="M21" s="157"/>
      <c r="N21" s="84" t="s">
        <v>309</v>
      </c>
      <c r="O21" s="87"/>
      <c r="P21" s="157">
        <f>H21</f>
        <v>0.8</v>
      </c>
      <c r="Q21" s="157"/>
      <c r="R21" s="88" t="s">
        <v>297</v>
      </c>
      <c r="S21" s="156">
        <f>D21/2</f>
        <v>0.25</v>
      </c>
      <c r="T21" s="157"/>
      <c r="U21" s="84" t="s">
        <v>297</v>
      </c>
      <c r="V21" s="87" t="s">
        <v>68</v>
      </c>
      <c r="W21" s="157">
        <f>H21/2</f>
        <v>0.4</v>
      </c>
      <c r="X21" s="158"/>
      <c r="Y21" s="156">
        <f>L21*S21</f>
        <v>0.125</v>
      </c>
      <c r="Z21" s="157"/>
      <c r="AA21" s="84" t="s">
        <v>310</v>
      </c>
      <c r="AB21" s="87"/>
      <c r="AC21" s="157">
        <f>L21*W21+P21*S21</f>
        <v>0.4</v>
      </c>
      <c r="AD21" s="157"/>
      <c r="AE21" s="84" t="s">
        <v>309</v>
      </c>
      <c r="AF21" s="87"/>
      <c r="AG21" s="157">
        <f>P21*W21</f>
        <v>0.32000000000000006</v>
      </c>
      <c r="AH21" s="157"/>
      <c r="AI21" s="88" t="s">
        <v>297</v>
      </c>
      <c r="AL21" s="314">
        <v>1</v>
      </c>
      <c r="AM21" s="218"/>
      <c r="AN21" s="236"/>
      <c r="AO21" s="314">
        <f t="shared" ref="AO21:AO26" si="0">L$24*AL21^2+P$24*AL21</f>
        <v>0.85000000000000009</v>
      </c>
      <c r="AP21" s="218"/>
      <c r="AQ21" s="236"/>
      <c r="AR21" s="334">
        <f>'1.条件'!T15</f>
        <v>23</v>
      </c>
      <c r="AS21" s="335"/>
      <c r="AT21" s="335"/>
      <c r="AU21" s="314">
        <f t="shared" ref="AU21:AU26" si="1">AO21*AR$21</f>
        <v>19.55</v>
      </c>
      <c r="AV21" s="216"/>
      <c r="AW21" s="216"/>
      <c r="AX21" s="315"/>
      <c r="AY21" s="314">
        <f t="shared" ref="AY21:AY26" si="2">(AO$12*AL21^2+AS$12*AL21)/(AO$13*AL21+AS$13)</f>
        <v>0.22058823529411767</v>
      </c>
      <c r="AZ21" s="218"/>
      <c r="BA21" s="236"/>
      <c r="BB21" s="314">
        <f t="shared" ref="BB21:BB26" si="3">AU21*AY21</f>
        <v>4.3125000000000009</v>
      </c>
      <c r="BC21" s="216"/>
      <c r="BD21" s="216"/>
      <c r="BE21" s="315"/>
      <c r="BG21" s="23"/>
      <c r="BH21" s="23"/>
      <c r="BI21" s="2"/>
      <c r="BJ21" s="1"/>
      <c r="BK21" s="23"/>
      <c r="BL21" s="23"/>
      <c r="BM21" s="2"/>
      <c r="BQ21" s="35"/>
      <c r="BY21" s="16" t="s">
        <v>3</v>
      </c>
      <c r="BZ21" s="245" t="s">
        <v>379</v>
      </c>
      <c r="CA21" s="245"/>
      <c r="CB21" s="252" t="s">
        <v>94</v>
      </c>
      <c r="CC21" s="252"/>
      <c r="CD21" s="252"/>
      <c r="CE21" s="254">
        <f>CE17</f>
        <v>-21.8</v>
      </c>
      <c r="CF21" s="254"/>
      <c r="CG21" s="16" t="s">
        <v>89</v>
      </c>
      <c r="CH21" s="254">
        <f>CH17</f>
        <v>20</v>
      </c>
      <c r="CI21" s="254"/>
      <c r="CJ21" s="15" t="s">
        <v>90</v>
      </c>
      <c r="CN21" s="5"/>
      <c r="DA21" s="6"/>
    </row>
    <row r="22" spans="3:105" x14ac:dyDescent="0.45">
      <c r="C22" s="90" t="s">
        <v>45</v>
      </c>
      <c r="D22" s="314">
        <f>N8</f>
        <v>0.5</v>
      </c>
      <c r="E22" s="216"/>
      <c r="F22" s="2" t="s">
        <v>297</v>
      </c>
      <c r="G22" s="1"/>
      <c r="H22" s="1"/>
      <c r="I22" s="40"/>
      <c r="J22" s="332" t="s">
        <v>297</v>
      </c>
      <c r="K22" s="333"/>
      <c r="L22" s="156">
        <f>-D22/2</f>
        <v>-0.25</v>
      </c>
      <c r="M22" s="157"/>
      <c r="N22" s="84" t="s">
        <v>308</v>
      </c>
      <c r="O22" s="87"/>
      <c r="P22" s="87"/>
      <c r="Q22" s="87"/>
      <c r="R22" s="71"/>
      <c r="S22" s="314">
        <f>D22/3</f>
        <v>0.16666666666666666</v>
      </c>
      <c r="T22" s="216"/>
      <c r="U22" s="2" t="s">
        <v>297</v>
      </c>
      <c r="X22" s="6"/>
      <c r="Y22" s="156">
        <f>L22*S22</f>
        <v>-4.1666666666666664E-2</v>
      </c>
      <c r="Z22" s="157"/>
      <c r="AA22" s="84" t="s">
        <v>311</v>
      </c>
      <c r="AB22" s="87"/>
      <c r="AC22" s="157"/>
      <c r="AD22" s="157"/>
      <c r="AE22" s="84"/>
      <c r="AF22" s="87"/>
      <c r="AG22" s="157"/>
      <c r="AH22" s="157"/>
      <c r="AI22" s="88"/>
      <c r="AL22" s="314">
        <v>2</v>
      </c>
      <c r="AM22" s="218"/>
      <c r="AN22" s="236"/>
      <c r="AO22" s="314">
        <f t="shared" si="0"/>
        <v>1.8</v>
      </c>
      <c r="AP22" s="218"/>
      <c r="AQ22" s="236"/>
      <c r="AR22" s="336"/>
      <c r="AS22" s="217"/>
      <c r="AT22" s="217"/>
      <c r="AU22" s="314">
        <f t="shared" si="1"/>
        <v>41.4</v>
      </c>
      <c r="AV22" s="216"/>
      <c r="AW22" s="216"/>
      <c r="AX22" s="315"/>
      <c r="AY22" s="314">
        <f t="shared" si="2"/>
        <v>0.4333333333333334</v>
      </c>
      <c r="AZ22" s="218"/>
      <c r="BA22" s="236"/>
      <c r="BB22" s="314">
        <f t="shared" si="3"/>
        <v>17.940000000000001</v>
      </c>
      <c r="BC22" s="216"/>
      <c r="BD22" s="216"/>
      <c r="BE22" s="315"/>
      <c r="BF22" s="14"/>
      <c r="BG22" s="23"/>
      <c r="BH22" s="23"/>
      <c r="BI22" s="2"/>
      <c r="BJ22" s="1"/>
      <c r="BK22" s="23"/>
      <c r="BL22" s="23"/>
      <c r="BM22" s="2"/>
      <c r="BQ22" s="35"/>
      <c r="BY22" s="16" t="s">
        <v>3</v>
      </c>
      <c r="BZ22" s="253">
        <f>SIN((CE21+CH21)*PI()/180)</f>
        <v>-3.1410759078128306E-2</v>
      </c>
      <c r="CA22" s="253"/>
      <c r="CB22" s="245" t="s">
        <v>379</v>
      </c>
      <c r="CC22" s="245"/>
      <c r="CD22" s="21" t="s">
        <v>91</v>
      </c>
      <c r="CE22" s="3"/>
      <c r="CN22" s="5"/>
      <c r="DA22" s="6"/>
    </row>
    <row r="23" spans="3:105" x14ac:dyDescent="0.45">
      <c r="C23" s="90" t="s">
        <v>55</v>
      </c>
      <c r="D23" s="156">
        <f>N9</f>
        <v>0.4</v>
      </c>
      <c r="E23" s="157"/>
      <c r="F23" s="84" t="s">
        <v>297</v>
      </c>
      <c r="G23" s="87"/>
      <c r="H23" s="87"/>
      <c r="I23" s="71"/>
      <c r="J23" s="332" t="s">
        <v>297</v>
      </c>
      <c r="K23" s="333"/>
      <c r="L23" s="312">
        <f>-D23/2</f>
        <v>-0.2</v>
      </c>
      <c r="M23" s="224"/>
      <c r="N23" s="86" t="s">
        <v>308</v>
      </c>
      <c r="O23" s="1"/>
      <c r="P23" s="1"/>
      <c r="Q23" s="1"/>
      <c r="R23" s="40"/>
      <c r="S23" s="156">
        <f>N8-N9+N9*2/3</f>
        <v>0.36666666666666664</v>
      </c>
      <c r="T23" s="157"/>
      <c r="U23" s="84" t="s">
        <v>297</v>
      </c>
      <c r="V23" s="87" t="s">
        <v>68</v>
      </c>
      <c r="W23" s="157">
        <f>H21</f>
        <v>0.8</v>
      </c>
      <c r="X23" s="158"/>
      <c r="Y23" s="156">
        <f>L23*S23</f>
        <v>-7.3333333333333334E-2</v>
      </c>
      <c r="Z23" s="157"/>
      <c r="AA23" s="84" t="s">
        <v>310</v>
      </c>
      <c r="AB23" s="87"/>
      <c r="AC23" s="157">
        <f>L23*W23</f>
        <v>-0.16000000000000003</v>
      </c>
      <c r="AD23" s="157"/>
      <c r="AE23" s="84" t="s">
        <v>308</v>
      </c>
      <c r="AF23" s="87"/>
      <c r="AG23" s="157"/>
      <c r="AH23" s="157"/>
      <c r="AI23" s="88"/>
      <c r="AL23" s="314">
        <v>3</v>
      </c>
      <c r="AM23" s="218"/>
      <c r="AN23" s="236"/>
      <c r="AO23" s="314">
        <f t="shared" si="0"/>
        <v>2.85</v>
      </c>
      <c r="AP23" s="218"/>
      <c r="AQ23" s="236"/>
      <c r="AR23" s="336"/>
      <c r="AS23" s="217"/>
      <c r="AT23" s="217"/>
      <c r="AU23" s="314">
        <f t="shared" si="1"/>
        <v>65.55</v>
      </c>
      <c r="AV23" s="216"/>
      <c r="AW23" s="216"/>
      <c r="AX23" s="315"/>
      <c r="AY23" s="314">
        <f t="shared" si="2"/>
        <v>0.63947368421052653</v>
      </c>
      <c r="AZ23" s="218"/>
      <c r="BA23" s="236"/>
      <c r="BB23" s="314">
        <f t="shared" si="3"/>
        <v>41.917500000000011</v>
      </c>
      <c r="BC23" s="216"/>
      <c r="BD23" s="216"/>
      <c r="BE23" s="315"/>
      <c r="BF23" s="14"/>
      <c r="BG23" s="23"/>
      <c r="BH23" s="23"/>
      <c r="BI23" s="2"/>
      <c r="BJ23" s="1"/>
      <c r="BK23" s="23"/>
      <c r="BL23" s="23"/>
      <c r="BM23" s="2"/>
      <c r="BQ23" s="35"/>
      <c r="BV23" t="s">
        <v>298</v>
      </c>
      <c r="CN23" s="5"/>
      <c r="DA23" s="6"/>
    </row>
    <row r="24" spans="3:105" x14ac:dyDescent="0.45">
      <c r="C24" s="91" t="s">
        <v>46</v>
      </c>
      <c r="D24" s="230"/>
      <c r="E24" s="225"/>
      <c r="F24" s="225"/>
      <c r="G24" s="20"/>
      <c r="H24" s="20"/>
      <c r="I24" s="41"/>
      <c r="J24" s="345"/>
      <c r="K24" s="346"/>
      <c r="L24" s="156">
        <f>SUM(L21:M23)</f>
        <v>4.9999999999999989E-2</v>
      </c>
      <c r="M24" s="157"/>
      <c r="N24" s="84" t="s">
        <v>309</v>
      </c>
      <c r="O24" s="87"/>
      <c r="P24" s="157">
        <f>SUM(P21:Q23)</f>
        <v>0.8</v>
      </c>
      <c r="Q24" s="157"/>
      <c r="R24" s="88" t="s">
        <v>297</v>
      </c>
      <c r="S24" s="344"/>
      <c r="T24" s="344"/>
      <c r="U24" s="230"/>
      <c r="V24" s="11"/>
      <c r="W24" s="11"/>
      <c r="X24" s="8"/>
      <c r="Y24" s="156">
        <f>SUM(Y21:Z23)</f>
        <v>1.0000000000000009E-2</v>
      </c>
      <c r="Z24" s="157"/>
      <c r="AA24" s="84" t="s">
        <v>310</v>
      </c>
      <c r="AB24" s="87"/>
      <c r="AC24" s="157">
        <f>SUM(AC21:AD23)</f>
        <v>0.24</v>
      </c>
      <c r="AD24" s="157"/>
      <c r="AE24" s="84" t="s">
        <v>309</v>
      </c>
      <c r="AF24" s="87"/>
      <c r="AG24" s="157">
        <f>SUM(AG21:AH23)</f>
        <v>0.32000000000000006</v>
      </c>
      <c r="AH24" s="157"/>
      <c r="AI24" s="88" t="s">
        <v>297</v>
      </c>
      <c r="AL24" s="314">
        <v>4</v>
      </c>
      <c r="AM24" s="218"/>
      <c r="AN24" s="236"/>
      <c r="AO24" s="314">
        <f t="shared" si="0"/>
        <v>4</v>
      </c>
      <c r="AP24" s="218"/>
      <c r="AQ24" s="236"/>
      <c r="AR24" s="336"/>
      <c r="AS24" s="217"/>
      <c r="AT24" s="217"/>
      <c r="AU24" s="314">
        <f t="shared" si="1"/>
        <v>92</v>
      </c>
      <c r="AV24" s="216"/>
      <c r="AW24" s="216"/>
      <c r="AX24" s="315"/>
      <c r="AY24" s="314">
        <f t="shared" si="2"/>
        <v>0.8400000000000003</v>
      </c>
      <c r="AZ24" s="218"/>
      <c r="BA24" s="236"/>
      <c r="BB24" s="314">
        <f t="shared" si="3"/>
        <v>77.28000000000003</v>
      </c>
      <c r="BC24" s="216"/>
      <c r="BD24" s="216"/>
      <c r="BE24" s="315"/>
      <c r="BF24" s="14"/>
      <c r="BG24" s="23"/>
      <c r="BH24" s="23"/>
      <c r="BI24" s="2"/>
      <c r="BJ24" s="1"/>
      <c r="BK24" s="23"/>
      <c r="BL24" s="23"/>
      <c r="BM24" s="2"/>
      <c r="BW24" s="251" t="s">
        <v>416</v>
      </c>
      <c r="BX24" s="251"/>
      <c r="BY24" s="16" t="s">
        <v>3</v>
      </c>
      <c r="BZ24" s="22" t="s">
        <v>297</v>
      </c>
      <c r="CA24" s="15" t="s">
        <v>110</v>
      </c>
      <c r="CB24" s="21">
        <v>3</v>
      </c>
      <c r="CN24" s="7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8"/>
    </row>
    <row r="25" spans="3:105" x14ac:dyDescent="0.45">
      <c r="AJ25" s="2"/>
      <c r="AK25" s="2"/>
      <c r="AL25" s="314">
        <v>5</v>
      </c>
      <c r="AM25" s="218"/>
      <c r="AN25" s="236"/>
      <c r="AO25" s="314">
        <f t="shared" si="0"/>
        <v>5.25</v>
      </c>
      <c r="AP25" s="218"/>
      <c r="AQ25" s="236"/>
      <c r="AR25" s="336"/>
      <c r="AS25" s="217"/>
      <c r="AT25" s="217"/>
      <c r="AU25" s="314">
        <f t="shared" si="1"/>
        <v>120.75</v>
      </c>
      <c r="AV25" s="216"/>
      <c r="AW25" s="216"/>
      <c r="AX25" s="315"/>
      <c r="AY25" s="314">
        <f t="shared" si="2"/>
        <v>1.035714285714286</v>
      </c>
      <c r="AZ25" s="218"/>
      <c r="BA25" s="236"/>
      <c r="BB25" s="314">
        <f t="shared" si="3"/>
        <v>125.06250000000004</v>
      </c>
      <c r="BC25" s="216"/>
      <c r="BD25" s="216"/>
      <c r="BE25" s="315"/>
      <c r="BF25" s="14"/>
      <c r="BG25" s="23"/>
      <c r="BH25" s="129"/>
      <c r="BI25" s="38"/>
      <c r="BJ25" s="131"/>
      <c r="BK25" s="128"/>
      <c r="BL25" s="128"/>
      <c r="BM25" s="38"/>
      <c r="BN25" s="37"/>
      <c r="BO25" s="37"/>
      <c r="BP25" s="37"/>
      <c r="BQ25" s="37"/>
      <c r="BR25" s="132"/>
      <c r="BS25" s="2"/>
      <c r="BT25" s="2"/>
      <c r="BW25" s="251" t="s">
        <v>417</v>
      </c>
      <c r="BX25" s="251"/>
      <c r="BY25" s="16" t="s">
        <v>3</v>
      </c>
      <c r="BZ25" s="220" t="s">
        <v>307</v>
      </c>
      <c r="CA25" s="220"/>
      <c r="CB25" s="15" t="s">
        <v>110</v>
      </c>
      <c r="CC25" s="119">
        <v>2</v>
      </c>
      <c r="CD25" t="s">
        <v>68</v>
      </c>
      <c r="CE25" s="115" t="s">
        <v>410</v>
      </c>
      <c r="CF25" s="79" t="s">
        <v>67</v>
      </c>
      <c r="CG25" s="251" t="s">
        <v>416</v>
      </c>
      <c r="CH25" s="251"/>
    </row>
    <row r="26" spans="3:105" x14ac:dyDescent="0.45">
      <c r="C26" t="s">
        <v>216</v>
      </c>
      <c r="AL26" s="312">
        <v>6</v>
      </c>
      <c r="AM26" s="225"/>
      <c r="AN26" s="231"/>
      <c r="AO26" s="312">
        <f t="shared" si="0"/>
        <v>6.6000000000000005</v>
      </c>
      <c r="AP26" s="225"/>
      <c r="AQ26" s="231"/>
      <c r="AR26" s="337"/>
      <c r="AS26" s="317"/>
      <c r="AT26" s="317"/>
      <c r="AU26" s="312">
        <f t="shared" si="1"/>
        <v>151.80000000000001</v>
      </c>
      <c r="AV26" s="224"/>
      <c r="AW26" s="224"/>
      <c r="AX26" s="313"/>
      <c r="AY26" s="312">
        <f t="shared" si="2"/>
        <v>1.2272727272727277</v>
      </c>
      <c r="AZ26" s="225"/>
      <c r="BA26" s="231"/>
      <c r="BB26" s="312">
        <f t="shared" si="3"/>
        <v>186.3000000000001</v>
      </c>
      <c r="BC26" s="224"/>
      <c r="BD26" s="224"/>
      <c r="BE26" s="313"/>
      <c r="BH26" s="5"/>
      <c r="BR26" s="6"/>
      <c r="BV26" s="80"/>
      <c r="BY26" s="16" t="s">
        <v>3</v>
      </c>
      <c r="BZ26" t="s">
        <v>60</v>
      </c>
      <c r="CA26" s="216">
        <f>F36</f>
        <v>9.9999999999999978E-2</v>
      </c>
      <c r="CB26" s="218"/>
      <c r="CC26" s="2" t="s">
        <v>297</v>
      </c>
      <c r="CD26" s="1" t="s">
        <v>68</v>
      </c>
      <c r="CE26" s="216">
        <f>J36</f>
        <v>0.8</v>
      </c>
      <c r="CF26" s="218"/>
      <c r="CG26" t="s">
        <v>61</v>
      </c>
      <c r="CH26" s="15" t="s">
        <v>110</v>
      </c>
      <c r="CI26" s="119">
        <v>2</v>
      </c>
      <c r="CJ26" s="35"/>
      <c r="CK26" t="s">
        <v>68</v>
      </c>
      <c r="CL26" s="253">
        <f>'1.条件'!T10</f>
        <v>0.4</v>
      </c>
      <c r="CM26" s="253"/>
      <c r="CN26" s="79" t="s">
        <v>67</v>
      </c>
      <c r="CO26" s="251" t="s">
        <v>416</v>
      </c>
      <c r="CP26" s="251"/>
    </row>
    <row r="27" spans="3:105" x14ac:dyDescent="0.45">
      <c r="C27" s="220" t="s">
        <v>59</v>
      </c>
      <c r="D27" s="220"/>
      <c r="E27" s="219" t="s">
        <v>3</v>
      </c>
      <c r="F27" s="19" t="s">
        <v>46</v>
      </c>
      <c r="G27" s="223" t="s">
        <v>57</v>
      </c>
      <c r="H27" s="223"/>
      <c r="AM27" s="10"/>
      <c r="AN27" s="4"/>
      <c r="AO27" s="18"/>
      <c r="AP27" s="2"/>
      <c r="AS27" s="4"/>
      <c r="AT27" s="23"/>
      <c r="AU27" s="23"/>
      <c r="AV27" s="2"/>
      <c r="AW27" s="1"/>
      <c r="AX27" s="23"/>
      <c r="AY27" s="23"/>
      <c r="BH27" s="5"/>
      <c r="BR27" s="6"/>
      <c r="BV27" s="75"/>
      <c r="BW27" s="75"/>
      <c r="BX27" s="16"/>
      <c r="BY27" s="16" t="s">
        <v>3</v>
      </c>
      <c r="BZ27" s="253">
        <f>CA26/CI26</f>
        <v>4.9999999999999989E-2</v>
      </c>
      <c r="CA27" s="253"/>
      <c r="CB27" s="33" t="s">
        <v>297</v>
      </c>
      <c r="CC27" t="s">
        <v>68</v>
      </c>
      <c r="CD27" s="253">
        <f>CE26/CI26</f>
        <v>0.4</v>
      </c>
      <c r="CE27" s="253"/>
      <c r="CF27" t="s">
        <v>68</v>
      </c>
      <c r="CG27" s="253">
        <f>CL26</f>
        <v>0.4</v>
      </c>
      <c r="CH27" s="253"/>
      <c r="CI27" s="343" t="s">
        <v>416</v>
      </c>
      <c r="CJ27" s="343"/>
    </row>
    <row r="28" spans="3:105" x14ac:dyDescent="0.45">
      <c r="C28" s="220"/>
      <c r="D28" s="220"/>
      <c r="E28" s="219"/>
      <c r="F28" s="18" t="s">
        <v>46</v>
      </c>
      <c r="G28" s="2" t="s">
        <v>51</v>
      </c>
      <c r="AM28" s="10"/>
      <c r="AN28" s="4"/>
      <c r="AO28" s="18"/>
      <c r="AP28" s="2"/>
      <c r="AS28" s="4"/>
      <c r="AT28" s="23"/>
      <c r="AU28" s="23"/>
      <c r="AV28" s="2"/>
      <c r="AW28" s="1"/>
      <c r="AX28" s="23"/>
      <c r="AY28" s="23"/>
      <c r="BH28" s="5"/>
      <c r="BR28" s="6"/>
      <c r="BW28" s="75"/>
      <c r="CN28" s="78"/>
      <c r="CO28" s="78"/>
    </row>
    <row r="29" spans="3:105" x14ac:dyDescent="0.45">
      <c r="E29" s="219" t="s">
        <v>3</v>
      </c>
      <c r="F29" s="224">
        <f>Y24</f>
        <v>1.0000000000000009E-2</v>
      </c>
      <c r="G29" s="224"/>
      <c r="H29" s="86" t="s">
        <v>310</v>
      </c>
      <c r="I29" s="20"/>
      <c r="J29" s="224">
        <f>AC24</f>
        <v>0.24</v>
      </c>
      <c r="K29" s="224"/>
      <c r="L29" s="86" t="s">
        <v>309</v>
      </c>
      <c r="M29" s="20"/>
      <c r="N29" s="224">
        <f>AG24</f>
        <v>0.32000000000000006</v>
      </c>
      <c r="O29" s="224"/>
      <c r="P29" s="86" t="s">
        <v>297</v>
      </c>
      <c r="AM29" s="10"/>
      <c r="AN29" s="4"/>
      <c r="AO29" s="18"/>
      <c r="AP29" s="2"/>
      <c r="AS29" s="4"/>
      <c r="AT29" s="23"/>
      <c r="AU29" s="23"/>
      <c r="AV29" s="2"/>
      <c r="AW29" s="1"/>
      <c r="AX29" s="23"/>
      <c r="AY29" s="23"/>
      <c r="BH29" s="5"/>
      <c r="BR29" s="6"/>
      <c r="BV29" t="s">
        <v>519</v>
      </c>
    </row>
    <row r="30" spans="3:105" x14ac:dyDescent="0.45">
      <c r="E30" s="219"/>
      <c r="F30" s="216">
        <f>L24</f>
        <v>4.9999999999999989E-2</v>
      </c>
      <c r="G30" s="216"/>
      <c r="H30" s="2" t="s">
        <v>309</v>
      </c>
      <c r="I30" s="1"/>
      <c r="J30" s="216">
        <f>P24</f>
        <v>0.8</v>
      </c>
      <c r="K30" s="216"/>
      <c r="L30" s="2" t="s">
        <v>297</v>
      </c>
      <c r="BH30" s="5"/>
      <c r="BR30" s="6"/>
      <c r="BV30" s="232" t="s">
        <v>48</v>
      </c>
      <c r="BW30" s="233"/>
      <c r="BX30" s="234"/>
      <c r="BY30" s="232" t="s">
        <v>299</v>
      </c>
      <c r="BZ30" s="233"/>
      <c r="CA30" s="234"/>
      <c r="CB30" s="232" t="s">
        <v>300</v>
      </c>
      <c r="CC30" s="233"/>
      <c r="CD30" s="234"/>
      <c r="CE30" s="340" t="s">
        <v>301</v>
      </c>
      <c r="CF30" s="341"/>
      <c r="CG30" s="341"/>
      <c r="CH30" s="340" t="s">
        <v>302</v>
      </c>
      <c r="CI30" s="341"/>
      <c r="CJ30" s="342"/>
      <c r="CK30" s="232" t="s">
        <v>298</v>
      </c>
      <c r="CL30" s="233"/>
      <c r="CM30" s="233"/>
      <c r="CN30" s="233"/>
      <c r="CO30" s="233"/>
      <c r="CP30" s="234"/>
      <c r="CQ30" s="178" t="s">
        <v>117</v>
      </c>
      <c r="CR30" s="179"/>
      <c r="CS30" s="179"/>
      <c r="CT30" s="179"/>
      <c r="CU30" s="179"/>
      <c r="CV30" s="179"/>
      <c r="CW30" s="179"/>
      <c r="CX30" s="180"/>
    </row>
    <row r="31" spans="3:105" x14ac:dyDescent="0.35">
      <c r="E31" s="219" t="s">
        <v>3</v>
      </c>
      <c r="F31" s="224">
        <f>F29</f>
        <v>1.0000000000000009E-2</v>
      </c>
      <c r="G31" s="224"/>
      <c r="H31" s="86" t="s">
        <v>309</v>
      </c>
      <c r="I31" s="20"/>
      <c r="J31" s="224">
        <f>J29</f>
        <v>0.24</v>
      </c>
      <c r="K31" s="224"/>
      <c r="L31" s="86" t="s">
        <v>312</v>
      </c>
      <c r="M31" s="20"/>
      <c r="N31" s="224">
        <f>N29</f>
        <v>0.32000000000000006</v>
      </c>
      <c r="O31" s="224"/>
      <c r="BH31" s="5"/>
      <c r="BR31" s="6"/>
      <c r="BV31" s="235" t="s">
        <v>297</v>
      </c>
      <c r="BW31" s="220"/>
      <c r="BX31" s="237"/>
      <c r="BY31" s="235" t="s">
        <v>413</v>
      </c>
      <c r="BZ31" s="220"/>
      <c r="CA31" s="237"/>
      <c r="CB31" s="235" t="s">
        <v>379</v>
      </c>
      <c r="CC31" s="220"/>
      <c r="CD31" s="237"/>
      <c r="CE31" s="318" t="s">
        <v>486</v>
      </c>
      <c r="CF31" s="251"/>
      <c r="CG31" s="319"/>
      <c r="CH31" s="318" t="s">
        <v>485</v>
      </c>
      <c r="CI31" s="251"/>
      <c r="CJ31" s="319"/>
      <c r="CK31" s="320" t="s">
        <v>417</v>
      </c>
      <c r="CL31" s="321"/>
      <c r="CM31" s="322"/>
      <c r="CN31" s="320" t="s">
        <v>416</v>
      </c>
      <c r="CO31" s="321"/>
      <c r="CP31" s="322"/>
      <c r="CQ31" s="274" t="s">
        <v>487</v>
      </c>
      <c r="CR31" s="221"/>
      <c r="CS31" s="221"/>
      <c r="CT31" s="221"/>
      <c r="CU31" s="274" t="s">
        <v>488</v>
      </c>
      <c r="CV31" s="221"/>
      <c r="CW31" s="221"/>
      <c r="CX31" s="282"/>
    </row>
    <row r="32" spans="3:105" x14ac:dyDescent="0.45">
      <c r="E32" s="219"/>
      <c r="F32" s="216">
        <f>F30</f>
        <v>4.9999999999999989E-2</v>
      </c>
      <c r="G32" s="216"/>
      <c r="H32" s="2" t="s">
        <v>312</v>
      </c>
      <c r="I32" s="1"/>
      <c r="J32" s="216">
        <f>J30</f>
        <v>0.8</v>
      </c>
      <c r="K32" s="216"/>
      <c r="L32" s="2"/>
      <c r="BH32" s="5"/>
      <c r="BR32" s="6"/>
      <c r="BV32" s="230" t="s">
        <v>303</v>
      </c>
      <c r="BW32" s="225"/>
      <c r="BX32" s="231"/>
      <c r="BY32" s="230" t="s">
        <v>304</v>
      </c>
      <c r="BZ32" s="225"/>
      <c r="CA32" s="231"/>
      <c r="CB32" s="230" t="s">
        <v>121</v>
      </c>
      <c r="CC32" s="225"/>
      <c r="CD32" s="231"/>
      <c r="CE32" s="230" t="s">
        <v>121</v>
      </c>
      <c r="CF32" s="225"/>
      <c r="CG32" s="231"/>
      <c r="CH32" s="230" t="s">
        <v>121</v>
      </c>
      <c r="CI32" s="225"/>
      <c r="CJ32" s="231"/>
      <c r="CK32" s="230" t="s">
        <v>303</v>
      </c>
      <c r="CL32" s="225"/>
      <c r="CM32" s="231"/>
      <c r="CN32" s="230" t="s">
        <v>303</v>
      </c>
      <c r="CO32" s="225"/>
      <c r="CP32" s="231"/>
      <c r="CQ32" s="284" t="s">
        <v>394</v>
      </c>
      <c r="CR32" s="269"/>
      <c r="CS32" s="269"/>
      <c r="CT32" s="285"/>
      <c r="CU32" s="284" t="s">
        <v>394</v>
      </c>
      <c r="CV32" s="269"/>
      <c r="CW32" s="269"/>
      <c r="CX32" s="285"/>
    </row>
    <row r="33" spans="3:105" x14ac:dyDescent="0.25">
      <c r="BH33" s="5"/>
      <c r="BR33" s="6"/>
      <c r="BV33" s="314">
        <v>1</v>
      </c>
      <c r="BW33" s="218"/>
      <c r="BX33" s="236"/>
      <c r="BY33" s="314">
        <f>IF(BV33&lt;&gt;"",BV33*CS$9,"")</f>
        <v>3.6730911351039706</v>
      </c>
      <c r="BZ33" s="216"/>
      <c r="CA33" s="315"/>
      <c r="CB33" s="314">
        <f>IFERROR(BV33*BY33/2,"")</f>
        <v>1.8365455675519853</v>
      </c>
      <c r="CC33" s="216"/>
      <c r="CD33" s="315"/>
      <c r="CE33" s="314">
        <f t="shared" ref="CE33:CE37" si="4">IF(BV33&lt;&gt;"",CB33*BZ$22,"")</f>
        <v>-5.7687290358379821E-2</v>
      </c>
      <c r="CF33" s="218"/>
      <c r="CG33" s="236"/>
      <c r="CH33" s="314">
        <f t="shared" ref="CH33:CH37" si="5">IF(BV33&lt;&gt;"",CB33*BZ$18,"")</f>
        <v>1.8356393431788152</v>
      </c>
      <c r="CI33" s="218"/>
      <c r="CJ33" s="236"/>
      <c r="CK33" s="314">
        <f t="shared" ref="CK33:CK38" si="6">IF(BV33&lt;&gt;"",BZ$27*BV33+CD$27+CG$27*CN33,"")</f>
        <v>0.58333333333333337</v>
      </c>
      <c r="CL33" s="218"/>
      <c r="CM33" s="236"/>
      <c r="CN33" s="314">
        <f t="shared" ref="CN33:CN38" si="7">IF(BV33&lt;&gt;"",BV33/CB$24,"")</f>
        <v>0.33333333333333331</v>
      </c>
      <c r="CO33" s="218"/>
      <c r="CP33" s="218"/>
      <c r="CQ33" s="325">
        <f>CE33*CK33</f>
        <v>-3.3650919375721566E-2</v>
      </c>
      <c r="CR33" s="326"/>
      <c r="CS33" s="326"/>
      <c r="CT33" s="327"/>
      <c r="CU33" s="325">
        <f>CH33*CN33</f>
        <v>0.61187978105960505</v>
      </c>
      <c r="CV33" s="326"/>
      <c r="CW33" s="326"/>
      <c r="CX33" s="327"/>
    </row>
    <row r="34" spans="3:105" x14ac:dyDescent="0.25">
      <c r="C34" t="s">
        <v>534</v>
      </c>
      <c r="BH34" s="5"/>
      <c r="BR34" s="6"/>
      <c r="BV34" s="314">
        <v>2</v>
      </c>
      <c r="BW34" s="218"/>
      <c r="BX34" s="236"/>
      <c r="BY34" s="314">
        <f>IF(BV34&lt;&gt;"",BV34*CS$9,"")</f>
        <v>7.3461822702079411</v>
      </c>
      <c r="BZ34" s="216"/>
      <c r="CA34" s="315"/>
      <c r="CB34" s="314">
        <f>IFERROR(BV34*BY34/2,"")</f>
        <v>7.3461822702079411</v>
      </c>
      <c r="CC34" s="216"/>
      <c r="CD34" s="315"/>
      <c r="CE34" s="314">
        <f t="shared" si="4"/>
        <v>-0.23074916143351928</v>
      </c>
      <c r="CF34" s="218"/>
      <c r="CG34" s="236"/>
      <c r="CH34" s="314">
        <f t="shared" si="5"/>
        <v>7.3425573727152607</v>
      </c>
      <c r="CI34" s="218"/>
      <c r="CJ34" s="236"/>
      <c r="CK34" s="314">
        <f t="shared" si="6"/>
        <v>0.76666666666666661</v>
      </c>
      <c r="CL34" s="218"/>
      <c r="CM34" s="236"/>
      <c r="CN34" s="314">
        <f t="shared" si="7"/>
        <v>0.66666666666666663</v>
      </c>
      <c r="CO34" s="218"/>
      <c r="CP34" s="218"/>
      <c r="CQ34" s="323">
        <f t="shared" ref="CQ34:CQ38" si="8">CE34*CK34</f>
        <v>-0.17690769043236476</v>
      </c>
      <c r="CR34" s="213"/>
      <c r="CS34" s="213"/>
      <c r="CT34" s="324"/>
      <c r="CU34" s="323">
        <f t="shared" ref="CU34:CU38" si="9">CH34*CN34</f>
        <v>4.8950382484768404</v>
      </c>
      <c r="CV34" s="213"/>
      <c r="CW34" s="213"/>
      <c r="CX34" s="324"/>
    </row>
    <row r="35" spans="3:105" x14ac:dyDescent="0.25">
      <c r="C35" s="220" t="s">
        <v>307</v>
      </c>
      <c r="D35" s="220"/>
      <c r="E35" t="s">
        <v>3</v>
      </c>
      <c r="F35" s="216">
        <f>N8</f>
        <v>0.5</v>
      </c>
      <c r="G35" s="218"/>
      <c r="H35" s="2" t="s">
        <v>297</v>
      </c>
      <c r="I35" s="1" t="s">
        <v>68</v>
      </c>
      <c r="J35" s="216">
        <f>N7</f>
        <v>0.8</v>
      </c>
      <c r="K35" s="218"/>
      <c r="L35" s="81" t="s">
        <v>99</v>
      </c>
      <c r="M35" s="216">
        <f>N9</f>
        <v>0.4</v>
      </c>
      <c r="N35" s="218"/>
      <c r="O35" s="2" t="s">
        <v>297</v>
      </c>
      <c r="P35" s="1"/>
      <c r="BH35" s="5"/>
      <c r="BR35" s="6"/>
      <c r="BV35" s="314">
        <v>3</v>
      </c>
      <c r="BW35" s="218"/>
      <c r="BX35" s="236"/>
      <c r="BY35" s="314">
        <f>IF(BV35&lt;&gt;"",BV35*CS$9,"")</f>
        <v>11.019273405311912</v>
      </c>
      <c r="BZ35" s="216"/>
      <c r="CA35" s="315"/>
      <c r="CB35" s="314">
        <f t="shared" ref="CB35:CB38" si="10">IFERROR(BV35*BY35/2,"")</f>
        <v>16.528910107967867</v>
      </c>
      <c r="CC35" s="216"/>
      <c r="CD35" s="315"/>
      <c r="CE35" s="314">
        <f t="shared" si="4"/>
        <v>-0.51918561322541845</v>
      </c>
      <c r="CF35" s="218"/>
      <c r="CG35" s="236"/>
      <c r="CH35" s="314">
        <f t="shared" si="5"/>
        <v>16.520754088609337</v>
      </c>
      <c r="CI35" s="218"/>
      <c r="CJ35" s="236"/>
      <c r="CK35" s="314">
        <f t="shared" si="6"/>
        <v>0.95000000000000007</v>
      </c>
      <c r="CL35" s="218"/>
      <c r="CM35" s="236"/>
      <c r="CN35" s="314">
        <f t="shared" si="7"/>
        <v>1</v>
      </c>
      <c r="CO35" s="218"/>
      <c r="CP35" s="218"/>
      <c r="CQ35" s="323">
        <f t="shared" si="8"/>
        <v>-0.49322633256414755</v>
      </c>
      <c r="CR35" s="213"/>
      <c r="CS35" s="213"/>
      <c r="CT35" s="324"/>
      <c r="CU35" s="323">
        <f t="shared" si="9"/>
        <v>16.520754088609337</v>
      </c>
      <c r="CV35" s="213"/>
      <c r="CW35" s="213"/>
      <c r="CX35" s="324"/>
    </row>
    <row r="36" spans="3:105" x14ac:dyDescent="0.25">
      <c r="E36" t="s">
        <v>3</v>
      </c>
      <c r="F36" s="216">
        <f>F35-M35</f>
        <v>9.9999999999999978E-2</v>
      </c>
      <c r="G36" s="218"/>
      <c r="H36" s="2" t="s">
        <v>297</v>
      </c>
      <c r="I36" s="1" t="s">
        <v>68</v>
      </c>
      <c r="J36" s="216">
        <f>J35</f>
        <v>0.8</v>
      </c>
      <c r="K36" s="218"/>
      <c r="BH36" s="5"/>
      <c r="BR36" s="6"/>
      <c r="BV36" s="314">
        <v>4</v>
      </c>
      <c r="BW36" s="218"/>
      <c r="BX36" s="236"/>
      <c r="BY36" s="314">
        <f>IF(BV36&lt;&gt;"",BV36*CS$9,"")</f>
        <v>14.692364540415882</v>
      </c>
      <c r="BZ36" s="216"/>
      <c r="CA36" s="315"/>
      <c r="CB36" s="314">
        <f t="shared" si="10"/>
        <v>29.384729080831764</v>
      </c>
      <c r="CC36" s="216"/>
      <c r="CD36" s="315"/>
      <c r="CE36" s="314">
        <f t="shared" si="4"/>
        <v>-0.92299664573407714</v>
      </c>
      <c r="CF36" s="218"/>
      <c r="CG36" s="236"/>
      <c r="CH36" s="314">
        <f t="shared" si="5"/>
        <v>29.370229490861043</v>
      </c>
      <c r="CI36" s="218"/>
      <c r="CJ36" s="236"/>
      <c r="CK36" s="314">
        <f t="shared" si="6"/>
        <v>1.1333333333333333</v>
      </c>
      <c r="CL36" s="218"/>
      <c r="CM36" s="236"/>
      <c r="CN36" s="314">
        <f t="shared" si="7"/>
        <v>1.3333333333333333</v>
      </c>
      <c r="CO36" s="218"/>
      <c r="CP36" s="218"/>
      <c r="CQ36" s="323">
        <f t="shared" si="8"/>
        <v>-1.0460628651652875</v>
      </c>
      <c r="CR36" s="213"/>
      <c r="CS36" s="213"/>
      <c r="CT36" s="324"/>
      <c r="CU36" s="323">
        <f t="shared" si="9"/>
        <v>39.160305987814723</v>
      </c>
      <c r="CV36" s="213"/>
      <c r="CW36" s="213"/>
      <c r="CX36" s="324"/>
    </row>
    <row r="37" spans="3:105" x14ac:dyDescent="0.25">
      <c r="BH37" s="7"/>
      <c r="BI37" s="11"/>
      <c r="BJ37" s="11"/>
      <c r="BK37" s="11"/>
      <c r="BL37" s="11"/>
      <c r="BM37" s="11"/>
      <c r="BN37" s="11"/>
      <c r="BO37" s="11"/>
      <c r="BP37" s="11"/>
      <c r="BQ37" s="11"/>
      <c r="BR37" s="8"/>
      <c r="BV37" s="314">
        <v>5</v>
      </c>
      <c r="BW37" s="218"/>
      <c r="BX37" s="236"/>
      <c r="BY37" s="314">
        <f>IF(BV37&lt;&gt;"",BV37*CS$9,"")</f>
        <v>18.365455675519854</v>
      </c>
      <c r="BZ37" s="216"/>
      <c r="CA37" s="315"/>
      <c r="CB37" s="314">
        <f t="shared" si="10"/>
        <v>45.913639188799635</v>
      </c>
      <c r="CC37" s="216"/>
      <c r="CD37" s="315"/>
      <c r="CE37" s="314">
        <f t="shared" si="4"/>
        <v>-1.4421822589594957</v>
      </c>
      <c r="CF37" s="218"/>
      <c r="CG37" s="236"/>
      <c r="CH37" s="314">
        <f t="shared" si="5"/>
        <v>45.89098357947038</v>
      </c>
      <c r="CI37" s="218"/>
      <c r="CJ37" s="236"/>
      <c r="CK37" s="314">
        <f t="shared" si="6"/>
        <v>1.3166666666666667</v>
      </c>
      <c r="CL37" s="218"/>
      <c r="CM37" s="236"/>
      <c r="CN37" s="314">
        <f t="shared" si="7"/>
        <v>1.6666666666666667</v>
      </c>
      <c r="CO37" s="218"/>
      <c r="CP37" s="218"/>
      <c r="CQ37" s="323">
        <f t="shared" si="8"/>
        <v>-1.8988733076300026</v>
      </c>
      <c r="CR37" s="213"/>
      <c r="CS37" s="213"/>
      <c r="CT37" s="324"/>
      <c r="CU37" s="323">
        <f t="shared" si="9"/>
        <v>76.484972632450635</v>
      </c>
      <c r="CV37" s="213"/>
      <c r="CW37" s="213"/>
      <c r="CX37" s="324"/>
    </row>
    <row r="38" spans="3:105" x14ac:dyDescent="0.25">
      <c r="AI38">
        <v>15</v>
      </c>
      <c r="BR38">
        <v>16</v>
      </c>
      <c r="BV38" s="312">
        <v>6</v>
      </c>
      <c r="BW38" s="225"/>
      <c r="BX38" s="231"/>
      <c r="BY38" s="312">
        <f t="shared" ref="BY38" si="11">IF(BV38&lt;&gt;"",BV38*CS$9,"")</f>
        <v>22.038546810623824</v>
      </c>
      <c r="BZ38" s="224"/>
      <c r="CA38" s="313"/>
      <c r="CB38" s="312">
        <f t="shared" si="10"/>
        <v>66.115640431871469</v>
      </c>
      <c r="CC38" s="224"/>
      <c r="CD38" s="313"/>
      <c r="CE38" s="312">
        <f>IF(BV38&lt;&gt;"",CB38*BZ$22,"")</f>
        <v>-2.0767424529016738</v>
      </c>
      <c r="CF38" s="225"/>
      <c r="CG38" s="231"/>
      <c r="CH38" s="312">
        <f>IF(BV38&lt;&gt;"",CB38*BZ$18,"")</f>
        <v>66.083016354437348</v>
      </c>
      <c r="CI38" s="225"/>
      <c r="CJ38" s="231"/>
      <c r="CK38" s="312">
        <f t="shared" si="6"/>
        <v>1.5</v>
      </c>
      <c r="CL38" s="225"/>
      <c r="CM38" s="231"/>
      <c r="CN38" s="312">
        <f t="shared" si="7"/>
        <v>2</v>
      </c>
      <c r="CO38" s="225"/>
      <c r="CP38" s="225"/>
      <c r="CQ38" s="328">
        <f t="shared" si="8"/>
        <v>-3.1151136793525107</v>
      </c>
      <c r="CR38" s="293"/>
      <c r="CS38" s="293"/>
      <c r="CT38" s="329"/>
      <c r="CU38" s="328">
        <f t="shared" si="9"/>
        <v>132.1660327088747</v>
      </c>
      <c r="CV38" s="293"/>
      <c r="CW38" s="293"/>
      <c r="CX38" s="329"/>
      <c r="DA38">
        <v>17</v>
      </c>
    </row>
  </sheetData>
  <sheetProtection sheet="1" objects="1" scenarios="1"/>
  <mergeCells count="305">
    <mergeCell ref="AN10:AN11"/>
    <mergeCell ref="AO10:AP10"/>
    <mergeCell ref="AS10:AT10"/>
    <mergeCell ref="AW10:AX10"/>
    <mergeCell ref="AY10:AY11"/>
    <mergeCell ref="AP11:AQ11"/>
    <mergeCell ref="AT11:AU11"/>
    <mergeCell ref="AZ10:BA10"/>
    <mergeCell ref="AZ6:BA6"/>
    <mergeCell ref="BD6:BE6"/>
    <mergeCell ref="BB7:BC7"/>
    <mergeCell ref="AN8:AN9"/>
    <mergeCell ref="AQ8:AR8"/>
    <mergeCell ref="AU8:AV8"/>
    <mergeCell ref="AY8:AZ8"/>
    <mergeCell ref="AQ9:AR9"/>
    <mergeCell ref="AU9:AV9"/>
    <mergeCell ref="AC22:AD22"/>
    <mergeCell ref="AG22:AH22"/>
    <mergeCell ref="F35:G35"/>
    <mergeCell ref="J35:K35"/>
    <mergeCell ref="M35:N35"/>
    <mergeCell ref="AC24:AD24"/>
    <mergeCell ref="AG24:AH24"/>
    <mergeCell ref="S24:U24"/>
    <mergeCell ref="J31:K31"/>
    <mergeCell ref="N31:O31"/>
    <mergeCell ref="F32:G32"/>
    <mergeCell ref="J32:K32"/>
    <mergeCell ref="Y24:Z24"/>
    <mergeCell ref="F29:G29"/>
    <mergeCell ref="F30:G30"/>
    <mergeCell ref="J29:K29"/>
    <mergeCell ref="J30:K30"/>
    <mergeCell ref="J24:K24"/>
    <mergeCell ref="CH34:CJ34"/>
    <mergeCell ref="CK34:CM34"/>
    <mergeCell ref="E31:E32"/>
    <mergeCell ref="N29:O29"/>
    <mergeCell ref="G27:H27"/>
    <mergeCell ref="E29:E30"/>
    <mergeCell ref="F36:G36"/>
    <mergeCell ref="J36:K36"/>
    <mergeCell ref="Y18:AI18"/>
    <mergeCell ref="Y19:AI19"/>
    <mergeCell ref="Y20:AI20"/>
    <mergeCell ref="Y23:Z23"/>
    <mergeCell ref="W21:X21"/>
    <mergeCell ref="S20:X20"/>
    <mergeCell ref="Y21:Z21"/>
    <mergeCell ref="AC21:AD21"/>
    <mergeCell ref="Y22:Z22"/>
    <mergeCell ref="S18:X18"/>
    <mergeCell ref="S19:X19"/>
    <mergeCell ref="S21:T21"/>
    <mergeCell ref="S22:T22"/>
    <mergeCell ref="S23:T23"/>
    <mergeCell ref="W23:X23"/>
    <mergeCell ref="AG21:AH21"/>
    <mergeCell ref="BW20:BX20"/>
    <mergeCell ref="CB22:CC22"/>
    <mergeCell ref="AC23:AD23"/>
    <mergeCell ref="AG23:AH23"/>
    <mergeCell ref="CK37:CM37"/>
    <mergeCell ref="CN37:CP37"/>
    <mergeCell ref="BV38:BX38"/>
    <mergeCell ref="BY38:CA38"/>
    <mergeCell ref="CB38:CD38"/>
    <mergeCell ref="CE38:CG38"/>
    <mergeCell ref="CH38:CJ38"/>
    <mergeCell ref="CK38:CM38"/>
    <mergeCell ref="CN38:CP38"/>
    <mergeCell ref="BV37:BX37"/>
    <mergeCell ref="BY37:CA37"/>
    <mergeCell ref="CB37:CD37"/>
    <mergeCell ref="CE37:CG37"/>
    <mergeCell ref="CH37:CJ37"/>
    <mergeCell ref="CK33:CM33"/>
    <mergeCell ref="CN33:CP33"/>
    <mergeCell ref="BV34:BX34"/>
    <mergeCell ref="BY34:CA34"/>
    <mergeCell ref="CB34:CD34"/>
    <mergeCell ref="CE34:CG34"/>
    <mergeCell ref="CS9:CU9"/>
    <mergeCell ref="CV9:CW9"/>
    <mergeCell ref="BY9:BZ9"/>
    <mergeCell ref="CB9:CC9"/>
    <mergeCell ref="CE9:CF9"/>
    <mergeCell ref="CI9:CJ9"/>
    <mergeCell ref="CL9:CM9"/>
    <mergeCell ref="CI5:CK5"/>
    <mergeCell ref="CH17:CI17"/>
    <mergeCell ref="BV9:BW9"/>
    <mergeCell ref="CB5:CC5"/>
    <mergeCell ref="CE5:CE6"/>
    <mergeCell ref="CM5:CM6"/>
    <mergeCell ref="D18:I18"/>
    <mergeCell ref="BH10:BI10"/>
    <mergeCell ref="AR5:AS5"/>
    <mergeCell ref="CN5:CP6"/>
    <mergeCell ref="BY6:BZ6"/>
    <mergeCell ref="CB6:CC6"/>
    <mergeCell ref="CF6:CG6"/>
    <mergeCell ref="CI6:CJ6"/>
    <mergeCell ref="CO9:CP9"/>
    <mergeCell ref="BZ18:CA18"/>
    <mergeCell ref="CB18:CC18"/>
    <mergeCell ref="BD10:BE10"/>
    <mergeCell ref="BD11:BE11"/>
    <mergeCell ref="AN6:AN7"/>
    <mergeCell ref="AO6:AP6"/>
    <mergeCell ref="AS6:AT6"/>
    <mergeCell ref="AW6:AX6"/>
    <mergeCell ref="AO7:AP7"/>
    <mergeCell ref="AS7:AT7"/>
    <mergeCell ref="AY6:AY7"/>
    <mergeCell ref="D19:I19"/>
    <mergeCell ref="L18:R18"/>
    <mergeCell ref="L19:R19"/>
    <mergeCell ref="D21:E21"/>
    <mergeCell ref="H21:I21"/>
    <mergeCell ref="D20:I20"/>
    <mergeCell ref="L21:M21"/>
    <mergeCell ref="P21:Q21"/>
    <mergeCell ref="L20:R20"/>
    <mergeCell ref="J18:K18"/>
    <mergeCell ref="J19:K19"/>
    <mergeCell ref="J20:K20"/>
    <mergeCell ref="J21:K21"/>
    <mergeCell ref="AO26:AQ26"/>
    <mergeCell ref="AL21:AN21"/>
    <mergeCell ref="AY26:BA26"/>
    <mergeCell ref="AU26:AX26"/>
    <mergeCell ref="AO21:AQ21"/>
    <mergeCell ref="AO22:AQ22"/>
    <mergeCell ref="AO23:AQ23"/>
    <mergeCell ref="AO24:AQ24"/>
    <mergeCell ref="AO25:AQ25"/>
    <mergeCell ref="AY21:BA21"/>
    <mergeCell ref="AY22:BA22"/>
    <mergeCell ref="AY23:BA23"/>
    <mergeCell ref="AY24:BA24"/>
    <mergeCell ref="AU21:AX21"/>
    <mergeCell ref="AU22:AX22"/>
    <mergeCell ref="AU23:AX23"/>
    <mergeCell ref="AU24:AX24"/>
    <mergeCell ref="AU25:AX25"/>
    <mergeCell ref="AR21:AT26"/>
    <mergeCell ref="J23:K23"/>
    <mergeCell ref="J22:K22"/>
    <mergeCell ref="C35:D35"/>
    <mergeCell ref="AL4:AM5"/>
    <mergeCell ref="AN4:AN5"/>
    <mergeCell ref="N7:P7"/>
    <mergeCell ref="N8:P8"/>
    <mergeCell ref="N9:P9"/>
    <mergeCell ref="F31:G31"/>
    <mergeCell ref="AN12:AN13"/>
    <mergeCell ref="AL18:AN18"/>
    <mergeCell ref="AL19:AN19"/>
    <mergeCell ref="AL20:AN20"/>
    <mergeCell ref="D22:E22"/>
    <mergeCell ref="D23:E23"/>
    <mergeCell ref="L22:M22"/>
    <mergeCell ref="L23:M23"/>
    <mergeCell ref="L24:M24"/>
    <mergeCell ref="P24:Q24"/>
    <mergeCell ref="AL22:AN22"/>
    <mergeCell ref="AL23:AN23"/>
    <mergeCell ref="AL24:AN24"/>
    <mergeCell ref="AL25:AN25"/>
    <mergeCell ref="AL26:AN26"/>
    <mergeCell ref="AR4:AS4"/>
    <mergeCell ref="AQ4:AQ5"/>
    <mergeCell ref="AO4:AP5"/>
    <mergeCell ref="D24:F24"/>
    <mergeCell ref="C27:D28"/>
    <mergeCell ref="E27:E28"/>
    <mergeCell ref="CQ38:CT38"/>
    <mergeCell ref="CU38:CX38"/>
    <mergeCell ref="BB19:BE19"/>
    <mergeCell ref="BB21:BE21"/>
    <mergeCell ref="BB20:BE20"/>
    <mergeCell ref="BV33:BX33"/>
    <mergeCell ref="BY33:CA33"/>
    <mergeCell ref="CB33:CD33"/>
    <mergeCell ref="CE33:CG33"/>
    <mergeCell ref="CH33:CJ33"/>
    <mergeCell ref="CN31:CP31"/>
    <mergeCell ref="BV32:BX32"/>
    <mergeCell ref="BY32:CA32"/>
    <mergeCell ref="CB32:CD32"/>
    <mergeCell ref="CE32:CG32"/>
    <mergeCell ref="CH32:CJ32"/>
    <mergeCell ref="CK32:CM32"/>
    <mergeCell ref="CN32:CP32"/>
    <mergeCell ref="CQ37:CT37"/>
    <mergeCell ref="CU37:CX37"/>
    <mergeCell ref="CQ30:CX30"/>
    <mergeCell ref="CQ34:CT34"/>
    <mergeCell ref="CU34:CX34"/>
    <mergeCell ref="CQ35:CT35"/>
    <mergeCell ref="CU35:CX35"/>
    <mergeCell ref="CQ36:CT36"/>
    <mergeCell ref="CU36:CX36"/>
    <mergeCell ref="CQ31:CT31"/>
    <mergeCell ref="CU31:CX31"/>
    <mergeCell ref="CU32:CX32"/>
    <mergeCell ref="CQ33:CT33"/>
    <mergeCell ref="CU33:CX33"/>
    <mergeCell ref="CQ32:CT32"/>
    <mergeCell ref="CL26:CM26"/>
    <mergeCell ref="CO26:CP26"/>
    <mergeCell ref="BV31:BX31"/>
    <mergeCell ref="BY31:CA31"/>
    <mergeCell ref="CB31:CD31"/>
    <mergeCell ref="CE31:CG31"/>
    <mergeCell ref="CH31:CJ31"/>
    <mergeCell ref="CK31:CM31"/>
    <mergeCell ref="CK30:CP30"/>
    <mergeCell ref="BV30:BX30"/>
    <mergeCell ref="BY30:CA30"/>
    <mergeCell ref="CB30:CD30"/>
    <mergeCell ref="CE30:CG30"/>
    <mergeCell ref="CH30:CJ30"/>
    <mergeCell ref="BZ27:CA27"/>
    <mergeCell ref="CD27:CE27"/>
    <mergeCell ref="CG27:CH27"/>
    <mergeCell ref="CI27:CJ27"/>
    <mergeCell ref="CH36:CJ36"/>
    <mergeCell ref="CK36:CM36"/>
    <mergeCell ref="CN36:CP36"/>
    <mergeCell ref="BV35:BX35"/>
    <mergeCell ref="BY35:CA35"/>
    <mergeCell ref="CB35:CD35"/>
    <mergeCell ref="CE35:CG35"/>
    <mergeCell ref="CH35:CJ35"/>
    <mergeCell ref="CK35:CM35"/>
    <mergeCell ref="CN35:CP35"/>
    <mergeCell ref="BV36:BX36"/>
    <mergeCell ref="BY36:CA36"/>
    <mergeCell ref="CN34:CP34"/>
    <mergeCell ref="BV4:BW4"/>
    <mergeCell ref="CA26:CB26"/>
    <mergeCell ref="CE26:CF26"/>
    <mergeCell ref="AY25:BA25"/>
    <mergeCell ref="BB18:BE18"/>
    <mergeCell ref="BB22:BE22"/>
    <mergeCell ref="BB23:BE23"/>
    <mergeCell ref="BB24:BE24"/>
    <mergeCell ref="BB25:BE25"/>
    <mergeCell ref="BW24:BX24"/>
    <mergeCell ref="BW25:BX25"/>
    <mergeCell ref="BY4:CA4"/>
    <mergeCell ref="BV5:BW6"/>
    <mergeCell ref="BX5:BX6"/>
    <mergeCell ref="BY5:BZ5"/>
    <mergeCell ref="CF5:CG5"/>
    <mergeCell ref="BB8:BB9"/>
    <mergeCell ref="BD8:BE8"/>
    <mergeCell ref="BH8:BI8"/>
    <mergeCell ref="BK8:BL8"/>
    <mergeCell ref="BO8:BP8"/>
    <mergeCell ref="BE9:BF9"/>
    <mergeCell ref="BI9:BJ9"/>
    <mergeCell ref="BB26:BE26"/>
    <mergeCell ref="CB36:CD36"/>
    <mergeCell ref="BW16:BX16"/>
    <mergeCell ref="BZ16:CA16"/>
    <mergeCell ref="CB16:CE16"/>
    <mergeCell ref="BZ17:CA17"/>
    <mergeCell ref="CB17:CD17"/>
    <mergeCell ref="CE17:CF17"/>
    <mergeCell ref="BL10:BM10"/>
    <mergeCell ref="BH11:BI11"/>
    <mergeCell ref="CE36:CG36"/>
    <mergeCell ref="BV12:BW13"/>
    <mergeCell ref="BX12:BX13"/>
    <mergeCell ref="BY12:BZ12"/>
    <mergeCell ref="CB12:CC12"/>
    <mergeCell ref="BZ21:CA21"/>
    <mergeCell ref="CB21:CD21"/>
    <mergeCell ref="CE21:CF21"/>
    <mergeCell ref="BZ25:CA25"/>
    <mergeCell ref="CG25:CH25"/>
    <mergeCell ref="BZ20:CA20"/>
    <mergeCell ref="CB20:CE20"/>
    <mergeCell ref="CH21:CI21"/>
    <mergeCell ref="BZ22:CA22"/>
    <mergeCell ref="AY19:BA19"/>
    <mergeCell ref="AY18:BA18"/>
    <mergeCell ref="AY20:BA20"/>
    <mergeCell ref="AU19:AX19"/>
    <mergeCell ref="AU18:AX18"/>
    <mergeCell ref="AU20:AX20"/>
    <mergeCell ref="AS12:AT12"/>
    <mergeCell ref="AO13:AP13"/>
    <mergeCell ref="AS13:AT13"/>
    <mergeCell ref="AR20:AT20"/>
    <mergeCell ref="AR18:AT18"/>
    <mergeCell ref="AR19:AT19"/>
    <mergeCell ref="AO18:AQ18"/>
    <mergeCell ref="AO19:AQ19"/>
    <mergeCell ref="AO20:AQ20"/>
    <mergeCell ref="AO12:AP12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781C8-D6B2-4865-8B49-F03A509EA47B}">
  <dimension ref="C1:DA38"/>
  <sheetViews>
    <sheetView showGridLines="0" view="pageBreakPreview" zoomScale="70" zoomScaleNormal="70" zoomScaleSheetLayoutView="70" workbookViewId="0">
      <selection activeCell="A2" sqref="A2"/>
    </sheetView>
  </sheetViews>
  <sheetFormatPr defaultRowHeight="18" x14ac:dyDescent="0.45"/>
  <cols>
    <col min="1" max="105" width="3" customWidth="1"/>
  </cols>
  <sheetData>
    <row r="1" spans="3:90" x14ac:dyDescent="0.45">
      <c r="BG1" s="36"/>
      <c r="BH1" s="37"/>
      <c r="BI1" s="37"/>
      <c r="BJ1" s="37"/>
      <c r="BK1" s="37"/>
      <c r="BL1" s="37"/>
      <c r="BM1" s="37"/>
      <c r="BN1" s="37"/>
      <c r="BO1" s="37"/>
      <c r="BP1" s="37"/>
      <c r="BQ1" s="42" t="s">
        <v>44</v>
      </c>
    </row>
    <row r="2" spans="3:90" x14ac:dyDescent="0.45">
      <c r="C2" t="s">
        <v>463</v>
      </c>
      <c r="BG2" s="5"/>
      <c r="BQ2" s="6"/>
      <c r="BT2" t="s">
        <v>464</v>
      </c>
    </row>
    <row r="3" spans="3:90" x14ac:dyDescent="0.45">
      <c r="D3" t="s">
        <v>539</v>
      </c>
      <c r="AL3" t="s">
        <v>298</v>
      </c>
      <c r="BF3" s="21"/>
      <c r="BG3" s="92"/>
      <c r="BH3" s="21"/>
      <c r="BI3" s="21"/>
      <c r="BQ3" s="6"/>
      <c r="BU3" t="s">
        <v>524</v>
      </c>
    </row>
    <row r="4" spans="3:90" x14ac:dyDescent="0.45">
      <c r="D4" t="s">
        <v>540</v>
      </c>
      <c r="AL4" s="251" t="s">
        <v>316</v>
      </c>
      <c r="AM4" s="251"/>
      <c r="AN4" s="16" t="s">
        <v>3</v>
      </c>
      <c r="AO4" s="220" t="s">
        <v>307</v>
      </c>
      <c r="AP4" s="220"/>
      <c r="AQ4" s="15" t="s">
        <v>110</v>
      </c>
      <c r="AR4" s="119">
        <v>2</v>
      </c>
      <c r="AS4" t="s">
        <v>68</v>
      </c>
      <c r="AT4" s="115" t="s">
        <v>407</v>
      </c>
      <c r="AU4" s="79" t="s">
        <v>67</v>
      </c>
      <c r="AV4" s="251" t="s">
        <v>317</v>
      </c>
      <c r="AW4" s="251"/>
      <c r="BG4" s="5"/>
      <c r="BH4" s="21"/>
      <c r="BI4" s="21"/>
      <c r="BQ4" s="6"/>
    </row>
    <row r="5" spans="3:90" x14ac:dyDescent="0.45">
      <c r="D5" s="265" t="s">
        <v>255</v>
      </c>
      <c r="E5" s="265"/>
      <c r="F5" s="4" t="s">
        <v>3</v>
      </c>
      <c r="G5" s="216">
        <f>'3.擁照-常'!BI21</f>
        <v>6.4621977685614063</v>
      </c>
      <c r="H5" s="216"/>
      <c r="I5" s="216"/>
      <c r="J5" s="21" t="s">
        <v>111</v>
      </c>
      <c r="K5" s="56"/>
      <c r="L5" s="56"/>
      <c r="M5" s="56"/>
      <c r="N5" s="245" t="s">
        <v>233</v>
      </c>
      <c r="O5" s="245"/>
      <c r="P5" s="4" t="s">
        <v>3</v>
      </c>
      <c r="Q5" s="216">
        <f>'3.擁照-常'!CW12</f>
        <v>7.1208579888759633</v>
      </c>
      <c r="R5" s="216"/>
      <c r="S5" s="216"/>
      <c r="T5" s="21" t="s">
        <v>91</v>
      </c>
      <c r="X5" s="36"/>
      <c r="Y5" s="37"/>
      <c r="Z5" s="37"/>
      <c r="AA5" s="37"/>
      <c r="AB5" s="37"/>
      <c r="AC5" s="37"/>
      <c r="AD5" s="37"/>
      <c r="AE5" s="37"/>
      <c r="AF5" s="37"/>
      <c r="AG5" s="37"/>
      <c r="AH5" s="42"/>
      <c r="AN5" s="16" t="s">
        <v>3</v>
      </c>
      <c r="AO5" t="s">
        <v>60</v>
      </c>
      <c r="AP5" s="216">
        <f>'4.部照-常1'!F36</f>
        <v>9.9999999999999978E-2</v>
      </c>
      <c r="AQ5" s="218"/>
      <c r="AR5" s="2" t="s">
        <v>321</v>
      </c>
      <c r="AS5" s="1" t="s">
        <v>68</v>
      </c>
      <c r="AT5" s="216">
        <f>'4.部照-常1'!J36</f>
        <v>0.8</v>
      </c>
      <c r="AU5" s="218"/>
      <c r="AV5" t="s">
        <v>61</v>
      </c>
      <c r="AW5" s="15" t="s">
        <v>110</v>
      </c>
      <c r="AX5" s="119">
        <v>2</v>
      </c>
      <c r="AY5" s="58"/>
      <c r="AZ5" t="s">
        <v>68</v>
      </c>
      <c r="BA5" s="253">
        <f>'1.条件'!T10</f>
        <v>0.4</v>
      </c>
      <c r="BB5" s="253"/>
      <c r="BC5" s="79" t="s">
        <v>67</v>
      </c>
      <c r="BD5" s="251" t="s">
        <v>317</v>
      </c>
      <c r="BE5" s="251"/>
      <c r="BG5" s="5"/>
      <c r="BQ5" s="6"/>
      <c r="BU5" t="s">
        <v>333</v>
      </c>
    </row>
    <row r="6" spans="3:90" ht="19.2" x14ac:dyDescent="0.45">
      <c r="D6" s="245" t="s">
        <v>242</v>
      </c>
      <c r="E6" s="245"/>
      <c r="F6" s="4" t="s">
        <v>3</v>
      </c>
      <c r="G6" s="270">
        <f>'3.擁照-常'!BO34</f>
        <v>0.6</v>
      </c>
      <c r="H6" s="270"/>
      <c r="I6" s="270"/>
      <c r="N6" s="245" t="s">
        <v>254</v>
      </c>
      <c r="O6" s="245"/>
      <c r="P6" s="4" t="s">
        <v>3</v>
      </c>
      <c r="Q6" s="216">
        <f>'3.擁照-常'!CQ23</f>
        <v>3.673083700986342</v>
      </c>
      <c r="R6" s="216"/>
      <c r="S6" s="216"/>
      <c r="T6" s="21" t="s">
        <v>39</v>
      </c>
      <c r="X6" s="5"/>
      <c r="AH6" s="6"/>
      <c r="AN6" s="16" t="s">
        <v>3</v>
      </c>
      <c r="AO6" s="253">
        <f>AP5/AX5</f>
        <v>4.9999999999999989E-2</v>
      </c>
      <c r="AP6" s="253"/>
      <c r="AQ6" s="33" t="s">
        <v>321</v>
      </c>
      <c r="AR6" t="s">
        <v>68</v>
      </c>
      <c r="AS6" s="253">
        <f>AT5/AX5</f>
        <v>0.4</v>
      </c>
      <c r="AT6" s="253"/>
      <c r="AU6" t="s">
        <v>68</v>
      </c>
      <c r="AV6" s="253">
        <f>BA5</f>
        <v>0.4</v>
      </c>
      <c r="AW6" s="253"/>
      <c r="AX6" s="251" t="s">
        <v>317</v>
      </c>
      <c r="AY6" s="251"/>
      <c r="BG6" s="5"/>
      <c r="BQ6" s="6"/>
      <c r="BU6" s="232" t="s">
        <v>48</v>
      </c>
      <c r="BV6" s="233"/>
      <c r="BW6" s="234"/>
      <c r="BX6" s="232" t="s">
        <v>314</v>
      </c>
      <c r="BY6" s="233"/>
      <c r="BZ6" s="233"/>
      <c r="CA6" s="234"/>
      <c r="CB6" s="340" t="s">
        <v>334</v>
      </c>
      <c r="CC6" s="341"/>
      <c r="CD6" s="341"/>
      <c r="CE6" s="340" t="s">
        <v>335</v>
      </c>
      <c r="CF6" s="372"/>
      <c r="CG6" s="372"/>
      <c r="CH6" s="372"/>
      <c r="CI6" s="373"/>
      <c r="CJ6" s="340" t="s">
        <v>336</v>
      </c>
      <c r="CK6" s="341"/>
      <c r="CL6" s="342"/>
    </row>
    <row r="7" spans="3:90" x14ac:dyDescent="0.45">
      <c r="D7" s="265" t="s">
        <v>266</v>
      </c>
      <c r="E7" s="265"/>
      <c r="F7" s="4" t="s">
        <v>3</v>
      </c>
      <c r="G7" s="253">
        <f>'3.擁照-常'!CL19</f>
        <v>3.8773186611368438</v>
      </c>
      <c r="H7" s="253"/>
      <c r="I7" s="253"/>
      <c r="J7" s="21" t="s">
        <v>111</v>
      </c>
      <c r="N7" s="287" t="s">
        <v>395</v>
      </c>
      <c r="O7" s="287"/>
      <c r="P7" s="4" t="s">
        <v>3</v>
      </c>
      <c r="Q7" s="247">
        <f>'3.擁照-常'!BA23</f>
        <v>21.8</v>
      </c>
      <c r="R7" s="247"/>
      <c r="S7" s="247"/>
      <c r="T7" s="21" t="s">
        <v>24</v>
      </c>
      <c r="X7" s="5"/>
      <c r="AH7" s="6"/>
      <c r="BG7" s="5"/>
      <c r="BQ7" s="6"/>
      <c r="BU7" s="235" t="s">
        <v>297</v>
      </c>
      <c r="BV7" s="220"/>
      <c r="BW7" s="237"/>
      <c r="BX7" s="235" t="s">
        <v>337</v>
      </c>
      <c r="BY7" s="220"/>
      <c r="BZ7" s="220"/>
      <c r="CA7" s="237"/>
      <c r="CB7" s="318" t="s">
        <v>486</v>
      </c>
      <c r="CC7" s="251"/>
      <c r="CD7" s="319"/>
      <c r="CE7" s="318" t="s">
        <v>490</v>
      </c>
      <c r="CF7" s="251"/>
      <c r="CG7" s="251"/>
      <c r="CH7" s="251"/>
      <c r="CI7" s="319"/>
      <c r="CJ7" s="368" t="s">
        <v>420</v>
      </c>
      <c r="CK7" s="369"/>
      <c r="CL7" s="370"/>
    </row>
    <row r="8" spans="3:90" x14ac:dyDescent="0.45">
      <c r="X8" s="5"/>
      <c r="AH8" s="6"/>
      <c r="AL8" s="83" t="s">
        <v>318</v>
      </c>
      <c r="BG8" s="5"/>
      <c r="BQ8" s="6"/>
      <c r="BU8" s="230" t="s">
        <v>303</v>
      </c>
      <c r="BV8" s="225"/>
      <c r="BW8" s="231"/>
      <c r="BX8" s="230" t="s">
        <v>121</v>
      </c>
      <c r="BY8" s="225"/>
      <c r="BZ8" s="225"/>
      <c r="CA8" s="231"/>
      <c r="CB8" s="230" t="s">
        <v>121</v>
      </c>
      <c r="CC8" s="225"/>
      <c r="CD8" s="231"/>
      <c r="CE8" s="230" t="s">
        <v>121</v>
      </c>
      <c r="CF8" s="225"/>
      <c r="CG8" s="225"/>
      <c r="CH8" s="225"/>
      <c r="CI8" s="231"/>
      <c r="CJ8" s="230" t="s">
        <v>121</v>
      </c>
      <c r="CK8" s="225"/>
      <c r="CL8" s="231"/>
    </row>
    <row r="9" spans="3:90" x14ac:dyDescent="0.45">
      <c r="D9" t="s">
        <v>520</v>
      </c>
      <c r="W9" s="83"/>
      <c r="X9" s="5"/>
      <c r="AH9" s="6"/>
      <c r="AL9" s="251" t="s">
        <v>317</v>
      </c>
      <c r="AM9" s="251"/>
      <c r="AN9" s="258" t="s">
        <v>3</v>
      </c>
      <c r="AO9" s="82">
        <v>2</v>
      </c>
      <c r="AP9" s="267" t="s">
        <v>254</v>
      </c>
      <c r="AQ9" s="267"/>
      <c r="AR9" s="57" t="s">
        <v>68</v>
      </c>
      <c r="AS9" s="267" t="s">
        <v>319</v>
      </c>
      <c r="AT9" s="267"/>
      <c r="AU9" s="11"/>
      <c r="AV9" s="220" t="s">
        <v>320</v>
      </c>
      <c r="AW9" s="220"/>
      <c r="AX9" s="218" t="s">
        <v>62</v>
      </c>
      <c r="AY9" s="257" t="s">
        <v>181</v>
      </c>
      <c r="AZ9" s="257"/>
      <c r="BA9" s="287" t="s">
        <v>395</v>
      </c>
      <c r="BG9" s="5"/>
      <c r="BQ9" s="6"/>
      <c r="BU9" s="314">
        <f t="shared" ref="BU9:BU14" si="0">AJ32</f>
        <v>1</v>
      </c>
      <c r="BV9" s="218"/>
      <c r="BW9" s="236"/>
      <c r="BX9" s="314">
        <f>'4.部照-常1'!AU21</f>
        <v>19.55</v>
      </c>
      <c r="BY9" s="216"/>
      <c r="BZ9" s="216"/>
      <c r="CA9" s="315"/>
      <c r="CB9" s="314">
        <f>'4.部照-常1'!CE33</f>
        <v>-5.7687290358379821E-2</v>
      </c>
      <c r="CC9" s="218"/>
      <c r="CD9" s="236"/>
      <c r="CE9" s="314">
        <f t="shared" ref="CE9:CE14" si="1">AY32</f>
        <v>-1.265085025301437</v>
      </c>
      <c r="CF9" s="216"/>
      <c r="CG9" s="216"/>
      <c r="CH9" s="216"/>
      <c r="CI9" s="315"/>
      <c r="CJ9" s="314">
        <f>SUM(BX9:CI9)</f>
        <v>18.227227684340182</v>
      </c>
      <c r="CK9" s="218"/>
      <c r="CL9" s="236"/>
    </row>
    <row r="10" spans="3:90" x14ac:dyDescent="0.45">
      <c r="D10" s="220" t="s">
        <v>320</v>
      </c>
      <c r="E10" s="220"/>
      <c r="F10" s="219" t="s">
        <v>3</v>
      </c>
      <c r="G10" s="223" t="s">
        <v>321</v>
      </c>
      <c r="H10" s="223"/>
      <c r="I10" s="223"/>
      <c r="K10" s="219" t="s">
        <v>3</v>
      </c>
      <c r="L10" s="223" t="s">
        <v>321</v>
      </c>
      <c r="M10" s="223"/>
      <c r="N10" s="223"/>
      <c r="O10" s="223"/>
      <c r="Q10" s="219" t="s">
        <v>3</v>
      </c>
      <c r="R10" s="216">
        <f>1/COS(N11*PI()/180)</f>
        <v>1.0770223637762204</v>
      </c>
      <c r="S10" s="216"/>
      <c r="T10" s="220" t="s">
        <v>321</v>
      </c>
      <c r="X10" s="5"/>
      <c r="AH10" s="6"/>
      <c r="AL10" s="251"/>
      <c r="AM10" s="251"/>
      <c r="AN10" s="258"/>
      <c r="AO10" s="14">
        <v>3</v>
      </c>
      <c r="AP10" s="21" t="s">
        <v>60</v>
      </c>
      <c r="AQ10" s="56" t="s">
        <v>254</v>
      </c>
      <c r="AR10" s="56" t="s">
        <v>68</v>
      </c>
      <c r="AS10" s="245" t="s">
        <v>319</v>
      </c>
      <c r="AT10" s="245"/>
      <c r="AU10" s="21" t="s">
        <v>61</v>
      </c>
      <c r="AV10" s="220"/>
      <c r="AW10" s="220"/>
      <c r="AX10" s="218"/>
      <c r="AY10" s="257"/>
      <c r="AZ10" s="257"/>
      <c r="BA10" s="287"/>
      <c r="BG10" s="5"/>
      <c r="BQ10" s="6"/>
      <c r="BU10" s="314">
        <f t="shared" si="0"/>
        <v>2</v>
      </c>
      <c r="BV10" s="218"/>
      <c r="BW10" s="236"/>
      <c r="BX10" s="314">
        <f>'4.部照-常1'!AU22</f>
        <v>41.4</v>
      </c>
      <c r="BY10" s="216"/>
      <c r="BZ10" s="216"/>
      <c r="CA10" s="315"/>
      <c r="CB10" s="314">
        <f>'4.部照-常1'!CE34</f>
        <v>-0.23074916143351928</v>
      </c>
      <c r="CC10" s="218"/>
      <c r="CD10" s="236"/>
      <c r="CE10" s="314">
        <f t="shared" si="1"/>
        <v>-2.1220827701003651</v>
      </c>
      <c r="CF10" s="216"/>
      <c r="CG10" s="216"/>
      <c r="CH10" s="216"/>
      <c r="CI10" s="315"/>
      <c r="CJ10" s="314">
        <f t="shared" ref="CJ10:CJ14" si="2">SUM(BX10:CI10)</f>
        <v>39.047168068466114</v>
      </c>
      <c r="CK10" s="218"/>
      <c r="CL10" s="236"/>
    </row>
    <row r="11" spans="3:90" x14ac:dyDescent="0.45">
      <c r="D11" s="220"/>
      <c r="E11" s="220"/>
      <c r="F11" s="219"/>
      <c r="G11" s="218" t="s">
        <v>181</v>
      </c>
      <c r="H11" s="218"/>
      <c r="I11" s="106" t="s">
        <v>395</v>
      </c>
      <c r="K11" s="219"/>
      <c r="L11" s="375" t="s">
        <v>181</v>
      </c>
      <c r="M11" s="375"/>
      <c r="N11" s="247">
        <f>Q7</f>
        <v>21.8</v>
      </c>
      <c r="O11" s="218"/>
      <c r="P11" s="14"/>
      <c r="Q11" s="219"/>
      <c r="R11" s="216"/>
      <c r="S11" s="216"/>
      <c r="T11" s="220"/>
      <c r="X11" s="5"/>
      <c r="AH11" s="6"/>
      <c r="AN11" s="258" t="s">
        <v>3</v>
      </c>
      <c r="AO11" s="82">
        <v>2</v>
      </c>
      <c r="AP11" s="20" t="s">
        <v>62</v>
      </c>
      <c r="AQ11" s="262">
        <f>Q6</f>
        <v>3.673083700986342</v>
      </c>
      <c r="AR11" s="292"/>
      <c r="AS11" s="57" t="s">
        <v>68</v>
      </c>
      <c r="AT11" s="262">
        <f>G20</f>
        <v>3.6730837009863424</v>
      </c>
      <c r="AU11" s="292"/>
      <c r="AV11" s="11" t="s">
        <v>99</v>
      </c>
      <c r="AW11" s="262">
        <f>J20</f>
        <v>0.94732572223232758</v>
      </c>
      <c r="AX11" s="292"/>
      <c r="AY11" s="86" t="s">
        <v>320</v>
      </c>
      <c r="AZ11" s="11"/>
      <c r="BA11" s="220" t="s">
        <v>320</v>
      </c>
      <c r="BB11" s="220"/>
      <c r="BC11" s="257" t="s">
        <v>181</v>
      </c>
      <c r="BD11" s="257"/>
      <c r="BE11" s="247">
        <f>Q7</f>
        <v>21.8</v>
      </c>
      <c r="BF11" s="218"/>
      <c r="BG11" s="5"/>
      <c r="BQ11" s="6"/>
      <c r="BU11" s="314">
        <f t="shared" si="0"/>
        <v>3</v>
      </c>
      <c r="BV11" s="218"/>
      <c r="BW11" s="236"/>
      <c r="BX11" s="314">
        <f>'4.部照-常1'!AU23</f>
        <v>65.55</v>
      </c>
      <c r="BY11" s="216"/>
      <c r="BZ11" s="216"/>
      <c r="CA11" s="315"/>
      <c r="CB11" s="314">
        <f>'4.部照-常1'!CE35</f>
        <v>-0.51918561322541845</v>
      </c>
      <c r="CC11" s="218"/>
      <c r="CD11" s="236"/>
      <c r="CE11" s="314">
        <f t="shared" si="1"/>
        <v>-2.5709932343967838</v>
      </c>
      <c r="CF11" s="216"/>
      <c r="CG11" s="216"/>
      <c r="CH11" s="216"/>
      <c r="CI11" s="315"/>
      <c r="CJ11" s="314">
        <f t="shared" si="2"/>
        <v>62.459821152377799</v>
      </c>
      <c r="CK11" s="218"/>
      <c r="CL11" s="236"/>
    </row>
    <row r="12" spans="3:90" x14ac:dyDescent="0.45">
      <c r="X12" s="5"/>
      <c r="AH12" s="6"/>
      <c r="AN12" s="258"/>
      <c r="AO12" s="14">
        <v>3</v>
      </c>
      <c r="AP12" s="21" t="s">
        <v>60</v>
      </c>
      <c r="AQ12" s="253">
        <f>Q6</f>
        <v>3.673083700986342</v>
      </c>
      <c r="AR12" s="257"/>
      <c r="AS12" s="56" t="s">
        <v>68</v>
      </c>
      <c r="AT12" s="253">
        <f>G20</f>
        <v>3.6730837009863424</v>
      </c>
      <c r="AU12" s="257"/>
      <c r="AV12" t="s">
        <v>99</v>
      </c>
      <c r="AW12" s="253">
        <f>J20</f>
        <v>0.94732572223232758</v>
      </c>
      <c r="AX12" s="257"/>
      <c r="AY12" s="2" t="s">
        <v>320</v>
      </c>
      <c r="AZ12" s="21" t="s">
        <v>61</v>
      </c>
      <c r="BA12" s="220"/>
      <c r="BB12" s="220"/>
      <c r="BC12" s="257"/>
      <c r="BD12" s="257"/>
      <c r="BE12" s="218"/>
      <c r="BF12" s="218"/>
      <c r="BG12" s="5"/>
      <c r="BQ12" s="6"/>
      <c r="BU12" s="314">
        <f t="shared" si="0"/>
        <v>4</v>
      </c>
      <c r="BV12" s="218"/>
      <c r="BW12" s="236"/>
      <c r="BX12" s="314">
        <f>'4.部照-常1'!AU24</f>
        <v>92</v>
      </c>
      <c r="BY12" s="216"/>
      <c r="BZ12" s="216"/>
      <c r="CA12" s="315"/>
      <c r="CB12" s="314">
        <f>'4.部照-常1'!CE36</f>
        <v>-0.92299664573407714</v>
      </c>
      <c r="CC12" s="218"/>
      <c r="CD12" s="236"/>
      <c r="CE12" s="314">
        <f t="shared" si="1"/>
        <v>-2.6444576185894646</v>
      </c>
      <c r="CF12" s="216"/>
      <c r="CG12" s="216"/>
      <c r="CH12" s="216"/>
      <c r="CI12" s="315"/>
      <c r="CJ12" s="314">
        <f t="shared" si="2"/>
        <v>88.432545735676456</v>
      </c>
      <c r="CK12" s="218"/>
      <c r="CL12" s="236"/>
    </row>
    <row r="13" spans="3:90" x14ac:dyDescent="0.45">
      <c r="U13" s="23"/>
      <c r="V13" s="93"/>
      <c r="X13" s="123"/>
      <c r="Y13" s="124"/>
      <c r="Z13" s="14"/>
      <c r="AH13" s="6"/>
      <c r="AN13" s="258" t="s">
        <v>3</v>
      </c>
      <c r="AO13" s="224">
        <f>AO11*AQ11+AT11</f>
        <v>11.019251102959027</v>
      </c>
      <c r="AP13" s="224"/>
      <c r="AQ13" s="224"/>
      <c r="AR13" s="11" t="s">
        <v>99</v>
      </c>
      <c r="AS13" s="262">
        <f>AW11</f>
        <v>0.94732572223232758</v>
      </c>
      <c r="AT13" s="292"/>
      <c r="AU13" s="86" t="s">
        <v>320</v>
      </c>
      <c r="AV13" s="220" t="s">
        <v>320</v>
      </c>
      <c r="AW13" s="220"/>
      <c r="AX13" s="218" t="s">
        <v>62</v>
      </c>
      <c r="AY13" s="216">
        <f>COS(BE11*PI()/180)</f>
        <v>0.92848582688091352</v>
      </c>
      <c r="AZ13" s="216"/>
      <c r="BG13" s="7"/>
      <c r="BH13" s="11"/>
      <c r="BI13" s="11"/>
      <c r="BJ13" s="11"/>
      <c r="BK13" s="11"/>
      <c r="BL13" s="11"/>
      <c r="BM13" s="11"/>
      <c r="BN13" s="11"/>
      <c r="BO13" s="11"/>
      <c r="BP13" s="11"/>
      <c r="BQ13" s="8"/>
      <c r="BU13" s="314">
        <f t="shared" si="0"/>
        <v>5</v>
      </c>
      <c r="BV13" s="218"/>
      <c r="BW13" s="236"/>
      <c r="BX13" s="314">
        <f>'4.部照-常1'!AU25</f>
        <v>120.75</v>
      </c>
      <c r="BY13" s="216"/>
      <c r="BZ13" s="216"/>
      <c r="CA13" s="315"/>
      <c r="CB13" s="314">
        <f>'4.部照-常1'!CE37</f>
        <v>-1.4421822589594957</v>
      </c>
      <c r="CC13" s="218"/>
      <c r="CD13" s="236"/>
      <c r="CE13" s="314">
        <f t="shared" si="1"/>
        <v>-2.6444576185894646</v>
      </c>
      <c r="CF13" s="216"/>
      <c r="CG13" s="216"/>
      <c r="CH13" s="216"/>
      <c r="CI13" s="315"/>
      <c r="CJ13" s="314">
        <f t="shared" si="2"/>
        <v>116.66336012245104</v>
      </c>
      <c r="CK13" s="218"/>
      <c r="CL13" s="236"/>
    </row>
    <row r="14" spans="3:90" x14ac:dyDescent="0.45">
      <c r="D14" t="s">
        <v>523</v>
      </c>
      <c r="X14" s="5"/>
      <c r="AH14" s="6"/>
      <c r="AN14" s="258"/>
      <c r="AO14" s="216">
        <f>AO12*(AQ12+AT12)</f>
        <v>22.03850220591805</v>
      </c>
      <c r="AP14" s="216"/>
      <c r="AQ14" s="216"/>
      <c r="AR14" t="s">
        <v>99</v>
      </c>
      <c r="AS14" s="253">
        <f>AO12*AW12</f>
        <v>2.8419771666969829</v>
      </c>
      <c r="AT14" s="257"/>
      <c r="AU14" s="2" t="s">
        <v>320</v>
      </c>
      <c r="AV14" s="220"/>
      <c r="AW14" s="220"/>
      <c r="AX14" s="218"/>
      <c r="AY14" s="216"/>
      <c r="AZ14" s="216"/>
      <c r="BU14" s="312">
        <f t="shared" si="0"/>
        <v>6</v>
      </c>
      <c r="BV14" s="225"/>
      <c r="BW14" s="231"/>
      <c r="BX14" s="312">
        <f>'4.部照-常1'!AU26</f>
        <v>151.80000000000001</v>
      </c>
      <c r="BY14" s="224"/>
      <c r="BZ14" s="224"/>
      <c r="CA14" s="313"/>
      <c r="CB14" s="312">
        <f>'4.部照-常1'!CE38</f>
        <v>-2.0767424529016738</v>
      </c>
      <c r="CC14" s="225"/>
      <c r="CD14" s="231"/>
      <c r="CE14" s="312">
        <f t="shared" si="1"/>
        <v>-2.6444576185894646</v>
      </c>
      <c r="CF14" s="224"/>
      <c r="CG14" s="224"/>
      <c r="CH14" s="224"/>
      <c r="CI14" s="313"/>
      <c r="CJ14" s="312">
        <f t="shared" si="2"/>
        <v>147.07879992850889</v>
      </c>
      <c r="CK14" s="225"/>
      <c r="CL14" s="231"/>
    </row>
    <row r="15" spans="3:90" x14ac:dyDescent="0.45">
      <c r="D15" t="s">
        <v>522</v>
      </c>
      <c r="X15" s="5"/>
      <c r="AH15" s="6"/>
      <c r="AN15" s="258" t="s">
        <v>3</v>
      </c>
      <c r="AO15" s="224">
        <f>AO13*AY13</f>
        <v>10.23121847193933</v>
      </c>
      <c r="AP15" s="224"/>
      <c r="AQ15" s="224"/>
      <c r="AR15" s="11" t="s">
        <v>99</v>
      </c>
      <c r="AS15" s="262">
        <f>AS13*AY13</f>
        <v>0.8795785065324413</v>
      </c>
      <c r="AT15" s="292"/>
      <c r="AU15" s="86" t="s">
        <v>320</v>
      </c>
      <c r="AV15" s="220" t="s">
        <v>320</v>
      </c>
      <c r="AW15" s="220"/>
      <c r="BD15" s="36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42" t="s">
        <v>45</v>
      </c>
    </row>
    <row r="16" spans="3:90" ht="19.2" x14ac:dyDescent="0.45">
      <c r="D16" s="245" t="s">
        <v>319</v>
      </c>
      <c r="E16" s="245"/>
      <c r="F16" s="258" t="s">
        <v>3</v>
      </c>
      <c r="G16" s="267" t="s">
        <v>242</v>
      </c>
      <c r="H16" s="267"/>
      <c r="I16" s="11" t="s">
        <v>67</v>
      </c>
      <c r="J16" s="94" t="s">
        <v>255</v>
      </c>
      <c r="K16" s="11" t="s">
        <v>99</v>
      </c>
      <c r="L16" s="86" t="s">
        <v>320</v>
      </c>
      <c r="M16" s="245" t="s">
        <v>254</v>
      </c>
      <c r="N16" s="245"/>
      <c r="X16" s="5"/>
      <c r="AH16" s="6"/>
      <c r="AN16" s="258"/>
      <c r="AO16" s="216">
        <f>AO14</f>
        <v>22.03850220591805</v>
      </c>
      <c r="AP16" s="216"/>
      <c r="AQ16" s="216"/>
      <c r="AR16" t="s">
        <v>99</v>
      </c>
      <c r="AS16" s="253">
        <f>AS14</f>
        <v>2.8419771666969829</v>
      </c>
      <c r="AT16" s="257"/>
      <c r="AU16" s="2" t="s">
        <v>320</v>
      </c>
      <c r="AV16" s="220"/>
      <c r="AW16" s="220"/>
      <c r="BD16" s="5"/>
      <c r="BQ16" s="6"/>
      <c r="BU16" t="s">
        <v>302</v>
      </c>
    </row>
    <row r="17" spans="4:99" ht="19.2" x14ac:dyDescent="0.45">
      <c r="D17" s="245"/>
      <c r="E17" s="245"/>
      <c r="F17" s="258"/>
      <c r="H17" s="245" t="s">
        <v>242</v>
      </c>
      <c r="I17" s="245"/>
      <c r="J17" t="s">
        <v>67</v>
      </c>
      <c r="K17" s="65" t="s">
        <v>255</v>
      </c>
      <c r="M17" s="245"/>
      <c r="N17" s="245"/>
      <c r="X17" s="5"/>
      <c r="AH17" s="6"/>
      <c r="BD17" s="5"/>
      <c r="BQ17" s="6"/>
      <c r="BU17" s="232" t="s">
        <v>48</v>
      </c>
      <c r="BV17" s="233"/>
      <c r="BW17" s="234"/>
      <c r="BX17" s="232" t="s">
        <v>314</v>
      </c>
      <c r="BY17" s="233"/>
      <c r="BZ17" s="233"/>
      <c r="CA17" s="234"/>
      <c r="CB17" s="340" t="s">
        <v>334</v>
      </c>
      <c r="CC17" s="341"/>
      <c r="CD17" s="341"/>
      <c r="CE17" s="340" t="s">
        <v>335</v>
      </c>
      <c r="CF17" s="372"/>
      <c r="CG17" s="372"/>
      <c r="CH17" s="372"/>
      <c r="CI17" s="373"/>
      <c r="CJ17" s="340" t="s">
        <v>336</v>
      </c>
      <c r="CK17" s="341"/>
      <c r="CL17" s="342"/>
    </row>
    <row r="18" spans="4:99" x14ac:dyDescent="0.45">
      <c r="F18" s="258" t="s">
        <v>3</v>
      </c>
      <c r="G18" s="374">
        <f>G6</f>
        <v>0.6</v>
      </c>
      <c r="H18" s="292"/>
      <c r="I18" s="11" t="s">
        <v>67</v>
      </c>
      <c r="J18" s="262">
        <f>G5</f>
        <v>6.4621977685614063</v>
      </c>
      <c r="K18" s="262"/>
      <c r="L18" s="11" t="s">
        <v>99</v>
      </c>
      <c r="M18" s="86" t="s">
        <v>320</v>
      </c>
      <c r="N18" s="216">
        <f>Q6</f>
        <v>3.673083700986342</v>
      </c>
      <c r="O18" s="218"/>
      <c r="X18" s="7"/>
      <c r="Y18" s="11"/>
      <c r="Z18" s="11"/>
      <c r="AA18" s="11"/>
      <c r="AB18" s="11"/>
      <c r="AC18" s="11"/>
      <c r="AD18" s="11"/>
      <c r="AE18" s="11"/>
      <c r="AF18" s="11"/>
      <c r="AG18" s="11"/>
      <c r="AH18" s="8"/>
      <c r="AL18" s="83" t="s">
        <v>322</v>
      </c>
      <c r="BD18" s="5"/>
      <c r="BQ18" s="6"/>
      <c r="BU18" s="235" t="s">
        <v>297</v>
      </c>
      <c r="BV18" s="220"/>
      <c r="BW18" s="237"/>
      <c r="BX18" s="235"/>
      <c r="BY18" s="220"/>
      <c r="BZ18" s="220"/>
      <c r="CA18" s="237"/>
      <c r="CB18" s="318" t="s">
        <v>485</v>
      </c>
      <c r="CC18" s="251"/>
      <c r="CD18" s="319"/>
      <c r="CE18" s="318" t="s">
        <v>489</v>
      </c>
      <c r="CF18" s="251"/>
      <c r="CG18" s="251"/>
      <c r="CH18" s="251"/>
      <c r="CI18" s="319"/>
      <c r="CJ18" s="368" t="s">
        <v>421</v>
      </c>
      <c r="CK18" s="369"/>
      <c r="CL18" s="370"/>
    </row>
    <row r="19" spans="4:99" x14ac:dyDescent="0.45">
      <c r="F19" s="258"/>
      <c r="H19" s="259">
        <f>G18</f>
        <v>0.6</v>
      </c>
      <c r="I19" s="257"/>
      <c r="J19" t="s">
        <v>67</v>
      </c>
      <c r="K19" s="253">
        <f>J18</f>
        <v>6.4621977685614063</v>
      </c>
      <c r="L19" s="253"/>
      <c r="N19" s="218"/>
      <c r="O19" s="218"/>
      <c r="AL19" s="251" t="s">
        <v>317</v>
      </c>
      <c r="AM19" s="251"/>
      <c r="AN19" s="258" t="s">
        <v>3</v>
      </c>
      <c r="AO19" s="220" t="s">
        <v>297</v>
      </c>
      <c r="AP19" s="220"/>
      <c r="AQ19" s="219" t="s">
        <v>99</v>
      </c>
      <c r="AR19" s="82">
        <v>1</v>
      </c>
      <c r="AS19" s="220" t="s">
        <v>320</v>
      </c>
      <c r="AT19" s="220"/>
      <c r="AU19" s="218" t="s">
        <v>62</v>
      </c>
      <c r="AV19" s="257" t="s">
        <v>181</v>
      </c>
      <c r="AW19" s="257"/>
      <c r="AX19" s="287" t="s">
        <v>395</v>
      </c>
      <c r="BD19" s="5"/>
      <c r="BQ19" s="6"/>
      <c r="BU19" s="230" t="s">
        <v>303</v>
      </c>
      <c r="BV19" s="225"/>
      <c r="BW19" s="231"/>
      <c r="BX19" s="230" t="s">
        <v>121</v>
      </c>
      <c r="BY19" s="225"/>
      <c r="BZ19" s="225"/>
      <c r="CA19" s="231"/>
      <c r="CB19" s="230" t="s">
        <v>121</v>
      </c>
      <c r="CC19" s="225"/>
      <c r="CD19" s="231"/>
      <c r="CE19" s="230" t="s">
        <v>121</v>
      </c>
      <c r="CF19" s="225"/>
      <c r="CG19" s="225"/>
      <c r="CH19" s="225"/>
      <c r="CI19" s="231"/>
      <c r="CJ19" s="230" t="s">
        <v>121</v>
      </c>
      <c r="CK19" s="225"/>
      <c r="CL19" s="231"/>
    </row>
    <row r="20" spans="4:99" x14ac:dyDescent="0.45">
      <c r="F20" s="122" t="s">
        <v>3</v>
      </c>
      <c r="G20" s="216">
        <f>G18*J18*N18/H19/K19</f>
        <v>3.6730837009863424</v>
      </c>
      <c r="H20" s="216"/>
      <c r="I20" t="s">
        <v>99</v>
      </c>
      <c r="J20" s="216">
        <f>N18/H19/K19</f>
        <v>0.94732572223232758</v>
      </c>
      <c r="K20" s="216"/>
      <c r="L20" s="2" t="s">
        <v>320</v>
      </c>
      <c r="X20" s="16"/>
      <c r="AL20" s="251"/>
      <c r="AM20" s="251"/>
      <c r="AN20" s="258"/>
      <c r="AO20" s="220"/>
      <c r="AP20" s="220"/>
      <c r="AQ20" s="219"/>
      <c r="AR20" s="14">
        <v>3</v>
      </c>
      <c r="AS20" s="220"/>
      <c r="AT20" s="220"/>
      <c r="AU20" s="218"/>
      <c r="AV20" s="257"/>
      <c r="AW20" s="257"/>
      <c r="AX20" s="287"/>
      <c r="BD20" s="5"/>
      <c r="BQ20" s="6"/>
      <c r="BU20" s="366">
        <f t="shared" ref="BU20:BU25" si="3">BU9</f>
        <v>1</v>
      </c>
      <c r="BV20" s="227"/>
      <c r="BW20" s="367"/>
      <c r="BX20" s="366">
        <v>0</v>
      </c>
      <c r="BY20" s="226"/>
      <c r="BZ20" s="226"/>
      <c r="CA20" s="371"/>
      <c r="CB20" s="366">
        <f>'4.部照-常1'!CH33</f>
        <v>1.8356393431788152</v>
      </c>
      <c r="CC20" s="227"/>
      <c r="CD20" s="367"/>
      <c r="CE20" s="366">
        <f t="shared" ref="CE20:CE25" si="4">BB32</f>
        <v>3.1629382066740037</v>
      </c>
      <c r="CF20" s="226"/>
      <c r="CG20" s="226"/>
      <c r="CH20" s="226"/>
      <c r="CI20" s="371"/>
      <c r="CJ20" s="366">
        <f>SUM(BX20:CI20)</f>
        <v>4.9985775498528184</v>
      </c>
      <c r="CK20" s="227"/>
      <c r="CL20" s="367"/>
    </row>
    <row r="21" spans="4:99" x14ac:dyDescent="0.45">
      <c r="AN21" s="258" t="s">
        <v>3</v>
      </c>
      <c r="AO21" s="220" t="s">
        <v>297</v>
      </c>
      <c r="AP21" s="220"/>
      <c r="AQ21" s="219" t="s">
        <v>99</v>
      </c>
      <c r="AR21" s="82">
        <v>1</v>
      </c>
      <c r="AS21" s="220" t="s">
        <v>320</v>
      </c>
      <c r="AT21" s="220"/>
      <c r="AU21" s="218" t="s">
        <v>62</v>
      </c>
      <c r="AV21" s="257" t="s">
        <v>181</v>
      </c>
      <c r="AW21" s="257"/>
      <c r="AX21" s="247">
        <f>Q7</f>
        <v>21.8</v>
      </c>
      <c r="AY21" s="218"/>
      <c r="BD21" s="5"/>
      <c r="BQ21" s="6"/>
      <c r="BU21" s="314">
        <f t="shared" si="3"/>
        <v>2</v>
      </c>
      <c r="BV21" s="218"/>
      <c r="BW21" s="236"/>
      <c r="BX21" s="314">
        <v>0</v>
      </c>
      <c r="BY21" s="216"/>
      <c r="BZ21" s="216"/>
      <c r="CA21" s="315"/>
      <c r="CB21" s="314">
        <f>'4.部照-常1'!CH34</f>
        <v>7.3425573727152607</v>
      </c>
      <c r="CC21" s="218"/>
      <c r="CD21" s="236"/>
      <c r="CE21" s="314">
        <f t="shared" si="4"/>
        <v>5.3055854247233309</v>
      </c>
      <c r="CF21" s="216"/>
      <c r="CG21" s="216"/>
      <c r="CH21" s="216"/>
      <c r="CI21" s="315"/>
      <c r="CJ21" s="314">
        <f t="shared" ref="CJ21:CJ25" si="5">SUM(BX21:CI21)</f>
        <v>12.648142797438592</v>
      </c>
      <c r="CK21" s="218"/>
      <c r="CL21" s="236"/>
    </row>
    <row r="22" spans="4:99" x14ac:dyDescent="0.45">
      <c r="D22" t="s">
        <v>521</v>
      </c>
      <c r="AN22" s="258"/>
      <c r="AO22" s="220"/>
      <c r="AP22" s="220"/>
      <c r="AQ22" s="219"/>
      <c r="AR22" s="14">
        <v>3</v>
      </c>
      <c r="AS22" s="220"/>
      <c r="AT22" s="220"/>
      <c r="AU22" s="218"/>
      <c r="AV22" s="257"/>
      <c r="AW22" s="257"/>
      <c r="AX22" s="218"/>
      <c r="AY22" s="218"/>
      <c r="BD22" s="5"/>
      <c r="BP22" s="98"/>
      <c r="BQ22" s="95"/>
      <c r="BU22" s="314">
        <f t="shared" si="3"/>
        <v>3</v>
      </c>
      <c r="BV22" s="218"/>
      <c r="BW22" s="236"/>
      <c r="BX22" s="314">
        <v>0</v>
      </c>
      <c r="BY22" s="216"/>
      <c r="BZ22" s="216"/>
      <c r="CA22" s="315"/>
      <c r="CB22" s="314">
        <f>'4.部照-常1'!CH35</f>
        <v>16.520754088609337</v>
      </c>
      <c r="CC22" s="218"/>
      <c r="CD22" s="236"/>
      <c r="CE22" s="314">
        <f t="shared" si="4"/>
        <v>6.4279416541479808</v>
      </c>
      <c r="CF22" s="216"/>
      <c r="CG22" s="216"/>
      <c r="CH22" s="216"/>
      <c r="CI22" s="315"/>
      <c r="CJ22" s="314">
        <f t="shared" si="5"/>
        <v>22.948695742757316</v>
      </c>
      <c r="CK22" s="218"/>
      <c r="CL22" s="236"/>
    </row>
    <row r="23" spans="4:99" x14ac:dyDescent="0.45">
      <c r="D23" s="245" t="s">
        <v>323</v>
      </c>
      <c r="E23" s="245"/>
      <c r="F23" s="258" t="s">
        <v>3</v>
      </c>
      <c r="G23" s="20" t="s">
        <v>60</v>
      </c>
      <c r="H23" s="267" t="s">
        <v>254</v>
      </c>
      <c r="I23" s="267"/>
      <c r="J23" s="20" t="s">
        <v>68</v>
      </c>
      <c r="K23" s="267" t="s">
        <v>319</v>
      </c>
      <c r="L23" s="267"/>
      <c r="M23" s="20" t="s">
        <v>61</v>
      </c>
      <c r="N23" s="20" t="s">
        <v>62</v>
      </c>
      <c r="O23" s="86" t="s">
        <v>320</v>
      </c>
      <c r="AN23" s="258" t="s">
        <v>3</v>
      </c>
      <c r="AO23" s="220" t="s">
        <v>297</v>
      </c>
      <c r="AP23" s="220"/>
      <c r="AQ23" s="219" t="s">
        <v>99</v>
      </c>
      <c r="AR23" s="82">
        <v>1</v>
      </c>
      <c r="AS23" s="220" t="s">
        <v>320</v>
      </c>
      <c r="AT23" s="220"/>
      <c r="AU23" s="218" t="s">
        <v>62</v>
      </c>
      <c r="AV23" s="216">
        <f>COS(AX21*PI()/180)</f>
        <v>0.92848582688091352</v>
      </c>
      <c r="AW23" s="216"/>
      <c r="BD23" s="5"/>
      <c r="BP23" s="98"/>
      <c r="BQ23" s="95"/>
      <c r="BU23" s="314">
        <f t="shared" si="3"/>
        <v>4</v>
      </c>
      <c r="BV23" s="218"/>
      <c r="BW23" s="236"/>
      <c r="BX23" s="314">
        <v>0</v>
      </c>
      <c r="BY23" s="216"/>
      <c r="BZ23" s="216"/>
      <c r="CA23" s="315"/>
      <c r="CB23" s="314">
        <f>'4.部照-常1'!CH36</f>
        <v>29.370229490861043</v>
      </c>
      <c r="CC23" s="218"/>
      <c r="CD23" s="236"/>
      <c r="CE23" s="314">
        <f t="shared" si="4"/>
        <v>6.6116157179030575</v>
      </c>
      <c r="CF23" s="216"/>
      <c r="CG23" s="216"/>
      <c r="CH23" s="216"/>
      <c r="CI23" s="315"/>
      <c r="CJ23" s="314">
        <f t="shared" si="5"/>
        <v>35.981845208764099</v>
      </c>
      <c r="CK23" s="218"/>
      <c r="CL23" s="236"/>
    </row>
    <row r="24" spans="4:99" x14ac:dyDescent="0.45">
      <c r="D24" s="245"/>
      <c r="E24" s="245"/>
      <c r="F24" s="258"/>
      <c r="G24" s="56"/>
      <c r="K24" s="61">
        <v>2</v>
      </c>
      <c r="AN24" s="258"/>
      <c r="AO24" s="220"/>
      <c r="AP24" s="220"/>
      <c r="AQ24" s="219"/>
      <c r="AR24" s="14">
        <v>3</v>
      </c>
      <c r="AS24" s="220"/>
      <c r="AT24" s="220"/>
      <c r="AU24" s="218"/>
      <c r="AV24" s="216"/>
      <c r="AW24" s="216"/>
      <c r="BD24" s="5"/>
      <c r="BP24" s="98"/>
      <c r="BQ24" s="95"/>
      <c r="BU24" s="314">
        <f t="shared" si="3"/>
        <v>5</v>
      </c>
      <c r="BV24" s="218"/>
      <c r="BW24" s="236"/>
      <c r="BX24" s="314">
        <v>0</v>
      </c>
      <c r="BY24" s="216"/>
      <c r="BZ24" s="216"/>
      <c r="CA24" s="315"/>
      <c r="CB24" s="314">
        <f>'4.部照-常1'!CH37</f>
        <v>45.89098357947038</v>
      </c>
      <c r="CC24" s="218"/>
      <c r="CD24" s="236"/>
      <c r="CE24" s="314">
        <f t="shared" si="4"/>
        <v>6.6116157179030575</v>
      </c>
      <c r="CF24" s="216"/>
      <c r="CG24" s="216"/>
      <c r="CH24" s="216"/>
      <c r="CI24" s="315"/>
      <c r="CJ24" s="314">
        <f t="shared" si="5"/>
        <v>52.502599297373436</v>
      </c>
      <c r="CK24" s="218"/>
      <c r="CL24" s="236"/>
    </row>
    <row r="25" spans="4:99" x14ac:dyDescent="0.45">
      <c r="F25" s="258" t="s">
        <v>3</v>
      </c>
      <c r="G25" s="20" t="s">
        <v>60</v>
      </c>
      <c r="H25" s="262">
        <f>Q6</f>
        <v>3.673083700986342</v>
      </c>
      <c r="I25" s="292"/>
      <c r="J25" s="20" t="s">
        <v>68</v>
      </c>
      <c r="K25" s="262">
        <f>G20</f>
        <v>3.6730837009863424</v>
      </c>
      <c r="L25" s="292"/>
      <c r="M25" s="11" t="s">
        <v>99</v>
      </c>
      <c r="N25" s="224">
        <f>J20</f>
        <v>0.94732572223232758</v>
      </c>
      <c r="O25" s="224"/>
      <c r="P25" s="86" t="s">
        <v>320</v>
      </c>
      <c r="Q25" s="20" t="s">
        <v>61</v>
      </c>
      <c r="R25" s="20" t="s">
        <v>62</v>
      </c>
      <c r="S25" s="86" t="s">
        <v>320</v>
      </c>
      <c r="AN25" s="4" t="s">
        <v>3</v>
      </c>
      <c r="AO25" s="220" t="s">
        <v>297</v>
      </c>
      <c r="AP25" s="220"/>
      <c r="AQ25" t="s">
        <v>99</v>
      </c>
      <c r="AR25" s="216">
        <f>AR23/AR24*AV23</f>
        <v>0.30949527562697116</v>
      </c>
      <c r="AS25" s="216"/>
      <c r="AT25" s="216"/>
      <c r="AU25" s="220" t="s">
        <v>320</v>
      </c>
      <c r="AV25" s="220"/>
      <c r="BD25" s="5"/>
      <c r="BP25" s="98"/>
      <c r="BQ25" s="95"/>
      <c r="BU25" s="312">
        <f t="shared" si="3"/>
        <v>6</v>
      </c>
      <c r="BV25" s="225"/>
      <c r="BW25" s="231"/>
      <c r="BX25" s="312">
        <v>0</v>
      </c>
      <c r="BY25" s="224"/>
      <c r="BZ25" s="224"/>
      <c r="CA25" s="313"/>
      <c r="CB25" s="312">
        <f>'4.部照-常1'!CH38</f>
        <v>66.083016354437348</v>
      </c>
      <c r="CC25" s="225"/>
      <c r="CD25" s="231"/>
      <c r="CE25" s="312">
        <f t="shared" si="4"/>
        <v>6.6116157179030575</v>
      </c>
      <c r="CF25" s="224"/>
      <c r="CG25" s="224"/>
      <c r="CH25" s="224"/>
      <c r="CI25" s="313"/>
      <c r="CJ25" s="312">
        <f t="shared" si="5"/>
        <v>72.694632072340411</v>
      </c>
      <c r="CK25" s="225"/>
      <c r="CL25" s="231"/>
    </row>
    <row r="26" spans="4:99" x14ac:dyDescent="0.45">
      <c r="F26" s="258"/>
      <c r="G26" s="56"/>
      <c r="K26" s="61">
        <v>2</v>
      </c>
      <c r="N26" s="35"/>
      <c r="O26" s="35"/>
      <c r="P26" s="1"/>
      <c r="BD26" s="5"/>
      <c r="BP26" s="98"/>
      <c r="BQ26" s="95"/>
    </row>
    <row r="27" spans="4:99" x14ac:dyDescent="0.45">
      <c r="F27" s="4" t="s">
        <v>3</v>
      </c>
      <c r="G27" s="216">
        <f>(H25+K25)/K26</f>
        <v>3.673083700986342</v>
      </c>
      <c r="H27" s="216"/>
      <c r="I27" s="2" t="s">
        <v>320</v>
      </c>
      <c r="J27" t="s">
        <v>99</v>
      </c>
      <c r="K27" s="216">
        <f>N25/K26</f>
        <v>0.47366286111616379</v>
      </c>
      <c r="L27" s="216"/>
      <c r="M27" s="2" t="s">
        <v>320</v>
      </c>
      <c r="N27" t="s">
        <v>296</v>
      </c>
      <c r="BD27" s="7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96"/>
      <c r="BQ27" s="97"/>
      <c r="BU27" t="s">
        <v>338</v>
      </c>
    </row>
    <row r="28" spans="4:99" x14ac:dyDescent="0.45">
      <c r="BU28" s="232" t="s">
        <v>48</v>
      </c>
      <c r="BV28" s="233"/>
      <c r="BW28" s="234"/>
      <c r="BX28" s="178" t="s">
        <v>314</v>
      </c>
      <c r="BY28" s="179"/>
      <c r="BZ28" s="179"/>
      <c r="CA28" s="179"/>
      <c r="CB28" s="179"/>
      <c r="CC28" s="180"/>
      <c r="CD28" s="178" t="s">
        <v>334</v>
      </c>
      <c r="CE28" s="179"/>
      <c r="CF28" s="179"/>
      <c r="CG28" s="179"/>
      <c r="CH28" s="179"/>
      <c r="CI28" s="180"/>
      <c r="CJ28" s="178" t="s">
        <v>335</v>
      </c>
      <c r="CK28" s="179"/>
      <c r="CL28" s="179"/>
      <c r="CM28" s="179"/>
      <c r="CN28" s="179"/>
      <c r="CO28" s="180"/>
      <c r="CP28" s="178" t="s">
        <v>336</v>
      </c>
      <c r="CQ28" s="179"/>
      <c r="CR28" s="179"/>
      <c r="CS28" s="179"/>
      <c r="CT28" s="179"/>
      <c r="CU28" s="180"/>
    </row>
    <row r="29" spans="4:99" x14ac:dyDescent="0.45">
      <c r="D29" t="s">
        <v>324</v>
      </c>
      <c r="AJ29" s="232" t="s">
        <v>48</v>
      </c>
      <c r="AK29" s="233"/>
      <c r="AL29" s="234"/>
      <c r="AM29" s="232"/>
      <c r="AN29" s="233"/>
      <c r="AO29" s="234"/>
      <c r="AP29" s="340"/>
      <c r="AQ29" s="341"/>
      <c r="AR29" s="341"/>
      <c r="AS29" s="363" t="s">
        <v>326</v>
      </c>
      <c r="AT29" s="364"/>
      <c r="AU29" s="365"/>
      <c r="AV29" s="340"/>
      <c r="AW29" s="341"/>
      <c r="AX29" s="342"/>
      <c r="AY29" s="340" t="s">
        <v>301</v>
      </c>
      <c r="AZ29" s="341"/>
      <c r="BA29" s="341"/>
      <c r="BB29" s="340" t="s">
        <v>302</v>
      </c>
      <c r="BC29" s="341"/>
      <c r="BD29" s="342"/>
      <c r="BE29" s="232" t="s">
        <v>298</v>
      </c>
      <c r="BF29" s="233"/>
      <c r="BG29" s="233"/>
      <c r="BH29" s="233"/>
      <c r="BI29" s="233"/>
      <c r="BJ29" s="234"/>
      <c r="BK29" s="178" t="s">
        <v>117</v>
      </c>
      <c r="BL29" s="179"/>
      <c r="BM29" s="179"/>
      <c r="BN29" s="179"/>
      <c r="BO29" s="179"/>
      <c r="BP29" s="179"/>
      <c r="BQ29" s="179"/>
      <c r="BR29" s="180"/>
      <c r="BU29" s="235" t="s">
        <v>297</v>
      </c>
      <c r="BV29" s="220"/>
      <c r="BW29" s="220"/>
      <c r="BX29" s="357" t="s">
        <v>339</v>
      </c>
      <c r="BY29" s="358"/>
      <c r="BZ29" s="359"/>
      <c r="CA29" s="357" t="s">
        <v>340</v>
      </c>
      <c r="CB29" s="358"/>
      <c r="CC29" s="359"/>
      <c r="CD29" s="357" t="s">
        <v>339</v>
      </c>
      <c r="CE29" s="358"/>
      <c r="CF29" s="359"/>
      <c r="CG29" s="357" t="s">
        <v>340</v>
      </c>
      <c r="CH29" s="358"/>
      <c r="CI29" s="359"/>
      <c r="CJ29" s="357" t="s">
        <v>339</v>
      </c>
      <c r="CK29" s="358"/>
      <c r="CL29" s="359"/>
      <c r="CM29" s="357" t="s">
        <v>340</v>
      </c>
      <c r="CN29" s="358"/>
      <c r="CO29" s="359"/>
      <c r="CP29" s="357" t="s">
        <v>342</v>
      </c>
      <c r="CQ29" s="358"/>
      <c r="CR29" s="359"/>
      <c r="CS29" s="357" t="s">
        <v>343</v>
      </c>
      <c r="CT29" s="358"/>
      <c r="CU29" s="359"/>
    </row>
    <row r="30" spans="4:99" x14ac:dyDescent="0.35">
      <c r="D30" s="251" t="s">
        <v>489</v>
      </c>
      <c r="E30" s="251"/>
      <c r="F30" s="16" t="s">
        <v>3</v>
      </c>
      <c r="G30" s="245" t="s">
        <v>323</v>
      </c>
      <c r="H30" s="245"/>
      <c r="I30" s="218" t="s">
        <v>181</v>
      </c>
      <c r="J30" s="218"/>
      <c r="K30" s="106" t="s">
        <v>395</v>
      </c>
      <c r="AJ30" s="235" t="s">
        <v>297</v>
      </c>
      <c r="AK30" s="220"/>
      <c r="AL30" s="237"/>
      <c r="AM30" s="235" t="s">
        <v>321</v>
      </c>
      <c r="AN30" s="220"/>
      <c r="AO30" s="237"/>
      <c r="AP30" s="318" t="s">
        <v>327</v>
      </c>
      <c r="AQ30" s="251"/>
      <c r="AR30" s="319"/>
      <c r="AS30" s="5"/>
      <c r="AT30" t="s">
        <v>328</v>
      </c>
      <c r="AU30" s="6"/>
      <c r="AV30" s="318" t="s">
        <v>329</v>
      </c>
      <c r="AW30" s="251"/>
      <c r="AX30" s="319"/>
      <c r="AY30" s="318" t="s">
        <v>490</v>
      </c>
      <c r="AZ30" s="251"/>
      <c r="BA30" s="319"/>
      <c r="BB30" s="318" t="s">
        <v>489</v>
      </c>
      <c r="BC30" s="251"/>
      <c r="BD30" s="319"/>
      <c r="BE30" s="320" t="s">
        <v>316</v>
      </c>
      <c r="BF30" s="321"/>
      <c r="BG30" s="322"/>
      <c r="BH30" s="320" t="s">
        <v>317</v>
      </c>
      <c r="BI30" s="321"/>
      <c r="BJ30" s="322"/>
      <c r="BK30" s="274" t="s">
        <v>491</v>
      </c>
      <c r="BL30" s="221"/>
      <c r="BM30" s="221"/>
      <c r="BN30" s="221"/>
      <c r="BO30" s="274" t="s">
        <v>492</v>
      </c>
      <c r="BP30" s="221"/>
      <c r="BQ30" s="221"/>
      <c r="BR30" s="282"/>
      <c r="BU30" s="230" t="s">
        <v>303</v>
      </c>
      <c r="BV30" s="225"/>
      <c r="BW30" s="225"/>
      <c r="BX30" s="360" t="s">
        <v>419</v>
      </c>
      <c r="BY30" s="361"/>
      <c r="BZ30" s="362"/>
      <c r="CA30" s="360" t="s">
        <v>419</v>
      </c>
      <c r="CB30" s="361"/>
      <c r="CC30" s="362"/>
      <c r="CD30" s="360" t="s">
        <v>419</v>
      </c>
      <c r="CE30" s="361"/>
      <c r="CF30" s="362"/>
      <c r="CG30" s="360" t="s">
        <v>419</v>
      </c>
      <c r="CH30" s="361"/>
      <c r="CI30" s="362"/>
      <c r="CJ30" s="360" t="s">
        <v>419</v>
      </c>
      <c r="CK30" s="361"/>
      <c r="CL30" s="362"/>
      <c r="CM30" s="360" t="s">
        <v>419</v>
      </c>
      <c r="CN30" s="361"/>
      <c r="CO30" s="362"/>
      <c r="CP30" s="360" t="s">
        <v>419</v>
      </c>
      <c r="CQ30" s="361"/>
      <c r="CR30" s="362"/>
      <c r="CS30" s="360" t="s">
        <v>419</v>
      </c>
      <c r="CT30" s="361"/>
      <c r="CU30" s="362"/>
    </row>
    <row r="31" spans="4:99" x14ac:dyDescent="0.45">
      <c r="F31" s="16" t="s">
        <v>3</v>
      </c>
      <c r="G31" s="245" t="s">
        <v>323</v>
      </c>
      <c r="H31" s="245"/>
      <c r="I31" s="257" t="s">
        <v>325</v>
      </c>
      <c r="J31" s="257"/>
      <c r="K31" s="257"/>
      <c r="L31" s="254">
        <f>Q7</f>
        <v>21.8</v>
      </c>
      <c r="M31" s="254"/>
      <c r="AJ31" s="230" t="s">
        <v>303</v>
      </c>
      <c r="AK31" s="225"/>
      <c r="AL31" s="231"/>
      <c r="AM31" s="230" t="s">
        <v>303</v>
      </c>
      <c r="AN31" s="225"/>
      <c r="AO31" s="231"/>
      <c r="AP31" s="230" t="s">
        <v>303</v>
      </c>
      <c r="AQ31" s="225"/>
      <c r="AR31" s="231"/>
      <c r="AS31" s="354" t="s">
        <v>330</v>
      </c>
      <c r="AT31" s="355"/>
      <c r="AU31" s="356"/>
      <c r="AV31" s="230" t="s">
        <v>121</v>
      </c>
      <c r="AW31" s="225"/>
      <c r="AX31" s="231"/>
      <c r="AY31" s="230" t="s">
        <v>121</v>
      </c>
      <c r="AZ31" s="225"/>
      <c r="BA31" s="231"/>
      <c r="BB31" s="230" t="s">
        <v>121</v>
      </c>
      <c r="BC31" s="225"/>
      <c r="BD31" s="231"/>
      <c r="BE31" s="230" t="s">
        <v>303</v>
      </c>
      <c r="BF31" s="225"/>
      <c r="BG31" s="231"/>
      <c r="BH31" s="230" t="s">
        <v>303</v>
      </c>
      <c r="BI31" s="225"/>
      <c r="BJ31" s="231"/>
      <c r="BK31" s="283" t="s">
        <v>394</v>
      </c>
      <c r="BL31" s="269"/>
      <c r="BM31" s="269"/>
      <c r="BN31" s="353"/>
      <c r="BO31" s="283" t="s">
        <v>394</v>
      </c>
      <c r="BP31" s="269"/>
      <c r="BQ31" s="269"/>
      <c r="BR31" s="353"/>
      <c r="BU31" s="314">
        <f t="shared" ref="BU31:BU36" si="6">BU9</f>
        <v>1</v>
      </c>
      <c r="BV31" s="218"/>
      <c r="BW31" s="218"/>
      <c r="BX31" s="323">
        <f>'4.部照-常1'!BB21</f>
        <v>4.3125000000000009</v>
      </c>
      <c r="BY31" s="213"/>
      <c r="BZ31" s="324"/>
      <c r="CA31" s="323">
        <v>0</v>
      </c>
      <c r="CB31" s="213"/>
      <c r="CC31" s="324"/>
      <c r="CD31" s="323">
        <f>'4.部照-常1'!CQ33</f>
        <v>-3.3650919375721566E-2</v>
      </c>
      <c r="CE31" s="213"/>
      <c r="CF31" s="324"/>
      <c r="CG31" s="323">
        <f>'4.部照-常1'!CU33</f>
        <v>0.61187978105960505</v>
      </c>
      <c r="CH31" s="213"/>
      <c r="CI31" s="324"/>
      <c r="CJ31" s="323">
        <f t="shared" ref="CJ31:CJ36" si="7">BK32</f>
        <v>-0.83590817579601773</v>
      </c>
      <c r="CK31" s="213"/>
      <c r="CL31" s="324"/>
      <c r="CM31" s="323">
        <f t="shared" ref="CM31:CM36" si="8">BO32</f>
        <v>1.6664933523890586</v>
      </c>
      <c r="CN31" s="213"/>
      <c r="CO31" s="324"/>
      <c r="CP31" s="323">
        <f>BX31+CD31+CJ31</f>
        <v>3.4429409048282613</v>
      </c>
      <c r="CQ31" s="213"/>
      <c r="CR31" s="324"/>
      <c r="CS31" s="323">
        <f>CA31+CG31+CM31</f>
        <v>2.2783731334486639</v>
      </c>
      <c r="CT31" s="213"/>
      <c r="CU31" s="324"/>
    </row>
    <row r="32" spans="4:99" x14ac:dyDescent="0.25">
      <c r="F32" s="16" t="s">
        <v>3</v>
      </c>
      <c r="G32" s="253">
        <f>COS((L31)*PI()/180)</f>
        <v>0.92848582688091352</v>
      </c>
      <c r="H32" s="253"/>
      <c r="I32" s="245" t="s">
        <v>323</v>
      </c>
      <c r="J32" s="245"/>
      <c r="K32" s="21"/>
      <c r="AJ32" s="314">
        <f>'4.部照-常1'!BV33</f>
        <v>1</v>
      </c>
      <c r="AK32" s="218"/>
      <c r="AL32" s="236"/>
      <c r="AM32" s="314">
        <f t="shared" ref="AM32:AM37" si="9">IF(AJ32&lt;G$7/R$10, AJ32, G$7/R$10)</f>
        <v>1</v>
      </c>
      <c r="AN32" s="218"/>
      <c r="AO32" s="236"/>
      <c r="AP32" s="314">
        <f t="shared" ref="AP32:AP37" si="10">IF(AM32*R$10&lt;G$7,AM32*R$10, G$7)</f>
        <v>1.0770223637762204</v>
      </c>
      <c r="AQ32" s="218"/>
      <c r="AR32" s="218"/>
      <c r="AS32" s="350" t="str">
        <f t="shared" ref="AS32:AS37" si="11">IF(AP32="","",IF(AP32&lt;G$7,"zi'&lt;ℓ₂","zi'=ℓ₂"))</f>
        <v>zi'&lt;ℓ₂</v>
      </c>
      <c r="AT32" s="219"/>
      <c r="AU32" s="351"/>
      <c r="AV32" s="216">
        <f t="shared" ref="AV32:AV37" si="12">G$27*AP32-K$27*AP32^2</f>
        <v>3.4065551838301547</v>
      </c>
      <c r="AW32" s="218"/>
      <c r="AX32" s="236"/>
      <c r="AY32" s="314">
        <f t="shared" ref="AY32:AY37" si="13">AV32*G$37</f>
        <v>-1.265085025301437</v>
      </c>
      <c r="AZ32" s="218"/>
      <c r="BA32" s="236"/>
      <c r="BB32" s="314">
        <f t="shared" ref="BB32:BB37" si="14">AV32*G$32</f>
        <v>3.1629382066740037</v>
      </c>
      <c r="BC32" s="218"/>
      <c r="BD32" s="236"/>
      <c r="BE32" s="314">
        <f t="shared" ref="BE32:BE37" si="15">AO$6*AM32+AS$6+BH32*AV$6</f>
        <v>0.66075256530433002</v>
      </c>
      <c r="BF32" s="218"/>
      <c r="BG32" s="218"/>
      <c r="BH32" s="314">
        <f t="shared" ref="BH32:BH37" si="16">IF(AP32&lt;G$7,(AO$15-AS$15*AP32)/(AO$16-AS$16*AP32)*AP32,AJ32-AR$25*AP32)</f>
        <v>0.52688141326082505</v>
      </c>
      <c r="BI32" s="218"/>
      <c r="BJ32" s="236"/>
      <c r="BK32" s="325">
        <f>AY32*BE32</f>
        <v>-0.83590817579601773</v>
      </c>
      <c r="BL32" s="326"/>
      <c r="BM32" s="326"/>
      <c r="BN32" s="327"/>
      <c r="BO32" s="325">
        <f>BB32*BH32</f>
        <v>1.6664933523890586</v>
      </c>
      <c r="BP32" s="326"/>
      <c r="BQ32" s="326"/>
      <c r="BR32" s="327"/>
      <c r="BU32" s="314">
        <f t="shared" si="6"/>
        <v>2</v>
      </c>
      <c r="BV32" s="218"/>
      <c r="BW32" s="236"/>
      <c r="BX32" s="323">
        <f>'4.部照-常1'!BB22</f>
        <v>17.940000000000001</v>
      </c>
      <c r="BY32" s="213"/>
      <c r="BZ32" s="324"/>
      <c r="CA32" s="323">
        <v>0</v>
      </c>
      <c r="CB32" s="213"/>
      <c r="CC32" s="324"/>
      <c r="CD32" s="323">
        <f>'4.部照-常1'!CQ34</f>
        <v>-0.17690769043236476</v>
      </c>
      <c r="CE32" s="213"/>
      <c r="CF32" s="324"/>
      <c r="CG32" s="323">
        <f>'4.部照-常1'!CU34</f>
        <v>4.8950382484768404</v>
      </c>
      <c r="CH32" s="213"/>
      <c r="CI32" s="324"/>
      <c r="CJ32" s="323">
        <f t="shared" si="7"/>
        <v>-2.0186977678909979</v>
      </c>
      <c r="CK32" s="213"/>
      <c r="CL32" s="324"/>
      <c r="CM32" s="323">
        <f t="shared" si="8"/>
        <v>5.9857794171397822</v>
      </c>
      <c r="CN32" s="213"/>
      <c r="CO32" s="324"/>
      <c r="CP32" s="323">
        <f t="shared" ref="CP32:CP36" si="17">BX32+CD32+CJ32</f>
        <v>15.744394541676638</v>
      </c>
      <c r="CQ32" s="213"/>
      <c r="CR32" s="324"/>
      <c r="CS32" s="323">
        <f t="shared" ref="CS32:CS36" si="18">CA32+CG32+CM32</f>
        <v>10.880817665616622</v>
      </c>
      <c r="CT32" s="213"/>
      <c r="CU32" s="324"/>
    </row>
    <row r="33" spans="4:105" x14ac:dyDescent="0.25">
      <c r="AJ33" s="314">
        <f>'4.部照-常1'!BV34</f>
        <v>2</v>
      </c>
      <c r="AK33" s="218"/>
      <c r="AL33" s="236"/>
      <c r="AM33" s="314">
        <f t="shared" si="9"/>
        <v>2</v>
      </c>
      <c r="AN33" s="218"/>
      <c r="AO33" s="236"/>
      <c r="AP33" s="314">
        <f t="shared" si="10"/>
        <v>2.1540447275524408</v>
      </c>
      <c r="AQ33" s="218"/>
      <c r="AR33" s="218"/>
      <c r="AS33" s="350" t="str">
        <f t="shared" si="11"/>
        <v>zi'&lt;ℓ₂</v>
      </c>
      <c r="AT33" s="219"/>
      <c r="AU33" s="351"/>
      <c r="AV33" s="216">
        <f t="shared" si="12"/>
        <v>5.7142341553521838</v>
      </c>
      <c r="AW33" s="218"/>
      <c r="AX33" s="236"/>
      <c r="AY33" s="314">
        <f t="shared" si="13"/>
        <v>-2.1220827701003651</v>
      </c>
      <c r="AZ33" s="218"/>
      <c r="BA33" s="236"/>
      <c r="BB33" s="314">
        <f t="shared" si="14"/>
        <v>5.3055854247233309</v>
      </c>
      <c r="BC33" s="218"/>
      <c r="BD33" s="236"/>
      <c r="BE33" s="314">
        <f t="shared" si="15"/>
        <v>0.95128135260978652</v>
      </c>
      <c r="BF33" s="218"/>
      <c r="BG33" s="218"/>
      <c r="BH33" s="314">
        <f t="shared" si="16"/>
        <v>1.1282033815244661</v>
      </c>
      <c r="BI33" s="218"/>
      <c r="BJ33" s="236"/>
      <c r="BK33" s="323">
        <f t="shared" ref="BK33:BK37" si="19">AY33*BE33</f>
        <v>-2.0186977678909979</v>
      </c>
      <c r="BL33" s="213"/>
      <c r="BM33" s="213"/>
      <c r="BN33" s="324"/>
      <c r="BO33" s="323">
        <f t="shared" ref="BO33:BO36" si="20">BB33*BH33</f>
        <v>5.9857794171397822</v>
      </c>
      <c r="BP33" s="213"/>
      <c r="BQ33" s="213"/>
      <c r="BR33" s="324"/>
      <c r="BU33" s="314">
        <f t="shared" si="6"/>
        <v>3</v>
      </c>
      <c r="BV33" s="218"/>
      <c r="BW33" s="236"/>
      <c r="BX33" s="323">
        <f>'4.部照-常1'!BB23</f>
        <v>41.917500000000011</v>
      </c>
      <c r="BY33" s="213"/>
      <c r="BZ33" s="324"/>
      <c r="CA33" s="323">
        <v>0</v>
      </c>
      <c r="CB33" s="213"/>
      <c r="CC33" s="324"/>
      <c r="CD33" s="323">
        <f>'4.部照-常1'!CQ35</f>
        <v>-0.49322633256414755</v>
      </c>
      <c r="CE33" s="213"/>
      <c r="CF33" s="324"/>
      <c r="CG33" s="323">
        <f>'4.部照-常1'!CU35</f>
        <v>16.520754088609337</v>
      </c>
      <c r="CH33" s="213"/>
      <c r="CI33" s="324"/>
      <c r="CJ33" s="323">
        <f t="shared" si="7"/>
        <v>-3.3239207720085604</v>
      </c>
      <c r="CK33" s="213"/>
      <c r="CL33" s="324"/>
      <c r="CM33" s="323">
        <f t="shared" si="8"/>
        <v>11.937567205627497</v>
      </c>
      <c r="CN33" s="213"/>
      <c r="CO33" s="324"/>
      <c r="CP33" s="323">
        <f t="shared" si="17"/>
        <v>38.100352895427299</v>
      </c>
      <c r="CQ33" s="213"/>
      <c r="CR33" s="324"/>
      <c r="CS33" s="323">
        <f t="shared" si="18"/>
        <v>28.458321294236832</v>
      </c>
      <c r="CT33" s="213"/>
      <c r="CU33" s="324"/>
    </row>
    <row r="34" spans="4:105" x14ac:dyDescent="0.25">
      <c r="D34" s="15" t="s">
        <v>92</v>
      </c>
      <c r="AJ34" s="314">
        <f>'4.部照-常1'!BV35</f>
        <v>3</v>
      </c>
      <c r="AK34" s="218"/>
      <c r="AL34" s="236"/>
      <c r="AM34" s="314">
        <f t="shared" si="9"/>
        <v>3</v>
      </c>
      <c r="AN34" s="218"/>
      <c r="AO34" s="236"/>
      <c r="AP34" s="314">
        <f t="shared" si="10"/>
        <v>3.2310670913286614</v>
      </c>
      <c r="AQ34" s="218"/>
      <c r="AR34" s="218"/>
      <c r="AS34" s="350" t="str">
        <f t="shared" si="11"/>
        <v>zi'&lt;ℓ₂</v>
      </c>
      <c r="AT34" s="219"/>
      <c r="AU34" s="351"/>
      <c r="AV34" s="216">
        <f t="shared" si="12"/>
        <v>6.9230369145660866</v>
      </c>
      <c r="AW34" s="218"/>
      <c r="AX34" s="236"/>
      <c r="AY34" s="314">
        <f t="shared" si="13"/>
        <v>-2.5709932343967838</v>
      </c>
      <c r="AZ34" s="216"/>
      <c r="BA34" s="315"/>
      <c r="BB34" s="314">
        <f t="shared" si="14"/>
        <v>6.4279416541479808</v>
      </c>
      <c r="BC34" s="218"/>
      <c r="BD34" s="236"/>
      <c r="BE34" s="314">
        <f t="shared" si="15"/>
        <v>1.2928547331585769</v>
      </c>
      <c r="BF34" s="218"/>
      <c r="BG34" s="218"/>
      <c r="BH34" s="314">
        <f t="shared" si="16"/>
        <v>1.8571368328964419</v>
      </c>
      <c r="BI34" s="218"/>
      <c r="BJ34" s="236"/>
      <c r="BK34" s="323">
        <f t="shared" si="19"/>
        <v>-3.3239207720085604</v>
      </c>
      <c r="BL34" s="213"/>
      <c r="BM34" s="213"/>
      <c r="BN34" s="324"/>
      <c r="BO34" s="323">
        <f t="shared" si="20"/>
        <v>11.937567205627497</v>
      </c>
      <c r="BP34" s="213"/>
      <c r="BQ34" s="213"/>
      <c r="BR34" s="324"/>
      <c r="BU34" s="314">
        <f t="shared" si="6"/>
        <v>4</v>
      </c>
      <c r="BV34" s="218"/>
      <c r="BW34" s="236"/>
      <c r="BX34" s="323">
        <f>'4.部照-常1'!BB24</f>
        <v>77.28000000000003</v>
      </c>
      <c r="BY34" s="213"/>
      <c r="BZ34" s="324"/>
      <c r="CA34" s="323">
        <v>0</v>
      </c>
      <c r="CB34" s="213"/>
      <c r="CC34" s="324"/>
      <c r="CD34" s="323">
        <f>'4.部照-常1'!CQ36</f>
        <v>-1.0460628651652875</v>
      </c>
      <c r="CE34" s="213"/>
      <c r="CF34" s="324"/>
      <c r="CG34" s="323">
        <f>'4.部照-常1'!CU36</f>
        <v>39.160305987814723</v>
      </c>
      <c r="CH34" s="213"/>
      <c r="CI34" s="324"/>
      <c r="CJ34" s="323">
        <f t="shared" si="7"/>
        <v>-4.4955701453468935</v>
      </c>
      <c r="CK34" s="213"/>
      <c r="CL34" s="324"/>
      <c r="CM34" s="323">
        <f t="shared" si="8"/>
        <v>18.512445942007229</v>
      </c>
      <c r="CN34" s="213"/>
      <c r="CO34" s="324"/>
      <c r="CP34" s="323">
        <f t="shared" si="17"/>
        <v>71.738366989487858</v>
      </c>
      <c r="CQ34" s="213"/>
      <c r="CR34" s="324"/>
      <c r="CS34" s="323">
        <f t="shared" si="18"/>
        <v>57.672751929821956</v>
      </c>
      <c r="CT34" s="213"/>
      <c r="CU34" s="324"/>
    </row>
    <row r="35" spans="4:105" x14ac:dyDescent="0.25">
      <c r="D35" s="251" t="s">
        <v>490</v>
      </c>
      <c r="E35" s="251"/>
      <c r="F35" s="16" t="s">
        <v>3</v>
      </c>
      <c r="G35" s="352" t="s">
        <v>481</v>
      </c>
      <c r="H35" s="245"/>
      <c r="I35" s="218" t="s">
        <v>180</v>
      </c>
      <c r="J35" s="218"/>
      <c r="K35" s="106" t="s">
        <v>395</v>
      </c>
      <c r="AJ35" s="314">
        <f>'4.部照-常1'!BV36</f>
        <v>4</v>
      </c>
      <c r="AK35" s="218"/>
      <c r="AL35" s="236"/>
      <c r="AM35" s="314">
        <f t="shared" si="9"/>
        <v>3.6000354231664389</v>
      </c>
      <c r="AN35" s="218"/>
      <c r="AO35" s="236"/>
      <c r="AP35" s="314">
        <f t="shared" si="10"/>
        <v>3.8773186611368438</v>
      </c>
      <c r="AQ35" s="218"/>
      <c r="AR35" s="218"/>
      <c r="AS35" s="350" t="str">
        <f t="shared" si="11"/>
        <v>zi'=ℓ₂</v>
      </c>
      <c r="AT35" s="219"/>
      <c r="AU35" s="351"/>
      <c r="AV35" s="216">
        <f t="shared" si="12"/>
        <v>7.1208579888759633</v>
      </c>
      <c r="AW35" s="218"/>
      <c r="AX35" s="236"/>
      <c r="AY35" s="314">
        <f t="shared" si="13"/>
        <v>-2.6444576185894646</v>
      </c>
      <c r="AZ35" s="216"/>
      <c r="BA35" s="315"/>
      <c r="BB35" s="314">
        <f t="shared" si="14"/>
        <v>6.6116157179030575</v>
      </c>
      <c r="BC35" s="218"/>
      <c r="BD35" s="236"/>
      <c r="BE35" s="314">
        <f t="shared" si="15"/>
        <v>1.6999970480694637</v>
      </c>
      <c r="BF35" s="218"/>
      <c r="BG35" s="218"/>
      <c r="BH35" s="314">
        <f t="shared" si="16"/>
        <v>2.799988192277854</v>
      </c>
      <c r="BI35" s="218"/>
      <c r="BJ35" s="236"/>
      <c r="BK35" s="323">
        <f t="shared" si="19"/>
        <v>-4.4955701453468935</v>
      </c>
      <c r="BL35" s="213"/>
      <c r="BM35" s="213"/>
      <c r="BN35" s="324"/>
      <c r="BO35" s="323">
        <f t="shared" si="20"/>
        <v>18.512445942007229</v>
      </c>
      <c r="BP35" s="213"/>
      <c r="BQ35" s="213"/>
      <c r="BR35" s="324"/>
      <c r="BU35" s="314">
        <f t="shared" si="6"/>
        <v>5</v>
      </c>
      <c r="BV35" s="218"/>
      <c r="BW35" s="236"/>
      <c r="BX35" s="323">
        <f>'4.部照-常1'!BB25</f>
        <v>125.06250000000004</v>
      </c>
      <c r="BY35" s="213"/>
      <c r="BZ35" s="324"/>
      <c r="CA35" s="323">
        <v>0</v>
      </c>
      <c r="CB35" s="213"/>
      <c r="CC35" s="324"/>
      <c r="CD35" s="323">
        <f>'4.部照-常1'!CQ37</f>
        <v>-1.8988733076300026</v>
      </c>
      <c r="CE35" s="213"/>
      <c r="CF35" s="324"/>
      <c r="CG35" s="323">
        <f>'4.部照-常1'!CU37</f>
        <v>76.484972632450635</v>
      </c>
      <c r="CH35" s="213"/>
      <c r="CI35" s="324"/>
      <c r="CJ35" s="323">
        <f t="shared" si="7"/>
        <v>-5.5533531927826791</v>
      </c>
      <c r="CK35" s="213"/>
      <c r="CL35" s="324"/>
      <c r="CM35" s="323">
        <f t="shared" si="8"/>
        <v>25.124061659910286</v>
      </c>
      <c r="CN35" s="213"/>
      <c r="CO35" s="324"/>
      <c r="CP35" s="323">
        <f t="shared" si="17"/>
        <v>117.61027349958736</v>
      </c>
      <c r="CQ35" s="213"/>
      <c r="CR35" s="324"/>
      <c r="CS35" s="323">
        <f t="shared" si="18"/>
        <v>101.60903429236092</v>
      </c>
      <c r="CT35" s="213"/>
      <c r="CU35" s="324"/>
    </row>
    <row r="36" spans="4:105" x14ac:dyDescent="0.25">
      <c r="F36" s="16" t="s">
        <v>3</v>
      </c>
      <c r="G36" s="352" t="s">
        <v>481</v>
      </c>
      <c r="H36" s="245"/>
      <c r="I36" s="257" t="s">
        <v>331</v>
      </c>
      <c r="J36" s="257"/>
      <c r="K36" s="257"/>
      <c r="L36" s="254">
        <f>Q7</f>
        <v>21.8</v>
      </c>
      <c r="M36" s="254"/>
      <c r="AJ36" s="314">
        <f>'4.部照-常1'!BV37</f>
        <v>5</v>
      </c>
      <c r="AK36" s="218"/>
      <c r="AL36" s="236"/>
      <c r="AM36" s="314">
        <f t="shared" si="9"/>
        <v>3.6000354231664389</v>
      </c>
      <c r="AN36" s="218"/>
      <c r="AO36" s="236"/>
      <c r="AP36" s="314">
        <f t="shared" si="10"/>
        <v>3.8773186611368438</v>
      </c>
      <c r="AQ36" s="218"/>
      <c r="AR36" s="218"/>
      <c r="AS36" s="350" t="str">
        <f t="shared" si="11"/>
        <v>zi'=ℓ₂</v>
      </c>
      <c r="AT36" s="219"/>
      <c r="AU36" s="351"/>
      <c r="AV36" s="216">
        <f t="shared" si="12"/>
        <v>7.1208579888759633</v>
      </c>
      <c r="AW36" s="218"/>
      <c r="AX36" s="236"/>
      <c r="AY36" s="314">
        <f t="shared" si="13"/>
        <v>-2.6444576185894646</v>
      </c>
      <c r="AZ36" s="216"/>
      <c r="BA36" s="315"/>
      <c r="BB36" s="314">
        <f t="shared" si="14"/>
        <v>6.6116157179030575</v>
      </c>
      <c r="BC36" s="218"/>
      <c r="BD36" s="236"/>
      <c r="BE36" s="314">
        <f t="shared" si="15"/>
        <v>2.0999970480694636</v>
      </c>
      <c r="BF36" s="218"/>
      <c r="BG36" s="218"/>
      <c r="BH36" s="314">
        <f t="shared" si="16"/>
        <v>3.799988192277854</v>
      </c>
      <c r="BI36" s="218"/>
      <c r="BJ36" s="236"/>
      <c r="BK36" s="323">
        <f t="shared" si="19"/>
        <v>-5.5533531927826791</v>
      </c>
      <c r="BL36" s="213"/>
      <c r="BM36" s="213"/>
      <c r="BN36" s="324"/>
      <c r="BO36" s="323">
        <f t="shared" si="20"/>
        <v>25.124061659910286</v>
      </c>
      <c r="BP36" s="213"/>
      <c r="BQ36" s="213"/>
      <c r="BR36" s="324"/>
      <c r="BU36" s="312">
        <f t="shared" si="6"/>
        <v>6</v>
      </c>
      <c r="BV36" s="225"/>
      <c r="BW36" s="231"/>
      <c r="BX36" s="328">
        <f>'4.部照-常1'!BB26</f>
        <v>186.3000000000001</v>
      </c>
      <c r="BY36" s="293"/>
      <c r="BZ36" s="329"/>
      <c r="CA36" s="328">
        <v>0</v>
      </c>
      <c r="CB36" s="293"/>
      <c r="CC36" s="329"/>
      <c r="CD36" s="328">
        <f>'4.部照-常1'!CQ38</f>
        <v>-3.1151136793525107</v>
      </c>
      <c r="CE36" s="293"/>
      <c r="CF36" s="329"/>
      <c r="CG36" s="328">
        <f>'4.部照-常1'!CU38</f>
        <v>132.1660327088747</v>
      </c>
      <c r="CH36" s="293"/>
      <c r="CI36" s="329"/>
      <c r="CJ36" s="328">
        <f t="shared" si="7"/>
        <v>-6.6111362402184648</v>
      </c>
      <c r="CK36" s="293"/>
      <c r="CL36" s="329"/>
      <c r="CM36" s="328">
        <f t="shared" si="8"/>
        <v>31.735677377813342</v>
      </c>
      <c r="CN36" s="293"/>
      <c r="CO36" s="329"/>
      <c r="CP36" s="328">
        <f t="shared" si="17"/>
        <v>176.57375008042914</v>
      </c>
      <c r="CQ36" s="293"/>
      <c r="CR36" s="329"/>
      <c r="CS36" s="328">
        <f t="shared" si="18"/>
        <v>163.90171008668804</v>
      </c>
      <c r="CT36" s="293"/>
      <c r="CU36" s="329"/>
    </row>
    <row r="37" spans="4:105" x14ac:dyDescent="0.25">
      <c r="F37" s="16" t="s">
        <v>3</v>
      </c>
      <c r="G37" s="253">
        <f>-SIN((L36)*PI()/180)</f>
        <v>-0.37136783555023484</v>
      </c>
      <c r="H37" s="253"/>
      <c r="I37" s="245" t="s">
        <v>323</v>
      </c>
      <c r="J37" s="245"/>
      <c r="K37" s="21"/>
      <c r="AJ37" s="312">
        <f>'4.部照-常1'!BV38</f>
        <v>6</v>
      </c>
      <c r="AK37" s="225"/>
      <c r="AL37" s="231"/>
      <c r="AM37" s="312">
        <f t="shared" si="9"/>
        <v>3.6000354231664389</v>
      </c>
      <c r="AN37" s="225"/>
      <c r="AO37" s="231"/>
      <c r="AP37" s="312">
        <f t="shared" si="10"/>
        <v>3.8773186611368438</v>
      </c>
      <c r="AQ37" s="225"/>
      <c r="AR37" s="225"/>
      <c r="AS37" s="347" t="str">
        <f t="shared" si="11"/>
        <v>zi'=ℓ₂</v>
      </c>
      <c r="AT37" s="348"/>
      <c r="AU37" s="349"/>
      <c r="AV37" s="224">
        <f t="shared" si="12"/>
        <v>7.1208579888759633</v>
      </c>
      <c r="AW37" s="225"/>
      <c r="AX37" s="231"/>
      <c r="AY37" s="312">
        <f t="shared" si="13"/>
        <v>-2.6444576185894646</v>
      </c>
      <c r="AZ37" s="224"/>
      <c r="BA37" s="313"/>
      <c r="BB37" s="312">
        <f t="shared" si="14"/>
        <v>6.6116157179030575</v>
      </c>
      <c r="BC37" s="225"/>
      <c r="BD37" s="231"/>
      <c r="BE37" s="312">
        <f t="shared" si="15"/>
        <v>2.4999970480694635</v>
      </c>
      <c r="BF37" s="225"/>
      <c r="BG37" s="225"/>
      <c r="BH37" s="312">
        <f t="shared" si="16"/>
        <v>4.799988192277854</v>
      </c>
      <c r="BI37" s="225"/>
      <c r="BJ37" s="231"/>
      <c r="BK37" s="328">
        <f t="shared" si="19"/>
        <v>-6.6111362402184648</v>
      </c>
      <c r="BL37" s="293"/>
      <c r="BM37" s="293"/>
      <c r="BN37" s="329"/>
      <c r="BO37" s="328">
        <f>BB37*BH37</f>
        <v>31.735677377813342</v>
      </c>
      <c r="BP37" s="293"/>
      <c r="BQ37" s="293"/>
      <c r="BR37" s="329"/>
    </row>
    <row r="38" spans="4:105" x14ac:dyDescent="0.45">
      <c r="AI38">
        <v>18</v>
      </c>
      <c r="BR38">
        <v>19</v>
      </c>
      <c r="DA38">
        <v>20</v>
      </c>
    </row>
  </sheetData>
  <sheetProtection sheet="1" objects="1" scenarios="1"/>
  <mergeCells count="393">
    <mergeCell ref="D6:E6"/>
    <mergeCell ref="G6:I6"/>
    <mergeCell ref="D5:E5"/>
    <mergeCell ref="G5:I5"/>
    <mergeCell ref="N5:O5"/>
    <mergeCell ref="Q5:S5"/>
    <mergeCell ref="N7:O7"/>
    <mergeCell ref="Q7:S7"/>
    <mergeCell ref="AL4:AM4"/>
    <mergeCell ref="N6:O6"/>
    <mergeCell ref="Q6:S6"/>
    <mergeCell ref="AV4:AW4"/>
    <mergeCell ref="BA5:BB5"/>
    <mergeCell ref="BU6:BW6"/>
    <mergeCell ref="BX6:CA6"/>
    <mergeCell ref="CB6:CD6"/>
    <mergeCell ref="AO6:AP6"/>
    <mergeCell ref="AS6:AT6"/>
    <mergeCell ref="AV6:AW6"/>
    <mergeCell ref="BD5:BE5"/>
    <mergeCell ref="AX6:AY6"/>
    <mergeCell ref="D10:E11"/>
    <mergeCell ref="F10:F11"/>
    <mergeCell ref="G10:I10"/>
    <mergeCell ref="K10:K11"/>
    <mergeCell ref="CE7:CI7"/>
    <mergeCell ref="CJ7:CL7"/>
    <mergeCell ref="BU8:BW8"/>
    <mergeCell ref="G7:I7"/>
    <mergeCell ref="BU7:BW7"/>
    <mergeCell ref="BX7:CA7"/>
    <mergeCell ref="CB7:CD7"/>
    <mergeCell ref="D7:E7"/>
    <mergeCell ref="L10:O10"/>
    <mergeCell ref="Q10:Q11"/>
    <mergeCell ref="R10:S11"/>
    <mergeCell ref="T10:T11"/>
    <mergeCell ref="BX8:CA8"/>
    <mergeCell ref="CB8:CD8"/>
    <mergeCell ref="CE8:CI8"/>
    <mergeCell ref="BU9:BW9"/>
    <mergeCell ref="BX9:CA9"/>
    <mergeCell ref="CB9:CD9"/>
    <mergeCell ref="CE9:CI9"/>
    <mergeCell ref="G11:H11"/>
    <mergeCell ref="CE6:CI6"/>
    <mergeCell ref="CJ6:CL6"/>
    <mergeCell ref="CJ9:CL9"/>
    <mergeCell ref="AP9:AQ9"/>
    <mergeCell ref="AS9:AT9"/>
    <mergeCell ref="AV9:AW10"/>
    <mergeCell ref="AX9:AX10"/>
    <mergeCell ref="AY9:AZ10"/>
    <mergeCell ref="BA9:BA10"/>
    <mergeCell ref="CE10:CI10"/>
    <mergeCell ref="CJ10:CL10"/>
    <mergeCell ref="CJ8:CL8"/>
    <mergeCell ref="L11:M11"/>
    <mergeCell ref="N11:O11"/>
    <mergeCell ref="AS10:AT10"/>
    <mergeCell ref="BU10:BW10"/>
    <mergeCell ref="BX10:CA10"/>
    <mergeCell ref="CB10:CD10"/>
    <mergeCell ref="CB11:CD11"/>
    <mergeCell ref="AW11:AX11"/>
    <mergeCell ref="BA11:BB12"/>
    <mergeCell ref="BC11:BD12"/>
    <mergeCell ref="BE11:BF12"/>
    <mergeCell ref="BU11:BW11"/>
    <mergeCell ref="BX11:CA11"/>
    <mergeCell ref="AN11:AN12"/>
    <mergeCell ref="AQ11:AR11"/>
    <mergeCell ref="AT11:AU11"/>
    <mergeCell ref="AQ12:AR12"/>
    <mergeCell ref="AT12:AU12"/>
    <mergeCell ref="AW12:AX12"/>
    <mergeCell ref="BU12:BW12"/>
    <mergeCell ref="BX12:CA12"/>
    <mergeCell ref="AL9:AM10"/>
    <mergeCell ref="AN9:AN10"/>
    <mergeCell ref="CB13:CD13"/>
    <mergeCell ref="CE13:CI13"/>
    <mergeCell ref="CJ13:CL13"/>
    <mergeCell ref="AS13:AT13"/>
    <mergeCell ref="AV13:AW14"/>
    <mergeCell ref="AX13:AX14"/>
    <mergeCell ref="AY13:AZ14"/>
    <mergeCell ref="BU13:BW13"/>
    <mergeCell ref="BX13:CA13"/>
    <mergeCell ref="CE11:CI11"/>
    <mergeCell ref="CJ11:CL11"/>
    <mergeCell ref="CE12:CI12"/>
    <mergeCell ref="CJ12:CL12"/>
    <mergeCell ref="CB12:CD12"/>
    <mergeCell ref="H19:I19"/>
    <mergeCell ref="K19:L19"/>
    <mergeCell ref="F18:F19"/>
    <mergeCell ref="G18:H18"/>
    <mergeCell ref="J18:K18"/>
    <mergeCell ref="N18:O19"/>
    <mergeCell ref="AO16:AQ16"/>
    <mergeCell ref="AS16:AT16"/>
    <mergeCell ref="AV15:AW16"/>
    <mergeCell ref="CE14:CI14"/>
    <mergeCell ref="CJ14:CL14"/>
    <mergeCell ref="AO14:AQ14"/>
    <mergeCell ref="AS14:AT14"/>
    <mergeCell ref="BU14:BW14"/>
    <mergeCell ref="BX14:CA14"/>
    <mergeCell ref="CB14:CD14"/>
    <mergeCell ref="H17:I17"/>
    <mergeCell ref="AN13:AN14"/>
    <mergeCell ref="AO13:AQ13"/>
    <mergeCell ref="AN15:AN16"/>
    <mergeCell ref="AO15:AQ15"/>
    <mergeCell ref="AS15:AT15"/>
    <mergeCell ref="BU17:BW17"/>
    <mergeCell ref="BX17:CA17"/>
    <mergeCell ref="CB17:CD17"/>
    <mergeCell ref="CE17:CI17"/>
    <mergeCell ref="CJ17:CL17"/>
    <mergeCell ref="D16:E17"/>
    <mergeCell ref="F16:F17"/>
    <mergeCell ref="G16:H16"/>
    <mergeCell ref="M16:N17"/>
    <mergeCell ref="CJ19:CL19"/>
    <mergeCell ref="CJ20:CL20"/>
    <mergeCell ref="AN19:AN20"/>
    <mergeCell ref="AO19:AP20"/>
    <mergeCell ref="AQ19:AQ20"/>
    <mergeCell ref="AS19:AT20"/>
    <mergeCell ref="AU19:AU20"/>
    <mergeCell ref="AV19:AW20"/>
    <mergeCell ref="CE18:CI18"/>
    <mergeCell ref="CJ18:CL18"/>
    <mergeCell ref="BU18:BW18"/>
    <mergeCell ref="BX18:CA18"/>
    <mergeCell ref="CB18:CD18"/>
    <mergeCell ref="BU20:BW20"/>
    <mergeCell ref="BX20:CA20"/>
    <mergeCell ref="CB20:CD20"/>
    <mergeCell ref="CE20:CI20"/>
    <mergeCell ref="D23:E24"/>
    <mergeCell ref="F23:F24"/>
    <mergeCell ref="AX19:AX20"/>
    <mergeCell ref="AL19:AM20"/>
    <mergeCell ref="BU21:BW21"/>
    <mergeCell ref="BX21:CA21"/>
    <mergeCell ref="CB21:CD21"/>
    <mergeCell ref="CE21:CI21"/>
    <mergeCell ref="CB22:CD22"/>
    <mergeCell ref="CE22:CI22"/>
    <mergeCell ref="BU22:BW22"/>
    <mergeCell ref="BX22:CA22"/>
    <mergeCell ref="AN21:AN22"/>
    <mergeCell ref="AO21:AP22"/>
    <mergeCell ref="AQ21:AQ22"/>
    <mergeCell ref="AS21:AT22"/>
    <mergeCell ref="BU19:BW19"/>
    <mergeCell ref="BX19:CA19"/>
    <mergeCell ref="CB19:CD19"/>
    <mergeCell ref="CE19:CI19"/>
    <mergeCell ref="AU21:AU22"/>
    <mergeCell ref="AV21:AW22"/>
    <mergeCell ref="AX21:AY22"/>
    <mergeCell ref="AU23:AU24"/>
    <mergeCell ref="CJ25:CL25"/>
    <mergeCell ref="BU24:BW24"/>
    <mergeCell ref="BX24:CA24"/>
    <mergeCell ref="CB24:CD24"/>
    <mergeCell ref="CE24:CI24"/>
    <mergeCell ref="CJ24:CL24"/>
    <mergeCell ref="BU23:BW23"/>
    <mergeCell ref="BX23:CA23"/>
    <mergeCell ref="CB23:CD23"/>
    <mergeCell ref="CE23:CI23"/>
    <mergeCell ref="CJ23:CL23"/>
    <mergeCell ref="CJ21:CL21"/>
    <mergeCell ref="CJ22:CL22"/>
    <mergeCell ref="D30:E30"/>
    <mergeCell ref="G30:H30"/>
    <mergeCell ref="AO25:AP25"/>
    <mergeCell ref="AR25:AT25"/>
    <mergeCell ref="AU25:AV25"/>
    <mergeCell ref="BU25:BW25"/>
    <mergeCell ref="BX25:CA25"/>
    <mergeCell ref="CB25:CD25"/>
    <mergeCell ref="CE25:CI25"/>
    <mergeCell ref="AP29:AR29"/>
    <mergeCell ref="AS29:AU29"/>
    <mergeCell ref="AV29:AX29"/>
    <mergeCell ref="AY29:BA29"/>
    <mergeCell ref="BE30:BG30"/>
    <mergeCell ref="AJ30:AL30"/>
    <mergeCell ref="AM30:AO30"/>
    <mergeCell ref="AP30:AR30"/>
    <mergeCell ref="AV30:AX30"/>
    <mergeCell ref="AN23:AN24"/>
    <mergeCell ref="AO23:AP24"/>
    <mergeCell ref="AQ23:AQ24"/>
    <mergeCell ref="AS23:AT24"/>
    <mergeCell ref="AV23:AW24"/>
    <mergeCell ref="G27:H27"/>
    <mergeCell ref="K27:L27"/>
    <mergeCell ref="F25:F26"/>
    <mergeCell ref="H25:I25"/>
    <mergeCell ref="K25:L25"/>
    <mergeCell ref="N25:O25"/>
    <mergeCell ref="H23:I23"/>
    <mergeCell ref="K23:L23"/>
    <mergeCell ref="G31:H31"/>
    <mergeCell ref="I31:K31"/>
    <mergeCell ref="L31:M31"/>
    <mergeCell ref="CJ30:CL30"/>
    <mergeCell ref="CM30:CO30"/>
    <mergeCell ref="CP30:CR30"/>
    <mergeCell ref="CS30:CU30"/>
    <mergeCell ref="BU28:BW28"/>
    <mergeCell ref="BX28:CC28"/>
    <mergeCell ref="CD28:CI28"/>
    <mergeCell ref="BU30:BW30"/>
    <mergeCell ref="BX30:BZ30"/>
    <mergeCell ref="CA30:CC30"/>
    <mergeCell ref="CD30:CF30"/>
    <mergeCell ref="CG30:CI30"/>
    <mergeCell ref="AJ29:AL29"/>
    <mergeCell ref="AM29:AO29"/>
    <mergeCell ref="CD29:CF29"/>
    <mergeCell ref="CG29:CI29"/>
    <mergeCell ref="CJ28:CO28"/>
    <mergeCell ref="CP28:CU28"/>
    <mergeCell ref="CJ29:CL29"/>
    <mergeCell ref="CM29:CO29"/>
    <mergeCell ref="CP29:CR29"/>
    <mergeCell ref="CS29:CU29"/>
    <mergeCell ref="I30:J30"/>
    <mergeCell ref="BB29:BD29"/>
    <mergeCell ref="BE29:BJ29"/>
    <mergeCell ref="BK29:BR29"/>
    <mergeCell ref="BU31:BW31"/>
    <mergeCell ref="BX31:BZ31"/>
    <mergeCell ref="CA31:CC31"/>
    <mergeCell ref="BU29:BW29"/>
    <mergeCell ref="BX29:BZ29"/>
    <mergeCell ref="CA29:CC29"/>
    <mergeCell ref="D35:E35"/>
    <mergeCell ref="BH30:BJ30"/>
    <mergeCell ref="BK30:BN30"/>
    <mergeCell ref="BU32:BW32"/>
    <mergeCell ref="BX32:BZ32"/>
    <mergeCell ref="CA32:CC32"/>
    <mergeCell ref="CD32:CF32"/>
    <mergeCell ref="CG32:CI32"/>
    <mergeCell ref="CJ32:CL32"/>
    <mergeCell ref="BO30:BR30"/>
    <mergeCell ref="AV31:AX31"/>
    <mergeCell ref="AY31:BA31"/>
    <mergeCell ref="BB31:BD31"/>
    <mergeCell ref="BE31:BG31"/>
    <mergeCell ref="BH31:BJ31"/>
    <mergeCell ref="BK31:BN31"/>
    <mergeCell ref="AY30:BA30"/>
    <mergeCell ref="BB30:BD30"/>
    <mergeCell ref="AJ31:AL31"/>
    <mergeCell ref="AM31:AO31"/>
    <mergeCell ref="AP31:AR31"/>
    <mergeCell ref="AS31:AU31"/>
    <mergeCell ref="CD31:CF31"/>
    <mergeCell ref="CG31:CI31"/>
    <mergeCell ref="CS33:CU33"/>
    <mergeCell ref="BO31:BR31"/>
    <mergeCell ref="BU33:BW33"/>
    <mergeCell ref="BX33:BZ33"/>
    <mergeCell ref="CA33:CC33"/>
    <mergeCell ref="CD33:CF33"/>
    <mergeCell ref="CG33:CI33"/>
    <mergeCell ref="CJ33:CL33"/>
    <mergeCell ref="CM33:CO33"/>
    <mergeCell ref="CP33:CR33"/>
    <mergeCell ref="CS32:CU32"/>
    <mergeCell ref="BO33:BR33"/>
    <mergeCell ref="CM32:CO32"/>
    <mergeCell ref="CP32:CR32"/>
    <mergeCell ref="CJ31:CL31"/>
    <mergeCell ref="CM31:CO31"/>
    <mergeCell ref="CP31:CR31"/>
    <mergeCell ref="CS31:CU31"/>
    <mergeCell ref="G36:H36"/>
    <mergeCell ref="AJ33:AL33"/>
    <mergeCell ref="AM33:AO33"/>
    <mergeCell ref="AP33:AR33"/>
    <mergeCell ref="AS33:AU33"/>
    <mergeCell ref="G35:H35"/>
    <mergeCell ref="I35:J35"/>
    <mergeCell ref="I32:J32"/>
    <mergeCell ref="G32:H32"/>
    <mergeCell ref="AP36:AR36"/>
    <mergeCell ref="AS36:AU36"/>
    <mergeCell ref="CG34:CI34"/>
    <mergeCell ref="G37:H37"/>
    <mergeCell ref="I37:J37"/>
    <mergeCell ref="AJ32:AL32"/>
    <mergeCell ref="AM32:AO32"/>
    <mergeCell ref="AP32:AR32"/>
    <mergeCell ref="AS32:AU32"/>
    <mergeCell ref="I36:K36"/>
    <mergeCell ref="L36:M36"/>
    <mergeCell ref="AV33:AX33"/>
    <mergeCell ref="AJ34:AL34"/>
    <mergeCell ref="AM34:AO34"/>
    <mergeCell ref="AP34:AR34"/>
    <mergeCell ref="AS34:AU34"/>
    <mergeCell ref="BO32:BR32"/>
    <mergeCell ref="BU34:BW34"/>
    <mergeCell ref="BX34:BZ34"/>
    <mergeCell ref="CA34:CC34"/>
    <mergeCell ref="AV34:AX34"/>
    <mergeCell ref="AY34:BA34"/>
    <mergeCell ref="BB34:BD34"/>
    <mergeCell ref="BE34:BG34"/>
    <mergeCell ref="BH34:BJ34"/>
    <mergeCell ref="BK34:BN34"/>
    <mergeCell ref="AV32:AX32"/>
    <mergeCell ref="AY32:BA32"/>
    <mergeCell ref="BB32:BD32"/>
    <mergeCell ref="BE32:BG32"/>
    <mergeCell ref="BH32:BJ32"/>
    <mergeCell ref="BK32:BN32"/>
    <mergeCell ref="AY33:BA33"/>
    <mergeCell ref="BB33:BD33"/>
    <mergeCell ref="BE33:BG33"/>
    <mergeCell ref="BH33:BJ33"/>
    <mergeCell ref="BK33:BN33"/>
    <mergeCell ref="CJ36:CL36"/>
    <mergeCell ref="CM36:CO36"/>
    <mergeCell ref="CP36:CR36"/>
    <mergeCell ref="CS36:CU36"/>
    <mergeCell ref="BO34:BR34"/>
    <mergeCell ref="BU36:BW36"/>
    <mergeCell ref="BX36:BZ36"/>
    <mergeCell ref="CA36:CC36"/>
    <mergeCell ref="CD36:CF36"/>
    <mergeCell ref="CG36:CI36"/>
    <mergeCell ref="BU35:BW35"/>
    <mergeCell ref="CJ34:CL34"/>
    <mergeCell ref="CM34:CO34"/>
    <mergeCell ref="CP34:CR34"/>
    <mergeCell ref="CP35:CR35"/>
    <mergeCell ref="CS35:CU35"/>
    <mergeCell ref="BX35:BZ35"/>
    <mergeCell ref="CA35:CC35"/>
    <mergeCell ref="CD35:CF35"/>
    <mergeCell ref="CG35:CI35"/>
    <mergeCell ref="CJ35:CL35"/>
    <mergeCell ref="CM35:CO35"/>
    <mergeCell ref="CS34:CU34"/>
    <mergeCell ref="CD34:CF34"/>
    <mergeCell ref="AV36:AX36"/>
    <mergeCell ref="BB35:BD35"/>
    <mergeCell ref="BE35:BG35"/>
    <mergeCell ref="BH35:BJ35"/>
    <mergeCell ref="BK35:BN35"/>
    <mergeCell ref="BO35:BR35"/>
    <mergeCell ref="AJ35:AL35"/>
    <mergeCell ref="AM35:AO35"/>
    <mergeCell ref="AP35:AR35"/>
    <mergeCell ref="AS35:AU35"/>
    <mergeCell ref="AV35:AX35"/>
    <mergeCell ref="AY35:BA35"/>
    <mergeCell ref="G20:H20"/>
    <mergeCell ref="J20:K20"/>
    <mergeCell ref="AO4:AP4"/>
    <mergeCell ref="AP5:AQ5"/>
    <mergeCell ref="AT5:AU5"/>
    <mergeCell ref="BO37:BR37"/>
    <mergeCell ref="AV37:AX37"/>
    <mergeCell ref="AY37:BA37"/>
    <mergeCell ref="BB37:BD37"/>
    <mergeCell ref="BE37:BG37"/>
    <mergeCell ref="BH37:BJ37"/>
    <mergeCell ref="BK37:BN37"/>
    <mergeCell ref="AJ37:AL37"/>
    <mergeCell ref="AM37:AO37"/>
    <mergeCell ref="AP37:AR37"/>
    <mergeCell ref="AS37:AU37"/>
    <mergeCell ref="AY36:BA36"/>
    <mergeCell ref="BB36:BD36"/>
    <mergeCell ref="BE36:BG36"/>
    <mergeCell ref="BH36:BJ36"/>
    <mergeCell ref="BK36:BN36"/>
    <mergeCell ref="BO36:BR36"/>
    <mergeCell ref="AJ36:AL36"/>
    <mergeCell ref="AM36:AO36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954B5-1865-4779-866C-823144D43962}">
  <dimension ref="C2:BR38"/>
  <sheetViews>
    <sheetView showGridLines="0" view="pageBreakPreview" zoomScale="70" zoomScaleNormal="70" zoomScaleSheetLayoutView="70" workbookViewId="0">
      <selection activeCell="A2" sqref="A2"/>
    </sheetView>
  </sheetViews>
  <sheetFormatPr defaultRowHeight="18" x14ac:dyDescent="0.45"/>
  <cols>
    <col min="1" max="70" width="3" customWidth="1"/>
  </cols>
  <sheetData>
    <row r="2" spans="3:61" x14ac:dyDescent="0.45">
      <c r="C2" t="s">
        <v>465</v>
      </c>
      <c r="AM2" t="s">
        <v>389</v>
      </c>
    </row>
    <row r="3" spans="3:61" x14ac:dyDescent="0.25">
      <c r="D3" t="s">
        <v>530</v>
      </c>
      <c r="AB3" s="1"/>
      <c r="AM3" s="220" t="s">
        <v>366</v>
      </c>
      <c r="AN3" s="220"/>
      <c r="AO3" s="258" t="s">
        <v>3</v>
      </c>
      <c r="AP3" s="241" t="s">
        <v>367</v>
      </c>
      <c r="AQ3" s="241"/>
      <c r="AS3" s="258" t="s">
        <v>3</v>
      </c>
      <c r="AT3" s="100"/>
      <c r="AU3" s="241" t="s">
        <v>367</v>
      </c>
      <c r="AV3" s="241"/>
      <c r="AW3" s="11"/>
      <c r="AX3" s="11"/>
      <c r="AZ3" s="15"/>
      <c r="BA3" s="15"/>
      <c r="BB3" s="15"/>
      <c r="BC3" s="15"/>
      <c r="BD3" s="15"/>
    </row>
    <row r="4" spans="3:61" x14ac:dyDescent="0.35">
      <c r="D4" s="220" t="s">
        <v>307</v>
      </c>
      <c r="E4" s="220"/>
      <c r="F4" t="s">
        <v>3</v>
      </c>
      <c r="G4" s="216">
        <f>'1.条件'!T9</f>
        <v>0.5</v>
      </c>
      <c r="H4" s="218"/>
      <c r="I4" s="2" t="s">
        <v>297</v>
      </c>
      <c r="J4" s="1" t="s">
        <v>68</v>
      </c>
      <c r="K4" s="216">
        <f>'1.条件'!T7</f>
        <v>0.8</v>
      </c>
      <c r="L4" s="218"/>
      <c r="M4" s="81" t="s">
        <v>99</v>
      </c>
      <c r="N4" s="216">
        <f>'1.条件'!T10</f>
        <v>0.4</v>
      </c>
      <c r="O4" s="218"/>
      <c r="P4" s="2" t="s">
        <v>297</v>
      </c>
      <c r="AM4" s="220"/>
      <c r="AN4" s="220"/>
      <c r="AO4" s="258"/>
      <c r="AP4" s="358" t="s">
        <v>375</v>
      </c>
      <c r="AQ4" s="358"/>
      <c r="AS4" s="258"/>
      <c r="AT4" s="221" t="s">
        <v>307</v>
      </c>
      <c r="AU4" s="221"/>
      <c r="AV4" s="1" t="s">
        <v>62</v>
      </c>
      <c r="AW4" s="213">
        <f>N20</f>
        <v>1</v>
      </c>
      <c r="AX4" s="213"/>
      <c r="AZ4" s="15"/>
      <c r="BA4" s="15"/>
      <c r="BB4" s="15"/>
      <c r="BC4" s="15"/>
      <c r="BD4" s="15"/>
    </row>
    <row r="5" spans="3:61" x14ac:dyDescent="0.25">
      <c r="E5" s="56"/>
      <c r="F5" t="s">
        <v>3</v>
      </c>
      <c r="G5" s="216">
        <f>G4-N4</f>
        <v>9.9999999999999978E-2</v>
      </c>
      <c r="H5" s="218"/>
      <c r="I5" s="2" t="s">
        <v>297</v>
      </c>
      <c r="J5" s="1" t="s">
        <v>68</v>
      </c>
      <c r="K5" s="216">
        <f>K4</f>
        <v>0.8</v>
      </c>
      <c r="L5" s="218"/>
      <c r="M5" s="56"/>
      <c r="N5" s="56"/>
      <c r="O5" s="56"/>
      <c r="Y5" s="22"/>
      <c r="Z5" s="22"/>
      <c r="AA5" s="16"/>
      <c r="AB5" s="127"/>
      <c r="AC5" s="120"/>
      <c r="AD5" s="121"/>
      <c r="AE5" s="125"/>
      <c r="AF5" s="125"/>
      <c r="AG5" s="125"/>
      <c r="AH5" s="125"/>
      <c r="AI5" s="126"/>
      <c r="AM5" t="s">
        <v>256</v>
      </c>
    </row>
    <row r="6" spans="3:61" x14ac:dyDescent="0.45">
      <c r="AB6" s="5"/>
      <c r="AI6" s="6"/>
      <c r="AM6" s="220" t="s">
        <v>366</v>
      </c>
      <c r="AN6" s="220"/>
      <c r="AO6" t="s">
        <v>368</v>
      </c>
    </row>
    <row r="7" spans="3:61" x14ac:dyDescent="0.25">
      <c r="D7" s="232" t="s">
        <v>48</v>
      </c>
      <c r="E7" s="233"/>
      <c r="F7" s="234"/>
      <c r="G7" s="232" t="s">
        <v>47</v>
      </c>
      <c r="H7" s="233"/>
      <c r="I7" s="234"/>
      <c r="J7" s="232" t="s">
        <v>333</v>
      </c>
      <c r="K7" s="233"/>
      <c r="L7" s="234"/>
      <c r="M7" s="232" t="s">
        <v>341</v>
      </c>
      <c r="N7" s="233"/>
      <c r="O7" s="234"/>
      <c r="P7" s="163" t="s">
        <v>338</v>
      </c>
      <c r="Q7" s="164"/>
      <c r="R7" s="164"/>
      <c r="S7" s="164"/>
      <c r="T7" s="164"/>
      <c r="U7" s="164"/>
      <c r="V7" s="164"/>
      <c r="W7" s="164"/>
      <c r="X7" s="164"/>
      <c r="Y7" s="164"/>
      <c r="Z7" s="165"/>
      <c r="AB7" s="5"/>
      <c r="AI7" s="6"/>
      <c r="AM7" s="221" t="s">
        <v>367</v>
      </c>
      <c r="AN7" s="221"/>
      <c r="AO7" t="s">
        <v>369</v>
      </c>
      <c r="AU7" s="220" t="s">
        <v>367</v>
      </c>
      <c r="AV7" s="220"/>
      <c r="AW7" t="s">
        <v>3</v>
      </c>
      <c r="AX7" s="220" t="s">
        <v>231</v>
      </c>
      <c r="AY7" s="220"/>
      <c r="AZ7" s="1" t="s">
        <v>62</v>
      </c>
      <c r="BA7" s="216">
        <v>1</v>
      </c>
      <c r="BB7" s="216"/>
    </row>
    <row r="8" spans="3:61" x14ac:dyDescent="0.35">
      <c r="D8" s="235" t="s">
        <v>297</v>
      </c>
      <c r="E8" s="220"/>
      <c r="F8" s="237"/>
      <c r="G8" s="235" t="s">
        <v>307</v>
      </c>
      <c r="H8" s="220"/>
      <c r="I8" s="237"/>
      <c r="J8" s="235" t="s">
        <v>344</v>
      </c>
      <c r="K8" s="220"/>
      <c r="L8" s="237"/>
      <c r="M8" s="235" t="s">
        <v>231</v>
      </c>
      <c r="N8" s="220"/>
      <c r="O8" s="237"/>
      <c r="P8" s="273" t="s">
        <v>342</v>
      </c>
      <c r="Q8" s="221"/>
      <c r="R8" s="282"/>
      <c r="S8" s="273" t="s">
        <v>343</v>
      </c>
      <c r="T8" s="221"/>
      <c r="U8" s="282"/>
      <c r="V8" s="357" t="s">
        <v>529</v>
      </c>
      <c r="W8" s="358"/>
      <c r="X8" s="358"/>
      <c r="Y8" s="358"/>
      <c r="Z8" s="359"/>
      <c r="AB8" s="5"/>
      <c r="AI8" s="6"/>
    </row>
    <row r="9" spans="3:61" x14ac:dyDescent="0.3">
      <c r="D9" s="230" t="s">
        <v>303</v>
      </c>
      <c r="E9" s="225"/>
      <c r="F9" s="231"/>
      <c r="G9" s="230" t="s">
        <v>303</v>
      </c>
      <c r="H9" s="225"/>
      <c r="I9" s="231"/>
      <c r="J9" s="230" t="s">
        <v>121</v>
      </c>
      <c r="K9" s="225"/>
      <c r="L9" s="231"/>
      <c r="M9" s="230" t="s">
        <v>121</v>
      </c>
      <c r="N9" s="225"/>
      <c r="O9" s="231"/>
      <c r="P9" s="360" t="s">
        <v>419</v>
      </c>
      <c r="Q9" s="361"/>
      <c r="R9" s="362"/>
      <c r="S9" s="360" t="s">
        <v>419</v>
      </c>
      <c r="T9" s="361"/>
      <c r="U9" s="362"/>
      <c r="V9" s="360" t="s">
        <v>419</v>
      </c>
      <c r="W9" s="361"/>
      <c r="X9" s="361"/>
      <c r="Y9" s="361"/>
      <c r="Z9" s="362"/>
      <c r="AB9" s="5"/>
      <c r="AI9" s="6"/>
      <c r="AM9" t="s">
        <v>370</v>
      </c>
      <c r="AN9" s="10"/>
      <c r="AO9" s="22"/>
      <c r="AP9" s="22"/>
      <c r="AQ9" s="16"/>
      <c r="AR9" s="25"/>
      <c r="AS9" s="25"/>
      <c r="AT9" s="25"/>
      <c r="AU9" s="25"/>
      <c r="AW9" s="16"/>
      <c r="AX9" s="14"/>
      <c r="AY9" s="14"/>
      <c r="AZ9" s="14"/>
      <c r="BA9" s="14"/>
      <c r="BB9" s="14"/>
      <c r="BC9" s="14"/>
      <c r="BE9" s="16"/>
      <c r="BF9" s="23"/>
    </row>
    <row r="10" spans="3:61" x14ac:dyDescent="0.45">
      <c r="D10" s="366">
        <f>'4.部照-常2'!BU9</f>
        <v>1</v>
      </c>
      <c r="E10" s="227"/>
      <c r="F10" s="367"/>
      <c r="G10" s="314">
        <f t="shared" ref="G10:G15" si="0">G$5*D10+K$5</f>
        <v>0.9</v>
      </c>
      <c r="H10" s="218"/>
      <c r="I10" s="236"/>
      <c r="J10" s="314">
        <f>'4.部照-常2'!CJ9</f>
        <v>18.227227684340182</v>
      </c>
      <c r="K10" s="218"/>
      <c r="L10" s="236"/>
      <c r="M10" s="314">
        <f>'4.部照-常2'!CJ20</f>
        <v>4.9985775498528184</v>
      </c>
      <c r="N10" s="218"/>
      <c r="O10" s="236"/>
      <c r="P10" s="314">
        <f>'4.部照-常2'!CP31</f>
        <v>3.4429409048282613</v>
      </c>
      <c r="Q10" s="218"/>
      <c r="R10" s="236"/>
      <c r="S10" s="314">
        <f>'4.部照-常2'!CS31</f>
        <v>2.2783731334486639</v>
      </c>
      <c r="T10" s="218"/>
      <c r="U10" s="236"/>
      <c r="V10" s="366">
        <f>S10-P10</f>
        <v>-1.1645677713795974</v>
      </c>
      <c r="W10" s="226"/>
      <c r="X10" s="226"/>
      <c r="Y10" s="226"/>
      <c r="Z10" s="371"/>
      <c r="AB10" s="5"/>
      <c r="AI10" s="6"/>
      <c r="AM10" s="10"/>
      <c r="AN10" s="232" t="s">
        <v>48</v>
      </c>
      <c r="AO10" s="233"/>
      <c r="AP10" s="234"/>
      <c r="AQ10" s="232" t="s">
        <v>47</v>
      </c>
      <c r="AR10" s="233"/>
      <c r="AS10" s="234"/>
      <c r="AT10" s="271" t="s">
        <v>371</v>
      </c>
      <c r="AU10" s="184"/>
      <c r="AV10" s="184"/>
      <c r="AW10" s="397" t="s">
        <v>372</v>
      </c>
      <c r="AX10" s="398"/>
      <c r="AY10" s="398"/>
      <c r="AZ10" s="399"/>
      <c r="BA10" s="14"/>
      <c r="BB10" s="397" t="s">
        <v>372</v>
      </c>
      <c r="BC10" s="398"/>
      <c r="BD10" s="398"/>
      <c r="BE10" s="399"/>
      <c r="BF10" s="16"/>
      <c r="BG10" s="178" t="s">
        <v>361</v>
      </c>
      <c r="BH10" s="179"/>
      <c r="BI10" s="180"/>
    </row>
    <row r="11" spans="3:61" x14ac:dyDescent="0.35">
      <c r="D11" s="314">
        <f>'4.部照-常2'!BU10</f>
        <v>2</v>
      </c>
      <c r="E11" s="218"/>
      <c r="F11" s="236"/>
      <c r="G11" s="314">
        <f t="shared" si="0"/>
        <v>1</v>
      </c>
      <c r="H11" s="218"/>
      <c r="I11" s="236"/>
      <c r="J11" s="314">
        <f>'4.部照-常2'!CJ10</f>
        <v>39.047168068466114</v>
      </c>
      <c r="K11" s="218"/>
      <c r="L11" s="236"/>
      <c r="M11" s="314">
        <f>'4.部照-常2'!CJ21</f>
        <v>12.648142797438592</v>
      </c>
      <c r="N11" s="218"/>
      <c r="O11" s="236"/>
      <c r="P11" s="314">
        <f>'4.部照-常2'!CP32</f>
        <v>15.744394541676638</v>
      </c>
      <c r="Q11" s="218"/>
      <c r="R11" s="236"/>
      <c r="S11" s="314">
        <f>'4.部照-常2'!CS32</f>
        <v>10.880817665616622</v>
      </c>
      <c r="T11" s="218"/>
      <c r="U11" s="236"/>
      <c r="V11" s="314">
        <f>S11-P11</f>
        <v>-4.8635768760600158</v>
      </c>
      <c r="W11" s="216"/>
      <c r="X11" s="216"/>
      <c r="Y11" s="216"/>
      <c r="Z11" s="315"/>
      <c r="AB11" s="5"/>
      <c r="AI11" s="6"/>
      <c r="AM11" s="10"/>
      <c r="AN11" s="235" t="s">
        <v>297</v>
      </c>
      <c r="AO11" s="220"/>
      <c r="AP11" s="237"/>
      <c r="AQ11" s="235" t="s">
        <v>307</v>
      </c>
      <c r="AR11" s="220"/>
      <c r="AS11" s="237"/>
      <c r="AT11" s="273" t="s">
        <v>373</v>
      </c>
      <c r="AU11" s="221"/>
      <c r="AV11" s="221"/>
      <c r="AW11" s="235" t="s">
        <v>366</v>
      </c>
      <c r="AX11" s="220"/>
      <c r="AY11" s="220"/>
      <c r="AZ11" s="237"/>
      <c r="BA11" s="14"/>
      <c r="BB11" s="235" t="s">
        <v>366</v>
      </c>
      <c r="BC11" s="220"/>
      <c r="BD11" s="220"/>
      <c r="BE11" s="237"/>
      <c r="BF11" s="16"/>
      <c r="BG11" s="357" t="s">
        <v>374</v>
      </c>
      <c r="BH11" s="358"/>
      <c r="BI11" s="359"/>
    </row>
    <row r="12" spans="3:61" x14ac:dyDescent="0.45">
      <c r="D12" s="314">
        <f>'4.部照-常2'!BU11</f>
        <v>3</v>
      </c>
      <c r="E12" s="218"/>
      <c r="F12" s="236"/>
      <c r="G12" s="314">
        <f t="shared" si="0"/>
        <v>1.1000000000000001</v>
      </c>
      <c r="H12" s="218"/>
      <c r="I12" s="236"/>
      <c r="J12" s="314">
        <f>'4.部照-常2'!CJ11</f>
        <v>62.459821152377799</v>
      </c>
      <c r="K12" s="218"/>
      <c r="L12" s="236"/>
      <c r="M12" s="314">
        <f>'4.部照-常2'!CJ22</f>
        <v>22.948695742757316</v>
      </c>
      <c r="N12" s="218"/>
      <c r="O12" s="236"/>
      <c r="P12" s="314">
        <f>'4.部照-常2'!CP33</f>
        <v>38.100352895427299</v>
      </c>
      <c r="Q12" s="218"/>
      <c r="R12" s="236"/>
      <c r="S12" s="314">
        <f>'4.部照-常2'!CS33</f>
        <v>28.458321294236832</v>
      </c>
      <c r="T12" s="218"/>
      <c r="U12" s="236"/>
      <c r="V12" s="314">
        <f t="shared" ref="V12:V15" si="1">S12-P12</f>
        <v>-9.6420316011904674</v>
      </c>
      <c r="W12" s="216"/>
      <c r="X12" s="216"/>
      <c r="Y12" s="216"/>
      <c r="Z12" s="315"/>
      <c r="AB12" s="5"/>
      <c r="AI12" s="6"/>
      <c r="AM12" s="10"/>
      <c r="AN12" s="230" t="s">
        <v>303</v>
      </c>
      <c r="AO12" s="225"/>
      <c r="AP12" s="231"/>
      <c r="AQ12" s="338" t="s">
        <v>303</v>
      </c>
      <c r="AR12" s="218"/>
      <c r="AS12" s="236"/>
      <c r="AT12" s="283" t="s">
        <v>305</v>
      </c>
      <c r="AU12" s="269"/>
      <c r="AV12" s="269"/>
      <c r="AW12" s="283" t="s">
        <v>304</v>
      </c>
      <c r="AX12" s="269"/>
      <c r="AY12" s="269"/>
      <c r="AZ12" s="285"/>
      <c r="BA12" s="14"/>
      <c r="BB12" s="330" t="s">
        <v>360</v>
      </c>
      <c r="BC12" s="279"/>
      <c r="BD12" s="279"/>
      <c r="BE12" s="331"/>
      <c r="BF12" s="16"/>
      <c r="BG12" s="99" t="s">
        <v>261</v>
      </c>
      <c r="BH12" s="396">
        <f>'1.条件'!T20</f>
        <v>0.32999999999999996</v>
      </c>
      <c r="BI12" s="331"/>
    </row>
    <row r="13" spans="3:61" x14ac:dyDescent="0.45">
      <c r="D13" s="314">
        <f>'4.部照-常2'!BU12</f>
        <v>4</v>
      </c>
      <c r="E13" s="218"/>
      <c r="F13" s="236"/>
      <c r="G13" s="314">
        <f t="shared" si="0"/>
        <v>1.2</v>
      </c>
      <c r="H13" s="218"/>
      <c r="I13" s="236"/>
      <c r="J13" s="314">
        <f>'4.部照-常2'!CJ12</f>
        <v>88.432545735676456</v>
      </c>
      <c r="K13" s="218"/>
      <c r="L13" s="236"/>
      <c r="M13" s="314">
        <f>'4.部照-常2'!CJ23</f>
        <v>35.981845208764099</v>
      </c>
      <c r="N13" s="218"/>
      <c r="O13" s="236"/>
      <c r="P13" s="314">
        <f>'4.部照-常2'!CP34</f>
        <v>71.738366989487858</v>
      </c>
      <c r="Q13" s="218"/>
      <c r="R13" s="236"/>
      <c r="S13" s="314">
        <f>'4.部照-常2'!CS34</f>
        <v>57.672751929821956</v>
      </c>
      <c r="T13" s="218"/>
      <c r="U13" s="236"/>
      <c r="V13" s="314">
        <f t="shared" si="1"/>
        <v>-14.065615059665902</v>
      </c>
      <c r="W13" s="216"/>
      <c r="X13" s="216"/>
      <c r="Y13" s="216"/>
      <c r="Z13" s="315"/>
      <c r="AB13" s="5"/>
      <c r="AI13" s="6"/>
      <c r="AM13" s="10"/>
      <c r="AN13" s="366">
        <f t="shared" ref="AN13:AN18" si="2">D32</f>
        <v>1</v>
      </c>
      <c r="AO13" s="227"/>
      <c r="AP13" s="227"/>
      <c r="AQ13" s="366">
        <f t="shared" ref="AQ13:AQ18" si="3">G32</f>
        <v>0.9</v>
      </c>
      <c r="AR13" s="226"/>
      <c r="AS13" s="371"/>
      <c r="AT13" s="390">
        <f t="shared" ref="AT13:AT18" si="4">M10</f>
        <v>4.9985775498528184</v>
      </c>
      <c r="AU13" s="390"/>
      <c r="AV13" s="390"/>
      <c r="AW13" s="366">
        <f>AT13/AQ13/AW$4</f>
        <v>5.5539750553920202</v>
      </c>
      <c r="AX13" s="226"/>
      <c r="AY13" s="226"/>
      <c r="AZ13" s="371"/>
      <c r="BA13" s="14"/>
      <c r="BB13" s="314">
        <f>AW13/1000</f>
        <v>5.55397505539202E-3</v>
      </c>
      <c r="BC13" s="216"/>
      <c r="BD13" s="216"/>
      <c r="BE13" s="315"/>
      <c r="BF13" s="16"/>
      <c r="BG13" s="271" t="str">
        <f>IF(BB13&lt;=BH$12, "OK", "NG")</f>
        <v>OK</v>
      </c>
      <c r="BH13" s="184"/>
      <c r="BI13" s="185"/>
    </row>
    <row r="14" spans="3:61" x14ac:dyDescent="0.45">
      <c r="D14" s="314">
        <f>'4.部照-常2'!BU13</f>
        <v>5</v>
      </c>
      <c r="E14" s="218"/>
      <c r="F14" s="236"/>
      <c r="G14" s="314">
        <f t="shared" si="0"/>
        <v>1.2999999999999998</v>
      </c>
      <c r="H14" s="218"/>
      <c r="I14" s="236"/>
      <c r="J14" s="314">
        <f>'4.部照-常2'!CJ13</f>
        <v>116.66336012245104</v>
      </c>
      <c r="K14" s="218"/>
      <c r="L14" s="236"/>
      <c r="M14" s="314">
        <f>'4.部照-常2'!CJ24</f>
        <v>52.502599297373436</v>
      </c>
      <c r="N14" s="218"/>
      <c r="O14" s="236"/>
      <c r="P14" s="314">
        <f>'4.部照-常2'!CP35</f>
        <v>117.61027349958736</v>
      </c>
      <c r="Q14" s="218"/>
      <c r="R14" s="236"/>
      <c r="S14" s="314">
        <f>'4.部照-常2'!CS35</f>
        <v>101.60903429236092</v>
      </c>
      <c r="T14" s="218"/>
      <c r="U14" s="236"/>
      <c r="V14" s="314">
        <f t="shared" si="1"/>
        <v>-16.001239207226448</v>
      </c>
      <c r="W14" s="216"/>
      <c r="X14" s="216"/>
      <c r="Y14" s="216"/>
      <c r="Z14" s="315"/>
      <c r="AB14" s="5"/>
      <c r="AI14" s="6"/>
      <c r="AM14" s="10"/>
      <c r="AN14" s="314">
        <f t="shared" si="2"/>
        <v>2</v>
      </c>
      <c r="AO14" s="218"/>
      <c r="AP14" s="218"/>
      <c r="AQ14" s="314">
        <f t="shared" si="3"/>
        <v>1</v>
      </c>
      <c r="AR14" s="216"/>
      <c r="AS14" s="315"/>
      <c r="AT14" s="381">
        <f t="shared" si="4"/>
        <v>12.648142797438592</v>
      </c>
      <c r="AU14" s="381"/>
      <c r="AV14" s="381"/>
      <c r="AW14" s="314">
        <f t="shared" ref="AW14:AW18" si="5">AT14/AQ14/AW$4</f>
        <v>12.648142797438592</v>
      </c>
      <c r="AX14" s="216"/>
      <c r="AY14" s="216"/>
      <c r="AZ14" s="315"/>
      <c r="BA14" s="14"/>
      <c r="BB14" s="314">
        <f t="shared" ref="BB14:BB18" si="6">AW14/1000</f>
        <v>1.2648142797438592E-2</v>
      </c>
      <c r="BC14" s="216"/>
      <c r="BD14" s="216"/>
      <c r="BE14" s="315"/>
      <c r="BF14" s="16"/>
      <c r="BG14" s="377" t="str">
        <f>IF(BB14&lt;=BH$12, "OK", "NG")</f>
        <v>OK</v>
      </c>
      <c r="BH14" s="378"/>
      <c r="BI14" s="379"/>
    </row>
    <row r="15" spans="3:61" x14ac:dyDescent="0.45">
      <c r="D15" s="312">
        <f>'4.部照-常2'!BU14</f>
        <v>6</v>
      </c>
      <c r="E15" s="225"/>
      <c r="F15" s="231"/>
      <c r="G15" s="312">
        <f t="shared" si="0"/>
        <v>1.4</v>
      </c>
      <c r="H15" s="225"/>
      <c r="I15" s="231"/>
      <c r="J15" s="312">
        <f>'4.部照-常2'!CJ14</f>
        <v>147.07879992850889</v>
      </c>
      <c r="K15" s="225"/>
      <c r="L15" s="231"/>
      <c r="M15" s="312">
        <f>'4.部照-常2'!CJ25</f>
        <v>72.694632072340411</v>
      </c>
      <c r="N15" s="225"/>
      <c r="O15" s="231"/>
      <c r="P15" s="312">
        <f>'4.部照-常2'!CP36</f>
        <v>176.57375008042914</v>
      </c>
      <c r="Q15" s="225"/>
      <c r="R15" s="231"/>
      <c r="S15" s="312">
        <f>'4.部照-常2'!CS36</f>
        <v>163.90171008668804</v>
      </c>
      <c r="T15" s="225"/>
      <c r="U15" s="231"/>
      <c r="V15" s="312">
        <f t="shared" si="1"/>
        <v>-12.672039993741095</v>
      </c>
      <c r="W15" s="224"/>
      <c r="X15" s="224"/>
      <c r="Y15" s="224"/>
      <c r="Z15" s="313"/>
      <c r="AB15" s="5"/>
      <c r="AI15" s="6"/>
      <c r="AM15" s="10"/>
      <c r="AN15" s="314">
        <f t="shared" si="2"/>
        <v>3</v>
      </c>
      <c r="AO15" s="218"/>
      <c r="AP15" s="218"/>
      <c r="AQ15" s="314">
        <f t="shared" si="3"/>
        <v>1.1000000000000001</v>
      </c>
      <c r="AR15" s="216"/>
      <c r="AS15" s="315"/>
      <c r="AT15" s="381">
        <f t="shared" si="4"/>
        <v>22.948695742757316</v>
      </c>
      <c r="AU15" s="381"/>
      <c r="AV15" s="381"/>
      <c r="AW15" s="314">
        <f t="shared" si="5"/>
        <v>20.862450675233923</v>
      </c>
      <c r="AX15" s="216"/>
      <c r="AY15" s="216"/>
      <c r="AZ15" s="315"/>
      <c r="BA15" s="14"/>
      <c r="BB15" s="314">
        <f t="shared" si="6"/>
        <v>2.0862450675233922E-2</v>
      </c>
      <c r="BC15" s="216"/>
      <c r="BD15" s="216"/>
      <c r="BE15" s="315"/>
      <c r="BF15" s="16"/>
      <c r="BG15" s="377" t="str">
        <f t="shared" ref="BG15:BG18" si="7">IF(BB15&lt;=BH$12, "OK", "NG")</f>
        <v>OK</v>
      </c>
      <c r="BH15" s="378"/>
      <c r="BI15" s="379"/>
    </row>
    <row r="16" spans="3:61" x14ac:dyDescent="0.45">
      <c r="AB16" s="5"/>
      <c r="AI16" s="6"/>
      <c r="AM16" s="10"/>
      <c r="AN16" s="314">
        <f t="shared" si="2"/>
        <v>4</v>
      </c>
      <c r="AO16" s="218"/>
      <c r="AP16" s="218"/>
      <c r="AQ16" s="314">
        <f t="shared" si="3"/>
        <v>1.2</v>
      </c>
      <c r="AR16" s="216"/>
      <c r="AS16" s="315"/>
      <c r="AT16" s="381">
        <f t="shared" si="4"/>
        <v>35.981845208764099</v>
      </c>
      <c r="AU16" s="381"/>
      <c r="AV16" s="381"/>
      <c r="AW16" s="314">
        <f t="shared" si="5"/>
        <v>29.984871007303418</v>
      </c>
      <c r="AX16" s="216"/>
      <c r="AY16" s="216"/>
      <c r="AZ16" s="315"/>
      <c r="BA16" s="14"/>
      <c r="BB16" s="314">
        <f t="shared" si="6"/>
        <v>2.9984871007303418E-2</v>
      </c>
      <c r="BC16" s="216"/>
      <c r="BD16" s="216"/>
      <c r="BE16" s="315"/>
      <c r="BF16" s="16"/>
      <c r="BG16" s="377" t="str">
        <f t="shared" si="7"/>
        <v>OK</v>
      </c>
      <c r="BH16" s="378"/>
      <c r="BI16" s="379"/>
    </row>
    <row r="17" spans="4:61" x14ac:dyDescent="0.45">
      <c r="D17" t="s">
        <v>531</v>
      </c>
      <c r="AB17" s="5"/>
      <c r="AI17" s="6"/>
      <c r="AM17" s="10"/>
      <c r="AN17" s="314">
        <f t="shared" si="2"/>
        <v>5</v>
      </c>
      <c r="AO17" s="218"/>
      <c r="AP17" s="218"/>
      <c r="AQ17" s="314">
        <f t="shared" si="3"/>
        <v>1.2999999999999998</v>
      </c>
      <c r="AR17" s="216"/>
      <c r="AS17" s="315"/>
      <c r="AT17" s="381">
        <f t="shared" si="4"/>
        <v>52.502599297373436</v>
      </c>
      <c r="AU17" s="381"/>
      <c r="AV17" s="381"/>
      <c r="AW17" s="314">
        <f t="shared" si="5"/>
        <v>40.386614844133419</v>
      </c>
      <c r="AX17" s="216"/>
      <c r="AY17" s="216"/>
      <c r="AZ17" s="315"/>
      <c r="BA17" s="14"/>
      <c r="BB17" s="314">
        <f t="shared" si="6"/>
        <v>4.0386614844133417E-2</v>
      </c>
      <c r="BC17" s="216"/>
      <c r="BD17" s="216"/>
      <c r="BE17" s="315"/>
      <c r="BF17" s="16"/>
      <c r="BG17" s="377" t="str">
        <f t="shared" si="7"/>
        <v>OK</v>
      </c>
      <c r="BH17" s="378"/>
      <c r="BI17" s="379"/>
    </row>
    <row r="18" spans="4:61" x14ac:dyDescent="0.45">
      <c r="D18" t="s">
        <v>532</v>
      </c>
      <c r="AB18" s="5"/>
      <c r="AI18" s="6"/>
      <c r="AM18" s="10"/>
      <c r="AN18" s="312">
        <f t="shared" si="2"/>
        <v>6</v>
      </c>
      <c r="AO18" s="225"/>
      <c r="AP18" s="225"/>
      <c r="AQ18" s="312">
        <f t="shared" si="3"/>
        <v>1.4</v>
      </c>
      <c r="AR18" s="224"/>
      <c r="AS18" s="313"/>
      <c r="AT18" s="384">
        <f t="shared" si="4"/>
        <v>72.694632072340411</v>
      </c>
      <c r="AU18" s="384"/>
      <c r="AV18" s="384"/>
      <c r="AW18" s="312">
        <f t="shared" si="5"/>
        <v>51.924737194528866</v>
      </c>
      <c r="AX18" s="224"/>
      <c r="AY18" s="224"/>
      <c r="AZ18" s="313"/>
      <c r="BA18" s="14"/>
      <c r="BB18" s="312">
        <f t="shared" si="6"/>
        <v>5.1924737194528864E-2</v>
      </c>
      <c r="BC18" s="224"/>
      <c r="BD18" s="224"/>
      <c r="BE18" s="313"/>
      <c r="BF18" s="16"/>
      <c r="BG18" s="386" t="str">
        <f t="shared" si="7"/>
        <v>OK</v>
      </c>
      <c r="BH18" s="387"/>
      <c r="BI18" s="388"/>
    </row>
    <row r="19" spans="4:61" x14ac:dyDescent="0.35">
      <c r="D19" s="394" t="s">
        <v>347</v>
      </c>
      <c r="E19" s="222"/>
      <c r="F19" s="258" t="s">
        <v>3</v>
      </c>
      <c r="G19" s="241" t="s">
        <v>348</v>
      </c>
      <c r="H19" s="241"/>
      <c r="I19" s="219" t="s">
        <v>349</v>
      </c>
      <c r="J19" s="241" t="s">
        <v>350</v>
      </c>
      <c r="K19" s="241"/>
      <c r="M19" s="258" t="s">
        <v>3</v>
      </c>
      <c r="N19" s="241" t="s">
        <v>348</v>
      </c>
      <c r="O19" s="241"/>
      <c r="P19" s="241"/>
      <c r="Q19" s="241"/>
      <c r="R19" s="219" t="s">
        <v>349</v>
      </c>
      <c r="S19" s="20">
        <f>V27</f>
        <v>6</v>
      </c>
      <c r="T19" s="241" t="s">
        <v>250</v>
      </c>
      <c r="U19" s="241"/>
      <c r="V19" s="11"/>
      <c r="AB19" s="5"/>
      <c r="AI19" s="6"/>
    </row>
    <row r="20" spans="4:61" x14ac:dyDescent="0.35">
      <c r="D20" s="222"/>
      <c r="E20" s="222"/>
      <c r="F20" s="258"/>
      <c r="G20" s="358" t="s">
        <v>51</v>
      </c>
      <c r="H20" s="358"/>
      <c r="I20" s="219"/>
      <c r="J20" s="358" t="s">
        <v>66</v>
      </c>
      <c r="K20" s="358"/>
      <c r="M20" s="258"/>
      <c r="N20" s="216">
        <f>W24</f>
        <v>1</v>
      </c>
      <c r="O20" s="216"/>
      <c r="P20" s="221" t="s">
        <v>307</v>
      </c>
      <c r="Q20" s="221"/>
      <c r="R20" s="219"/>
      <c r="S20" s="216">
        <f>V26</f>
        <v>1</v>
      </c>
      <c r="T20" s="216"/>
      <c r="U20" s="221" t="s">
        <v>355</v>
      </c>
      <c r="V20" s="221"/>
      <c r="AB20" s="7"/>
      <c r="AC20" s="11"/>
      <c r="AD20" s="11"/>
      <c r="AE20" s="11"/>
      <c r="AF20" s="11"/>
      <c r="AG20" s="11"/>
      <c r="AH20" s="11"/>
      <c r="AI20" s="8"/>
    </row>
    <row r="21" spans="4:61" x14ac:dyDescent="0.45">
      <c r="D21" t="s">
        <v>256</v>
      </c>
    </row>
    <row r="22" spans="4:61" x14ac:dyDescent="0.45">
      <c r="D22" s="394" t="s">
        <v>347</v>
      </c>
      <c r="E22" s="394"/>
      <c r="F22" t="s">
        <v>351</v>
      </c>
    </row>
    <row r="23" spans="4:61" x14ac:dyDescent="0.45">
      <c r="D23" s="220" t="s">
        <v>348</v>
      </c>
      <c r="E23" s="220"/>
      <c r="F23" t="s">
        <v>352</v>
      </c>
      <c r="K23" s="220" t="s">
        <v>348</v>
      </c>
      <c r="L23" s="220"/>
      <c r="M23" t="s">
        <v>3</v>
      </c>
      <c r="N23" s="220" t="s">
        <v>344</v>
      </c>
      <c r="O23" s="220"/>
      <c r="P23" s="1" t="s">
        <v>62</v>
      </c>
      <c r="Q23" s="216">
        <v>1</v>
      </c>
      <c r="R23" s="216"/>
    </row>
    <row r="24" spans="4:61" x14ac:dyDescent="0.35">
      <c r="D24" s="220" t="s">
        <v>51</v>
      </c>
      <c r="E24" s="220"/>
      <c r="F24" t="s">
        <v>353</v>
      </c>
      <c r="N24" s="220" t="s">
        <v>51</v>
      </c>
      <c r="O24" s="220"/>
      <c r="P24" t="s">
        <v>3</v>
      </c>
      <c r="Q24" s="221" t="s">
        <v>307</v>
      </c>
      <c r="R24" s="221"/>
      <c r="S24" s="1" t="s">
        <v>62</v>
      </c>
      <c r="T24" s="216">
        <v>1</v>
      </c>
      <c r="U24" s="216"/>
      <c r="V24" t="s">
        <v>3</v>
      </c>
      <c r="W24" s="216">
        <f>T24</f>
        <v>1</v>
      </c>
      <c r="X24" s="216"/>
      <c r="Y24" s="376" t="s">
        <v>307</v>
      </c>
      <c r="Z24" s="376"/>
    </row>
    <row r="25" spans="4:61" x14ac:dyDescent="0.25">
      <c r="D25" s="220" t="s">
        <v>345</v>
      </c>
      <c r="E25" s="220"/>
      <c r="F25" t="s">
        <v>422</v>
      </c>
      <c r="K25" s="221" t="s">
        <v>345</v>
      </c>
      <c r="L25" s="221"/>
      <c r="M25" t="s">
        <v>3</v>
      </c>
      <c r="N25" s="220" t="s">
        <v>250</v>
      </c>
      <c r="O25" s="220"/>
      <c r="P25" s="1" t="s">
        <v>179</v>
      </c>
      <c r="Q25" s="2" t="s">
        <v>348</v>
      </c>
    </row>
    <row r="26" spans="4:61" x14ac:dyDescent="0.35">
      <c r="D26" s="220" t="s">
        <v>66</v>
      </c>
      <c r="E26" s="220"/>
      <c r="F26" t="s">
        <v>354</v>
      </c>
      <c r="S26" s="245" t="s">
        <v>66</v>
      </c>
      <c r="T26" s="245"/>
      <c r="U26" s="258" t="s">
        <v>3</v>
      </c>
      <c r="V26" s="216">
        <f>T24</f>
        <v>1</v>
      </c>
      <c r="W26" s="216"/>
      <c r="X26" s="241" t="s">
        <v>355</v>
      </c>
      <c r="Y26" s="241"/>
    </row>
    <row r="27" spans="4:61" x14ac:dyDescent="0.25">
      <c r="D27" s="2"/>
      <c r="E27" s="2"/>
      <c r="N27" s="15"/>
      <c r="O27" s="15"/>
      <c r="P27" s="15"/>
      <c r="Q27" s="15"/>
      <c r="R27" s="15"/>
      <c r="S27" s="245"/>
      <c r="T27" s="245"/>
      <c r="U27" s="258"/>
      <c r="V27" s="305">
        <v>6</v>
      </c>
      <c r="W27" s="305"/>
      <c r="X27" s="305"/>
      <c r="Y27" s="305"/>
      <c r="Z27" s="15"/>
    </row>
    <row r="28" spans="4:61" x14ac:dyDescent="0.25">
      <c r="D28" t="s">
        <v>387</v>
      </c>
      <c r="E28" s="10"/>
      <c r="F28" s="22"/>
      <c r="G28" s="22"/>
      <c r="H28" s="16"/>
      <c r="I28" s="25"/>
      <c r="J28" s="25"/>
      <c r="K28" s="25"/>
      <c r="L28" s="25"/>
      <c r="N28" s="16"/>
      <c r="O28" s="14"/>
      <c r="P28" s="14"/>
      <c r="Q28" s="14"/>
      <c r="R28" s="14"/>
      <c r="S28" s="14"/>
      <c r="T28" s="14"/>
      <c r="V28" s="16"/>
      <c r="W28" s="23"/>
      <c r="X28" s="23"/>
      <c r="Y28" s="14"/>
    </row>
    <row r="29" spans="4:61" x14ac:dyDescent="0.45">
      <c r="D29" s="232" t="s">
        <v>48</v>
      </c>
      <c r="E29" s="233"/>
      <c r="F29" s="234"/>
      <c r="G29" s="232" t="s">
        <v>47</v>
      </c>
      <c r="H29" s="233"/>
      <c r="I29" s="234"/>
      <c r="J29" s="232" t="s">
        <v>356</v>
      </c>
      <c r="K29" s="233"/>
      <c r="L29" s="234"/>
      <c r="M29" s="271" t="s">
        <v>338</v>
      </c>
      <c r="N29" s="184"/>
      <c r="O29" s="185"/>
      <c r="P29" s="178" t="s">
        <v>357</v>
      </c>
      <c r="Q29" s="179"/>
      <c r="R29" s="179"/>
      <c r="S29" s="179"/>
      <c r="T29" s="179"/>
      <c r="U29" s="180"/>
      <c r="W29" s="178" t="s">
        <v>357</v>
      </c>
      <c r="X29" s="179"/>
      <c r="Y29" s="179"/>
      <c r="Z29" s="179"/>
      <c r="AA29" s="179"/>
      <c r="AB29" s="180"/>
      <c r="AD29" s="178" t="s">
        <v>361</v>
      </c>
      <c r="AE29" s="179"/>
      <c r="AF29" s="179"/>
      <c r="AG29" s="179"/>
      <c r="AH29" s="179"/>
      <c r="AI29" s="180"/>
    </row>
    <row r="30" spans="4:61" x14ac:dyDescent="0.45">
      <c r="D30" s="235" t="s">
        <v>297</v>
      </c>
      <c r="E30" s="220"/>
      <c r="F30" s="237"/>
      <c r="G30" s="235" t="s">
        <v>307</v>
      </c>
      <c r="H30" s="220"/>
      <c r="I30" s="237"/>
      <c r="J30" s="235" t="s">
        <v>348</v>
      </c>
      <c r="K30" s="220"/>
      <c r="L30" s="237"/>
      <c r="M30" s="273" t="s">
        <v>250</v>
      </c>
      <c r="N30" s="221"/>
      <c r="O30" s="282"/>
      <c r="P30" s="393" t="s">
        <v>358</v>
      </c>
      <c r="Q30" s="394"/>
      <c r="R30" s="394"/>
      <c r="S30" s="393" t="s">
        <v>359</v>
      </c>
      <c r="T30" s="394"/>
      <c r="U30" s="395"/>
      <c r="W30" s="393" t="s">
        <v>358</v>
      </c>
      <c r="X30" s="394"/>
      <c r="Y30" s="394"/>
      <c r="Z30" s="393" t="s">
        <v>359</v>
      </c>
      <c r="AA30" s="394"/>
      <c r="AB30" s="395"/>
      <c r="AD30" s="271" t="s">
        <v>362</v>
      </c>
      <c r="AE30" s="184"/>
      <c r="AF30" s="184"/>
      <c r="AG30" s="271" t="s">
        <v>363</v>
      </c>
      <c r="AH30" s="184"/>
      <c r="AI30" s="185"/>
    </row>
    <row r="31" spans="4:61" x14ac:dyDescent="0.45">
      <c r="D31" s="230" t="s">
        <v>303</v>
      </c>
      <c r="E31" s="225"/>
      <c r="F31" s="231"/>
      <c r="G31" s="338" t="s">
        <v>303</v>
      </c>
      <c r="H31" s="218"/>
      <c r="I31" s="236"/>
      <c r="J31" s="230" t="s">
        <v>305</v>
      </c>
      <c r="K31" s="225"/>
      <c r="L31" s="231"/>
      <c r="M31" s="360" t="s">
        <v>535</v>
      </c>
      <c r="N31" s="361"/>
      <c r="O31" s="362"/>
      <c r="P31" s="283" t="s">
        <v>304</v>
      </c>
      <c r="Q31" s="269"/>
      <c r="R31" s="269"/>
      <c r="S31" s="283" t="s">
        <v>304</v>
      </c>
      <c r="T31" s="269"/>
      <c r="U31" s="285"/>
      <c r="W31" s="283" t="s">
        <v>360</v>
      </c>
      <c r="X31" s="269"/>
      <c r="Y31" s="269"/>
      <c r="Z31" s="283" t="s">
        <v>360</v>
      </c>
      <c r="AA31" s="269"/>
      <c r="AB31" s="285"/>
      <c r="AD31" s="99" t="s">
        <v>261</v>
      </c>
      <c r="AE31" s="392">
        <f>'1.条件'!T16</f>
        <v>4.5</v>
      </c>
      <c r="AF31" s="285"/>
      <c r="AG31" s="99" t="s">
        <v>364</v>
      </c>
      <c r="AH31" s="392">
        <f>-'1.条件'!T18</f>
        <v>-0.22500000000000001</v>
      </c>
      <c r="AI31" s="285"/>
    </row>
    <row r="32" spans="4:61" x14ac:dyDescent="0.45">
      <c r="D32" s="314">
        <f t="shared" ref="D32:D37" si="8">D10</f>
        <v>1</v>
      </c>
      <c r="E32" s="218"/>
      <c r="F32" s="218"/>
      <c r="G32" s="366">
        <f t="shared" ref="G32:G37" si="9">G10</f>
        <v>0.9</v>
      </c>
      <c r="H32" s="226"/>
      <c r="I32" s="371"/>
      <c r="J32" s="216">
        <f t="shared" ref="J32:J37" si="10">J10</f>
        <v>18.227227684340182</v>
      </c>
      <c r="K32" s="218"/>
      <c r="L32" s="236"/>
      <c r="M32" s="314">
        <f t="shared" ref="M32:M37" si="11">V10</f>
        <v>-1.1645677713795974</v>
      </c>
      <c r="N32" s="218"/>
      <c r="O32" s="218"/>
      <c r="P32" s="389">
        <f>J32/N$20/G32-S$19*M32/S$20/G32^2</f>
        <v>28.878903140967591</v>
      </c>
      <c r="Q32" s="390"/>
      <c r="R32" s="390"/>
      <c r="S32" s="389">
        <f>J32/N$20/G32+S$19*M32/S$20/G32^2</f>
        <v>11.626047268677258</v>
      </c>
      <c r="T32" s="390"/>
      <c r="U32" s="391"/>
      <c r="W32" s="389">
        <f>P32/1000</f>
        <v>2.8878903140967589E-2</v>
      </c>
      <c r="X32" s="390"/>
      <c r="Y32" s="390"/>
      <c r="Z32" s="389">
        <f>S32/1000</f>
        <v>1.1626047268677258E-2</v>
      </c>
      <c r="AA32" s="390"/>
      <c r="AB32" s="391"/>
      <c r="AD32" s="271" t="str">
        <f>IF(AND(W32&lt;=AE$31,Z32&lt;=AE$31), "OK", "NG")</f>
        <v>OK</v>
      </c>
      <c r="AE32" s="184"/>
      <c r="AF32" s="184"/>
      <c r="AG32" s="271" t="str">
        <f>IF(AND(W32&gt;=AH$31,Z32&gt;=AH$31), "OK", "NG")</f>
        <v>OK</v>
      </c>
      <c r="AH32" s="184"/>
      <c r="AI32" s="185"/>
    </row>
    <row r="33" spans="4:70" x14ac:dyDescent="0.45">
      <c r="D33" s="314">
        <f t="shared" si="8"/>
        <v>2</v>
      </c>
      <c r="E33" s="218"/>
      <c r="F33" s="218"/>
      <c r="G33" s="314">
        <f t="shared" si="9"/>
        <v>1</v>
      </c>
      <c r="H33" s="216"/>
      <c r="I33" s="315"/>
      <c r="J33" s="216">
        <f t="shared" si="10"/>
        <v>39.047168068466114</v>
      </c>
      <c r="K33" s="218"/>
      <c r="L33" s="236"/>
      <c r="M33" s="314">
        <f t="shared" si="11"/>
        <v>-4.8635768760600158</v>
      </c>
      <c r="N33" s="218"/>
      <c r="O33" s="218"/>
      <c r="P33" s="380">
        <f t="shared" ref="P33:P37" si="12">J33/N$20/G33-S$19*M33/S$20/G33^2</f>
        <v>68.228629324826215</v>
      </c>
      <c r="Q33" s="381"/>
      <c r="R33" s="381"/>
      <c r="S33" s="380">
        <f t="shared" ref="S33:S37" si="13">J33/N$20/G33+S$19*M33/S$20/G33^2</f>
        <v>9.8657068121060192</v>
      </c>
      <c r="T33" s="381"/>
      <c r="U33" s="382"/>
      <c r="W33" s="380">
        <f>P33/1000</f>
        <v>6.822862932482622E-2</v>
      </c>
      <c r="X33" s="381"/>
      <c r="Y33" s="381"/>
      <c r="Z33" s="380">
        <f>S33/1000</f>
        <v>9.8657068121060197E-3</v>
      </c>
      <c r="AA33" s="381"/>
      <c r="AB33" s="382"/>
      <c r="AD33" s="377" t="str">
        <f t="shared" ref="AD33:AD37" si="14">IF(AND(W33&lt;=AE$31,Z33&lt;=AE$31), "OK", "NG")</f>
        <v>OK</v>
      </c>
      <c r="AE33" s="378"/>
      <c r="AF33" s="378"/>
      <c r="AG33" s="377" t="str">
        <f t="shared" ref="AG33:AG37" si="15">IF(AND(W33&gt;=AH$31,Z33&gt;=AH$31), "OK", "NG")</f>
        <v>OK</v>
      </c>
      <c r="AH33" s="378"/>
      <c r="AI33" s="379"/>
    </row>
    <row r="34" spans="4:70" x14ac:dyDescent="0.45">
      <c r="D34" s="314">
        <f t="shared" si="8"/>
        <v>3</v>
      </c>
      <c r="E34" s="218"/>
      <c r="F34" s="218"/>
      <c r="G34" s="314">
        <f t="shared" si="9"/>
        <v>1.1000000000000001</v>
      </c>
      <c r="H34" s="216"/>
      <c r="I34" s="315"/>
      <c r="J34" s="216">
        <f t="shared" si="10"/>
        <v>62.459821152377799</v>
      </c>
      <c r="K34" s="218"/>
      <c r="L34" s="236"/>
      <c r="M34" s="314">
        <f t="shared" si="11"/>
        <v>-9.6420316011904674</v>
      </c>
      <c r="N34" s="218"/>
      <c r="O34" s="218"/>
      <c r="P34" s="380">
        <f t="shared" si="12"/>
        <v>104.59338254112262</v>
      </c>
      <c r="Q34" s="381"/>
      <c r="R34" s="381"/>
      <c r="S34" s="380">
        <f t="shared" si="13"/>
        <v>8.9699286450188254</v>
      </c>
      <c r="T34" s="381"/>
      <c r="U34" s="382"/>
      <c r="W34" s="380">
        <f t="shared" ref="W34:W37" si="16">P34/1000</f>
        <v>0.10459338254112262</v>
      </c>
      <c r="X34" s="381"/>
      <c r="Y34" s="381"/>
      <c r="Z34" s="380">
        <f t="shared" ref="Z34:Z37" si="17">S34/1000</f>
        <v>8.9699286450188251E-3</v>
      </c>
      <c r="AA34" s="381"/>
      <c r="AB34" s="382"/>
      <c r="AD34" s="377" t="str">
        <f t="shared" si="14"/>
        <v>OK</v>
      </c>
      <c r="AE34" s="378"/>
      <c r="AF34" s="378"/>
      <c r="AG34" s="377" t="str">
        <f t="shared" si="15"/>
        <v>OK</v>
      </c>
      <c r="AH34" s="378"/>
      <c r="AI34" s="379"/>
    </row>
    <row r="35" spans="4:70" x14ac:dyDescent="0.45">
      <c r="D35" s="314">
        <f t="shared" si="8"/>
        <v>4</v>
      </c>
      <c r="E35" s="218"/>
      <c r="F35" s="218"/>
      <c r="G35" s="314">
        <f t="shared" si="9"/>
        <v>1.2</v>
      </c>
      <c r="H35" s="216"/>
      <c r="I35" s="315"/>
      <c r="J35" s="216">
        <f t="shared" si="10"/>
        <v>88.432545735676456</v>
      </c>
      <c r="K35" s="218"/>
      <c r="L35" s="236"/>
      <c r="M35" s="314">
        <f t="shared" si="11"/>
        <v>-14.065615059665902</v>
      </c>
      <c r="N35" s="218"/>
      <c r="O35" s="218"/>
      <c r="P35" s="380">
        <f t="shared" si="12"/>
        <v>132.3005175283383</v>
      </c>
      <c r="Q35" s="381"/>
      <c r="R35" s="381"/>
      <c r="S35" s="380">
        <f t="shared" si="13"/>
        <v>15.087058697789125</v>
      </c>
      <c r="T35" s="381"/>
      <c r="U35" s="382"/>
      <c r="W35" s="380">
        <f t="shared" si="16"/>
        <v>0.1323005175283383</v>
      </c>
      <c r="X35" s="381"/>
      <c r="Y35" s="381"/>
      <c r="Z35" s="380">
        <f t="shared" si="17"/>
        <v>1.5087058697789126E-2</v>
      </c>
      <c r="AA35" s="381"/>
      <c r="AB35" s="382"/>
      <c r="AD35" s="377" t="str">
        <f t="shared" si="14"/>
        <v>OK</v>
      </c>
      <c r="AE35" s="378"/>
      <c r="AF35" s="378"/>
      <c r="AG35" s="377" t="str">
        <f t="shared" si="15"/>
        <v>OK</v>
      </c>
      <c r="AH35" s="378"/>
      <c r="AI35" s="379"/>
    </row>
    <row r="36" spans="4:70" x14ac:dyDescent="0.45">
      <c r="D36" s="314">
        <f t="shared" si="8"/>
        <v>5</v>
      </c>
      <c r="E36" s="218"/>
      <c r="F36" s="218"/>
      <c r="G36" s="314">
        <f t="shared" si="9"/>
        <v>1.2999999999999998</v>
      </c>
      <c r="H36" s="216"/>
      <c r="I36" s="315"/>
      <c r="J36" s="216">
        <f t="shared" si="10"/>
        <v>116.66336012245104</v>
      </c>
      <c r="K36" s="218"/>
      <c r="L36" s="236"/>
      <c r="M36" s="314">
        <f t="shared" si="11"/>
        <v>-16.001239207226448</v>
      </c>
      <c r="N36" s="218"/>
      <c r="O36" s="218"/>
      <c r="P36" s="380">
        <f t="shared" si="12"/>
        <v>146.55017952813319</v>
      </c>
      <c r="Q36" s="381"/>
      <c r="R36" s="381"/>
      <c r="S36" s="380">
        <f t="shared" si="13"/>
        <v>32.931912967945358</v>
      </c>
      <c r="T36" s="381"/>
      <c r="U36" s="382"/>
      <c r="W36" s="380">
        <f t="shared" si="16"/>
        <v>0.14655017952813318</v>
      </c>
      <c r="X36" s="381"/>
      <c r="Y36" s="381"/>
      <c r="Z36" s="380">
        <f t="shared" si="17"/>
        <v>3.2931912967945356E-2</v>
      </c>
      <c r="AA36" s="381"/>
      <c r="AB36" s="382"/>
      <c r="AD36" s="377" t="str">
        <f t="shared" si="14"/>
        <v>OK</v>
      </c>
      <c r="AE36" s="378"/>
      <c r="AF36" s="378"/>
      <c r="AG36" s="377" t="str">
        <f t="shared" si="15"/>
        <v>OK</v>
      </c>
      <c r="AH36" s="378"/>
      <c r="AI36" s="379"/>
    </row>
    <row r="37" spans="4:70" x14ac:dyDescent="0.45">
      <c r="D37" s="312">
        <f t="shared" si="8"/>
        <v>6</v>
      </c>
      <c r="E37" s="225"/>
      <c r="F37" s="225"/>
      <c r="G37" s="312">
        <f t="shared" si="9"/>
        <v>1.4</v>
      </c>
      <c r="H37" s="224"/>
      <c r="I37" s="313"/>
      <c r="J37" s="224">
        <f t="shared" si="10"/>
        <v>147.07879992850889</v>
      </c>
      <c r="K37" s="225"/>
      <c r="L37" s="231"/>
      <c r="M37" s="312">
        <f t="shared" si="11"/>
        <v>-12.672039993741095</v>
      </c>
      <c r="N37" s="225"/>
      <c r="O37" s="225"/>
      <c r="P37" s="383">
        <f t="shared" si="12"/>
        <v>143.84824482773419</v>
      </c>
      <c r="Q37" s="384"/>
      <c r="R37" s="384"/>
      <c r="S37" s="383">
        <f t="shared" si="13"/>
        <v>66.264326498707078</v>
      </c>
      <c r="T37" s="384"/>
      <c r="U37" s="385"/>
      <c r="W37" s="383">
        <f t="shared" si="16"/>
        <v>0.1438482448277342</v>
      </c>
      <c r="X37" s="384"/>
      <c r="Y37" s="384"/>
      <c r="Z37" s="383">
        <f t="shared" si="17"/>
        <v>6.6264326498707074E-2</v>
      </c>
      <c r="AA37" s="384"/>
      <c r="AB37" s="385"/>
      <c r="AD37" s="386" t="str">
        <f t="shared" si="14"/>
        <v>OK</v>
      </c>
      <c r="AE37" s="387"/>
      <c r="AF37" s="387"/>
      <c r="AG37" s="386" t="str">
        <f t="shared" si="15"/>
        <v>OK</v>
      </c>
      <c r="AH37" s="387"/>
      <c r="AI37" s="388"/>
    </row>
    <row r="38" spans="4:70" x14ac:dyDescent="0.45">
      <c r="AI38">
        <v>21</v>
      </c>
      <c r="BR38">
        <v>22</v>
      </c>
    </row>
  </sheetData>
  <sheetProtection sheet="1" objects="1" scenarios="1"/>
  <mergeCells count="256">
    <mergeCell ref="D7:F7"/>
    <mergeCell ref="G7:I7"/>
    <mergeCell ref="J7:L7"/>
    <mergeCell ref="M7:O7"/>
    <mergeCell ref="BA7:BB7"/>
    <mergeCell ref="AP4:AQ4"/>
    <mergeCell ref="AT4:AU4"/>
    <mergeCell ref="AW4:AX4"/>
    <mergeCell ref="K5:L5"/>
    <mergeCell ref="AM3:AN4"/>
    <mergeCell ref="AO3:AO4"/>
    <mergeCell ref="AP3:AQ3"/>
    <mergeCell ref="AS3:AS4"/>
    <mergeCell ref="AU3:AV3"/>
    <mergeCell ref="D4:E4"/>
    <mergeCell ref="G4:H4"/>
    <mergeCell ref="K4:L4"/>
    <mergeCell ref="N4:O4"/>
    <mergeCell ref="G5:H5"/>
    <mergeCell ref="AM7:AN7"/>
    <mergeCell ref="AU7:AV7"/>
    <mergeCell ref="AX7:AY7"/>
    <mergeCell ref="AM6:AN6"/>
    <mergeCell ref="D9:F9"/>
    <mergeCell ref="G9:I9"/>
    <mergeCell ref="J9:L9"/>
    <mergeCell ref="M9:O9"/>
    <mergeCell ref="P9:R9"/>
    <mergeCell ref="D8:F8"/>
    <mergeCell ref="G8:I8"/>
    <mergeCell ref="J8:L8"/>
    <mergeCell ref="M8:O8"/>
    <mergeCell ref="P8:R8"/>
    <mergeCell ref="BG11:BI11"/>
    <mergeCell ref="D11:F11"/>
    <mergeCell ref="S10:U10"/>
    <mergeCell ref="AN11:AP11"/>
    <mergeCell ref="AQ11:AS11"/>
    <mergeCell ref="AT11:AV11"/>
    <mergeCell ref="AW11:AZ11"/>
    <mergeCell ref="D10:F10"/>
    <mergeCell ref="G10:I10"/>
    <mergeCell ref="J10:L10"/>
    <mergeCell ref="M10:O10"/>
    <mergeCell ref="P10:R10"/>
    <mergeCell ref="BB10:BE10"/>
    <mergeCell ref="BG10:BI10"/>
    <mergeCell ref="AN10:AP10"/>
    <mergeCell ref="AQ10:AS10"/>
    <mergeCell ref="AT10:AV10"/>
    <mergeCell ref="AW10:AZ10"/>
    <mergeCell ref="D12:F12"/>
    <mergeCell ref="D13:F13"/>
    <mergeCell ref="AN12:AP12"/>
    <mergeCell ref="AQ12:AS12"/>
    <mergeCell ref="AT12:AV12"/>
    <mergeCell ref="AW12:AZ12"/>
    <mergeCell ref="BB12:BE12"/>
    <mergeCell ref="BH12:BI12"/>
    <mergeCell ref="G11:I11"/>
    <mergeCell ref="J11:L11"/>
    <mergeCell ref="M11:O11"/>
    <mergeCell ref="P11:R11"/>
    <mergeCell ref="S11:U11"/>
    <mergeCell ref="AN13:AP13"/>
    <mergeCell ref="AQ13:AS13"/>
    <mergeCell ref="AT13:AV13"/>
    <mergeCell ref="AW13:AZ13"/>
    <mergeCell ref="BB13:BE13"/>
    <mergeCell ref="BG13:BI13"/>
    <mergeCell ref="G12:I12"/>
    <mergeCell ref="J12:L12"/>
    <mergeCell ref="BB11:BE11"/>
    <mergeCell ref="G13:I13"/>
    <mergeCell ref="J13:L13"/>
    <mergeCell ref="D15:F15"/>
    <mergeCell ref="AN15:AP15"/>
    <mergeCell ref="AQ15:AS15"/>
    <mergeCell ref="AT15:AV15"/>
    <mergeCell ref="G14:I14"/>
    <mergeCell ref="J14:L14"/>
    <mergeCell ref="M14:O14"/>
    <mergeCell ref="P14:R14"/>
    <mergeCell ref="S14:U14"/>
    <mergeCell ref="D14:F14"/>
    <mergeCell ref="G15:I15"/>
    <mergeCell ref="J15:L15"/>
    <mergeCell ref="M15:O15"/>
    <mergeCell ref="AN14:AP14"/>
    <mergeCell ref="AQ14:AS14"/>
    <mergeCell ref="AT14:AV14"/>
    <mergeCell ref="AN16:AP16"/>
    <mergeCell ref="AQ16:AS16"/>
    <mergeCell ref="AT16:AV16"/>
    <mergeCell ref="AW16:AZ16"/>
    <mergeCell ref="BB16:BE16"/>
    <mergeCell ref="BG16:BI16"/>
    <mergeCell ref="AN18:AP18"/>
    <mergeCell ref="AQ18:AS18"/>
    <mergeCell ref="BG14:BI14"/>
    <mergeCell ref="AW15:AZ15"/>
    <mergeCell ref="BB15:BE15"/>
    <mergeCell ref="BG15:BI15"/>
    <mergeCell ref="AW14:AZ14"/>
    <mergeCell ref="BB14:BE14"/>
    <mergeCell ref="AT18:AV18"/>
    <mergeCell ref="AW18:AZ18"/>
    <mergeCell ref="BB18:BE18"/>
    <mergeCell ref="BG18:BI18"/>
    <mergeCell ref="BG17:BI17"/>
    <mergeCell ref="AN17:AP17"/>
    <mergeCell ref="AQ17:AS17"/>
    <mergeCell ref="AT17:AV17"/>
    <mergeCell ref="AW17:AZ17"/>
    <mergeCell ref="BB17:BE17"/>
    <mergeCell ref="D25:E25"/>
    <mergeCell ref="D23:E23"/>
    <mergeCell ref="K23:L23"/>
    <mergeCell ref="N23:O23"/>
    <mergeCell ref="D24:E24"/>
    <mergeCell ref="N24:O24"/>
    <mergeCell ref="Q23:R23"/>
    <mergeCell ref="D22:E22"/>
    <mergeCell ref="N20:O20"/>
    <mergeCell ref="P20:Q20"/>
    <mergeCell ref="R19:R20"/>
    <mergeCell ref="D19:E20"/>
    <mergeCell ref="F19:F20"/>
    <mergeCell ref="G19:H19"/>
    <mergeCell ref="I19:I20"/>
    <mergeCell ref="J19:K19"/>
    <mergeCell ref="M19:M20"/>
    <mergeCell ref="G20:H20"/>
    <mergeCell ref="J20:K20"/>
    <mergeCell ref="K25:L25"/>
    <mergeCell ref="N25:O25"/>
    <mergeCell ref="Q24:R24"/>
    <mergeCell ref="G29:I29"/>
    <mergeCell ref="J29:L29"/>
    <mergeCell ref="M29:O29"/>
    <mergeCell ref="P29:U29"/>
    <mergeCell ref="W29:AB29"/>
    <mergeCell ref="AD29:AI29"/>
    <mergeCell ref="D29:F29"/>
    <mergeCell ref="X26:Y26"/>
    <mergeCell ref="D26:E26"/>
    <mergeCell ref="S26:T27"/>
    <mergeCell ref="U26:U27"/>
    <mergeCell ref="V26:W26"/>
    <mergeCell ref="V27:Y27"/>
    <mergeCell ref="AD30:AF30"/>
    <mergeCell ref="AG30:AI30"/>
    <mergeCell ref="J30:L30"/>
    <mergeCell ref="M30:O30"/>
    <mergeCell ref="P30:R30"/>
    <mergeCell ref="S30:U30"/>
    <mergeCell ref="W30:Y30"/>
    <mergeCell ref="Z30:AB30"/>
    <mergeCell ref="D30:F30"/>
    <mergeCell ref="G30:I30"/>
    <mergeCell ref="AH31:AI31"/>
    <mergeCell ref="M31:O31"/>
    <mergeCell ref="P31:R31"/>
    <mergeCell ref="S31:U31"/>
    <mergeCell ref="W31:Y31"/>
    <mergeCell ref="Z31:AB31"/>
    <mergeCell ref="AE31:AF31"/>
    <mergeCell ref="D31:F31"/>
    <mergeCell ref="G31:I31"/>
    <mergeCell ref="J31:L31"/>
    <mergeCell ref="S32:U32"/>
    <mergeCell ref="W32:Y32"/>
    <mergeCell ref="Z32:AB32"/>
    <mergeCell ref="AD32:AF32"/>
    <mergeCell ref="AG32:AI32"/>
    <mergeCell ref="D32:F32"/>
    <mergeCell ref="G32:I32"/>
    <mergeCell ref="J32:L32"/>
    <mergeCell ref="M32:O32"/>
    <mergeCell ref="P32:R32"/>
    <mergeCell ref="D35:F35"/>
    <mergeCell ref="G35:I35"/>
    <mergeCell ref="D34:F34"/>
    <mergeCell ref="AG33:AI33"/>
    <mergeCell ref="M33:O33"/>
    <mergeCell ref="P33:R33"/>
    <mergeCell ref="S33:U33"/>
    <mergeCell ref="W33:Y33"/>
    <mergeCell ref="Z33:AB33"/>
    <mergeCell ref="AD33:AF33"/>
    <mergeCell ref="D33:F33"/>
    <mergeCell ref="G33:I33"/>
    <mergeCell ref="J33:L33"/>
    <mergeCell ref="Z34:AB34"/>
    <mergeCell ref="AD34:AF34"/>
    <mergeCell ref="AG34:AI34"/>
    <mergeCell ref="G34:I34"/>
    <mergeCell ref="J34:L34"/>
    <mergeCell ref="M34:O34"/>
    <mergeCell ref="P34:R34"/>
    <mergeCell ref="S34:U34"/>
    <mergeCell ref="W34:Y34"/>
    <mergeCell ref="AD35:AF35"/>
    <mergeCell ref="AG35:AI35"/>
    <mergeCell ref="D36:F36"/>
    <mergeCell ref="G36:I36"/>
    <mergeCell ref="J36:L36"/>
    <mergeCell ref="P37:R37"/>
    <mergeCell ref="S37:U37"/>
    <mergeCell ref="W37:Y37"/>
    <mergeCell ref="Z37:AB37"/>
    <mergeCell ref="AD37:AF37"/>
    <mergeCell ref="AG37:AI37"/>
    <mergeCell ref="D37:F37"/>
    <mergeCell ref="G37:I37"/>
    <mergeCell ref="J37:L37"/>
    <mergeCell ref="M37:O37"/>
    <mergeCell ref="J35:L35"/>
    <mergeCell ref="AG36:AI36"/>
    <mergeCell ref="M36:O36"/>
    <mergeCell ref="P36:R36"/>
    <mergeCell ref="S36:U36"/>
    <mergeCell ref="W36:Y36"/>
    <mergeCell ref="Z36:AB36"/>
    <mergeCell ref="AD36:AF36"/>
    <mergeCell ref="M35:O35"/>
    <mergeCell ref="P35:R35"/>
    <mergeCell ref="S35:U35"/>
    <mergeCell ref="W35:Y35"/>
    <mergeCell ref="Z35:AB35"/>
    <mergeCell ref="V8:Z8"/>
    <mergeCell ref="P7:Z7"/>
    <mergeCell ref="V9:Z9"/>
    <mergeCell ref="V10:Z10"/>
    <mergeCell ref="V11:Z11"/>
    <mergeCell ref="V12:Z12"/>
    <mergeCell ref="V13:Z13"/>
    <mergeCell ref="V14:Z14"/>
    <mergeCell ref="V15:Z15"/>
    <mergeCell ref="P13:R13"/>
    <mergeCell ref="S13:U13"/>
    <mergeCell ref="S9:U9"/>
    <mergeCell ref="S8:U8"/>
    <mergeCell ref="M12:O12"/>
    <mergeCell ref="P12:R12"/>
    <mergeCell ref="S12:U12"/>
    <mergeCell ref="T24:U24"/>
    <mergeCell ref="W24:X24"/>
    <mergeCell ref="Y24:Z24"/>
    <mergeCell ref="S20:T20"/>
    <mergeCell ref="U20:V20"/>
    <mergeCell ref="N19:Q19"/>
    <mergeCell ref="T19:U19"/>
    <mergeCell ref="P15:R15"/>
    <mergeCell ref="S15:U15"/>
    <mergeCell ref="M13:O13"/>
  </mergeCells>
  <phoneticPr fontId="1"/>
  <conditionalFormatting sqref="AD32:AD37">
    <cfRule type="cellIs" dxfId="5" priority="3" operator="equal">
      <formula>"NG"</formula>
    </cfRule>
  </conditionalFormatting>
  <conditionalFormatting sqref="AG32:AG37">
    <cfRule type="cellIs" dxfId="4" priority="2" operator="equal">
      <formula>"NG"</formula>
    </cfRule>
  </conditionalFormatting>
  <conditionalFormatting sqref="BG13:BG18">
    <cfRule type="cellIs" dxfId="3" priority="1" operator="equal">
      <formula>"NG"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1.条件</vt:lpstr>
      <vt:lpstr>2.自と衝</vt:lpstr>
      <vt:lpstr>2.土-常</vt:lpstr>
      <vt:lpstr>2.土-衝</vt:lpstr>
      <vt:lpstr>3.擁照-常</vt:lpstr>
      <vt:lpstr>3.擁照-衝</vt:lpstr>
      <vt:lpstr>4.部照-常1</vt:lpstr>
      <vt:lpstr>4.部照-常2</vt:lpstr>
      <vt:lpstr>4.部照-常3</vt:lpstr>
      <vt:lpstr>4.部照-衝1</vt:lpstr>
      <vt:lpstr>4.部照-衝2</vt:lpstr>
      <vt:lpstr>4.部照-衝3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2023-12-28T07:10:31Z</dcterms:created>
  <dcterms:modified xsi:type="dcterms:W3CDTF">2024-08-16T10:57:40Z</dcterms:modified>
</cp:coreProperties>
</file>